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10. January\Summary\"/>
    </mc:Choice>
  </mc:AlternateContent>
  <xr:revisionPtr revIDLastSave="0" documentId="8_{253D858E-B156-4949-AA18-DA2208B70CDC}" xr6:coauthVersionLast="47" xr6:coauthVersionMax="47" xr10:uidLastSave="{00000000-0000-0000-0000-000000000000}"/>
  <bookViews>
    <workbookView xWindow="-110" yWindow="-110" windowWidth="19420" windowHeight="10420" firstSheet="3" activeTab="10" xr2:uid="{FE60A3E7-4F6A-4911-9AA5-8FF327833C11}"/>
  </bookViews>
  <sheets>
    <sheet name="Summary" sheetId="1" r:id="rId1"/>
    <sheet name="Table1" sheetId="2" r:id="rId2"/>
    <sheet name="Table2 Pg1" sheetId="3" r:id="rId3"/>
    <sheet name="Table2 Pg2" sheetId="4" r:id="rId4"/>
    <sheet name="Table3 Summary" sheetId="5" r:id="rId5"/>
    <sheet name="Table 3.1" sheetId="6" r:id="rId6"/>
    <sheet name="Table 3.2" sheetId="7" r:id="rId7"/>
    <sheet name="Table 3.3" sheetId="8" r:id="rId8"/>
    <sheet name="Table 3.4" sheetId="9" r:id="rId9"/>
    <sheet name="Table 4" sheetId="10" r:id="rId10"/>
    <sheet name="Table 5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xlnm.Print_Area" localSheetId="0">Summary!$A$1:$AO$49</definedName>
    <definedName name="_xlnm.Print_Area" localSheetId="5">'Table 3.1'!$A$1:$EO$613</definedName>
    <definedName name="_xlnm.Print_Area" localSheetId="8">'Table 3.4'!$A$1:$EQ$45</definedName>
    <definedName name="_xlnm.Print_Area" localSheetId="9">'Table 4'!$A$1:$AJ$105</definedName>
    <definedName name="_xlnm.Print_Area" localSheetId="1">Table1!$A$1:$AJ$153</definedName>
    <definedName name="_xlnm.Print_Area" localSheetId="2">'Table2 Pg1'!$A$1:$BW$80</definedName>
    <definedName name="_xlnm.Print_Area" localSheetId="4">'Table3 Summary'!$A$1:$EP$138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1" i="11" l="1"/>
  <c r="S51" i="11"/>
  <c r="AG49" i="11"/>
  <c r="I49" i="11"/>
  <c r="S49" i="11" s="1"/>
  <c r="AG48" i="11"/>
  <c r="S48" i="11"/>
  <c r="AG47" i="11"/>
  <c r="S47" i="11"/>
  <c r="AG46" i="11"/>
  <c r="S46" i="11"/>
  <c r="AG45" i="11"/>
  <c r="S45" i="11"/>
  <c r="AG44" i="11"/>
  <c r="I44" i="11"/>
  <c r="I40" i="11" s="1"/>
  <c r="AG43" i="11"/>
  <c r="AG40" i="11" s="1"/>
  <c r="S43" i="11"/>
  <c r="AG42" i="11"/>
  <c r="S42" i="11"/>
  <c r="AG41" i="11"/>
  <c r="S41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AG38" i="11"/>
  <c r="S38" i="11"/>
  <c r="AG37" i="11"/>
  <c r="S37" i="11"/>
  <c r="AG36" i="11"/>
  <c r="S36" i="11"/>
  <c r="AG35" i="11"/>
  <c r="S35" i="11"/>
  <c r="AG34" i="11"/>
  <c r="S34" i="11"/>
  <c r="AG33" i="11"/>
  <c r="S33" i="11"/>
  <c r="AG32" i="11"/>
  <c r="S32" i="11"/>
  <c r="AG31" i="11"/>
  <c r="S31" i="11"/>
  <c r="AG30" i="11"/>
  <c r="S30" i="11"/>
  <c r="AG29" i="11"/>
  <c r="S29" i="11"/>
  <c r="AG28" i="11"/>
  <c r="S28" i="11"/>
  <c r="AG27" i="11"/>
  <c r="S27" i="11"/>
  <c r="AG26" i="11"/>
  <c r="S26" i="11"/>
  <c r="AG25" i="11"/>
  <c r="S25" i="11"/>
  <c r="AG24" i="11"/>
  <c r="S24" i="11"/>
  <c r="AG23" i="11"/>
  <c r="S23" i="11"/>
  <c r="AG22" i="11"/>
  <c r="S22" i="11"/>
  <c r="T71" i="11" s="1"/>
  <c r="AG21" i="11"/>
  <c r="S21" i="11"/>
  <c r="AG20" i="11"/>
  <c r="S20" i="11"/>
  <c r="AG19" i="11"/>
  <c r="S19" i="11"/>
  <c r="AG18" i="11"/>
  <c r="S18" i="11"/>
  <c r="AG17" i="11"/>
  <c r="S17" i="11"/>
  <c r="AG16" i="11"/>
  <c r="S16" i="11"/>
  <c r="AG15" i="11"/>
  <c r="S15" i="11"/>
  <c r="AG14" i="11"/>
  <c r="S14" i="11"/>
  <c r="AG13" i="11"/>
  <c r="S13" i="11"/>
  <c r="AG12" i="11"/>
  <c r="S12" i="11"/>
  <c r="AG11" i="11"/>
  <c r="S11" i="11"/>
  <c r="AG10" i="11"/>
  <c r="S10" i="11"/>
  <c r="AG9" i="11"/>
  <c r="S9" i="11"/>
  <c r="AG8" i="11"/>
  <c r="S8" i="11"/>
  <c r="AG7" i="11"/>
  <c r="S7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6" i="11" l="1"/>
  <c r="T68" i="11" s="1"/>
  <c r="AG6" i="11"/>
  <c r="S44" i="11"/>
  <c r="S40" i="11" s="1"/>
  <c r="AE98" i="10" l="1"/>
  <c r="AH98" i="10" s="1"/>
  <c r="AD98" i="10"/>
  <c r="AE93" i="10" s="1"/>
  <c r="AC98" i="10"/>
  <c r="AD93" i="10" s="1"/>
  <c r="AB98" i="10"/>
  <c r="AA98" i="10"/>
  <c r="Z98" i="10"/>
  <c r="X98" i="10"/>
  <c r="W98" i="10"/>
  <c r="V98" i="10"/>
  <c r="W93" i="10" s="1"/>
  <c r="U98" i="10"/>
  <c r="Q98" i="10"/>
  <c r="P98" i="10"/>
  <c r="Q93" i="10" s="1"/>
  <c r="O98" i="10"/>
  <c r="P93" i="10" s="1"/>
  <c r="N98" i="10"/>
  <c r="M98" i="10"/>
  <c r="L98" i="10"/>
  <c r="K98" i="10"/>
  <c r="J98" i="10"/>
  <c r="I98" i="10"/>
  <c r="H98" i="10"/>
  <c r="G98" i="10"/>
  <c r="AG97" i="10"/>
  <c r="AF97" i="10"/>
  <c r="AE97" i="10"/>
  <c r="AF92" i="10" s="1"/>
  <c r="AD97" i="10"/>
  <c r="AC97" i="10"/>
  <c r="AD92" i="10" s="1"/>
  <c r="AB97" i="10"/>
  <c r="AC92" i="10" s="1"/>
  <c r="AC90" i="10" s="1"/>
  <c r="AC88" i="10" s="1"/>
  <c r="AC84" i="10" s="1"/>
  <c r="AA97" i="10"/>
  <c r="AB92" i="10" s="1"/>
  <c r="AB90" i="10" s="1"/>
  <c r="Z97" i="10"/>
  <c r="AA92" i="10" s="1"/>
  <c r="AA90" i="10" s="1"/>
  <c r="Y97" i="10"/>
  <c r="X97" i="10"/>
  <c r="W97" i="10"/>
  <c r="X92" i="10" s="1"/>
  <c r="V97" i="10"/>
  <c r="W92" i="10" s="1"/>
  <c r="U97" i="10"/>
  <c r="Q97" i="10"/>
  <c r="T97" i="10" s="1"/>
  <c r="P97" i="10"/>
  <c r="O97" i="10"/>
  <c r="N97" i="10"/>
  <c r="M97" i="10"/>
  <c r="L97" i="10"/>
  <c r="M92" i="10" s="1"/>
  <c r="K97" i="10"/>
  <c r="L92" i="10" s="1"/>
  <c r="J97" i="10"/>
  <c r="K92" i="10" s="1"/>
  <c r="I97" i="10"/>
  <c r="H97" i="10"/>
  <c r="H95" i="10" s="1"/>
  <c r="G97" i="10"/>
  <c r="AE96" i="10"/>
  <c r="AH96" i="10" s="1"/>
  <c r="AD96" i="10"/>
  <c r="AC96" i="10"/>
  <c r="AB96" i="10"/>
  <c r="AC91" i="10" s="1"/>
  <c r="AA96" i="10"/>
  <c r="Z96" i="10"/>
  <c r="X96" i="10"/>
  <c r="W96" i="10"/>
  <c r="V96" i="10"/>
  <c r="W91" i="10" s="1"/>
  <c r="U96" i="10"/>
  <c r="T96" i="10"/>
  <c r="Q96" i="10"/>
  <c r="P96" i="10"/>
  <c r="O96" i="10"/>
  <c r="N96" i="10"/>
  <c r="M96" i="10"/>
  <c r="L96" i="10"/>
  <c r="K96" i="10"/>
  <c r="J96" i="10"/>
  <c r="I96" i="10"/>
  <c r="J91" i="10" s="1"/>
  <c r="H96" i="10"/>
  <c r="I91" i="10" s="1"/>
  <c r="G96" i="10"/>
  <c r="AG95" i="10"/>
  <c r="AD95" i="10"/>
  <c r="AC95" i="10"/>
  <c r="Y95" i="10"/>
  <c r="U95" i="10"/>
  <c r="S95" i="10"/>
  <c r="R95" i="10"/>
  <c r="G95" i="10"/>
  <c r="AM94" i="10"/>
  <c r="AK94" i="10"/>
  <c r="AG93" i="10"/>
  <c r="AF93" i="10"/>
  <c r="AC93" i="10"/>
  <c r="AB93" i="10"/>
  <c r="AA93" i="10"/>
  <c r="Z93" i="10"/>
  <c r="Y93" i="10"/>
  <c r="X93" i="10"/>
  <c r="U93" i="10"/>
  <c r="V93" i="10" s="1"/>
  <c r="AH93" i="10" s="1"/>
  <c r="AK93" i="10" s="1"/>
  <c r="S93" i="10"/>
  <c r="N93" i="10"/>
  <c r="M93" i="10"/>
  <c r="I93" i="10"/>
  <c r="H93" i="10"/>
  <c r="G93" i="10"/>
  <c r="AH92" i="10"/>
  <c r="AE92" i="10"/>
  <c r="Z92" i="10"/>
  <c r="Y92" i="10"/>
  <c r="U92" i="10"/>
  <c r="V92" i="10" s="1"/>
  <c r="T92" i="10"/>
  <c r="P92" i="10"/>
  <c r="O92" i="10"/>
  <c r="N92" i="10"/>
  <c r="I92" i="10"/>
  <c r="G92" i="10"/>
  <c r="AG91" i="10"/>
  <c r="AE91" i="10"/>
  <c r="AE90" i="10" s="1"/>
  <c r="AD91" i="10"/>
  <c r="AD90" i="10" s="1"/>
  <c r="AD88" i="10" s="1"/>
  <c r="AD84" i="10" s="1"/>
  <c r="AB91" i="10"/>
  <c r="AA91" i="10"/>
  <c r="Z91" i="10"/>
  <c r="U91" i="10"/>
  <c r="U90" i="10" s="1"/>
  <c r="U88" i="10" s="1"/>
  <c r="T91" i="10"/>
  <c r="S91" i="10"/>
  <c r="R91" i="10"/>
  <c r="Q91" i="10"/>
  <c r="P91" i="10"/>
  <c r="L91" i="10"/>
  <c r="K91" i="10"/>
  <c r="H91" i="10"/>
  <c r="G91" i="10"/>
  <c r="Z90" i="10"/>
  <c r="AE83" i="10"/>
  <c r="AH83" i="10" s="1"/>
  <c r="AD83" i="10"/>
  <c r="AC83" i="10"/>
  <c r="AB83" i="10"/>
  <c r="AA83" i="10"/>
  <c r="Z83" i="10"/>
  <c r="Y83" i="10"/>
  <c r="X83" i="10"/>
  <c r="V83" i="10"/>
  <c r="U83" i="10"/>
  <c r="Q83" i="10"/>
  <c r="P83" i="10"/>
  <c r="O83" i="10"/>
  <c r="N83" i="10"/>
  <c r="M83" i="10"/>
  <c r="L83" i="10"/>
  <c r="K83" i="10"/>
  <c r="J83" i="10"/>
  <c r="I83" i="10"/>
  <c r="H83" i="10"/>
  <c r="G83" i="10"/>
  <c r="AE82" i="10"/>
  <c r="AD82" i="10"/>
  <c r="AC82" i="10"/>
  <c r="AB82" i="10"/>
  <c r="AA82" i="10"/>
  <c r="Z82" i="10"/>
  <c r="Y82" i="10"/>
  <c r="X82" i="10"/>
  <c r="V82" i="10"/>
  <c r="AH82" i="10" s="1"/>
  <c r="U82" i="10"/>
  <c r="Q82" i="10"/>
  <c r="P82" i="10"/>
  <c r="O82" i="10"/>
  <c r="N82" i="10"/>
  <c r="M82" i="10"/>
  <c r="L82" i="10"/>
  <c r="K82" i="10"/>
  <c r="J82" i="10"/>
  <c r="I82" i="10"/>
  <c r="H82" i="10"/>
  <c r="G82" i="10"/>
  <c r="AE81" i="10"/>
  <c r="AD81" i="10"/>
  <c r="AC81" i="10"/>
  <c r="AB81" i="10"/>
  <c r="AA81" i="10"/>
  <c r="Z81" i="10"/>
  <c r="Y81" i="10"/>
  <c r="X81" i="10"/>
  <c r="V81" i="10"/>
  <c r="U81" i="10"/>
  <c r="Q81" i="10"/>
  <c r="P81" i="10"/>
  <c r="O81" i="10"/>
  <c r="N81" i="10"/>
  <c r="M81" i="10"/>
  <c r="L81" i="10"/>
  <c r="K81" i="10"/>
  <c r="J81" i="10"/>
  <c r="I81" i="10"/>
  <c r="H81" i="10"/>
  <c r="G81" i="10"/>
  <c r="AM79" i="10"/>
  <c r="AL79" i="10"/>
  <c r="AK79" i="10"/>
  <c r="AM78" i="10"/>
  <c r="AL78" i="10"/>
  <c r="AK78" i="10"/>
  <c r="AM77" i="10"/>
  <c r="AH77" i="10"/>
  <c r="AL77" i="10" s="1"/>
  <c r="T77" i="10"/>
  <c r="AM76" i="10"/>
  <c r="AH76" i="10"/>
  <c r="AL76" i="10" s="1"/>
  <c r="T76" i="10"/>
  <c r="AM75" i="10"/>
  <c r="AL75" i="10"/>
  <c r="AK75" i="10"/>
  <c r="AM74" i="10"/>
  <c r="AH74" i="10"/>
  <c r="AH72" i="10" s="1"/>
  <c r="T74" i="10"/>
  <c r="T72" i="10" s="1"/>
  <c r="AM73" i="10"/>
  <c r="AH73" i="10"/>
  <c r="AL73" i="10" s="1"/>
  <c r="T73" i="10"/>
  <c r="AG72" i="10"/>
  <c r="AF72" i="10"/>
  <c r="AE72" i="10"/>
  <c r="AD72" i="10"/>
  <c r="AC72" i="10"/>
  <c r="AB72" i="10"/>
  <c r="AA72" i="10"/>
  <c r="AA56" i="10" s="1"/>
  <c r="Z72" i="10"/>
  <c r="Z56" i="10" s="1"/>
  <c r="Y72" i="10"/>
  <c r="X72" i="10"/>
  <c r="W72" i="10"/>
  <c r="V72" i="10"/>
  <c r="AL72" i="10" s="1"/>
  <c r="S72" i="10"/>
  <c r="R72" i="10"/>
  <c r="Q72" i="10"/>
  <c r="P72" i="10"/>
  <c r="O72" i="10"/>
  <c r="N72" i="10"/>
  <c r="M72" i="10"/>
  <c r="L72" i="10"/>
  <c r="K72" i="10"/>
  <c r="J72" i="10"/>
  <c r="I72" i="10"/>
  <c r="H72" i="10"/>
  <c r="AM71" i="10"/>
  <c r="AL71" i="10"/>
  <c r="AK71" i="10"/>
  <c r="AH70" i="10"/>
  <c r="AK70" i="10" s="1"/>
  <c r="AG70" i="10"/>
  <c r="W70" i="10"/>
  <c r="V70" i="10"/>
  <c r="S70" i="10"/>
  <c r="I70" i="10"/>
  <c r="H70" i="10"/>
  <c r="T70" i="10" s="1"/>
  <c r="G70" i="10"/>
  <c r="AH69" i="10"/>
  <c r="AG69" i="10"/>
  <c r="W69" i="10"/>
  <c r="V69" i="10"/>
  <c r="T69" i="10"/>
  <c r="S69" i="10"/>
  <c r="I69" i="10"/>
  <c r="H69" i="10"/>
  <c r="G69" i="10"/>
  <c r="AM68" i="10"/>
  <c r="AL68" i="10"/>
  <c r="AK68" i="10"/>
  <c r="AH67" i="10"/>
  <c r="AM67" i="10" s="1"/>
  <c r="AG67" i="10"/>
  <c r="W67" i="10"/>
  <c r="V67" i="10"/>
  <c r="S67" i="10"/>
  <c r="I67" i="10"/>
  <c r="H67" i="10"/>
  <c r="G67" i="10"/>
  <c r="G65" i="10" s="1"/>
  <c r="AG66" i="10"/>
  <c r="W66" i="10"/>
  <c r="V66" i="10"/>
  <c r="S66" i="10"/>
  <c r="I66" i="10"/>
  <c r="H66" i="10"/>
  <c r="G66" i="10"/>
  <c r="AF65" i="10"/>
  <c r="AE65" i="10"/>
  <c r="AD65" i="10"/>
  <c r="AC65" i="10"/>
  <c r="AB65" i="10"/>
  <c r="AA65" i="10"/>
  <c r="Z65" i="10"/>
  <c r="Y65" i="10"/>
  <c r="X65" i="10"/>
  <c r="V65" i="10"/>
  <c r="S65" i="10"/>
  <c r="R65" i="10"/>
  <c r="Q65" i="10"/>
  <c r="P65" i="10"/>
  <c r="O65" i="10"/>
  <c r="N65" i="10"/>
  <c r="M65" i="10"/>
  <c r="L65" i="10"/>
  <c r="K65" i="10"/>
  <c r="J65" i="10"/>
  <c r="H65" i="10"/>
  <c r="AE63" i="10"/>
  <c r="AD63" i="10"/>
  <c r="AC63" i="10"/>
  <c r="AB63" i="10"/>
  <c r="AH63" i="10" s="1"/>
  <c r="AA63" i="10"/>
  <c r="Z63" i="10"/>
  <c r="Y63" i="10"/>
  <c r="X63" i="10"/>
  <c r="V63" i="10"/>
  <c r="U63" i="10"/>
  <c r="Q63" i="10"/>
  <c r="P63" i="10"/>
  <c r="O63" i="10"/>
  <c r="N63" i="10"/>
  <c r="M63" i="10"/>
  <c r="L63" i="10"/>
  <c r="K63" i="10"/>
  <c r="J63" i="10"/>
  <c r="I63" i="10"/>
  <c r="H63" i="10"/>
  <c r="G63" i="10"/>
  <c r="AE62" i="10"/>
  <c r="AD62" i="10"/>
  <c r="AC62" i="10"/>
  <c r="AB62" i="10"/>
  <c r="AA62" i="10"/>
  <c r="Z62" i="10"/>
  <c r="Y62" i="10"/>
  <c r="X62" i="10"/>
  <c r="V62" i="10"/>
  <c r="AH62" i="10" s="1"/>
  <c r="U62" i="10"/>
  <c r="T62" i="10"/>
  <c r="Q62" i="10"/>
  <c r="P62" i="10"/>
  <c r="O62" i="10"/>
  <c r="N62" i="10"/>
  <c r="M62" i="10"/>
  <c r="L62" i="10"/>
  <c r="K62" i="10"/>
  <c r="J62" i="10"/>
  <c r="I62" i="10"/>
  <c r="H62" i="10"/>
  <c r="G62" i="10"/>
  <c r="AH60" i="10"/>
  <c r="AL60" i="10" s="1"/>
  <c r="V60" i="10"/>
  <c r="U60" i="10"/>
  <c r="T60" i="10"/>
  <c r="G60" i="10"/>
  <c r="AH59" i="10"/>
  <c r="AE59" i="10"/>
  <c r="AD59" i="10"/>
  <c r="AC59" i="10"/>
  <c r="AB59" i="10"/>
  <c r="AA59" i="10"/>
  <c r="AA58" i="10" s="1"/>
  <c r="Z59" i="10"/>
  <c r="Y59" i="10"/>
  <c r="X59" i="10"/>
  <c r="V59" i="10"/>
  <c r="U59" i="10"/>
  <c r="Q59" i="10"/>
  <c r="P59" i="10"/>
  <c r="O59" i="10"/>
  <c r="N59" i="10"/>
  <c r="M59" i="10"/>
  <c r="M58" i="10" s="1"/>
  <c r="L59" i="10"/>
  <c r="L58" i="10" s="1"/>
  <c r="K59" i="10"/>
  <c r="J59" i="10"/>
  <c r="I59" i="10"/>
  <c r="H59" i="10"/>
  <c r="G59" i="10"/>
  <c r="AG58" i="10"/>
  <c r="AF58" i="10"/>
  <c r="Z58" i="10"/>
  <c r="Y58" i="10"/>
  <c r="X58" i="10"/>
  <c r="X56" i="10" s="1"/>
  <c r="W58" i="10"/>
  <c r="V58" i="10"/>
  <c r="U58" i="10"/>
  <c r="S58" i="10"/>
  <c r="R58" i="10"/>
  <c r="G58" i="10"/>
  <c r="G56" i="10"/>
  <c r="AE54" i="10"/>
  <c r="AD54" i="10"/>
  <c r="AC54" i="10"/>
  <c r="AC52" i="10" s="1"/>
  <c r="AB54" i="10"/>
  <c r="AB52" i="10" s="1"/>
  <c r="AA54" i="10"/>
  <c r="Z54" i="10"/>
  <c r="Y54" i="10"/>
  <c r="X54" i="10"/>
  <c r="V54" i="10"/>
  <c r="U54" i="10"/>
  <c r="Q54" i="10"/>
  <c r="P54" i="10"/>
  <c r="O54" i="10"/>
  <c r="N54" i="10"/>
  <c r="M54" i="10"/>
  <c r="L54" i="10"/>
  <c r="K54" i="10"/>
  <c r="J54" i="10"/>
  <c r="I54" i="10"/>
  <c r="H54" i="10"/>
  <c r="G54" i="10"/>
  <c r="G52" i="10" s="1"/>
  <c r="AE53" i="10"/>
  <c r="AD53" i="10"/>
  <c r="AC53" i="10"/>
  <c r="AB53" i="10"/>
  <c r="AA53" i="10"/>
  <c r="Z53" i="10"/>
  <c r="Y53" i="10"/>
  <c r="X53" i="10"/>
  <c r="X52" i="10" s="1"/>
  <c r="V53" i="10"/>
  <c r="U53" i="10"/>
  <c r="Q53" i="10"/>
  <c r="P53" i="10"/>
  <c r="O53" i="10"/>
  <c r="N53" i="10"/>
  <c r="M53" i="10"/>
  <c r="L53" i="10"/>
  <c r="K53" i="10"/>
  <c r="J53" i="10"/>
  <c r="I53" i="10"/>
  <c r="H53" i="10"/>
  <c r="G53" i="10"/>
  <c r="AG52" i="10"/>
  <c r="AF52" i="10"/>
  <c r="AE52" i="10"/>
  <c r="AD52" i="10"/>
  <c r="AA52" i="10"/>
  <c r="Z52" i="10"/>
  <c r="Y52" i="10"/>
  <c r="W52" i="10"/>
  <c r="S52" i="10"/>
  <c r="R52" i="10"/>
  <c r="O52" i="10"/>
  <c r="N52" i="10"/>
  <c r="M52" i="10"/>
  <c r="L52" i="10"/>
  <c r="K52" i="10"/>
  <c r="H52" i="10"/>
  <c r="AE50" i="10"/>
  <c r="AD50" i="10"/>
  <c r="AC50" i="10"/>
  <c r="AB50" i="10"/>
  <c r="AA50" i="10"/>
  <c r="Z50" i="10"/>
  <c r="Z47" i="10" s="1"/>
  <c r="Y50" i="10"/>
  <c r="X50" i="10"/>
  <c r="V50" i="10"/>
  <c r="U50" i="10"/>
  <c r="Q50" i="10"/>
  <c r="P50" i="10"/>
  <c r="O50" i="10"/>
  <c r="N50" i="10"/>
  <c r="M50" i="10"/>
  <c r="M47" i="10" s="1"/>
  <c r="L50" i="10"/>
  <c r="K50" i="10"/>
  <c r="J50" i="10"/>
  <c r="I50" i="10"/>
  <c r="H50" i="10"/>
  <c r="G50" i="10"/>
  <c r="AE49" i="10"/>
  <c r="AD49" i="10"/>
  <c r="AC49" i="10"/>
  <c r="AB49" i="10"/>
  <c r="AA49" i="10"/>
  <c r="Z49" i="10"/>
  <c r="Y49" i="10"/>
  <c r="X49" i="10"/>
  <c r="V49" i="10"/>
  <c r="U49" i="10"/>
  <c r="Q49" i="10"/>
  <c r="P49" i="10"/>
  <c r="O49" i="10"/>
  <c r="N49" i="10"/>
  <c r="M49" i="10"/>
  <c r="L49" i="10"/>
  <c r="K49" i="10"/>
  <c r="J49" i="10"/>
  <c r="I49" i="10"/>
  <c r="H49" i="10"/>
  <c r="G49" i="10"/>
  <c r="AE48" i="10"/>
  <c r="AE47" i="10" s="1"/>
  <c r="AD48" i="10"/>
  <c r="AC48" i="10"/>
  <c r="AB48" i="10"/>
  <c r="AA48" i="10"/>
  <c r="Z48" i="10"/>
  <c r="Y48" i="10"/>
  <c r="X48" i="10"/>
  <c r="V48" i="10"/>
  <c r="V47" i="10" s="1"/>
  <c r="U48" i="10"/>
  <c r="T48" i="10"/>
  <c r="Q48" i="10"/>
  <c r="Q47" i="10" s="1"/>
  <c r="P48" i="10"/>
  <c r="O48" i="10"/>
  <c r="N48" i="10"/>
  <c r="M48" i="10"/>
  <c r="L48" i="10"/>
  <c r="K48" i="10"/>
  <c r="J48" i="10"/>
  <c r="I48" i="10"/>
  <c r="H48" i="10"/>
  <c r="G48" i="10"/>
  <c r="AG47" i="10"/>
  <c r="AF47" i="10"/>
  <c r="W47" i="10"/>
  <c r="S47" i="10"/>
  <c r="R47" i="10"/>
  <c r="K47" i="10"/>
  <c r="AE45" i="10"/>
  <c r="AD45" i="10"/>
  <c r="AC45" i="10"/>
  <c r="AB45" i="10"/>
  <c r="AA45" i="10"/>
  <c r="AA42" i="10" s="1"/>
  <c r="Z45" i="10"/>
  <c r="Y45" i="10"/>
  <c r="X45" i="10"/>
  <c r="V45" i="10"/>
  <c r="U45" i="10"/>
  <c r="Q45" i="10"/>
  <c r="P45" i="10"/>
  <c r="O45" i="10"/>
  <c r="N45" i="10"/>
  <c r="M45" i="10"/>
  <c r="L45" i="10"/>
  <c r="K45" i="10"/>
  <c r="J45" i="10"/>
  <c r="I45" i="10"/>
  <c r="H45" i="10"/>
  <c r="G45" i="10"/>
  <c r="AE44" i="10"/>
  <c r="AD44" i="10"/>
  <c r="AC44" i="10"/>
  <c r="AB44" i="10"/>
  <c r="AA44" i="10"/>
  <c r="Z44" i="10"/>
  <c r="Y44" i="10"/>
  <c r="X44" i="10"/>
  <c r="V44" i="10"/>
  <c r="AH44" i="10" s="1"/>
  <c r="U44" i="10"/>
  <c r="AM44" i="10" s="1"/>
  <c r="Q44" i="10"/>
  <c r="P44" i="10"/>
  <c r="O44" i="10"/>
  <c r="T44" i="10" s="1"/>
  <c r="N44" i="10"/>
  <c r="M44" i="10"/>
  <c r="L44" i="10"/>
  <c r="K44" i="10"/>
  <c r="J44" i="10"/>
  <c r="I44" i="10"/>
  <c r="H44" i="10"/>
  <c r="G44" i="10"/>
  <c r="AE43" i="10"/>
  <c r="AD43" i="10"/>
  <c r="AC43" i="10"/>
  <c r="AB43" i="10"/>
  <c r="AA43" i="10"/>
  <c r="Z43" i="10"/>
  <c r="AH43" i="10" s="1"/>
  <c r="Y43" i="10"/>
  <c r="Y42" i="10" s="1"/>
  <c r="X43" i="10"/>
  <c r="X42" i="10" s="1"/>
  <c r="V43" i="10"/>
  <c r="U43" i="10"/>
  <c r="Q43" i="10"/>
  <c r="P43" i="10"/>
  <c r="O43" i="10"/>
  <c r="N43" i="10"/>
  <c r="N42" i="10" s="1"/>
  <c r="M43" i="10"/>
  <c r="L43" i="10"/>
  <c r="L42" i="10" s="1"/>
  <c r="K43" i="10"/>
  <c r="J43" i="10"/>
  <c r="I43" i="10"/>
  <c r="H43" i="10"/>
  <c r="G43" i="10"/>
  <c r="AG42" i="10"/>
  <c r="AF42" i="10"/>
  <c r="Z42" i="10"/>
  <c r="W42" i="10"/>
  <c r="W40" i="10" s="1"/>
  <c r="U42" i="10"/>
  <c r="S42" i="10"/>
  <c r="R42" i="10"/>
  <c r="AE38" i="10"/>
  <c r="AD38" i="10"/>
  <c r="AC38" i="10"/>
  <c r="AB38" i="10"/>
  <c r="AA38" i="10"/>
  <c r="Z38" i="10"/>
  <c r="Y38" i="10"/>
  <c r="X38" i="10"/>
  <c r="V38" i="10"/>
  <c r="U38" i="10"/>
  <c r="Q38" i="10"/>
  <c r="P38" i="10"/>
  <c r="O38" i="10"/>
  <c r="N38" i="10"/>
  <c r="M38" i="10"/>
  <c r="L38" i="10"/>
  <c r="K38" i="10"/>
  <c r="J38" i="10"/>
  <c r="I38" i="10"/>
  <c r="H38" i="10"/>
  <c r="G38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S33" i="10"/>
  <c r="R33" i="10"/>
  <c r="Q33" i="10"/>
  <c r="P33" i="10"/>
  <c r="O33" i="10"/>
  <c r="N33" i="10"/>
  <c r="M33" i="10"/>
  <c r="L33" i="10"/>
  <c r="K33" i="10"/>
  <c r="J33" i="10"/>
  <c r="AM31" i="10"/>
  <c r="AH30" i="10"/>
  <c r="T30" i="10"/>
  <c r="G30" i="10"/>
  <c r="D30" i="10"/>
  <c r="AH29" i="10"/>
  <c r="T29" i="10"/>
  <c r="G29" i="10"/>
  <c r="D29" i="10"/>
  <c r="AH28" i="10"/>
  <c r="T28" i="10"/>
  <c r="G28" i="10"/>
  <c r="D28" i="10"/>
  <c r="AH27" i="10"/>
  <c r="T27" i="10"/>
  <c r="D27" i="10"/>
  <c r="AH26" i="10"/>
  <c r="T26" i="10"/>
  <c r="G26" i="10"/>
  <c r="D26" i="10"/>
  <c r="AH25" i="10"/>
  <c r="T25" i="10"/>
  <c r="AH24" i="10"/>
  <c r="T24" i="10"/>
  <c r="G24" i="10"/>
  <c r="E24" i="10"/>
  <c r="AH23" i="10"/>
  <c r="U23" i="10"/>
  <c r="T23" i="10"/>
  <c r="G23" i="10"/>
  <c r="G22" i="10" s="1"/>
  <c r="E23" i="10"/>
  <c r="AH22" i="10"/>
  <c r="U22" i="10"/>
  <c r="U16" i="10" s="1"/>
  <c r="T22" i="10"/>
  <c r="AH21" i="10"/>
  <c r="AL21" i="10" s="1"/>
  <c r="U21" i="10"/>
  <c r="N21" i="10"/>
  <c r="M21" i="10"/>
  <c r="L21" i="10"/>
  <c r="L16" i="10" s="1"/>
  <c r="K21" i="10"/>
  <c r="J21" i="10"/>
  <c r="J16" i="10" s="1"/>
  <c r="I21" i="10"/>
  <c r="G21" i="10"/>
  <c r="AM20" i="10"/>
  <c r="AH20" i="10"/>
  <c r="AL20" i="10" s="1"/>
  <c r="U20" i="10"/>
  <c r="T20" i="10"/>
  <c r="G20" i="10"/>
  <c r="AH19" i="10"/>
  <c r="AK19" i="10" s="1"/>
  <c r="U19" i="10"/>
  <c r="T19" i="10"/>
  <c r="G19" i="10"/>
  <c r="AH18" i="10"/>
  <c r="U18" i="10"/>
  <c r="T18" i="10"/>
  <c r="G18" i="10"/>
  <c r="AH17" i="10"/>
  <c r="U17" i="10"/>
  <c r="AM17" i="10" s="1"/>
  <c r="N17" i="10"/>
  <c r="G17" i="10"/>
  <c r="AG16" i="10"/>
  <c r="AF16" i="10"/>
  <c r="AE16" i="10"/>
  <c r="AE14" i="10" s="1"/>
  <c r="AD16" i="10"/>
  <c r="AD14" i="10" s="1"/>
  <c r="AC16" i="10"/>
  <c r="AC14" i="10" s="1"/>
  <c r="AB16" i="10"/>
  <c r="AB14" i="10" s="1"/>
  <c r="AA16" i="10"/>
  <c r="AA14" i="10" s="1"/>
  <c r="Z16" i="10"/>
  <c r="Z14" i="10" s="1"/>
  <c r="Y16" i="10"/>
  <c r="Y14" i="10" s="1"/>
  <c r="X16" i="10"/>
  <c r="X14" i="10" s="1"/>
  <c r="W16" i="10"/>
  <c r="V16" i="10"/>
  <c r="S16" i="10"/>
  <c r="R16" i="10"/>
  <c r="Q16" i="10"/>
  <c r="P16" i="10"/>
  <c r="O16" i="10"/>
  <c r="K16" i="10"/>
  <c r="H16" i="10"/>
  <c r="AG14" i="10"/>
  <c r="AF14" i="10"/>
  <c r="W14" i="10"/>
  <c r="V14" i="10"/>
  <c r="U14" i="10"/>
  <c r="G14" i="10"/>
  <c r="AH12" i="10"/>
  <c r="Q12" i="10"/>
  <c r="P12" i="10"/>
  <c r="O12" i="10"/>
  <c r="N12" i="10"/>
  <c r="M12" i="10"/>
  <c r="L12" i="10"/>
  <c r="K12" i="10"/>
  <c r="J12" i="10"/>
  <c r="I12" i="10"/>
  <c r="H12" i="10"/>
  <c r="AH10" i="10"/>
  <c r="AH33" i="10" s="1"/>
  <c r="U10" i="10"/>
  <c r="Q10" i="10"/>
  <c r="P10" i="10"/>
  <c r="O10" i="10"/>
  <c r="N10" i="10"/>
  <c r="M10" i="10"/>
  <c r="L10" i="10"/>
  <c r="K10" i="10"/>
  <c r="J10" i="10"/>
  <c r="I10" i="10"/>
  <c r="I33" i="10" s="1"/>
  <c r="H10" i="10"/>
  <c r="H33" i="10" s="1"/>
  <c r="G10" i="10"/>
  <c r="T10" i="10" l="1"/>
  <c r="AK72" i="10"/>
  <c r="AM72" i="10"/>
  <c r="AD80" i="10"/>
  <c r="AK20" i="10"/>
  <c r="AM16" i="10"/>
  <c r="Y56" i="10"/>
  <c r="AK74" i="10"/>
  <c r="AK77" i="10"/>
  <c r="S14" i="10"/>
  <c r="AH16" i="10"/>
  <c r="AK16" i="10" s="1"/>
  <c r="AL74" i="10"/>
  <c r="AL10" i="10"/>
  <c r="AK18" i="10"/>
  <c r="AM27" i="10"/>
  <c r="Z40" i="10"/>
  <c r="AL70" i="10"/>
  <c r="AL18" i="10"/>
  <c r="AM23" i="10"/>
  <c r="AM70" i="10"/>
  <c r="AH14" i="10"/>
  <c r="AJ12" i="10" s="1"/>
  <c r="AM18" i="10"/>
  <c r="S90" i="10"/>
  <c r="W90" i="10"/>
  <c r="AM93" i="10"/>
  <c r="AM19" i="10"/>
  <c r="M56" i="10"/>
  <c r="AK73" i="10"/>
  <c r="AK76" i="10"/>
  <c r="AM21" i="10"/>
  <c r="L56" i="10"/>
  <c r="AK21" i="10"/>
  <c r="AG40" i="10"/>
  <c r="AG35" i="10" s="1"/>
  <c r="AM62" i="10"/>
  <c r="AL83" i="10"/>
  <c r="AM83" i="10"/>
  <c r="AK83" i="10"/>
  <c r="AL16" i="10"/>
  <c r="AM43" i="10"/>
  <c r="AL43" i="10"/>
  <c r="AK43" i="10"/>
  <c r="AM63" i="10"/>
  <c r="AK63" i="10"/>
  <c r="AL63" i="10"/>
  <c r="U84" i="10"/>
  <c r="AM96" i="10"/>
  <c r="AK96" i="10"/>
  <c r="AH50" i="10"/>
  <c r="P90" i="10"/>
  <c r="U47" i="10"/>
  <c r="R56" i="10"/>
  <c r="T83" i="10"/>
  <c r="L95" i="10"/>
  <c r="M91" i="10"/>
  <c r="S56" i="10"/>
  <c r="AL67" i="10"/>
  <c r="AK69" i="10"/>
  <c r="M95" i="10"/>
  <c r="N91" i="10"/>
  <c r="X47" i="10"/>
  <c r="AL69" i="10"/>
  <c r="N95" i="10"/>
  <c r="O91" i="10"/>
  <c r="AB42" i="10"/>
  <c r="V95" i="10"/>
  <c r="U56" i="10"/>
  <c r="O14" i="10"/>
  <c r="V91" i="10"/>
  <c r="P14" i="10"/>
  <c r="AM22" i="10"/>
  <c r="AL62" i="10"/>
  <c r="AK62" i="10"/>
  <c r="T81" i="10"/>
  <c r="R93" i="10"/>
  <c r="Q95" i="10"/>
  <c r="T98" i="10"/>
  <c r="Q14" i="10"/>
  <c r="AM29" i="10"/>
  <c r="AH45" i="10"/>
  <c r="AK60" i="10"/>
  <c r="T82" i="10"/>
  <c r="T21" i="10"/>
  <c r="I16" i="10"/>
  <c r="AL26" i="10"/>
  <c r="AD42" i="10"/>
  <c r="V52" i="10"/>
  <c r="AH53" i="10"/>
  <c r="AM26" i="10"/>
  <c r="AK44" i="10"/>
  <c r="AL44" i="10"/>
  <c r="AK10" i="10"/>
  <c r="AH38" i="10"/>
  <c r="K42" i="10"/>
  <c r="J52" i="10"/>
  <c r="T93" i="10"/>
  <c r="R14" i="10"/>
  <c r="R40" i="10"/>
  <c r="S40" i="10"/>
  <c r="U12" i="10"/>
  <c r="AM12" i="10" s="1"/>
  <c r="AM14" i="10"/>
  <c r="AK14" i="10"/>
  <c r="T63" i="10"/>
  <c r="H58" i="10"/>
  <c r="AK67" i="10"/>
  <c r="AE95" i="10"/>
  <c r="AE88" i="10" s="1"/>
  <c r="AE84" i="10" s="1"/>
  <c r="AE80" i="10" s="1"/>
  <c r="AF91" i="10"/>
  <c r="AF90" i="10" s="1"/>
  <c r="L93" i="10"/>
  <c r="K95" i="10"/>
  <c r="AH48" i="10"/>
  <c r="AM48" i="10" s="1"/>
  <c r="N47" i="10"/>
  <c r="AH58" i="10"/>
  <c r="AK59" i="10"/>
  <c r="AL59" i="10"/>
  <c r="R90" i="10"/>
  <c r="AK98" i="10"/>
  <c r="O47" i="10"/>
  <c r="AL82" i="10"/>
  <c r="AK82" i="10"/>
  <c r="AM82" i="10"/>
  <c r="AM98" i="10"/>
  <c r="T45" i="10"/>
  <c r="T54" i="10"/>
  <c r="T66" i="10"/>
  <c r="I65" i="10"/>
  <c r="AM69" i="10"/>
  <c r="O95" i="10"/>
  <c r="AL33" i="10"/>
  <c r="AL22" i="10"/>
  <c r="G42" i="10"/>
  <c r="V56" i="10"/>
  <c r="Z95" i="10"/>
  <c r="Z88" i="10" s="1"/>
  <c r="Z84" i="10" s="1"/>
  <c r="Z80" i="10" s="1"/>
  <c r="Z35" i="10" s="1"/>
  <c r="W56" i="10"/>
  <c r="AM60" i="10"/>
  <c r="N58" i="10"/>
  <c r="G80" i="10"/>
  <c r="AA95" i="10"/>
  <c r="AA88" i="10" s="1"/>
  <c r="AA84" i="10" s="1"/>
  <c r="AA80" i="10" s="1"/>
  <c r="J92" i="10"/>
  <c r="I95" i="10"/>
  <c r="AK26" i="10"/>
  <c r="AC42" i="10"/>
  <c r="AB95" i="10"/>
  <c r="AB88" i="10" s="1"/>
  <c r="AB84" i="10" s="1"/>
  <c r="AB80" i="10" s="1"/>
  <c r="T43" i="10"/>
  <c r="J42" i="10"/>
  <c r="G16" i="10"/>
  <c r="G12" i="10" s="1"/>
  <c r="G33" i="10" s="1"/>
  <c r="AE42" i="10"/>
  <c r="AE40" i="10" s="1"/>
  <c r="I52" i="10"/>
  <c r="AL12" i="10"/>
  <c r="M42" i="10"/>
  <c r="H47" i="10"/>
  <c r="T49" i="10"/>
  <c r="AM10" i="10"/>
  <c r="P47" i="10"/>
  <c r="T38" i="10"/>
  <c r="AF40" i="10"/>
  <c r="AM50" i="10"/>
  <c r="G90" i="10"/>
  <c r="G88" i="10" s="1"/>
  <c r="G84" i="10" s="1"/>
  <c r="O93" i="10"/>
  <c r="N16" i="10"/>
  <c r="T12" i="10"/>
  <c r="H14" i="10"/>
  <c r="P42" i="10"/>
  <c r="AH81" i="10"/>
  <c r="AB47" i="10"/>
  <c r="J47" i="10"/>
  <c r="AH54" i="10"/>
  <c r="O58" i="10"/>
  <c r="AB58" i="10"/>
  <c r="AB56" i="10" s="1"/>
  <c r="I58" i="10"/>
  <c r="T67" i="10"/>
  <c r="X40" i="10"/>
  <c r="P52" i="10"/>
  <c r="J58" i="10"/>
  <c r="AD58" i="10"/>
  <c r="AD56" i="10" s="1"/>
  <c r="J93" i="10"/>
  <c r="Y47" i="10"/>
  <c r="AC80" i="10"/>
  <c r="AL19" i="10"/>
  <c r="O42" i="10"/>
  <c r="AH66" i="10"/>
  <c r="T17" i="10"/>
  <c r="W65" i="10"/>
  <c r="Q42" i="10"/>
  <c r="I47" i="10"/>
  <c r="AM54" i="10"/>
  <c r="U52" i="10"/>
  <c r="J95" i="10"/>
  <c r="J14" i="10"/>
  <c r="AL17" i="10"/>
  <c r="AC47" i="10"/>
  <c r="T59" i="10"/>
  <c r="K14" i="10"/>
  <c r="AK17" i="10"/>
  <c r="AC58" i="10"/>
  <c r="AC56" i="10" s="1"/>
  <c r="P95" i="10"/>
  <c r="Q92" i="10"/>
  <c r="Q90" i="10" s="1"/>
  <c r="L14" i="10"/>
  <c r="G47" i="10"/>
  <c r="AA47" i="10"/>
  <c r="Q52" i="10"/>
  <c r="K58" i="10"/>
  <c r="AE58" i="10"/>
  <c r="AE56" i="10" s="1"/>
  <c r="K93" i="10"/>
  <c r="L47" i="10"/>
  <c r="AH49" i="10"/>
  <c r="T53" i="10"/>
  <c r="Y91" i="10"/>
  <c r="X95" i="10"/>
  <c r="H42" i="10"/>
  <c r="H90" i="10"/>
  <c r="AD47" i="10"/>
  <c r="AG65" i="10"/>
  <c r="AG56" i="10" s="1"/>
  <c r="M16" i="10"/>
  <c r="X91" i="10"/>
  <c r="W95" i="10"/>
  <c r="W88" i="10" s="1"/>
  <c r="W84" i="10" s="1"/>
  <c r="W80" i="10" s="1"/>
  <c r="AF95" i="10"/>
  <c r="AG92" i="10"/>
  <c r="AG90" i="10" s="1"/>
  <c r="AG88" i="10" s="1"/>
  <c r="AG84" i="10" s="1"/>
  <c r="AG80" i="10" s="1"/>
  <c r="V42" i="10"/>
  <c r="I42" i="10"/>
  <c r="I90" i="10"/>
  <c r="AH97" i="10"/>
  <c r="AH95" i="10" s="1"/>
  <c r="T50" i="10"/>
  <c r="P58" i="10"/>
  <c r="AF56" i="10"/>
  <c r="AM59" i="10"/>
  <c r="Q58" i="10"/>
  <c r="I14" i="10" l="1"/>
  <c r="AC40" i="10"/>
  <c r="AC35" i="10" s="1"/>
  <c r="AF88" i="10"/>
  <c r="AF84" i="10" s="1"/>
  <c r="AF80" i="10" s="1"/>
  <c r="S88" i="10"/>
  <c r="J90" i="10"/>
  <c r="J88" i="10" s="1"/>
  <c r="W35" i="10"/>
  <c r="AE35" i="10"/>
  <c r="N14" i="10"/>
  <c r="AL14" i="10"/>
  <c r="Q88" i="10"/>
  <c r="AK95" i="10"/>
  <c r="AM95" i="10"/>
  <c r="O40" i="10"/>
  <c r="Y90" i="10"/>
  <c r="Y88" i="10" s="1"/>
  <c r="Y84" i="10" s="1"/>
  <c r="Y80" i="10" s="1"/>
  <c r="I88" i="10"/>
  <c r="T52" i="10"/>
  <c r="N90" i="10"/>
  <c r="M14" i="10"/>
  <c r="AK81" i="10"/>
  <c r="AL81" i="10"/>
  <c r="AM81" i="10"/>
  <c r="AM45" i="10"/>
  <c r="AL45" i="10"/>
  <c r="AK45" i="10"/>
  <c r="N56" i="10"/>
  <c r="J40" i="10"/>
  <c r="AH52" i="10"/>
  <c r="AL53" i="10"/>
  <c r="AM53" i="10"/>
  <c r="AK53" i="10"/>
  <c r="AK58" i="10"/>
  <c r="AL58" i="10"/>
  <c r="V40" i="10"/>
  <c r="AM49" i="10"/>
  <c r="AK49" i="10"/>
  <c r="AL49" i="10"/>
  <c r="AD40" i="10"/>
  <c r="AD35" i="10" s="1"/>
  <c r="S84" i="10"/>
  <c r="Q56" i="10"/>
  <c r="H88" i="10"/>
  <c r="U40" i="10"/>
  <c r="U35" i="10" s="1"/>
  <c r="O56" i="10"/>
  <c r="AM58" i="10"/>
  <c r="M90" i="10"/>
  <c r="T58" i="10"/>
  <c r="J56" i="10"/>
  <c r="U33" i="10"/>
  <c r="K90" i="10"/>
  <c r="AA40" i="10"/>
  <c r="AA35" i="10" s="1"/>
  <c r="AK50" i="10"/>
  <c r="AL50" i="10"/>
  <c r="G40" i="10"/>
  <c r="G35" i="10" s="1"/>
  <c r="T65" i="10"/>
  <c r="AH42" i="10"/>
  <c r="L40" i="10"/>
  <c r="X90" i="10"/>
  <c r="X88" i="10" s="1"/>
  <c r="X84" i="10" s="1"/>
  <c r="X80" i="10" s="1"/>
  <c r="X35" i="10" s="1"/>
  <c r="L90" i="10"/>
  <c r="R88" i="10"/>
  <c r="AB40" i="10"/>
  <c r="AB35" i="10" s="1"/>
  <c r="K56" i="10"/>
  <c r="P40" i="10"/>
  <c r="AF35" i="10"/>
  <c r="T42" i="10"/>
  <c r="H56" i="10"/>
  <c r="O90" i="10"/>
  <c r="I40" i="10"/>
  <c r="Q40" i="10"/>
  <c r="I56" i="10"/>
  <c r="M40" i="10"/>
  <c r="V90" i="10"/>
  <c r="V88" i="10" s="1"/>
  <c r="V84" i="10" s="1"/>
  <c r="V80" i="10" s="1"/>
  <c r="AH91" i="10"/>
  <c r="U80" i="10"/>
  <c r="K40" i="10"/>
  <c r="T95" i="10"/>
  <c r="AM38" i="10"/>
  <c r="AL38" i="10"/>
  <c r="AK38" i="10"/>
  <c r="P88" i="10"/>
  <c r="Y40" i="10"/>
  <c r="Y35" i="10" s="1"/>
  <c r="T16" i="10"/>
  <c r="AK48" i="10"/>
  <c r="AL48" i="10"/>
  <c r="AH47" i="10"/>
  <c r="T33" i="10"/>
  <c r="N40" i="10"/>
  <c r="AL54" i="10"/>
  <c r="AK54" i="10"/>
  <c r="AK12" i="10"/>
  <c r="H40" i="10"/>
  <c r="P56" i="10"/>
  <c r="AL66" i="10"/>
  <c r="AK66" i="10"/>
  <c r="AH65" i="10"/>
  <c r="AM66" i="10"/>
  <c r="T47" i="10"/>
  <c r="T90" i="10"/>
  <c r="AL52" i="10" l="1"/>
  <c r="AK52" i="10"/>
  <c r="J84" i="10"/>
  <c r="T56" i="10"/>
  <c r="AL65" i="10"/>
  <c r="AM65" i="10"/>
  <c r="AK65" i="10"/>
  <c r="M88" i="10"/>
  <c r="K88" i="10"/>
  <c r="AH56" i="10"/>
  <c r="AL47" i="10"/>
  <c r="AK47" i="10"/>
  <c r="S80" i="10"/>
  <c r="AM52" i="10"/>
  <c r="AL42" i="10"/>
  <c r="AL40" i="10" s="1"/>
  <c r="AK42" i="10"/>
  <c r="AH40" i="10"/>
  <c r="AM42" i="10"/>
  <c r="N88" i="10"/>
  <c r="O88" i="10"/>
  <c r="T14" i="10"/>
  <c r="AM47" i="10"/>
  <c r="T40" i="10"/>
  <c r="R84" i="10"/>
  <c r="H84" i="10"/>
  <c r="I84" i="10"/>
  <c r="T88" i="10"/>
  <c r="AH90" i="10"/>
  <c r="AK91" i="10"/>
  <c r="AM91" i="10"/>
  <c r="AM33" i="10"/>
  <c r="AK33" i="10"/>
  <c r="P84" i="10"/>
  <c r="Q84" i="10"/>
  <c r="L88" i="10"/>
  <c r="V35" i="10"/>
  <c r="AK40" i="10" l="1"/>
  <c r="P80" i="10"/>
  <c r="I80" i="10"/>
  <c r="H80" i="10"/>
  <c r="S35" i="10"/>
  <c r="M84" i="10"/>
  <c r="R80" i="10"/>
  <c r="L84" i="10"/>
  <c r="J80" i="10"/>
  <c r="O84" i="10"/>
  <c r="N84" i="10"/>
  <c r="Q80" i="10"/>
  <c r="AK90" i="10"/>
  <c r="AH88" i="10"/>
  <c r="AM90" i="10"/>
  <c r="AM40" i="10"/>
  <c r="AK56" i="10"/>
  <c r="AL56" i="10"/>
  <c r="AM56" i="10"/>
  <c r="T84" i="10"/>
  <c r="K84" i="10"/>
  <c r="Q35" i="10" l="1"/>
  <c r="K80" i="10"/>
  <c r="N80" i="10"/>
  <c r="M80" i="10"/>
  <c r="O80" i="10"/>
  <c r="T80" i="10"/>
  <c r="J35" i="10"/>
  <c r="H35" i="10"/>
  <c r="I35" i="10"/>
  <c r="P35" i="10"/>
  <c r="AL88" i="10"/>
  <c r="AK88" i="10"/>
  <c r="AH84" i="10"/>
  <c r="AM88" i="10"/>
  <c r="L80" i="10"/>
  <c r="R35" i="10"/>
  <c r="T35" i="10" l="1"/>
  <c r="L35" i="10"/>
  <c r="AL84" i="10"/>
  <c r="AK84" i="10"/>
  <c r="AH80" i="10"/>
  <c r="AM84" i="10"/>
  <c r="O35" i="10"/>
  <c r="M35" i="10"/>
  <c r="N35" i="10"/>
  <c r="K35" i="10"/>
  <c r="AL80" i="10" l="1"/>
  <c r="AK80" i="10"/>
  <c r="AM80" i="10"/>
  <c r="AH35" i="10"/>
  <c r="AL35" i="10" l="1"/>
  <c r="AK35" i="10"/>
  <c r="AM35" i="10"/>
  <c r="BT78" i="9" l="1"/>
  <c r="BS78" i="9"/>
  <c r="BR78" i="9"/>
  <c r="BQ78" i="9"/>
  <c r="BO78" i="9"/>
  <c r="BN78" i="9"/>
  <c r="BM78" i="9"/>
  <c r="BL78" i="9"/>
  <c r="BJ78" i="9"/>
  <c r="BI78" i="9"/>
  <c r="BH78" i="9"/>
  <c r="BG78" i="9"/>
  <c r="BE78" i="9"/>
  <c r="BD78" i="9"/>
  <c r="BC78" i="9"/>
  <c r="BB78" i="9"/>
  <c r="AZ78" i="9"/>
  <c r="AY78" i="9"/>
  <c r="AX78" i="9"/>
  <c r="AW78" i="9"/>
  <c r="AU78" i="9"/>
  <c r="AT78" i="9"/>
  <c r="AS78" i="9"/>
  <c r="AR78" i="9"/>
  <c r="AP78" i="9"/>
  <c r="AO78" i="9"/>
  <c r="AN78" i="9"/>
  <c r="AM78" i="9"/>
  <c r="AK78" i="9"/>
  <c r="AJ78" i="9"/>
  <c r="AI78" i="9"/>
  <c r="AH78" i="9"/>
  <c r="AF78" i="9"/>
  <c r="AE78" i="9"/>
  <c r="AD78" i="9"/>
  <c r="AC78" i="9"/>
  <c r="AA78" i="9"/>
  <c r="Z78" i="9"/>
  <c r="Y78" i="9"/>
  <c r="X78" i="9"/>
  <c r="V78" i="9"/>
  <c r="U78" i="9"/>
  <c r="T78" i="9"/>
  <c r="S78" i="9"/>
  <c r="Q78" i="9"/>
  <c r="P78" i="9"/>
  <c r="O78" i="9"/>
  <c r="N78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U76" i="9"/>
  <c r="AT76" i="9"/>
  <c r="AS76" i="9"/>
  <c r="AR76" i="9"/>
  <c r="AP76" i="9"/>
  <c r="AO76" i="9"/>
  <c r="AN76" i="9"/>
  <c r="AM76" i="9"/>
  <c r="AL76" i="9"/>
  <c r="AK76" i="9"/>
  <c r="AJ76" i="9"/>
  <c r="AI76" i="9"/>
  <c r="AH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Q76" i="9"/>
  <c r="P76" i="9"/>
  <c r="O76" i="9"/>
  <c r="N76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T70" i="9"/>
  <c r="BS70" i="9"/>
  <c r="BR70" i="9"/>
  <c r="BQ70" i="9"/>
  <c r="BO70" i="9"/>
  <c r="BN70" i="9"/>
  <c r="BM70" i="9"/>
  <c r="BL70" i="9"/>
  <c r="BJ70" i="9"/>
  <c r="BI70" i="9"/>
  <c r="BH70" i="9"/>
  <c r="BG70" i="9"/>
  <c r="BE70" i="9"/>
  <c r="BD70" i="9"/>
  <c r="BC70" i="9"/>
  <c r="BB70" i="9"/>
  <c r="AZ70" i="9"/>
  <c r="AY70" i="9"/>
  <c r="AX70" i="9"/>
  <c r="AW70" i="9"/>
  <c r="AU70" i="9"/>
  <c r="AT70" i="9"/>
  <c r="AS70" i="9"/>
  <c r="AR70" i="9"/>
  <c r="AQ70" i="9"/>
  <c r="AP70" i="9"/>
  <c r="AO70" i="9"/>
  <c r="AN70" i="9"/>
  <c r="AM70" i="9"/>
  <c r="AK70" i="9"/>
  <c r="AJ70" i="9"/>
  <c r="AI70" i="9"/>
  <c r="AH70" i="9"/>
  <c r="AF70" i="9"/>
  <c r="AE70" i="9"/>
  <c r="AD70" i="9"/>
  <c r="AC70" i="9"/>
  <c r="AA70" i="9"/>
  <c r="Z70" i="9"/>
  <c r="Y70" i="9"/>
  <c r="X70" i="9"/>
  <c r="W70" i="9"/>
  <c r="V70" i="9"/>
  <c r="U70" i="9"/>
  <c r="T70" i="9"/>
  <c r="S70" i="9"/>
  <c r="Q70" i="9"/>
  <c r="P70" i="9"/>
  <c r="O70" i="9"/>
  <c r="N70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BH68" i="9"/>
  <c r="BG68" i="9"/>
  <c r="BF68" i="9"/>
  <c r="BE68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T65" i="9"/>
  <c r="BS65" i="9"/>
  <c r="BR65" i="9"/>
  <c r="BQ65" i="9"/>
  <c r="BO65" i="9"/>
  <c r="BN65" i="9"/>
  <c r="BM65" i="9"/>
  <c r="BL65" i="9"/>
  <c r="BJ65" i="9"/>
  <c r="BI65" i="9"/>
  <c r="BH65" i="9"/>
  <c r="BG65" i="9"/>
  <c r="BF65" i="9"/>
  <c r="BE65" i="9"/>
  <c r="BD65" i="9"/>
  <c r="BC65" i="9"/>
  <c r="BB65" i="9"/>
  <c r="AZ65" i="9"/>
  <c r="AY65" i="9"/>
  <c r="AX65" i="9"/>
  <c r="AW65" i="9"/>
  <c r="AU65" i="9"/>
  <c r="AT65" i="9"/>
  <c r="AS65" i="9"/>
  <c r="AR65" i="9"/>
  <c r="AP65" i="9"/>
  <c r="AO65" i="9"/>
  <c r="AN65" i="9"/>
  <c r="AM65" i="9"/>
  <c r="AK65" i="9"/>
  <c r="AJ65" i="9"/>
  <c r="AI65" i="9"/>
  <c r="AH65" i="9"/>
  <c r="AF65" i="9"/>
  <c r="AE65" i="9"/>
  <c r="AD65" i="9"/>
  <c r="AC65" i="9"/>
  <c r="AA65" i="9"/>
  <c r="Z65" i="9"/>
  <c r="Y65" i="9"/>
  <c r="X65" i="9"/>
  <c r="V65" i="9"/>
  <c r="U65" i="9"/>
  <c r="T65" i="9"/>
  <c r="S65" i="9"/>
  <c r="Q65" i="9"/>
  <c r="P65" i="9"/>
  <c r="O65" i="9"/>
  <c r="N65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T55" i="9"/>
  <c r="BS55" i="9"/>
  <c r="BR55" i="9"/>
  <c r="BQ55" i="9"/>
  <c r="BO55" i="9"/>
  <c r="BN55" i="9"/>
  <c r="BM55" i="9"/>
  <c r="BL55" i="9"/>
  <c r="BJ55" i="9"/>
  <c r="BI55" i="9"/>
  <c r="BH55" i="9"/>
  <c r="BG55" i="9"/>
  <c r="BF55" i="9"/>
  <c r="BE55" i="9"/>
  <c r="BD55" i="9"/>
  <c r="BC55" i="9"/>
  <c r="BB55" i="9"/>
  <c r="AZ55" i="9"/>
  <c r="AY55" i="9"/>
  <c r="AX55" i="9"/>
  <c r="AW55" i="9"/>
  <c r="AU55" i="9"/>
  <c r="AT55" i="9"/>
  <c r="AS55" i="9"/>
  <c r="AR55" i="9"/>
  <c r="AQ55" i="9"/>
  <c r="AP55" i="9"/>
  <c r="AO55" i="9"/>
  <c r="AN55" i="9"/>
  <c r="AM55" i="9"/>
  <c r="AK55" i="9"/>
  <c r="AJ55" i="9"/>
  <c r="AI55" i="9"/>
  <c r="AH55" i="9"/>
  <c r="AF55" i="9"/>
  <c r="AE55" i="9"/>
  <c r="AD55" i="9"/>
  <c r="AC55" i="9"/>
  <c r="AA55" i="9"/>
  <c r="Z55" i="9"/>
  <c r="Y55" i="9"/>
  <c r="X55" i="9"/>
  <c r="W55" i="9"/>
  <c r="V55" i="9"/>
  <c r="U55" i="9"/>
  <c r="T55" i="9"/>
  <c r="S55" i="9"/>
  <c r="Q55" i="9"/>
  <c r="P55" i="9"/>
  <c r="O55" i="9"/>
  <c r="N55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K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M53" i="9"/>
  <c r="BT52" i="9"/>
  <c r="BS52" i="9"/>
  <c r="BR52" i="9"/>
  <c r="BQ52" i="9"/>
  <c r="BO52" i="9"/>
  <c r="BN52" i="9"/>
  <c r="BM52" i="9"/>
  <c r="BL52" i="9"/>
  <c r="BJ52" i="9"/>
  <c r="BI52" i="9"/>
  <c r="BH52" i="9"/>
  <c r="BG52" i="9"/>
  <c r="BE52" i="9"/>
  <c r="BD52" i="9"/>
  <c r="BC52" i="9"/>
  <c r="BB52" i="9"/>
  <c r="AZ52" i="9"/>
  <c r="AY52" i="9"/>
  <c r="AX52" i="9"/>
  <c r="AW52" i="9"/>
  <c r="AU52" i="9"/>
  <c r="AT52" i="9"/>
  <c r="AS52" i="9"/>
  <c r="AR52" i="9"/>
  <c r="AP52" i="9"/>
  <c r="AO52" i="9"/>
  <c r="AN52" i="9"/>
  <c r="AM52" i="9"/>
  <c r="AK52" i="9"/>
  <c r="AJ52" i="9"/>
  <c r="AI52" i="9"/>
  <c r="AH52" i="9"/>
  <c r="AF52" i="9"/>
  <c r="AE52" i="9"/>
  <c r="AD52" i="9"/>
  <c r="AC52" i="9"/>
  <c r="AA52" i="9"/>
  <c r="Z52" i="9"/>
  <c r="Y52" i="9"/>
  <c r="X52" i="9"/>
  <c r="V52" i="9"/>
  <c r="U52" i="9"/>
  <c r="T52" i="9"/>
  <c r="S52" i="9"/>
  <c r="R52" i="9"/>
  <c r="Q52" i="9"/>
  <c r="P52" i="9"/>
  <c r="O52" i="9"/>
  <c r="N52" i="9"/>
  <c r="M52" i="9"/>
  <c r="CO51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CJ49" i="9"/>
  <c r="CO48" i="9"/>
  <c r="CO49" i="9" s="1"/>
  <c r="DX35" i="9"/>
  <c r="DS35" i="9"/>
  <c r="DN35" i="9"/>
  <c r="DI35" i="9"/>
  <c r="DD35" i="9"/>
  <c r="CY35" i="9"/>
  <c r="CT35" i="9"/>
  <c r="CO35" i="9"/>
  <c r="CJ35" i="9"/>
  <c r="CE35" i="9"/>
  <c r="M76" i="9" s="1"/>
  <c r="BZ35" i="9"/>
  <c r="BU35" i="9"/>
  <c r="BF35" i="9"/>
  <c r="BA35" i="9"/>
  <c r="AV35" i="9"/>
  <c r="AV76" i="9" s="1"/>
  <c r="AQ35" i="9"/>
  <c r="AQ76" i="9" s="1"/>
  <c r="AL35" i="9"/>
  <c r="AG35" i="9"/>
  <c r="AG76" i="9" s="1"/>
  <c r="AB35" i="9"/>
  <c r="W35" i="9"/>
  <c r="R35" i="9"/>
  <c r="R76" i="9" s="1"/>
  <c r="M35" i="9"/>
  <c r="EM33" i="9"/>
  <c r="BU33" i="9"/>
  <c r="BU71" i="9" s="1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P32" i="9"/>
  <c r="BP70" i="9" s="1"/>
  <c r="BK32" i="9"/>
  <c r="BK70" i="9" s="1"/>
  <c r="BF32" i="9"/>
  <c r="BA32" i="9"/>
  <c r="BA70" i="9" s="1"/>
  <c r="AV32" i="9"/>
  <c r="AV70" i="9" s="1"/>
  <c r="AQ32" i="9"/>
  <c r="AL32" i="9"/>
  <c r="AL70" i="9" s="1"/>
  <c r="AG32" i="9"/>
  <c r="AB32" i="9"/>
  <c r="W32" i="9"/>
  <c r="R32" i="9"/>
  <c r="R70" i="9" s="1"/>
  <c r="M32" i="9"/>
  <c r="H32" i="9"/>
  <c r="EM30" i="9"/>
  <c r="EM29" i="9" s="1"/>
  <c r="BU65" i="9" s="1"/>
  <c r="BU30" i="9"/>
  <c r="BU29" i="9" s="1"/>
  <c r="H30" i="9"/>
  <c r="EH29" i="9"/>
  <c r="EC29" i="9"/>
  <c r="DX29" i="9"/>
  <c r="DS29" i="9"/>
  <c r="DN29" i="9"/>
  <c r="DI29" i="9"/>
  <c r="DD29" i="9"/>
  <c r="AL65" i="9" s="1"/>
  <c r="CY29" i="9"/>
  <c r="CT29" i="9"/>
  <c r="CO29" i="9"/>
  <c r="CJ29" i="9"/>
  <c r="CE29" i="9"/>
  <c r="BZ29" i="9"/>
  <c r="BP29" i="9"/>
  <c r="BP65" i="9" s="1"/>
  <c r="BK29" i="9"/>
  <c r="BF29" i="9"/>
  <c r="BA29" i="9"/>
  <c r="BA65" i="9" s="1"/>
  <c r="AV29" i="9"/>
  <c r="AV65" i="9" s="1"/>
  <c r="AQ29" i="9"/>
  <c r="AL29" i="9"/>
  <c r="AG29" i="9"/>
  <c r="AB29" i="9"/>
  <c r="W29" i="9"/>
  <c r="W65" i="9" s="1"/>
  <c r="R29" i="9"/>
  <c r="M29" i="9"/>
  <c r="H29" i="9"/>
  <c r="EM27" i="9"/>
  <c r="BU27" i="9"/>
  <c r="BU63" i="9" s="1"/>
  <c r="EM25" i="9"/>
  <c r="BU25" i="9"/>
  <c r="BU61" i="9" s="1"/>
  <c r="EM21" i="9"/>
  <c r="BU21" i="9"/>
  <c r="EM20" i="9"/>
  <c r="BU20" i="9"/>
  <c r="EM19" i="9"/>
  <c r="BU19" i="9"/>
  <c r="BU56" i="9" s="1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P18" i="9"/>
  <c r="BK18" i="9"/>
  <c r="BF18" i="9"/>
  <c r="BA18" i="9"/>
  <c r="AV18" i="9"/>
  <c r="AQ18" i="9"/>
  <c r="AL18" i="9"/>
  <c r="AG18" i="9"/>
  <c r="AG55" i="9" s="1"/>
  <c r="AB18" i="9"/>
  <c r="AB55" i="9" s="1"/>
  <c r="W18" i="9"/>
  <c r="R18" i="9"/>
  <c r="R55" i="9" s="1"/>
  <c r="M18" i="9"/>
  <c r="M55" i="9" s="1"/>
  <c r="H18" i="9"/>
  <c r="EM16" i="9"/>
  <c r="BU53" i="9" s="1"/>
  <c r="EH16" i="9"/>
  <c r="BP53" i="9" s="1"/>
  <c r="EC16" i="9"/>
  <c r="DX16" i="9"/>
  <c r="DS16" i="9"/>
  <c r="DN16" i="9"/>
  <c r="DI16" i="9"/>
  <c r="DD16" i="9"/>
  <c r="CY16" i="9"/>
  <c r="CT16" i="9"/>
  <c r="CO16" i="9"/>
  <c r="CJ16" i="9"/>
  <c r="BU16" i="9"/>
  <c r="BP16" i="9"/>
  <c r="BK16" i="9"/>
  <c r="BF16" i="9"/>
  <c r="BA16" i="9"/>
  <c r="BA53" i="9" s="1"/>
  <c r="AV16" i="9"/>
  <c r="AV53" i="9" s="1"/>
  <c r="AQ16" i="9"/>
  <c r="AL16" i="9"/>
  <c r="AG16" i="9"/>
  <c r="AG53" i="9" s="1"/>
  <c r="AB16" i="9"/>
  <c r="AB53" i="9" s="1"/>
  <c r="W16" i="9"/>
  <c r="R16" i="9"/>
  <c r="R53" i="9" s="1"/>
  <c r="EM15" i="9"/>
  <c r="EC15" i="9"/>
  <c r="DX15" i="9"/>
  <c r="DS15" i="9"/>
  <c r="DN15" i="9"/>
  <c r="DI15" i="9"/>
  <c r="DI13" i="9" s="1"/>
  <c r="DI12" i="9" s="1"/>
  <c r="DD15" i="9"/>
  <c r="CY15" i="9"/>
  <c r="CT15" i="9"/>
  <c r="CO15" i="9"/>
  <c r="CO13" i="9" s="1"/>
  <c r="CJ15" i="9"/>
  <c r="CJ13" i="9" s="1"/>
  <c r="CJ12" i="9" s="1"/>
  <c r="CJ37" i="9" s="1"/>
  <c r="BU15" i="9"/>
  <c r="BP15" i="9"/>
  <c r="BK15" i="9"/>
  <c r="BF15" i="9"/>
  <c r="BA15" i="9"/>
  <c r="AV15" i="9"/>
  <c r="AQ15" i="9"/>
  <c r="AL15" i="9"/>
  <c r="AG15" i="9"/>
  <c r="AB15" i="9"/>
  <c r="W15" i="9"/>
  <c r="R15" i="9"/>
  <c r="EM14" i="9"/>
  <c r="EH14" i="9"/>
  <c r="EC14" i="9"/>
  <c r="DX14" i="9"/>
  <c r="DS14" i="9"/>
  <c r="DN14" i="9"/>
  <c r="DN13" i="9" s="1"/>
  <c r="DI14" i="9"/>
  <c r="DD14" i="9"/>
  <c r="DD13" i="9" s="1"/>
  <c r="DD12" i="9" s="1"/>
  <c r="DD37" i="9" s="1"/>
  <c r="CY14" i="9"/>
  <c r="CT14" i="9"/>
  <c r="CT13" i="9" s="1"/>
  <c r="CT12" i="9" s="1"/>
  <c r="CT37" i="9" s="1"/>
  <c r="CO14" i="9"/>
  <c r="CJ14" i="9"/>
  <c r="BU14" i="9"/>
  <c r="BP14" i="9"/>
  <c r="BK14" i="9"/>
  <c r="BF14" i="9"/>
  <c r="BA14" i="9"/>
  <c r="AV14" i="9"/>
  <c r="AQ14" i="9"/>
  <c r="AL14" i="9"/>
  <c r="AL52" i="9" s="1"/>
  <c r="AG14" i="9"/>
  <c r="AG52" i="9" s="1"/>
  <c r="AB14" i="9"/>
  <c r="AB52" i="9" s="1"/>
  <c r="W14" i="9"/>
  <c r="W52" i="9" s="1"/>
  <c r="R14" i="9"/>
  <c r="CY13" i="9"/>
  <c r="CE13" i="9"/>
  <c r="BZ13" i="9"/>
  <c r="M13" i="9"/>
  <c r="H13" i="9"/>
  <c r="H12" i="9" s="1"/>
  <c r="H37" i="9" s="1"/>
  <c r="BZ12" i="9"/>
  <c r="BZ37" i="9" s="1"/>
  <c r="BZ9" i="9"/>
  <c r="H9" i="9"/>
  <c r="BZ8" i="9"/>
  <c r="H8" i="9"/>
  <c r="BO371" i="8"/>
  <c r="BN371" i="8"/>
  <c r="BM371" i="8"/>
  <c r="BL371" i="8"/>
  <c r="BK371" i="8"/>
  <c r="BJ371" i="8"/>
  <c r="BI371" i="8"/>
  <c r="BH371" i="8"/>
  <c r="BG371" i="8"/>
  <c r="BF371" i="8"/>
  <c r="BE371" i="8"/>
  <c r="BD371" i="8"/>
  <c r="BC371" i="8"/>
  <c r="BB371" i="8"/>
  <c r="BA371" i="8"/>
  <c r="AZ371" i="8"/>
  <c r="AY371" i="8"/>
  <c r="AX371" i="8"/>
  <c r="AW371" i="8"/>
  <c r="AV371" i="8"/>
  <c r="AU371" i="8"/>
  <c r="AT371" i="8"/>
  <c r="AS371" i="8"/>
  <c r="AR371" i="8"/>
  <c r="AQ371" i="8"/>
  <c r="AP371" i="8"/>
  <c r="AO371" i="8"/>
  <c r="AN371" i="8"/>
  <c r="AM371" i="8"/>
  <c r="AL371" i="8"/>
  <c r="AK371" i="8"/>
  <c r="AJ371" i="8"/>
  <c r="AI371" i="8"/>
  <c r="AH371" i="8"/>
  <c r="AG371" i="8"/>
  <c r="AF371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CA366" i="8"/>
  <c r="BZ366" i="8"/>
  <c r="BX366" i="8"/>
  <c r="BW366" i="8"/>
  <c r="BV366" i="8"/>
  <c r="BU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CA365" i="8"/>
  <c r="BZ365" i="8"/>
  <c r="BX365" i="8"/>
  <c r="BW365" i="8"/>
  <c r="BV365" i="8"/>
  <c r="BU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CA364" i="8"/>
  <c r="BZ364" i="8"/>
  <c r="BX364" i="8"/>
  <c r="BW364" i="8"/>
  <c r="BV364" i="8"/>
  <c r="BU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CA363" i="8"/>
  <c r="BX363" i="8"/>
  <c r="BW363" i="8"/>
  <c r="BV363" i="8"/>
  <c r="BU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CA362" i="8"/>
  <c r="BX362" i="8"/>
  <c r="BW362" i="8"/>
  <c r="BV362" i="8"/>
  <c r="BU362" i="8"/>
  <c r="BN362" i="8"/>
  <c r="BM362" i="8"/>
  <c r="BL362" i="8"/>
  <c r="BK362" i="8"/>
  <c r="BI362" i="8"/>
  <c r="BH362" i="8"/>
  <c r="BG362" i="8"/>
  <c r="BF362" i="8"/>
  <c r="BD362" i="8"/>
  <c r="BC362" i="8"/>
  <c r="BB362" i="8"/>
  <c r="BA362" i="8"/>
  <c r="AY362" i="8"/>
  <c r="AX362" i="8"/>
  <c r="AW362" i="8"/>
  <c r="AV362" i="8"/>
  <c r="AT362" i="8"/>
  <c r="AS362" i="8"/>
  <c r="AR362" i="8"/>
  <c r="AQ362" i="8"/>
  <c r="AO362" i="8"/>
  <c r="AN362" i="8"/>
  <c r="AM362" i="8"/>
  <c r="AL362" i="8"/>
  <c r="AJ362" i="8"/>
  <c r="AI362" i="8"/>
  <c r="AH362" i="8"/>
  <c r="AG362" i="8"/>
  <c r="AE362" i="8"/>
  <c r="AD362" i="8"/>
  <c r="AC362" i="8"/>
  <c r="AB362" i="8"/>
  <c r="Z362" i="8"/>
  <c r="Y362" i="8"/>
  <c r="X362" i="8"/>
  <c r="W362" i="8"/>
  <c r="U362" i="8"/>
  <c r="T362" i="8"/>
  <c r="S362" i="8"/>
  <c r="R362" i="8"/>
  <c r="P362" i="8"/>
  <c r="O362" i="8"/>
  <c r="N362" i="8"/>
  <c r="M362" i="8"/>
  <c r="CA361" i="8"/>
  <c r="BX361" i="8"/>
  <c r="BW361" i="8"/>
  <c r="BV361" i="8"/>
  <c r="BU361" i="8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CA360" i="8"/>
  <c r="BX360" i="8"/>
  <c r="BW360" i="8"/>
  <c r="BV360" i="8"/>
  <c r="BU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CA359" i="8"/>
  <c r="BX359" i="8"/>
  <c r="BW359" i="8"/>
  <c r="BV359" i="8"/>
  <c r="BU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CA358" i="8"/>
  <c r="BX358" i="8"/>
  <c r="BW358" i="8"/>
  <c r="BV358" i="8"/>
  <c r="BU358" i="8"/>
  <c r="BN358" i="8"/>
  <c r="BM358" i="8"/>
  <c r="BL358" i="8"/>
  <c r="BK358" i="8"/>
  <c r="BI358" i="8"/>
  <c r="BH358" i="8"/>
  <c r="BG358" i="8"/>
  <c r="BF358" i="8"/>
  <c r="BD358" i="8"/>
  <c r="BC358" i="8"/>
  <c r="BB358" i="8"/>
  <c r="BA358" i="8"/>
  <c r="AY358" i="8"/>
  <c r="AX358" i="8"/>
  <c r="AW358" i="8"/>
  <c r="AV358" i="8"/>
  <c r="AT358" i="8"/>
  <c r="AS358" i="8"/>
  <c r="AR358" i="8"/>
  <c r="AQ358" i="8"/>
  <c r="AO358" i="8"/>
  <c r="AN358" i="8"/>
  <c r="AM358" i="8"/>
  <c r="AL358" i="8"/>
  <c r="AJ358" i="8"/>
  <c r="AI358" i="8"/>
  <c r="AH358" i="8"/>
  <c r="AG358" i="8"/>
  <c r="AE358" i="8"/>
  <c r="AD358" i="8"/>
  <c r="AC358" i="8"/>
  <c r="AB358" i="8"/>
  <c r="Z358" i="8"/>
  <c r="Y358" i="8"/>
  <c r="X358" i="8"/>
  <c r="W358" i="8"/>
  <c r="U358" i="8"/>
  <c r="T358" i="8"/>
  <c r="S358" i="8"/>
  <c r="R358" i="8"/>
  <c r="P358" i="8"/>
  <c r="O358" i="8"/>
  <c r="N358" i="8"/>
  <c r="M358" i="8"/>
  <c r="CA357" i="8"/>
  <c r="BX357" i="8"/>
  <c r="BW357" i="8"/>
  <c r="BV357" i="8"/>
  <c r="BU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CA356" i="8"/>
  <c r="BX356" i="8"/>
  <c r="BW356" i="8"/>
  <c r="BV356" i="8"/>
  <c r="BU356" i="8"/>
  <c r="BO356" i="8"/>
  <c r="BN356" i="8"/>
  <c r="BM356" i="8"/>
  <c r="BL356" i="8"/>
  <c r="BK356" i="8"/>
  <c r="BJ356" i="8"/>
  <c r="BI356" i="8"/>
  <c r="BH356" i="8"/>
  <c r="BG356" i="8"/>
  <c r="BF356" i="8"/>
  <c r="BE356" i="8"/>
  <c r="BD356" i="8"/>
  <c r="BC356" i="8"/>
  <c r="BB356" i="8"/>
  <c r="BA356" i="8"/>
  <c r="AZ356" i="8"/>
  <c r="AY356" i="8"/>
  <c r="AX356" i="8"/>
  <c r="AW356" i="8"/>
  <c r="AV356" i="8"/>
  <c r="AU356" i="8"/>
  <c r="AT356" i="8"/>
  <c r="AS356" i="8"/>
  <c r="AR356" i="8"/>
  <c r="AQ356" i="8"/>
  <c r="AP356" i="8"/>
  <c r="AO356" i="8"/>
  <c r="AN356" i="8"/>
  <c r="AM356" i="8"/>
  <c r="AL356" i="8"/>
  <c r="AK356" i="8"/>
  <c r="AJ356" i="8"/>
  <c r="AI356" i="8"/>
  <c r="AH356" i="8"/>
  <c r="AG356" i="8"/>
  <c r="AF356" i="8"/>
  <c r="AE356" i="8"/>
  <c r="AD356" i="8"/>
  <c r="AC356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CA355" i="8"/>
  <c r="BX355" i="8"/>
  <c r="BW355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CA354" i="8"/>
  <c r="BX354" i="8"/>
  <c r="BW354" i="8"/>
  <c r="BV354" i="8"/>
  <c r="BU354" i="8"/>
  <c r="BN354" i="8"/>
  <c r="BM354" i="8"/>
  <c r="BL354" i="8"/>
  <c r="BK354" i="8"/>
  <c r="BI354" i="8"/>
  <c r="BH354" i="8"/>
  <c r="BG354" i="8"/>
  <c r="BF354" i="8"/>
  <c r="BD354" i="8"/>
  <c r="BC354" i="8"/>
  <c r="BB354" i="8"/>
  <c r="BA354" i="8"/>
  <c r="AY354" i="8"/>
  <c r="AX354" i="8"/>
  <c r="AW354" i="8"/>
  <c r="AV354" i="8"/>
  <c r="AT354" i="8"/>
  <c r="AS354" i="8"/>
  <c r="AR354" i="8"/>
  <c r="AQ354" i="8"/>
  <c r="AO354" i="8"/>
  <c r="AN354" i="8"/>
  <c r="AM354" i="8"/>
  <c r="AL354" i="8"/>
  <c r="AJ354" i="8"/>
  <c r="AI354" i="8"/>
  <c r="AH354" i="8"/>
  <c r="AG354" i="8"/>
  <c r="AE354" i="8"/>
  <c r="AD354" i="8"/>
  <c r="AC354" i="8"/>
  <c r="AB354" i="8"/>
  <c r="Z354" i="8"/>
  <c r="Y354" i="8"/>
  <c r="X354" i="8"/>
  <c r="W354" i="8"/>
  <c r="U354" i="8"/>
  <c r="T354" i="8"/>
  <c r="S354" i="8"/>
  <c r="R354" i="8"/>
  <c r="P354" i="8"/>
  <c r="O354" i="8"/>
  <c r="N354" i="8"/>
  <c r="M354" i="8"/>
  <c r="CA353" i="8"/>
  <c r="BX353" i="8"/>
  <c r="BW353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CA352" i="8"/>
  <c r="BX352" i="8"/>
  <c r="BW352" i="8"/>
  <c r="BV352" i="8"/>
  <c r="BU352" i="8"/>
  <c r="BN352" i="8"/>
  <c r="BM352" i="8"/>
  <c r="BL352" i="8"/>
  <c r="BK352" i="8"/>
  <c r="BI352" i="8"/>
  <c r="BH352" i="8"/>
  <c r="BG352" i="8"/>
  <c r="BF352" i="8"/>
  <c r="BD352" i="8"/>
  <c r="BC352" i="8"/>
  <c r="BB352" i="8"/>
  <c r="BA352" i="8"/>
  <c r="AY352" i="8"/>
  <c r="AX352" i="8"/>
  <c r="AW352" i="8"/>
  <c r="AV352" i="8"/>
  <c r="AT352" i="8"/>
  <c r="AS352" i="8"/>
  <c r="AR352" i="8"/>
  <c r="AQ352" i="8"/>
  <c r="AO352" i="8"/>
  <c r="AN352" i="8"/>
  <c r="AM352" i="8"/>
  <c r="AL352" i="8"/>
  <c r="AJ352" i="8"/>
  <c r="AI352" i="8"/>
  <c r="AH352" i="8"/>
  <c r="AG352" i="8"/>
  <c r="AE352" i="8"/>
  <c r="AD352" i="8"/>
  <c r="AC352" i="8"/>
  <c r="AB352" i="8"/>
  <c r="Z352" i="8"/>
  <c r="Y352" i="8"/>
  <c r="X352" i="8"/>
  <c r="W352" i="8"/>
  <c r="U352" i="8"/>
  <c r="T352" i="8"/>
  <c r="S352" i="8"/>
  <c r="R352" i="8"/>
  <c r="P352" i="8"/>
  <c r="O352" i="8"/>
  <c r="N352" i="8"/>
  <c r="M352" i="8"/>
  <c r="CA351" i="8"/>
  <c r="BX351" i="8"/>
  <c r="BW351" i="8"/>
  <c r="BV351" i="8"/>
  <c r="BU351" i="8"/>
  <c r="BN351" i="8"/>
  <c r="BM351" i="8"/>
  <c r="BL351" i="8"/>
  <c r="BK351" i="8"/>
  <c r="BI351" i="8"/>
  <c r="BH351" i="8"/>
  <c r="BG351" i="8"/>
  <c r="BF351" i="8"/>
  <c r="BD351" i="8"/>
  <c r="BC351" i="8"/>
  <c r="BB351" i="8"/>
  <c r="BA351" i="8"/>
  <c r="AY351" i="8"/>
  <c r="AX351" i="8"/>
  <c r="AW351" i="8"/>
  <c r="AV351" i="8"/>
  <c r="AT351" i="8"/>
  <c r="AS351" i="8"/>
  <c r="AR351" i="8"/>
  <c r="AQ351" i="8"/>
  <c r="AO351" i="8"/>
  <c r="AN351" i="8"/>
  <c r="AM351" i="8"/>
  <c r="AL351" i="8"/>
  <c r="AJ351" i="8"/>
  <c r="AI351" i="8"/>
  <c r="AH351" i="8"/>
  <c r="AG351" i="8"/>
  <c r="AE351" i="8"/>
  <c r="AD351" i="8"/>
  <c r="AC351" i="8"/>
  <c r="AB351" i="8"/>
  <c r="Z351" i="8"/>
  <c r="Y351" i="8"/>
  <c r="X351" i="8"/>
  <c r="W351" i="8"/>
  <c r="U351" i="8"/>
  <c r="T351" i="8"/>
  <c r="S351" i="8"/>
  <c r="R351" i="8"/>
  <c r="P351" i="8"/>
  <c r="O351" i="8"/>
  <c r="N351" i="8"/>
  <c r="M351" i="8"/>
  <c r="CA350" i="8"/>
  <c r="BX350" i="8"/>
  <c r="BW350" i="8"/>
  <c r="BV350" i="8"/>
  <c r="BU350" i="8"/>
  <c r="BN350" i="8"/>
  <c r="BM350" i="8"/>
  <c r="BL350" i="8"/>
  <c r="BK350" i="8"/>
  <c r="BI350" i="8"/>
  <c r="BH350" i="8"/>
  <c r="BG350" i="8"/>
  <c r="BF350" i="8"/>
  <c r="BD350" i="8"/>
  <c r="BC350" i="8"/>
  <c r="BB350" i="8"/>
  <c r="BA350" i="8"/>
  <c r="AY350" i="8"/>
  <c r="AX350" i="8"/>
  <c r="AW350" i="8"/>
  <c r="AV350" i="8"/>
  <c r="AT350" i="8"/>
  <c r="AS350" i="8"/>
  <c r="AR350" i="8"/>
  <c r="AQ350" i="8"/>
  <c r="AO350" i="8"/>
  <c r="AN350" i="8"/>
  <c r="AM350" i="8"/>
  <c r="AL350" i="8"/>
  <c r="AJ350" i="8"/>
  <c r="AI350" i="8"/>
  <c r="AH350" i="8"/>
  <c r="AG350" i="8"/>
  <c r="AE350" i="8"/>
  <c r="AD350" i="8"/>
  <c r="AC350" i="8"/>
  <c r="AB350" i="8"/>
  <c r="Z350" i="8"/>
  <c r="Y350" i="8"/>
  <c r="X350" i="8"/>
  <c r="W350" i="8"/>
  <c r="U350" i="8"/>
  <c r="T350" i="8"/>
  <c r="S350" i="8"/>
  <c r="R350" i="8"/>
  <c r="P350" i="8"/>
  <c r="O350" i="8"/>
  <c r="N350" i="8"/>
  <c r="M350" i="8"/>
  <c r="CA349" i="8"/>
  <c r="BX349" i="8"/>
  <c r="BW349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CA348" i="8"/>
  <c r="BX348" i="8"/>
  <c r="BW348" i="8"/>
  <c r="BV348" i="8"/>
  <c r="BU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CA347" i="8"/>
  <c r="BX347" i="8"/>
  <c r="BW347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CA346" i="8"/>
  <c r="BX346" i="8"/>
  <c r="BW346" i="8"/>
  <c r="BV346" i="8"/>
  <c r="BU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CA345" i="8"/>
  <c r="BX345" i="8"/>
  <c r="BW345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CA344" i="8"/>
  <c r="BX344" i="8"/>
  <c r="BW344" i="8"/>
  <c r="BV344" i="8"/>
  <c r="BU344" i="8"/>
  <c r="BO344" i="8"/>
  <c r="BN344" i="8"/>
  <c r="BM344" i="8"/>
  <c r="BL344" i="8"/>
  <c r="BK344" i="8"/>
  <c r="BJ344" i="8"/>
  <c r="BI344" i="8"/>
  <c r="BH344" i="8"/>
  <c r="BG344" i="8"/>
  <c r="BF344" i="8"/>
  <c r="BE344" i="8"/>
  <c r="BD344" i="8"/>
  <c r="BC344" i="8"/>
  <c r="BB344" i="8"/>
  <c r="BA344" i="8"/>
  <c r="AZ344" i="8"/>
  <c r="AY344" i="8"/>
  <c r="AX344" i="8"/>
  <c r="AW344" i="8"/>
  <c r="AV344" i="8"/>
  <c r="AU344" i="8"/>
  <c r="AT344" i="8"/>
  <c r="AS344" i="8"/>
  <c r="AR344" i="8"/>
  <c r="AQ344" i="8"/>
  <c r="AP344" i="8"/>
  <c r="AO344" i="8"/>
  <c r="AN344" i="8"/>
  <c r="AM344" i="8"/>
  <c r="AL344" i="8"/>
  <c r="AK344" i="8"/>
  <c r="AJ344" i="8"/>
  <c r="AI344" i="8"/>
  <c r="AH344" i="8"/>
  <c r="AG344" i="8"/>
  <c r="AF344" i="8"/>
  <c r="AE344" i="8"/>
  <c r="AD344" i="8"/>
  <c r="AC344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CA343" i="8"/>
  <c r="BX343" i="8"/>
  <c r="BW343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CA342" i="8"/>
  <c r="BX342" i="8"/>
  <c r="BW342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CA341" i="8"/>
  <c r="BX341" i="8"/>
  <c r="BW341" i="8"/>
  <c r="BV341" i="8"/>
  <c r="BU341" i="8"/>
  <c r="BO341" i="8"/>
  <c r="BN341" i="8"/>
  <c r="BM341" i="8"/>
  <c r="BL341" i="8"/>
  <c r="BK341" i="8"/>
  <c r="BJ341" i="8"/>
  <c r="BI341" i="8"/>
  <c r="BH341" i="8"/>
  <c r="BG341" i="8"/>
  <c r="BF341" i="8"/>
  <c r="BE341" i="8"/>
  <c r="BD341" i="8"/>
  <c r="BC341" i="8"/>
  <c r="BB341" i="8"/>
  <c r="BA341" i="8"/>
  <c r="AZ341" i="8"/>
  <c r="AY341" i="8"/>
  <c r="AX341" i="8"/>
  <c r="AW341" i="8"/>
  <c r="AV341" i="8"/>
  <c r="AU341" i="8"/>
  <c r="AT341" i="8"/>
  <c r="AS341" i="8"/>
  <c r="AR341" i="8"/>
  <c r="AQ341" i="8"/>
  <c r="AP341" i="8"/>
  <c r="AO341" i="8"/>
  <c r="AN341" i="8"/>
  <c r="AM341" i="8"/>
  <c r="AL341" i="8"/>
  <c r="AK341" i="8"/>
  <c r="AJ341" i="8"/>
  <c r="AI341" i="8"/>
  <c r="AH341" i="8"/>
  <c r="AG341" i="8"/>
  <c r="AF341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CA340" i="8"/>
  <c r="BX340" i="8"/>
  <c r="BW340" i="8"/>
  <c r="BV340" i="8"/>
  <c r="BU340" i="8"/>
  <c r="BN340" i="8"/>
  <c r="BM340" i="8"/>
  <c r="BL340" i="8"/>
  <c r="BK340" i="8"/>
  <c r="BI340" i="8"/>
  <c r="BH340" i="8"/>
  <c r="BG340" i="8"/>
  <c r="BF340" i="8"/>
  <c r="BD340" i="8"/>
  <c r="BC340" i="8"/>
  <c r="BB340" i="8"/>
  <c r="BA340" i="8"/>
  <c r="AY340" i="8"/>
  <c r="AX340" i="8"/>
  <c r="AW340" i="8"/>
  <c r="AV340" i="8"/>
  <c r="AT340" i="8"/>
  <c r="AS340" i="8"/>
  <c r="AR340" i="8"/>
  <c r="AQ340" i="8"/>
  <c r="AP340" i="8"/>
  <c r="AO340" i="8"/>
  <c r="AN340" i="8"/>
  <c r="AM340" i="8"/>
  <c r="AL340" i="8"/>
  <c r="AJ340" i="8"/>
  <c r="AI340" i="8"/>
  <c r="AH340" i="8"/>
  <c r="AG340" i="8"/>
  <c r="AE340" i="8"/>
  <c r="AD340" i="8"/>
  <c r="AC340" i="8"/>
  <c r="AB340" i="8"/>
  <c r="Z340" i="8"/>
  <c r="Y340" i="8"/>
  <c r="X340" i="8"/>
  <c r="W340" i="8"/>
  <c r="U340" i="8"/>
  <c r="T340" i="8"/>
  <c r="S340" i="8"/>
  <c r="R340" i="8"/>
  <c r="P340" i="8"/>
  <c r="O340" i="8"/>
  <c r="N340" i="8"/>
  <c r="M340" i="8"/>
  <c r="CA339" i="8"/>
  <c r="BX339" i="8"/>
  <c r="BW339" i="8"/>
  <c r="BV339" i="8"/>
  <c r="BU339" i="8"/>
  <c r="BN339" i="8"/>
  <c r="BM339" i="8"/>
  <c r="BL339" i="8"/>
  <c r="BK339" i="8"/>
  <c r="BI339" i="8"/>
  <c r="BH339" i="8"/>
  <c r="BG339" i="8"/>
  <c r="BF339" i="8"/>
  <c r="BD339" i="8"/>
  <c r="BC339" i="8"/>
  <c r="BB339" i="8"/>
  <c r="BA339" i="8"/>
  <c r="AY339" i="8"/>
  <c r="AX339" i="8"/>
  <c r="AW339" i="8"/>
  <c r="AV339" i="8"/>
  <c r="AT339" i="8"/>
  <c r="AS339" i="8"/>
  <c r="AR339" i="8"/>
  <c r="AQ339" i="8"/>
  <c r="AP339" i="8"/>
  <c r="AO339" i="8"/>
  <c r="AN339" i="8"/>
  <c r="AM339" i="8"/>
  <c r="AL339" i="8"/>
  <c r="AJ339" i="8"/>
  <c r="AI339" i="8"/>
  <c r="AH339" i="8"/>
  <c r="AG339" i="8"/>
  <c r="AE339" i="8"/>
  <c r="AD339" i="8"/>
  <c r="AC339" i="8"/>
  <c r="AB339" i="8"/>
  <c r="Z339" i="8"/>
  <c r="Y339" i="8"/>
  <c r="X339" i="8"/>
  <c r="W339" i="8"/>
  <c r="U339" i="8"/>
  <c r="T339" i="8"/>
  <c r="S339" i="8"/>
  <c r="R339" i="8"/>
  <c r="P339" i="8"/>
  <c r="O339" i="8"/>
  <c r="N339" i="8"/>
  <c r="M339" i="8"/>
  <c r="CA338" i="8"/>
  <c r="BX338" i="8"/>
  <c r="BW338" i="8"/>
  <c r="BV338" i="8"/>
  <c r="BU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CA337" i="8"/>
  <c r="BX337" i="8"/>
  <c r="BW337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CA336" i="8"/>
  <c r="BX336" i="8"/>
  <c r="BW336" i="8"/>
  <c r="BV336" i="8"/>
  <c r="BU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CA335" i="8"/>
  <c r="BX335" i="8"/>
  <c r="BW335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CA334" i="8"/>
  <c r="BX334" i="8"/>
  <c r="BW334" i="8"/>
  <c r="BV334" i="8"/>
  <c r="BU334" i="8"/>
  <c r="BN334" i="8"/>
  <c r="BM334" i="8"/>
  <c r="BL334" i="8"/>
  <c r="BK334" i="8"/>
  <c r="BI334" i="8"/>
  <c r="BH334" i="8"/>
  <c r="BG334" i="8"/>
  <c r="BF334" i="8"/>
  <c r="BD334" i="8"/>
  <c r="BC334" i="8"/>
  <c r="BB334" i="8"/>
  <c r="BA334" i="8"/>
  <c r="AY334" i="8"/>
  <c r="AX334" i="8"/>
  <c r="AW334" i="8"/>
  <c r="AV334" i="8"/>
  <c r="AT334" i="8"/>
  <c r="AS334" i="8"/>
  <c r="AR334" i="8"/>
  <c r="AQ334" i="8"/>
  <c r="AO334" i="8"/>
  <c r="AN334" i="8"/>
  <c r="AM334" i="8"/>
  <c r="AL334" i="8"/>
  <c r="AJ334" i="8"/>
  <c r="AI334" i="8"/>
  <c r="AH334" i="8"/>
  <c r="AG334" i="8"/>
  <c r="AE334" i="8"/>
  <c r="AD334" i="8"/>
  <c r="AC334" i="8"/>
  <c r="AB334" i="8"/>
  <c r="Z334" i="8"/>
  <c r="Y334" i="8"/>
  <c r="X334" i="8"/>
  <c r="W334" i="8"/>
  <c r="U334" i="8"/>
  <c r="T334" i="8"/>
  <c r="S334" i="8"/>
  <c r="R334" i="8"/>
  <c r="P334" i="8"/>
  <c r="O334" i="8"/>
  <c r="N334" i="8"/>
  <c r="M334" i="8"/>
  <c r="CA333" i="8"/>
  <c r="BX333" i="8"/>
  <c r="BW333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CA332" i="8"/>
  <c r="BX332" i="8"/>
  <c r="BW332" i="8"/>
  <c r="BV332" i="8"/>
  <c r="BU332" i="8"/>
  <c r="BO332" i="8"/>
  <c r="BN332" i="8"/>
  <c r="BM332" i="8"/>
  <c r="BL332" i="8"/>
  <c r="BK332" i="8"/>
  <c r="BJ332" i="8"/>
  <c r="BI332" i="8"/>
  <c r="BH332" i="8"/>
  <c r="BG332" i="8"/>
  <c r="BF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AE332" i="8"/>
  <c r="AD332" i="8"/>
  <c r="AC332" i="8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CA331" i="8"/>
  <c r="BX331" i="8"/>
  <c r="BW331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CA330" i="8"/>
  <c r="BX330" i="8"/>
  <c r="BW330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CA329" i="8"/>
  <c r="BX329" i="8"/>
  <c r="BW329" i="8"/>
  <c r="BV329" i="8"/>
  <c r="BU329" i="8"/>
  <c r="BO329" i="8"/>
  <c r="BN329" i="8"/>
  <c r="BM329" i="8"/>
  <c r="BL329" i="8"/>
  <c r="BK329" i="8"/>
  <c r="BJ329" i="8"/>
  <c r="BI329" i="8"/>
  <c r="BH329" i="8"/>
  <c r="BG329" i="8"/>
  <c r="BF329" i="8"/>
  <c r="BE329" i="8"/>
  <c r="BD329" i="8"/>
  <c r="BC329" i="8"/>
  <c r="BB329" i="8"/>
  <c r="BA329" i="8"/>
  <c r="AZ329" i="8"/>
  <c r="AY329" i="8"/>
  <c r="AX329" i="8"/>
  <c r="AW329" i="8"/>
  <c r="AV329" i="8"/>
  <c r="AU329" i="8"/>
  <c r="AT329" i="8"/>
  <c r="AS329" i="8"/>
  <c r="AR329" i="8"/>
  <c r="AQ329" i="8"/>
  <c r="AP329" i="8"/>
  <c r="AO329" i="8"/>
  <c r="AN329" i="8"/>
  <c r="AM329" i="8"/>
  <c r="AL329" i="8"/>
  <c r="AK329" i="8"/>
  <c r="AJ329" i="8"/>
  <c r="AI329" i="8"/>
  <c r="AH329" i="8"/>
  <c r="AG329" i="8"/>
  <c r="AF329" i="8"/>
  <c r="AE329" i="8"/>
  <c r="AD329" i="8"/>
  <c r="AC329" i="8"/>
  <c r="AB329" i="8"/>
  <c r="AA329" i="8"/>
  <c r="Z329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CA328" i="8"/>
  <c r="BX328" i="8"/>
  <c r="BW328" i="8"/>
  <c r="BV328" i="8"/>
  <c r="BU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CA327" i="8"/>
  <c r="BX327" i="8"/>
  <c r="BW327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CA326" i="8"/>
  <c r="BX326" i="8"/>
  <c r="BW326" i="8"/>
  <c r="BV326" i="8"/>
  <c r="BU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CA325" i="8"/>
  <c r="BX325" i="8"/>
  <c r="BW325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CA324" i="8"/>
  <c r="BX324" i="8"/>
  <c r="BW324" i="8"/>
  <c r="BV324" i="8"/>
  <c r="BU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CA323" i="8"/>
  <c r="BX323" i="8"/>
  <c r="BW323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CA322" i="8"/>
  <c r="BX322" i="8"/>
  <c r="BW322" i="8"/>
  <c r="BV322" i="8"/>
  <c r="BU322" i="8"/>
  <c r="BN322" i="8"/>
  <c r="BM322" i="8"/>
  <c r="BL322" i="8"/>
  <c r="BK322" i="8"/>
  <c r="BI322" i="8"/>
  <c r="BH322" i="8"/>
  <c r="BG322" i="8"/>
  <c r="BF322" i="8"/>
  <c r="BD322" i="8"/>
  <c r="BC322" i="8"/>
  <c r="BB322" i="8"/>
  <c r="BA322" i="8"/>
  <c r="AY322" i="8"/>
  <c r="AX322" i="8"/>
  <c r="AW322" i="8"/>
  <c r="AV322" i="8"/>
  <c r="AT322" i="8"/>
  <c r="AS322" i="8"/>
  <c r="AR322" i="8"/>
  <c r="AQ322" i="8"/>
  <c r="AO322" i="8"/>
  <c r="AN322" i="8"/>
  <c r="AM322" i="8"/>
  <c r="AL322" i="8"/>
  <c r="AJ322" i="8"/>
  <c r="AI322" i="8"/>
  <c r="AH322" i="8"/>
  <c r="AG322" i="8"/>
  <c r="AE322" i="8"/>
  <c r="AD322" i="8"/>
  <c r="AC322" i="8"/>
  <c r="AB322" i="8"/>
  <c r="Z322" i="8"/>
  <c r="Y322" i="8"/>
  <c r="X322" i="8"/>
  <c r="W322" i="8"/>
  <c r="U322" i="8"/>
  <c r="T322" i="8"/>
  <c r="S322" i="8"/>
  <c r="R322" i="8"/>
  <c r="P322" i="8"/>
  <c r="O322" i="8"/>
  <c r="N322" i="8"/>
  <c r="M322" i="8"/>
  <c r="CA321" i="8"/>
  <c r="BX321" i="8"/>
  <c r="BW321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CA320" i="8"/>
  <c r="BX320" i="8"/>
  <c r="BW320" i="8"/>
  <c r="BV320" i="8"/>
  <c r="BU320" i="8"/>
  <c r="BO320" i="8"/>
  <c r="BN320" i="8"/>
  <c r="BM320" i="8"/>
  <c r="BL320" i="8"/>
  <c r="BK320" i="8"/>
  <c r="BJ320" i="8"/>
  <c r="BI320" i="8"/>
  <c r="BH320" i="8"/>
  <c r="BG320" i="8"/>
  <c r="BF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CA319" i="8"/>
  <c r="BX319" i="8"/>
  <c r="BW319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CA318" i="8"/>
  <c r="BX318" i="8"/>
  <c r="BW318" i="8"/>
  <c r="BV318" i="8"/>
  <c r="BU318" i="8"/>
  <c r="BN318" i="8"/>
  <c r="BM318" i="8"/>
  <c r="BL318" i="8"/>
  <c r="BK318" i="8"/>
  <c r="BI318" i="8"/>
  <c r="BH318" i="8"/>
  <c r="BG318" i="8"/>
  <c r="BF318" i="8"/>
  <c r="BD318" i="8"/>
  <c r="BC318" i="8"/>
  <c r="BB318" i="8"/>
  <c r="BA318" i="8"/>
  <c r="AY318" i="8"/>
  <c r="AX318" i="8"/>
  <c r="AW318" i="8"/>
  <c r="AV318" i="8"/>
  <c r="AT318" i="8"/>
  <c r="AS318" i="8"/>
  <c r="AR318" i="8"/>
  <c r="AQ318" i="8"/>
  <c r="AO318" i="8"/>
  <c r="AN318" i="8"/>
  <c r="AM318" i="8"/>
  <c r="AL318" i="8"/>
  <c r="AJ318" i="8"/>
  <c r="AI318" i="8"/>
  <c r="AH318" i="8"/>
  <c r="AG318" i="8"/>
  <c r="AE318" i="8"/>
  <c r="AD318" i="8"/>
  <c r="AC318" i="8"/>
  <c r="AB318" i="8"/>
  <c r="Z318" i="8"/>
  <c r="Y318" i="8"/>
  <c r="X318" i="8"/>
  <c r="W318" i="8"/>
  <c r="U318" i="8"/>
  <c r="T318" i="8"/>
  <c r="S318" i="8"/>
  <c r="R318" i="8"/>
  <c r="P318" i="8"/>
  <c r="O318" i="8"/>
  <c r="N318" i="8"/>
  <c r="M318" i="8"/>
  <c r="CA317" i="8"/>
  <c r="BX317" i="8"/>
  <c r="BW317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CA316" i="8"/>
  <c r="BX316" i="8"/>
  <c r="BW316" i="8"/>
  <c r="BV316" i="8"/>
  <c r="BU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CA315" i="8"/>
  <c r="BX315" i="8"/>
  <c r="BW315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CA314" i="8"/>
  <c r="BX314" i="8"/>
  <c r="BW314" i="8"/>
  <c r="BV314" i="8"/>
  <c r="BU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CA313" i="8"/>
  <c r="BX313" i="8"/>
  <c r="BW313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CA312" i="8"/>
  <c r="BX312" i="8"/>
  <c r="BW312" i="8"/>
  <c r="BV312" i="8"/>
  <c r="BU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CA311" i="8"/>
  <c r="BX311" i="8"/>
  <c r="BW311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CA310" i="8"/>
  <c r="BX310" i="8"/>
  <c r="BW310" i="8"/>
  <c r="BV310" i="8"/>
  <c r="BU310" i="8"/>
  <c r="BN310" i="8"/>
  <c r="BM310" i="8"/>
  <c r="BL310" i="8"/>
  <c r="BK310" i="8"/>
  <c r="BI310" i="8"/>
  <c r="BH310" i="8"/>
  <c r="BG310" i="8"/>
  <c r="BF310" i="8"/>
  <c r="BD310" i="8"/>
  <c r="BC310" i="8"/>
  <c r="BB310" i="8"/>
  <c r="BA310" i="8"/>
  <c r="AY310" i="8"/>
  <c r="AX310" i="8"/>
  <c r="AW310" i="8"/>
  <c r="AV310" i="8"/>
  <c r="AT310" i="8"/>
  <c r="AS310" i="8"/>
  <c r="AR310" i="8"/>
  <c r="AQ310" i="8"/>
  <c r="AO310" i="8"/>
  <c r="AN310" i="8"/>
  <c r="AM310" i="8"/>
  <c r="AL310" i="8"/>
  <c r="AJ310" i="8"/>
  <c r="AI310" i="8"/>
  <c r="AH310" i="8"/>
  <c r="AG310" i="8"/>
  <c r="AE310" i="8"/>
  <c r="AD310" i="8"/>
  <c r="AC310" i="8"/>
  <c r="AB310" i="8"/>
  <c r="Z310" i="8"/>
  <c r="Y310" i="8"/>
  <c r="X310" i="8"/>
  <c r="W310" i="8"/>
  <c r="U310" i="8"/>
  <c r="T310" i="8"/>
  <c r="S310" i="8"/>
  <c r="R310" i="8"/>
  <c r="P310" i="8"/>
  <c r="O310" i="8"/>
  <c r="N310" i="8"/>
  <c r="M310" i="8"/>
  <c r="CA309" i="8"/>
  <c r="BX309" i="8"/>
  <c r="BW309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CA308" i="8"/>
  <c r="BX308" i="8"/>
  <c r="BW308" i="8"/>
  <c r="BV308" i="8"/>
  <c r="BU308" i="8"/>
  <c r="BO308" i="8"/>
  <c r="BN308" i="8"/>
  <c r="BM308" i="8"/>
  <c r="BL308" i="8"/>
  <c r="BK308" i="8"/>
  <c r="BJ308" i="8"/>
  <c r="BI308" i="8"/>
  <c r="BH308" i="8"/>
  <c r="BG308" i="8"/>
  <c r="BF308" i="8"/>
  <c r="BE308" i="8"/>
  <c r="BD308" i="8"/>
  <c r="BC308" i="8"/>
  <c r="BB308" i="8"/>
  <c r="BA308" i="8"/>
  <c r="AZ308" i="8"/>
  <c r="AY308" i="8"/>
  <c r="AX308" i="8"/>
  <c r="AW308" i="8"/>
  <c r="AV308" i="8"/>
  <c r="AU308" i="8"/>
  <c r="AT308" i="8"/>
  <c r="AS308" i="8"/>
  <c r="AR308" i="8"/>
  <c r="AQ308" i="8"/>
  <c r="AP308" i="8"/>
  <c r="AO308" i="8"/>
  <c r="AN308" i="8"/>
  <c r="AM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Z308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CA307" i="8"/>
  <c r="BX307" i="8"/>
  <c r="BW307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CA306" i="8"/>
  <c r="BX306" i="8"/>
  <c r="BW306" i="8"/>
  <c r="BV306" i="8"/>
  <c r="BU306" i="8"/>
  <c r="BN306" i="8"/>
  <c r="BM306" i="8"/>
  <c r="BL306" i="8"/>
  <c r="BK306" i="8"/>
  <c r="BI306" i="8"/>
  <c r="BH306" i="8"/>
  <c r="BG306" i="8"/>
  <c r="BF306" i="8"/>
  <c r="BD306" i="8"/>
  <c r="BC306" i="8"/>
  <c r="BB306" i="8"/>
  <c r="BA306" i="8"/>
  <c r="AY306" i="8"/>
  <c r="AX306" i="8"/>
  <c r="AW306" i="8"/>
  <c r="AV306" i="8"/>
  <c r="AT306" i="8"/>
  <c r="AS306" i="8"/>
  <c r="AR306" i="8"/>
  <c r="AQ306" i="8"/>
  <c r="AO306" i="8"/>
  <c r="AN306" i="8"/>
  <c r="AM306" i="8"/>
  <c r="AL306" i="8"/>
  <c r="AJ306" i="8"/>
  <c r="AI306" i="8"/>
  <c r="AH306" i="8"/>
  <c r="AG306" i="8"/>
  <c r="AE306" i="8"/>
  <c r="AD306" i="8"/>
  <c r="AC306" i="8"/>
  <c r="AB306" i="8"/>
  <c r="Z306" i="8"/>
  <c r="Y306" i="8"/>
  <c r="X306" i="8"/>
  <c r="W306" i="8"/>
  <c r="U306" i="8"/>
  <c r="T306" i="8"/>
  <c r="S306" i="8"/>
  <c r="R306" i="8"/>
  <c r="P306" i="8"/>
  <c r="O306" i="8"/>
  <c r="N306" i="8"/>
  <c r="M306" i="8"/>
  <c r="CA305" i="8"/>
  <c r="BX305" i="8"/>
  <c r="BW305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CA304" i="8"/>
  <c r="BX304" i="8"/>
  <c r="BW304" i="8"/>
  <c r="BV304" i="8"/>
  <c r="BU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CA303" i="8"/>
  <c r="BX303" i="8"/>
  <c r="BW303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CA302" i="8"/>
  <c r="BX302" i="8"/>
  <c r="BW302" i="8"/>
  <c r="BV302" i="8"/>
  <c r="BU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CA301" i="8"/>
  <c r="BX301" i="8"/>
  <c r="BW301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CA300" i="8"/>
  <c r="BX300" i="8"/>
  <c r="BW300" i="8"/>
  <c r="BV300" i="8"/>
  <c r="BU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CA299" i="8"/>
  <c r="BX299" i="8"/>
  <c r="BW299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CA298" i="8"/>
  <c r="BX298" i="8"/>
  <c r="BW298" i="8"/>
  <c r="BV298" i="8"/>
  <c r="BU298" i="8"/>
  <c r="BN298" i="8"/>
  <c r="BM298" i="8"/>
  <c r="BL298" i="8"/>
  <c r="BK298" i="8"/>
  <c r="BI298" i="8"/>
  <c r="BH298" i="8"/>
  <c r="BG298" i="8"/>
  <c r="BF298" i="8"/>
  <c r="BD298" i="8"/>
  <c r="BC298" i="8"/>
  <c r="BB298" i="8"/>
  <c r="BA298" i="8"/>
  <c r="AY298" i="8"/>
  <c r="AX298" i="8"/>
  <c r="AW298" i="8"/>
  <c r="AV298" i="8"/>
  <c r="AT298" i="8"/>
  <c r="AS298" i="8"/>
  <c r="AR298" i="8"/>
  <c r="AQ298" i="8"/>
  <c r="AO298" i="8"/>
  <c r="AN298" i="8"/>
  <c r="AM298" i="8"/>
  <c r="AL298" i="8"/>
  <c r="AJ298" i="8"/>
  <c r="AI298" i="8"/>
  <c r="AH298" i="8"/>
  <c r="AG298" i="8"/>
  <c r="AE298" i="8"/>
  <c r="AD298" i="8"/>
  <c r="AC298" i="8"/>
  <c r="AB298" i="8"/>
  <c r="Z298" i="8"/>
  <c r="Y298" i="8"/>
  <c r="X298" i="8"/>
  <c r="W298" i="8"/>
  <c r="U298" i="8"/>
  <c r="T298" i="8"/>
  <c r="S298" i="8"/>
  <c r="R298" i="8"/>
  <c r="P298" i="8"/>
  <c r="O298" i="8"/>
  <c r="N298" i="8"/>
  <c r="M298" i="8"/>
  <c r="CA297" i="8"/>
  <c r="BX297" i="8"/>
  <c r="BW297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CA296" i="8"/>
  <c r="BX296" i="8"/>
  <c r="BW296" i="8"/>
  <c r="BV296" i="8"/>
  <c r="BU296" i="8"/>
  <c r="BO296" i="8"/>
  <c r="BN296" i="8"/>
  <c r="BM296" i="8"/>
  <c r="BL296" i="8"/>
  <c r="BK296" i="8"/>
  <c r="BJ296" i="8"/>
  <c r="BI296" i="8"/>
  <c r="BH296" i="8"/>
  <c r="BG296" i="8"/>
  <c r="BF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CA295" i="8"/>
  <c r="BX295" i="8"/>
  <c r="BW295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CA294" i="8"/>
  <c r="BX294" i="8"/>
  <c r="BW294" i="8"/>
  <c r="BV294" i="8"/>
  <c r="BU294" i="8"/>
  <c r="BN294" i="8"/>
  <c r="BM294" i="8"/>
  <c r="BL294" i="8"/>
  <c r="BK294" i="8"/>
  <c r="BI294" i="8"/>
  <c r="BH294" i="8"/>
  <c r="BG294" i="8"/>
  <c r="BF294" i="8"/>
  <c r="BD294" i="8"/>
  <c r="BC294" i="8"/>
  <c r="BB294" i="8"/>
  <c r="BA294" i="8"/>
  <c r="AY294" i="8"/>
  <c r="AX294" i="8"/>
  <c r="AW294" i="8"/>
  <c r="AV294" i="8"/>
  <c r="AT294" i="8"/>
  <c r="AS294" i="8"/>
  <c r="AR294" i="8"/>
  <c r="AQ294" i="8"/>
  <c r="AO294" i="8"/>
  <c r="AN294" i="8"/>
  <c r="AM294" i="8"/>
  <c r="AL294" i="8"/>
  <c r="AJ294" i="8"/>
  <c r="AI294" i="8"/>
  <c r="AH294" i="8"/>
  <c r="AG294" i="8"/>
  <c r="AE294" i="8"/>
  <c r="AD294" i="8"/>
  <c r="AC294" i="8"/>
  <c r="AB294" i="8"/>
  <c r="Z294" i="8"/>
  <c r="Y294" i="8"/>
  <c r="X294" i="8"/>
  <c r="W294" i="8"/>
  <c r="U294" i="8"/>
  <c r="T294" i="8"/>
  <c r="S294" i="8"/>
  <c r="R294" i="8"/>
  <c r="P294" i="8"/>
  <c r="O294" i="8"/>
  <c r="N294" i="8"/>
  <c r="M294" i="8"/>
  <c r="CA293" i="8"/>
  <c r="BX293" i="8"/>
  <c r="BW293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CA292" i="8"/>
  <c r="BX292" i="8"/>
  <c r="BW292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CA291" i="8"/>
  <c r="BX291" i="8"/>
  <c r="BW291" i="8"/>
  <c r="BV291" i="8"/>
  <c r="BU291" i="8"/>
  <c r="BN291" i="8"/>
  <c r="BM291" i="8"/>
  <c r="BL291" i="8"/>
  <c r="BK291" i="8"/>
  <c r="BI291" i="8"/>
  <c r="BH291" i="8"/>
  <c r="BG291" i="8"/>
  <c r="BF291" i="8"/>
  <c r="BD291" i="8"/>
  <c r="BC291" i="8"/>
  <c r="BB291" i="8"/>
  <c r="BA291" i="8"/>
  <c r="AY291" i="8"/>
  <c r="AX291" i="8"/>
  <c r="AW291" i="8"/>
  <c r="AV291" i="8"/>
  <c r="AT291" i="8"/>
  <c r="AS291" i="8"/>
  <c r="AR291" i="8"/>
  <c r="AQ291" i="8"/>
  <c r="AO291" i="8"/>
  <c r="AN291" i="8"/>
  <c r="AM291" i="8"/>
  <c r="AL291" i="8"/>
  <c r="AJ291" i="8"/>
  <c r="AI291" i="8"/>
  <c r="AH291" i="8"/>
  <c r="AG291" i="8"/>
  <c r="AE291" i="8"/>
  <c r="AD291" i="8"/>
  <c r="AC291" i="8"/>
  <c r="AB291" i="8"/>
  <c r="Z291" i="8"/>
  <c r="Y291" i="8"/>
  <c r="X291" i="8"/>
  <c r="W291" i="8"/>
  <c r="U291" i="8"/>
  <c r="T291" i="8"/>
  <c r="S291" i="8"/>
  <c r="R291" i="8"/>
  <c r="P291" i="8"/>
  <c r="O291" i="8"/>
  <c r="N291" i="8"/>
  <c r="M291" i="8"/>
  <c r="CA290" i="8"/>
  <c r="BX290" i="8"/>
  <c r="BW290" i="8"/>
  <c r="BV290" i="8"/>
  <c r="BU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CA289" i="8"/>
  <c r="BX289" i="8"/>
  <c r="BW289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CA288" i="8"/>
  <c r="BX288" i="8"/>
  <c r="BW288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CA287" i="8"/>
  <c r="BX287" i="8"/>
  <c r="BW287" i="8"/>
  <c r="BV287" i="8"/>
  <c r="BU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CA286" i="8"/>
  <c r="BX286" i="8"/>
  <c r="BW286" i="8"/>
  <c r="BV286" i="8"/>
  <c r="BU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CA285" i="8"/>
  <c r="BX285" i="8"/>
  <c r="BW285" i="8"/>
  <c r="BV285" i="8"/>
  <c r="BU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CA284" i="8"/>
  <c r="BX284" i="8"/>
  <c r="BW284" i="8"/>
  <c r="BV284" i="8"/>
  <c r="BU284" i="8"/>
  <c r="BO284" i="8"/>
  <c r="BN284" i="8"/>
  <c r="BM284" i="8"/>
  <c r="BL284" i="8"/>
  <c r="BK284" i="8"/>
  <c r="BJ284" i="8"/>
  <c r="BI284" i="8"/>
  <c r="BH284" i="8"/>
  <c r="BG284" i="8"/>
  <c r="BF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CA283" i="8"/>
  <c r="BX283" i="8"/>
  <c r="BW283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CA282" i="8"/>
  <c r="BX282" i="8"/>
  <c r="BW282" i="8"/>
  <c r="BV282" i="8"/>
  <c r="BU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CA281" i="8"/>
  <c r="BX281" i="8"/>
  <c r="BW281" i="8"/>
  <c r="BV281" i="8"/>
  <c r="BU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CA280" i="8"/>
  <c r="BX280" i="8"/>
  <c r="BW280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CA279" i="8"/>
  <c r="BX279" i="8"/>
  <c r="BW279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CA278" i="8"/>
  <c r="BX278" i="8"/>
  <c r="BW278" i="8"/>
  <c r="BV278" i="8"/>
  <c r="BU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CA277" i="8"/>
  <c r="BX277" i="8"/>
  <c r="BW277" i="8"/>
  <c r="BV277" i="8"/>
  <c r="BU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CA276" i="8"/>
  <c r="BX276" i="8"/>
  <c r="BW276" i="8"/>
  <c r="BV276" i="8"/>
  <c r="BU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CA275" i="8"/>
  <c r="BX275" i="8"/>
  <c r="BW275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U275" i="8"/>
  <c r="T275" i="8"/>
  <c r="S275" i="8"/>
  <c r="R275" i="8"/>
  <c r="P275" i="8"/>
  <c r="O275" i="8"/>
  <c r="N275" i="8"/>
  <c r="M275" i="8"/>
  <c r="CA274" i="8"/>
  <c r="BX274" i="8"/>
  <c r="BW274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CA273" i="8"/>
  <c r="BX273" i="8"/>
  <c r="BW273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CA272" i="8"/>
  <c r="BX272" i="8"/>
  <c r="BW272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CA271" i="8"/>
  <c r="BX271" i="8"/>
  <c r="BW271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CA270" i="8"/>
  <c r="BX270" i="8"/>
  <c r="BW270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CA269" i="8"/>
  <c r="BX269" i="8"/>
  <c r="BW269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CA268" i="8"/>
  <c r="BX268" i="8"/>
  <c r="BW268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CA267" i="8"/>
  <c r="BX267" i="8"/>
  <c r="BW267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CA266" i="8"/>
  <c r="BX266" i="8"/>
  <c r="BW266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CA265" i="8"/>
  <c r="BX265" i="8"/>
  <c r="BW265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CA264" i="8"/>
  <c r="BX264" i="8"/>
  <c r="BW264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CA263" i="8"/>
  <c r="BX263" i="8"/>
  <c r="BW263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CA262" i="8"/>
  <c r="BX262" i="8"/>
  <c r="BW262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CA261" i="8"/>
  <c r="BX261" i="8"/>
  <c r="BW261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CA260" i="8"/>
  <c r="BX260" i="8"/>
  <c r="BW260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CA259" i="8"/>
  <c r="BX259" i="8"/>
  <c r="BW259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CA258" i="8"/>
  <c r="BX258" i="8"/>
  <c r="BW258" i="8"/>
  <c r="BV258" i="8"/>
  <c r="BU258" i="8"/>
  <c r="BN258" i="8"/>
  <c r="BM258" i="8"/>
  <c r="BL258" i="8"/>
  <c r="BK258" i="8"/>
  <c r="BI258" i="8"/>
  <c r="BH258" i="8"/>
  <c r="BG258" i="8"/>
  <c r="BF258" i="8"/>
  <c r="BD258" i="8"/>
  <c r="BC258" i="8"/>
  <c r="BB258" i="8"/>
  <c r="BA258" i="8"/>
  <c r="AY258" i="8"/>
  <c r="AX258" i="8"/>
  <c r="AW258" i="8"/>
  <c r="AV258" i="8"/>
  <c r="AT258" i="8"/>
  <c r="AS258" i="8"/>
  <c r="AR258" i="8"/>
  <c r="AQ258" i="8"/>
  <c r="AO258" i="8"/>
  <c r="AN258" i="8"/>
  <c r="AM258" i="8"/>
  <c r="AL258" i="8"/>
  <c r="AJ258" i="8"/>
  <c r="AI258" i="8"/>
  <c r="AH258" i="8"/>
  <c r="AG258" i="8"/>
  <c r="AE258" i="8"/>
  <c r="AD258" i="8"/>
  <c r="AC258" i="8"/>
  <c r="AB258" i="8"/>
  <c r="Z258" i="8"/>
  <c r="Y258" i="8"/>
  <c r="X258" i="8"/>
  <c r="W258" i="8"/>
  <c r="U258" i="8"/>
  <c r="T258" i="8"/>
  <c r="S258" i="8"/>
  <c r="R258" i="8"/>
  <c r="P258" i="8"/>
  <c r="O258" i="8"/>
  <c r="N258" i="8"/>
  <c r="M258" i="8"/>
  <c r="CA257" i="8"/>
  <c r="BX257" i="8"/>
  <c r="BW257" i="8"/>
  <c r="BV257" i="8"/>
  <c r="BU257" i="8"/>
  <c r="BN257" i="8"/>
  <c r="BM257" i="8"/>
  <c r="BL257" i="8"/>
  <c r="BK257" i="8"/>
  <c r="BI257" i="8"/>
  <c r="BH257" i="8"/>
  <c r="BG257" i="8"/>
  <c r="BF257" i="8"/>
  <c r="BD257" i="8"/>
  <c r="BC257" i="8"/>
  <c r="BB257" i="8"/>
  <c r="BA257" i="8"/>
  <c r="AY257" i="8"/>
  <c r="AX257" i="8"/>
  <c r="AW257" i="8"/>
  <c r="AV257" i="8"/>
  <c r="AT257" i="8"/>
  <c r="AS257" i="8"/>
  <c r="AR257" i="8"/>
  <c r="AQ257" i="8"/>
  <c r="AO257" i="8"/>
  <c r="AN257" i="8"/>
  <c r="AM257" i="8"/>
  <c r="AL257" i="8"/>
  <c r="AJ257" i="8"/>
  <c r="AI257" i="8"/>
  <c r="AH257" i="8"/>
  <c r="AG257" i="8"/>
  <c r="AE257" i="8"/>
  <c r="AD257" i="8"/>
  <c r="AC257" i="8"/>
  <c r="AB257" i="8"/>
  <c r="Z257" i="8"/>
  <c r="Y257" i="8"/>
  <c r="X257" i="8"/>
  <c r="W257" i="8"/>
  <c r="U257" i="8"/>
  <c r="T257" i="8"/>
  <c r="S257" i="8"/>
  <c r="R257" i="8"/>
  <c r="P257" i="8"/>
  <c r="O257" i="8"/>
  <c r="N257" i="8"/>
  <c r="M257" i="8"/>
  <c r="CA256" i="8"/>
  <c r="BX256" i="8"/>
  <c r="BW256" i="8"/>
  <c r="BV256" i="8"/>
  <c r="BU256" i="8"/>
  <c r="BN256" i="8"/>
  <c r="BM256" i="8"/>
  <c r="BL256" i="8"/>
  <c r="BK256" i="8"/>
  <c r="BI256" i="8"/>
  <c r="BH256" i="8"/>
  <c r="BG256" i="8"/>
  <c r="BF256" i="8"/>
  <c r="BD256" i="8"/>
  <c r="BC256" i="8"/>
  <c r="BB256" i="8"/>
  <c r="BA256" i="8"/>
  <c r="AY256" i="8"/>
  <c r="AX256" i="8"/>
  <c r="AW256" i="8"/>
  <c r="AV256" i="8"/>
  <c r="AT256" i="8"/>
  <c r="AS256" i="8"/>
  <c r="AR256" i="8"/>
  <c r="AQ256" i="8"/>
  <c r="AO256" i="8"/>
  <c r="AN256" i="8"/>
  <c r="AM256" i="8"/>
  <c r="AL256" i="8"/>
  <c r="AJ256" i="8"/>
  <c r="AI256" i="8"/>
  <c r="AH256" i="8"/>
  <c r="AG256" i="8"/>
  <c r="AE256" i="8"/>
  <c r="AD256" i="8"/>
  <c r="AC256" i="8"/>
  <c r="AB256" i="8"/>
  <c r="Z256" i="8"/>
  <c r="Y256" i="8"/>
  <c r="X256" i="8"/>
  <c r="W256" i="8"/>
  <c r="U256" i="8"/>
  <c r="T256" i="8"/>
  <c r="S256" i="8"/>
  <c r="R256" i="8"/>
  <c r="P256" i="8"/>
  <c r="O256" i="8"/>
  <c r="N256" i="8"/>
  <c r="M256" i="8"/>
  <c r="CA255" i="8"/>
  <c r="BX255" i="8"/>
  <c r="BW255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CA254" i="8"/>
  <c r="BX254" i="8"/>
  <c r="BW254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CA253" i="8"/>
  <c r="BX253" i="8"/>
  <c r="BW253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CA252" i="8"/>
  <c r="BX252" i="8"/>
  <c r="BW252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CA251" i="8"/>
  <c r="BX251" i="8"/>
  <c r="BW251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CA250" i="8"/>
  <c r="BX250" i="8"/>
  <c r="BW250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CA249" i="8"/>
  <c r="BX249" i="8"/>
  <c r="BW249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CA248" i="8"/>
  <c r="BX248" i="8"/>
  <c r="BW248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CA247" i="8"/>
  <c r="BX247" i="8"/>
  <c r="BW247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CA246" i="8"/>
  <c r="BX246" i="8"/>
  <c r="BW246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CA245" i="8"/>
  <c r="BX245" i="8"/>
  <c r="BW245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CA244" i="8"/>
  <c r="BX244" i="8"/>
  <c r="BW244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CA243" i="8"/>
  <c r="BX243" i="8"/>
  <c r="BW243" i="8"/>
  <c r="BV243" i="8"/>
  <c r="BU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CA242" i="8"/>
  <c r="BX242" i="8"/>
  <c r="BW242" i="8"/>
  <c r="BV242" i="8"/>
  <c r="BU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CA241" i="8"/>
  <c r="BX241" i="8"/>
  <c r="BW241" i="8"/>
  <c r="BV241" i="8"/>
  <c r="BU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CA240" i="8"/>
  <c r="BX240" i="8"/>
  <c r="BW240" i="8"/>
  <c r="BV240" i="8"/>
  <c r="BU240" i="8"/>
  <c r="BO240" i="8"/>
  <c r="BN240" i="8"/>
  <c r="BM240" i="8"/>
  <c r="BL240" i="8"/>
  <c r="BK240" i="8"/>
  <c r="BJ240" i="8"/>
  <c r="BI240" i="8"/>
  <c r="BH240" i="8"/>
  <c r="BG240" i="8"/>
  <c r="BF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CA239" i="8"/>
  <c r="BX239" i="8"/>
  <c r="BW239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CA238" i="8"/>
  <c r="BX238" i="8"/>
  <c r="BW238" i="8"/>
  <c r="BV238" i="8"/>
  <c r="BU238" i="8"/>
  <c r="BO238" i="8"/>
  <c r="BN238" i="8"/>
  <c r="BM238" i="8"/>
  <c r="BL238" i="8"/>
  <c r="BK238" i="8"/>
  <c r="BJ238" i="8"/>
  <c r="BI238" i="8"/>
  <c r="BH238" i="8"/>
  <c r="BG238" i="8"/>
  <c r="BF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AE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CA237" i="8"/>
  <c r="BX237" i="8"/>
  <c r="BW237" i="8"/>
  <c r="BV237" i="8"/>
  <c r="BU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CA236" i="8"/>
  <c r="BZ236" i="8"/>
  <c r="BX236" i="8"/>
  <c r="BW236" i="8"/>
  <c r="BV236" i="8"/>
  <c r="BU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CA235" i="8"/>
  <c r="BZ235" i="8"/>
  <c r="BX235" i="8"/>
  <c r="BW235" i="8"/>
  <c r="BV235" i="8"/>
  <c r="BU235" i="8"/>
  <c r="BO235" i="8"/>
  <c r="BN235" i="8"/>
  <c r="BM235" i="8"/>
  <c r="BL235" i="8"/>
  <c r="BK235" i="8"/>
  <c r="BJ235" i="8"/>
  <c r="BI235" i="8"/>
  <c r="BH235" i="8"/>
  <c r="BG235" i="8"/>
  <c r="BF235" i="8"/>
  <c r="BE235" i="8"/>
  <c r="BD235" i="8"/>
  <c r="BC235" i="8"/>
  <c r="BB235" i="8"/>
  <c r="BA235" i="8"/>
  <c r="AZ235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CA234" i="8"/>
  <c r="BZ234" i="8"/>
  <c r="BX234" i="8"/>
  <c r="BW234" i="8"/>
  <c r="BV234" i="8"/>
  <c r="BU234" i="8"/>
  <c r="BN234" i="8"/>
  <c r="BM234" i="8"/>
  <c r="BL234" i="8"/>
  <c r="BK234" i="8"/>
  <c r="BI234" i="8"/>
  <c r="BH234" i="8"/>
  <c r="BG234" i="8"/>
  <c r="BF234" i="8"/>
  <c r="BD234" i="8"/>
  <c r="BC234" i="8"/>
  <c r="BB234" i="8"/>
  <c r="BA234" i="8"/>
  <c r="AY234" i="8"/>
  <c r="AX234" i="8"/>
  <c r="AW234" i="8"/>
  <c r="AV234" i="8"/>
  <c r="AT234" i="8"/>
  <c r="AS234" i="8"/>
  <c r="AR234" i="8"/>
  <c r="AQ234" i="8"/>
  <c r="AO234" i="8"/>
  <c r="AN234" i="8"/>
  <c r="AM234" i="8"/>
  <c r="AL234" i="8"/>
  <c r="AJ234" i="8"/>
  <c r="AI234" i="8"/>
  <c r="AH234" i="8"/>
  <c r="AG234" i="8"/>
  <c r="AE234" i="8"/>
  <c r="AD234" i="8"/>
  <c r="AC234" i="8"/>
  <c r="AB234" i="8"/>
  <c r="Z234" i="8"/>
  <c r="Y234" i="8"/>
  <c r="X234" i="8"/>
  <c r="W234" i="8"/>
  <c r="U234" i="8"/>
  <c r="T234" i="8"/>
  <c r="S234" i="8"/>
  <c r="R234" i="8"/>
  <c r="P234" i="8"/>
  <c r="O234" i="8"/>
  <c r="N234" i="8"/>
  <c r="M234" i="8"/>
  <c r="CA233" i="8"/>
  <c r="BZ233" i="8"/>
  <c r="BX233" i="8"/>
  <c r="BW233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CA232" i="8"/>
  <c r="BZ232" i="8"/>
  <c r="BX232" i="8"/>
  <c r="BW232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CA231" i="8"/>
  <c r="BZ231" i="8"/>
  <c r="BX231" i="8"/>
  <c r="BW231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CA230" i="8"/>
  <c r="BZ230" i="8"/>
  <c r="BX230" i="8"/>
  <c r="BW230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CA229" i="8"/>
  <c r="BX229" i="8"/>
  <c r="BW229" i="8"/>
  <c r="BV229" i="8"/>
  <c r="BU229" i="8"/>
  <c r="BN229" i="8"/>
  <c r="BM229" i="8"/>
  <c r="BL229" i="8"/>
  <c r="BK229" i="8"/>
  <c r="BI229" i="8"/>
  <c r="BH229" i="8"/>
  <c r="BG229" i="8"/>
  <c r="BF229" i="8"/>
  <c r="BD229" i="8"/>
  <c r="BC229" i="8"/>
  <c r="BB229" i="8"/>
  <c r="BA229" i="8"/>
  <c r="AY229" i="8"/>
  <c r="AX229" i="8"/>
  <c r="AW229" i="8"/>
  <c r="AV229" i="8"/>
  <c r="AT229" i="8"/>
  <c r="AS229" i="8"/>
  <c r="AR229" i="8"/>
  <c r="AQ229" i="8"/>
  <c r="AO229" i="8"/>
  <c r="AN229" i="8"/>
  <c r="AM229" i="8"/>
  <c r="AL229" i="8"/>
  <c r="AJ229" i="8"/>
  <c r="AI229" i="8"/>
  <c r="AH229" i="8"/>
  <c r="AG229" i="8"/>
  <c r="AE229" i="8"/>
  <c r="AD229" i="8"/>
  <c r="AC229" i="8"/>
  <c r="AB229" i="8"/>
  <c r="Z229" i="8"/>
  <c r="Y229" i="8"/>
  <c r="X229" i="8"/>
  <c r="W229" i="8"/>
  <c r="U229" i="8"/>
  <c r="T229" i="8"/>
  <c r="S229" i="8"/>
  <c r="R229" i="8"/>
  <c r="P229" i="8"/>
  <c r="O229" i="8"/>
  <c r="N229" i="8"/>
  <c r="M229" i="8"/>
  <c r="CA228" i="8"/>
  <c r="BX228" i="8"/>
  <c r="BW228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CA227" i="8"/>
  <c r="BX227" i="8"/>
  <c r="BW227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CA226" i="8"/>
  <c r="BX226" i="8"/>
  <c r="BW226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CA225" i="8"/>
  <c r="BX225" i="8"/>
  <c r="BW225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CA224" i="8"/>
  <c r="BX224" i="8"/>
  <c r="BW224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CA223" i="8"/>
  <c r="BX223" i="8"/>
  <c r="BW223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CA222" i="8"/>
  <c r="BX222" i="8"/>
  <c r="BW222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CA221" i="8"/>
  <c r="BX221" i="8"/>
  <c r="BW221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CA220" i="8"/>
  <c r="BZ220" i="8"/>
  <c r="BX220" i="8"/>
  <c r="BW220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CA219" i="8"/>
  <c r="BX219" i="8"/>
  <c r="BW219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CA218" i="8"/>
  <c r="BX218" i="8"/>
  <c r="BW218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CA217" i="8"/>
  <c r="BX217" i="8"/>
  <c r="BW217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CA216" i="8"/>
  <c r="BX216" i="8"/>
  <c r="BW216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CA215" i="8"/>
  <c r="BX215" i="8"/>
  <c r="BW215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CA214" i="8"/>
  <c r="BX214" i="8"/>
  <c r="BW214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CA213" i="8"/>
  <c r="BX213" i="8"/>
  <c r="BW213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CA212" i="8"/>
  <c r="BX212" i="8"/>
  <c r="BW212" i="8"/>
  <c r="BV212" i="8"/>
  <c r="BU212" i="8"/>
  <c r="BN212" i="8"/>
  <c r="BM212" i="8"/>
  <c r="BL212" i="8"/>
  <c r="BK212" i="8"/>
  <c r="BI212" i="8"/>
  <c r="BH212" i="8"/>
  <c r="BG212" i="8"/>
  <c r="BF212" i="8"/>
  <c r="BD212" i="8"/>
  <c r="BC212" i="8"/>
  <c r="BB212" i="8"/>
  <c r="BA212" i="8"/>
  <c r="AY212" i="8"/>
  <c r="AX212" i="8"/>
  <c r="AW212" i="8"/>
  <c r="AV212" i="8"/>
  <c r="AT212" i="8"/>
  <c r="AS212" i="8"/>
  <c r="AR212" i="8"/>
  <c r="AQ212" i="8"/>
  <c r="AO212" i="8"/>
  <c r="AN212" i="8"/>
  <c r="AM212" i="8"/>
  <c r="AL212" i="8"/>
  <c r="AJ212" i="8"/>
  <c r="AI212" i="8"/>
  <c r="AH212" i="8"/>
  <c r="AG212" i="8"/>
  <c r="AE212" i="8"/>
  <c r="AD212" i="8"/>
  <c r="AC212" i="8"/>
  <c r="AB212" i="8"/>
  <c r="Z212" i="8"/>
  <c r="Y212" i="8"/>
  <c r="X212" i="8"/>
  <c r="W212" i="8"/>
  <c r="U212" i="8"/>
  <c r="T212" i="8"/>
  <c r="S212" i="8"/>
  <c r="R212" i="8"/>
  <c r="P212" i="8"/>
  <c r="O212" i="8"/>
  <c r="N212" i="8"/>
  <c r="M212" i="8"/>
  <c r="CA211" i="8"/>
  <c r="BX211" i="8"/>
  <c r="BW211" i="8"/>
  <c r="BV211" i="8"/>
  <c r="BU211" i="8"/>
  <c r="BN211" i="8"/>
  <c r="BM211" i="8"/>
  <c r="BL211" i="8"/>
  <c r="BK211" i="8"/>
  <c r="BI211" i="8"/>
  <c r="BH211" i="8"/>
  <c r="BG211" i="8"/>
  <c r="BF211" i="8"/>
  <c r="BD211" i="8"/>
  <c r="BC211" i="8"/>
  <c r="BB211" i="8"/>
  <c r="BA211" i="8"/>
  <c r="AY211" i="8"/>
  <c r="AX211" i="8"/>
  <c r="AW211" i="8"/>
  <c r="AV211" i="8"/>
  <c r="AT211" i="8"/>
  <c r="AS211" i="8"/>
  <c r="AR211" i="8"/>
  <c r="AQ211" i="8"/>
  <c r="AO211" i="8"/>
  <c r="AN211" i="8"/>
  <c r="AM211" i="8"/>
  <c r="AL211" i="8"/>
  <c r="AJ211" i="8"/>
  <c r="AI211" i="8"/>
  <c r="AH211" i="8"/>
  <c r="AG211" i="8"/>
  <c r="AE211" i="8"/>
  <c r="AD211" i="8"/>
  <c r="AC211" i="8"/>
  <c r="AB211" i="8"/>
  <c r="Z211" i="8"/>
  <c r="Y211" i="8"/>
  <c r="X211" i="8"/>
  <c r="W211" i="8"/>
  <c r="U211" i="8"/>
  <c r="T211" i="8"/>
  <c r="S211" i="8"/>
  <c r="R211" i="8"/>
  <c r="P211" i="8"/>
  <c r="O211" i="8"/>
  <c r="N211" i="8"/>
  <c r="M211" i="8"/>
  <c r="CA210" i="8"/>
  <c r="BX210" i="8"/>
  <c r="BW210" i="8"/>
  <c r="BV210" i="8"/>
  <c r="BU210" i="8"/>
  <c r="BN210" i="8"/>
  <c r="BM210" i="8"/>
  <c r="BL210" i="8"/>
  <c r="BK210" i="8"/>
  <c r="BI210" i="8"/>
  <c r="BH210" i="8"/>
  <c r="BG210" i="8"/>
  <c r="BF210" i="8"/>
  <c r="BD210" i="8"/>
  <c r="BC210" i="8"/>
  <c r="BB210" i="8"/>
  <c r="BA210" i="8"/>
  <c r="AY210" i="8"/>
  <c r="AX210" i="8"/>
  <c r="AW210" i="8"/>
  <c r="AV210" i="8"/>
  <c r="AT210" i="8"/>
  <c r="AS210" i="8"/>
  <c r="AR210" i="8"/>
  <c r="AQ210" i="8"/>
  <c r="AO210" i="8"/>
  <c r="AN210" i="8"/>
  <c r="AM210" i="8"/>
  <c r="AL210" i="8"/>
  <c r="AJ210" i="8"/>
  <c r="AI210" i="8"/>
  <c r="AH210" i="8"/>
  <c r="AG210" i="8"/>
  <c r="AE210" i="8"/>
  <c r="AD210" i="8"/>
  <c r="AC210" i="8"/>
  <c r="AB210" i="8"/>
  <c r="Z210" i="8"/>
  <c r="Y210" i="8"/>
  <c r="X210" i="8"/>
  <c r="W210" i="8"/>
  <c r="U210" i="8"/>
  <c r="T210" i="8"/>
  <c r="S210" i="8"/>
  <c r="R210" i="8"/>
  <c r="P210" i="8"/>
  <c r="O210" i="8"/>
  <c r="N210" i="8"/>
  <c r="M210" i="8"/>
  <c r="CA209" i="8"/>
  <c r="BX209" i="8"/>
  <c r="BW209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CA208" i="8"/>
  <c r="BX208" i="8"/>
  <c r="BW208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CA207" i="8"/>
  <c r="BX207" i="8"/>
  <c r="BW207" i="8"/>
  <c r="BV207" i="8"/>
  <c r="BU207" i="8"/>
  <c r="BN207" i="8"/>
  <c r="BM207" i="8"/>
  <c r="BL207" i="8"/>
  <c r="BK207" i="8"/>
  <c r="BI207" i="8"/>
  <c r="BH207" i="8"/>
  <c r="BG207" i="8"/>
  <c r="BF207" i="8"/>
  <c r="BD207" i="8"/>
  <c r="BC207" i="8"/>
  <c r="BB207" i="8"/>
  <c r="BA207" i="8"/>
  <c r="AY207" i="8"/>
  <c r="AX207" i="8"/>
  <c r="AW207" i="8"/>
  <c r="AV207" i="8"/>
  <c r="AT207" i="8"/>
  <c r="AS207" i="8"/>
  <c r="AR207" i="8"/>
  <c r="AQ207" i="8"/>
  <c r="AO207" i="8"/>
  <c r="AN207" i="8"/>
  <c r="AM207" i="8"/>
  <c r="AL207" i="8"/>
  <c r="AJ207" i="8"/>
  <c r="AI207" i="8"/>
  <c r="AH207" i="8"/>
  <c r="AG207" i="8"/>
  <c r="AE207" i="8"/>
  <c r="AD207" i="8"/>
  <c r="AC207" i="8"/>
  <c r="AB207" i="8"/>
  <c r="Z207" i="8"/>
  <c r="Y207" i="8"/>
  <c r="X207" i="8"/>
  <c r="W207" i="8"/>
  <c r="U207" i="8"/>
  <c r="T207" i="8"/>
  <c r="S207" i="8"/>
  <c r="R207" i="8"/>
  <c r="P207" i="8"/>
  <c r="O207" i="8"/>
  <c r="N207" i="8"/>
  <c r="M207" i="8"/>
  <c r="CA206" i="8"/>
  <c r="BX206" i="8"/>
  <c r="BW206" i="8"/>
  <c r="BV206" i="8"/>
  <c r="BU206" i="8"/>
  <c r="BN206" i="8"/>
  <c r="BM206" i="8"/>
  <c r="BL206" i="8"/>
  <c r="BK206" i="8"/>
  <c r="BI206" i="8"/>
  <c r="BH206" i="8"/>
  <c r="BG206" i="8"/>
  <c r="BF206" i="8"/>
  <c r="BD206" i="8"/>
  <c r="BC206" i="8"/>
  <c r="BB206" i="8"/>
  <c r="BA206" i="8"/>
  <c r="AY206" i="8"/>
  <c r="AX206" i="8"/>
  <c r="AW206" i="8"/>
  <c r="AV206" i="8"/>
  <c r="AT206" i="8"/>
  <c r="AS206" i="8"/>
  <c r="AR206" i="8"/>
  <c r="AQ206" i="8"/>
  <c r="AO206" i="8"/>
  <c r="AN206" i="8"/>
  <c r="AM206" i="8"/>
  <c r="AL206" i="8"/>
  <c r="AJ206" i="8"/>
  <c r="AI206" i="8"/>
  <c r="AH206" i="8"/>
  <c r="AG206" i="8"/>
  <c r="AE206" i="8"/>
  <c r="AD206" i="8"/>
  <c r="AC206" i="8"/>
  <c r="AB206" i="8"/>
  <c r="Z206" i="8"/>
  <c r="Y206" i="8"/>
  <c r="X206" i="8"/>
  <c r="W206" i="8"/>
  <c r="U206" i="8"/>
  <c r="T206" i="8"/>
  <c r="S206" i="8"/>
  <c r="R206" i="8"/>
  <c r="P206" i="8"/>
  <c r="O206" i="8"/>
  <c r="N206" i="8"/>
  <c r="M206" i="8"/>
  <c r="BN205" i="8"/>
  <c r="BM205" i="8"/>
  <c r="BL205" i="8"/>
  <c r="BK205" i="8"/>
  <c r="BI205" i="8"/>
  <c r="BH205" i="8"/>
  <c r="BG205" i="8"/>
  <c r="BF205" i="8"/>
  <c r="BD205" i="8"/>
  <c r="BC205" i="8"/>
  <c r="BB205" i="8"/>
  <c r="BA205" i="8"/>
  <c r="AY205" i="8"/>
  <c r="AX205" i="8"/>
  <c r="AW205" i="8"/>
  <c r="AV205" i="8"/>
  <c r="AT205" i="8"/>
  <c r="AS205" i="8"/>
  <c r="AR205" i="8"/>
  <c r="AQ205" i="8"/>
  <c r="AO205" i="8"/>
  <c r="AN205" i="8"/>
  <c r="AM205" i="8"/>
  <c r="AL205" i="8"/>
  <c r="AJ205" i="8"/>
  <c r="AI205" i="8"/>
  <c r="AH205" i="8"/>
  <c r="AG205" i="8"/>
  <c r="AE205" i="8"/>
  <c r="AD205" i="8"/>
  <c r="AC205" i="8"/>
  <c r="AB205" i="8"/>
  <c r="Z205" i="8"/>
  <c r="Y205" i="8"/>
  <c r="X205" i="8"/>
  <c r="W205" i="8"/>
  <c r="U205" i="8"/>
  <c r="T205" i="8"/>
  <c r="S205" i="8"/>
  <c r="R205" i="8"/>
  <c r="P205" i="8"/>
  <c r="O205" i="8"/>
  <c r="N205" i="8"/>
  <c r="M205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BZ363" i="8"/>
  <c r="BZ362" i="8"/>
  <c r="BZ361" i="8"/>
  <c r="EL195" i="8"/>
  <c r="BZ360" i="8" s="1"/>
  <c r="BT195" i="8"/>
  <c r="EL194" i="8"/>
  <c r="BZ359" i="8" s="1"/>
  <c r="BT194" i="8"/>
  <c r="EG193" i="8"/>
  <c r="EB193" i="8"/>
  <c r="DW193" i="8"/>
  <c r="DR193" i="8"/>
  <c r="DM193" i="8"/>
  <c r="DH193" i="8"/>
  <c r="DC193" i="8"/>
  <c r="CX193" i="8"/>
  <c r="CS193" i="8"/>
  <c r="CN193" i="8"/>
  <c r="CI193" i="8"/>
  <c r="CD193" i="8"/>
  <c r="BY193" i="8"/>
  <c r="BO193" i="8"/>
  <c r="BJ193" i="8"/>
  <c r="BE193" i="8"/>
  <c r="AZ193" i="8"/>
  <c r="AU193" i="8"/>
  <c r="AP193" i="8"/>
  <c r="AK193" i="8"/>
  <c r="AF193" i="8"/>
  <c r="AA193" i="8"/>
  <c r="V193" i="8"/>
  <c r="Q193" i="8"/>
  <c r="L193" i="8"/>
  <c r="G193" i="8"/>
  <c r="BZ357" i="8"/>
  <c r="EL191" i="8"/>
  <c r="BT191" i="8"/>
  <c r="EL190" i="8"/>
  <c r="BZ355" i="8" s="1"/>
  <c r="BT190" i="8"/>
  <c r="EG189" i="8"/>
  <c r="EB189" i="8"/>
  <c r="DW189" i="8"/>
  <c r="DR189" i="8"/>
  <c r="DM189" i="8"/>
  <c r="DH189" i="8"/>
  <c r="DC189" i="8"/>
  <c r="CX189" i="8"/>
  <c r="CS189" i="8"/>
  <c r="CN189" i="8"/>
  <c r="CI189" i="8"/>
  <c r="CD189" i="8"/>
  <c r="BY189" i="8"/>
  <c r="BO189" i="8"/>
  <c r="BJ189" i="8"/>
  <c r="BE189" i="8"/>
  <c r="AZ189" i="8"/>
  <c r="AU189" i="8"/>
  <c r="AP189" i="8"/>
  <c r="AK189" i="8"/>
  <c r="AF189" i="8"/>
  <c r="AA189" i="8"/>
  <c r="V189" i="8"/>
  <c r="Q189" i="8"/>
  <c r="L189" i="8"/>
  <c r="G189" i="8"/>
  <c r="BZ353" i="8"/>
  <c r="EL187" i="8"/>
  <c r="BZ352" i="8" s="1"/>
  <c r="BT187" i="8"/>
  <c r="EL186" i="8"/>
  <c r="BZ351" i="8" s="1"/>
  <c r="BT186" i="8"/>
  <c r="BT185" i="8" s="1"/>
  <c r="EG185" i="8"/>
  <c r="EB185" i="8"/>
  <c r="DW185" i="8"/>
  <c r="DR185" i="8"/>
  <c r="AZ358" i="8" s="1"/>
  <c r="DM185" i="8"/>
  <c r="DH185" i="8"/>
  <c r="DC185" i="8"/>
  <c r="CX185" i="8"/>
  <c r="CS185" i="8"/>
  <c r="CN185" i="8"/>
  <c r="V358" i="8" s="1"/>
  <c r="CI185" i="8"/>
  <c r="CD185" i="8"/>
  <c r="BY185" i="8"/>
  <c r="BO185" i="8"/>
  <c r="BJ185" i="8"/>
  <c r="BE185" i="8"/>
  <c r="AZ185" i="8"/>
  <c r="AU185" i="8"/>
  <c r="AP185" i="8"/>
  <c r="AK185" i="8"/>
  <c r="AF185" i="8"/>
  <c r="AA185" i="8"/>
  <c r="V185" i="8"/>
  <c r="Q185" i="8"/>
  <c r="L185" i="8"/>
  <c r="G185" i="8"/>
  <c r="BZ349" i="8"/>
  <c r="EL183" i="8"/>
  <c r="BZ348" i="8" s="1"/>
  <c r="BT183" i="8"/>
  <c r="EL182" i="8"/>
  <c r="BT182" i="8"/>
  <c r="BT181" i="8" s="1"/>
  <c r="EG181" i="8"/>
  <c r="EB181" i="8"/>
  <c r="DW181" i="8"/>
  <c r="DR181" i="8"/>
  <c r="DM181" i="8"/>
  <c r="DH181" i="8"/>
  <c r="DC181" i="8"/>
  <c r="CX181" i="8"/>
  <c r="CS181" i="8"/>
  <c r="CN181" i="8"/>
  <c r="CI181" i="8"/>
  <c r="CD181" i="8"/>
  <c r="BO181" i="8"/>
  <c r="BJ181" i="8"/>
  <c r="BE181" i="8"/>
  <c r="AZ181" i="8"/>
  <c r="AU181" i="8"/>
  <c r="AP181" i="8"/>
  <c r="AK181" i="8"/>
  <c r="AF181" i="8"/>
  <c r="AA181" i="8"/>
  <c r="V181" i="8"/>
  <c r="Q181" i="8"/>
  <c r="L181" i="8"/>
  <c r="BZ345" i="8"/>
  <c r="EG179" i="8"/>
  <c r="EB179" i="8"/>
  <c r="DW179" i="8"/>
  <c r="DR179" i="8"/>
  <c r="DM179" i="8"/>
  <c r="DH179" i="8"/>
  <c r="DC179" i="8"/>
  <c r="CX179" i="8"/>
  <c r="CS179" i="8"/>
  <c r="CN179" i="8"/>
  <c r="CI179" i="8"/>
  <c r="CD179" i="8"/>
  <c r="BO179" i="8"/>
  <c r="BJ179" i="8"/>
  <c r="BE179" i="8"/>
  <c r="AZ179" i="8"/>
  <c r="AU179" i="8"/>
  <c r="AP179" i="8"/>
  <c r="AK179" i="8"/>
  <c r="AF179" i="8"/>
  <c r="AA179" i="8"/>
  <c r="V179" i="8"/>
  <c r="Q179" i="8"/>
  <c r="L179" i="8"/>
  <c r="EG178" i="8"/>
  <c r="EB178" i="8"/>
  <c r="DW178" i="8"/>
  <c r="DR178" i="8"/>
  <c r="DM178" i="8"/>
  <c r="DH178" i="8"/>
  <c r="DC178" i="8"/>
  <c r="CX178" i="8"/>
  <c r="CS178" i="8"/>
  <c r="CN178" i="8"/>
  <c r="CI178" i="8"/>
  <c r="CD178" i="8"/>
  <c r="BO178" i="8"/>
  <c r="BJ178" i="8"/>
  <c r="BE178" i="8"/>
  <c r="AZ178" i="8"/>
  <c r="AU178" i="8"/>
  <c r="AP178" i="8"/>
  <c r="AK178" i="8"/>
  <c r="AF178" i="8"/>
  <c r="AA178" i="8"/>
  <c r="V178" i="8"/>
  <c r="Q178" i="8"/>
  <c r="L178" i="8"/>
  <c r="BZ341" i="8"/>
  <c r="EL175" i="8"/>
  <c r="BZ340" i="8" s="1"/>
  <c r="BT175" i="8"/>
  <c r="EL174" i="8"/>
  <c r="BZ339" i="8" s="1"/>
  <c r="BT174" i="8"/>
  <c r="EG173" i="8"/>
  <c r="EB173" i="8"/>
  <c r="DW173" i="8"/>
  <c r="DR173" i="8"/>
  <c r="DM173" i="8"/>
  <c r="DH173" i="8"/>
  <c r="DC173" i="8"/>
  <c r="CX173" i="8"/>
  <c r="CS173" i="8"/>
  <c r="CN173" i="8"/>
  <c r="CI173" i="8"/>
  <c r="CD173" i="8"/>
  <c r="BY173" i="8"/>
  <c r="BO173" i="8"/>
  <c r="BJ173" i="8"/>
  <c r="BE173" i="8"/>
  <c r="AZ173" i="8"/>
  <c r="AU173" i="8"/>
  <c r="AP173" i="8"/>
  <c r="AK173" i="8"/>
  <c r="AF173" i="8"/>
  <c r="AA173" i="8"/>
  <c r="V173" i="8"/>
  <c r="Q173" i="8"/>
  <c r="L173" i="8"/>
  <c r="BZ337" i="8"/>
  <c r="EL171" i="8"/>
  <c r="BT171" i="8"/>
  <c r="EL170" i="8"/>
  <c r="BZ335" i="8" s="1"/>
  <c r="BT170" i="8"/>
  <c r="EG169" i="8"/>
  <c r="EB169" i="8"/>
  <c r="DW169" i="8"/>
  <c r="DR169" i="8"/>
  <c r="DM169" i="8"/>
  <c r="DH169" i="8"/>
  <c r="AP342" i="8" s="1"/>
  <c r="DC169" i="8"/>
  <c r="CX169" i="8"/>
  <c r="CS169" i="8"/>
  <c r="CN169" i="8"/>
  <c r="CI169" i="8"/>
  <c r="CD169" i="8"/>
  <c r="BY169" i="8"/>
  <c r="BO169" i="8"/>
  <c r="BJ169" i="8"/>
  <c r="BE169" i="8"/>
  <c r="AZ169" i="8"/>
  <c r="AU169" i="8"/>
  <c r="AP169" i="8"/>
  <c r="AK169" i="8"/>
  <c r="AF169" i="8"/>
  <c r="AA169" i="8"/>
  <c r="V169" i="8"/>
  <c r="Q169" i="8"/>
  <c r="L169" i="8"/>
  <c r="BZ333" i="8"/>
  <c r="EG167" i="8"/>
  <c r="EB167" i="8"/>
  <c r="DW167" i="8"/>
  <c r="DR167" i="8"/>
  <c r="DM167" i="8"/>
  <c r="DC167" i="8"/>
  <c r="AK340" i="8" s="1"/>
  <c r="CX167" i="8"/>
  <c r="CS167" i="8"/>
  <c r="CN167" i="8"/>
  <c r="CI167" i="8"/>
  <c r="CD167" i="8"/>
  <c r="BO167" i="8"/>
  <c r="BJ167" i="8"/>
  <c r="BE167" i="8"/>
  <c r="AZ167" i="8"/>
  <c r="AU167" i="8"/>
  <c r="AK167" i="8"/>
  <c r="AF167" i="8"/>
  <c r="AA167" i="8"/>
  <c r="V167" i="8"/>
  <c r="Q167" i="8"/>
  <c r="L167" i="8"/>
  <c r="EG166" i="8"/>
  <c r="EB166" i="8"/>
  <c r="DW166" i="8"/>
  <c r="DR166" i="8"/>
  <c r="DM166" i="8"/>
  <c r="DC166" i="8"/>
  <c r="CX166" i="8"/>
  <c r="CS166" i="8"/>
  <c r="CN166" i="8"/>
  <c r="CI166" i="8"/>
  <c r="CD166" i="8"/>
  <c r="BO166" i="8"/>
  <c r="BJ166" i="8"/>
  <c r="BE166" i="8"/>
  <c r="AZ166" i="8"/>
  <c r="AU166" i="8"/>
  <c r="AK166" i="8"/>
  <c r="AF166" i="8"/>
  <c r="AA166" i="8"/>
  <c r="V166" i="8"/>
  <c r="Q166" i="8"/>
  <c r="L166" i="8"/>
  <c r="DH165" i="8"/>
  <c r="DH114" i="8" s="1"/>
  <c r="BY165" i="8"/>
  <c r="AP165" i="8"/>
  <c r="AP114" i="8" s="1"/>
  <c r="G165" i="8"/>
  <c r="G114" i="8" s="1"/>
  <c r="BZ329" i="8"/>
  <c r="EL163" i="8"/>
  <c r="BZ328" i="8" s="1"/>
  <c r="BT163" i="8"/>
  <c r="EL162" i="8"/>
  <c r="BZ327" i="8" s="1"/>
  <c r="BT162" i="8"/>
  <c r="EG161" i="8"/>
  <c r="EB161" i="8"/>
  <c r="DW161" i="8"/>
  <c r="DR161" i="8"/>
  <c r="DM161" i="8"/>
  <c r="DH161" i="8"/>
  <c r="DC161" i="8"/>
  <c r="CX161" i="8"/>
  <c r="CS161" i="8"/>
  <c r="CN161" i="8"/>
  <c r="CI161" i="8"/>
  <c r="CD161" i="8"/>
  <c r="BO161" i="8"/>
  <c r="BJ161" i="8"/>
  <c r="BE161" i="8"/>
  <c r="AZ161" i="8"/>
  <c r="AU161" i="8"/>
  <c r="AP161" i="8"/>
  <c r="AK161" i="8"/>
  <c r="AF161" i="8"/>
  <c r="AA161" i="8"/>
  <c r="V161" i="8"/>
  <c r="Q161" i="8"/>
  <c r="L161" i="8"/>
  <c r="G161" i="8"/>
  <c r="BZ325" i="8"/>
  <c r="EL159" i="8"/>
  <c r="BZ324" i="8" s="1"/>
  <c r="BT159" i="8"/>
  <c r="EL158" i="8"/>
  <c r="BZ323" i="8" s="1"/>
  <c r="BT158" i="8"/>
  <c r="EG157" i="8"/>
  <c r="EB157" i="8"/>
  <c r="DW157" i="8"/>
  <c r="DR157" i="8"/>
  <c r="DM157" i="8"/>
  <c r="DH157" i="8"/>
  <c r="DC157" i="8"/>
  <c r="CX157" i="8"/>
  <c r="CS157" i="8"/>
  <c r="CN157" i="8"/>
  <c r="CI157" i="8"/>
  <c r="CD157" i="8"/>
  <c r="BO157" i="8"/>
  <c r="BJ157" i="8"/>
  <c r="BE157" i="8"/>
  <c r="AZ157" i="8"/>
  <c r="AU157" i="8"/>
  <c r="AP157" i="8"/>
  <c r="AK157" i="8"/>
  <c r="AF157" i="8"/>
  <c r="AA157" i="8"/>
  <c r="V157" i="8"/>
  <c r="Q157" i="8"/>
  <c r="L157" i="8"/>
  <c r="G157" i="8"/>
  <c r="BZ321" i="8"/>
  <c r="EL155" i="8"/>
  <c r="BZ320" i="8" s="1"/>
  <c r="EL154" i="8"/>
  <c r="EG153" i="8"/>
  <c r="EB153" i="8"/>
  <c r="DW153" i="8"/>
  <c r="DR153" i="8"/>
  <c r="DM153" i="8"/>
  <c r="DH153" i="8"/>
  <c r="DC153" i="8"/>
  <c r="CX153" i="8"/>
  <c r="CS153" i="8"/>
  <c r="CN153" i="8"/>
  <c r="V326" i="8" s="1"/>
  <c r="CI153" i="8"/>
  <c r="CD153" i="8"/>
  <c r="BY153" i="8"/>
  <c r="BT153" i="8"/>
  <c r="BO153" i="8"/>
  <c r="BJ153" i="8"/>
  <c r="BE153" i="8"/>
  <c r="AZ153" i="8"/>
  <c r="AU153" i="8"/>
  <c r="AP153" i="8"/>
  <c r="AK153" i="8"/>
  <c r="AF153" i="8"/>
  <c r="AA153" i="8"/>
  <c r="V153" i="8"/>
  <c r="Q153" i="8"/>
  <c r="L153" i="8"/>
  <c r="G153" i="8"/>
  <c r="BZ317" i="8"/>
  <c r="EL151" i="8"/>
  <c r="BZ316" i="8" s="1"/>
  <c r="EL150" i="8"/>
  <c r="BZ315" i="8" s="1"/>
  <c r="EL149" i="8"/>
  <c r="BZ314" i="8" s="1"/>
  <c r="EG149" i="8"/>
  <c r="EB149" i="8"/>
  <c r="DW149" i="8"/>
  <c r="DR149" i="8"/>
  <c r="DM149" i="8"/>
  <c r="DH149" i="8"/>
  <c r="DC149" i="8"/>
  <c r="CX149" i="8"/>
  <c r="CS149" i="8"/>
  <c r="CN149" i="8"/>
  <c r="CI149" i="8"/>
  <c r="CD149" i="8"/>
  <c r="BY149" i="8"/>
  <c r="BT149" i="8"/>
  <c r="BO149" i="8"/>
  <c r="BJ149" i="8"/>
  <c r="BE149" i="8"/>
  <c r="AZ149" i="8"/>
  <c r="AU149" i="8"/>
  <c r="AP149" i="8"/>
  <c r="AK149" i="8"/>
  <c r="AF149" i="8"/>
  <c r="AA149" i="8"/>
  <c r="V149" i="8"/>
  <c r="Q149" i="8"/>
  <c r="L149" i="8"/>
  <c r="G149" i="8"/>
  <c r="BZ313" i="8"/>
  <c r="EL147" i="8"/>
  <c r="BZ312" i="8" s="1"/>
  <c r="EL146" i="8"/>
  <c r="BZ311" i="8" s="1"/>
  <c r="EG145" i="8"/>
  <c r="EB145" i="8"/>
  <c r="DW145" i="8"/>
  <c r="DR145" i="8"/>
  <c r="DM145" i="8"/>
  <c r="DH145" i="8"/>
  <c r="DC145" i="8"/>
  <c r="CX145" i="8"/>
  <c r="CS145" i="8"/>
  <c r="CN145" i="8"/>
  <c r="CI145" i="8"/>
  <c r="CD145" i="8"/>
  <c r="BY145" i="8"/>
  <c r="BT145" i="8"/>
  <c r="BO145" i="8"/>
  <c r="BJ145" i="8"/>
  <c r="BE145" i="8"/>
  <c r="AZ145" i="8"/>
  <c r="AU145" i="8"/>
  <c r="AP145" i="8"/>
  <c r="AK145" i="8"/>
  <c r="AF145" i="8"/>
  <c r="AA145" i="8"/>
  <c r="V145" i="8"/>
  <c r="Q145" i="8"/>
  <c r="L145" i="8"/>
  <c r="G145" i="8"/>
  <c r="BZ309" i="8"/>
  <c r="EL143" i="8"/>
  <c r="BZ308" i="8" s="1"/>
  <c r="EL142" i="8"/>
  <c r="EG141" i="8"/>
  <c r="EB141" i="8"/>
  <c r="DW141" i="8"/>
  <c r="DR141" i="8"/>
  <c r="DM141" i="8"/>
  <c r="DH141" i="8"/>
  <c r="DC141" i="8"/>
  <c r="CX141" i="8"/>
  <c r="CS141" i="8"/>
  <c r="CN141" i="8"/>
  <c r="CI141" i="8"/>
  <c r="CD141" i="8"/>
  <c r="BY141" i="8"/>
  <c r="BT141" i="8"/>
  <c r="BO141" i="8"/>
  <c r="BJ141" i="8"/>
  <c r="BE141" i="8"/>
  <c r="AZ141" i="8"/>
  <c r="AU141" i="8"/>
  <c r="AP141" i="8"/>
  <c r="AK141" i="8"/>
  <c r="AF141" i="8"/>
  <c r="AA141" i="8"/>
  <c r="V141" i="8"/>
  <c r="Q141" i="8"/>
  <c r="L141" i="8"/>
  <c r="G141" i="8"/>
  <c r="BZ305" i="8"/>
  <c r="EL139" i="8"/>
  <c r="BT139" i="8"/>
  <c r="BY139" i="8" s="1"/>
  <c r="EL138" i="8"/>
  <c r="BT138" i="8"/>
  <c r="BY138" i="8" s="1"/>
  <c r="EG137" i="8"/>
  <c r="EB137" i="8"/>
  <c r="DW137" i="8"/>
  <c r="DR137" i="8"/>
  <c r="DM137" i="8"/>
  <c r="DH137" i="8"/>
  <c r="DC137" i="8"/>
  <c r="CX137" i="8"/>
  <c r="CS137" i="8"/>
  <c r="CN137" i="8"/>
  <c r="CI137" i="8"/>
  <c r="CD137" i="8"/>
  <c r="BO137" i="8"/>
  <c r="BJ137" i="8"/>
  <c r="BE137" i="8"/>
  <c r="AZ137" i="8"/>
  <c r="AU137" i="8"/>
  <c r="AP137" i="8"/>
  <c r="AK137" i="8"/>
  <c r="AF137" i="8"/>
  <c r="AA137" i="8"/>
  <c r="V137" i="8"/>
  <c r="Q137" i="8"/>
  <c r="L137" i="8"/>
  <c r="BZ301" i="8"/>
  <c r="EL135" i="8"/>
  <c r="BT135" i="8"/>
  <c r="BY135" i="8" s="1"/>
  <c r="EL134" i="8"/>
  <c r="BT134" i="8"/>
  <c r="BY134" i="8" s="1"/>
  <c r="EG133" i="8"/>
  <c r="EB133" i="8"/>
  <c r="DW133" i="8"/>
  <c r="DR133" i="8"/>
  <c r="DM133" i="8"/>
  <c r="DH133" i="8"/>
  <c r="DC133" i="8"/>
  <c r="CX133" i="8"/>
  <c r="CS133" i="8"/>
  <c r="CN133" i="8"/>
  <c r="CI133" i="8"/>
  <c r="CD133" i="8"/>
  <c r="BO133" i="8"/>
  <c r="BJ133" i="8"/>
  <c r="BE133" i="8"/>
  <c r="AZ133" i="8"/>
  <c r="AU133" i="8"/>
  <c r="AP133" i="8"/>
  <c r="AK133" i="8"/>
  <c r="AF133" i="8"/>
  <c r="AA133" i="8"/>
  <c r="V133" i="8"/>
  <c r="Q133" i="8"/>
  <c r="L133" i="8"/>
  <c r="BZ297" i="8"/>
  <c r="EL131" i="8"/>
  <c r="BZ296" i="8" s="1"/>
  <c r="BT131" i="8"/>
  <c r="EL130" i="8"/>
  <c r="BZ295" i="8" s="1"/>
  <c r="BT130" i="8"/>
  <c r="EG129" i="8"/>
  <c r="EB129" i="8"/>
  <c r="DW129" i="8"/>
  <c r="DR129" i="8"/>
  <c r="DM129" i="8"/>
  <c r="DH129" i="8"/>
  <c r="DC129" i="8"/>
  <c r="CX129" i="8"/>
  <c r="CS129" i="8"/>
  <c r="CN129" i="8"/>
  <c r="CI129" i="8"/>
  <c r="CD129" i="8"/>
  <c r="BY129" i="8"/>
  <c r="BO129" i="8"/>
  <c r="BJ129" i="8"/>
  <c r="BE129" i="8"/>
  <c r="AZ129" i="8"/>
  <c r="AU129" i="8"/>
  <c r="AP129" i="8"/>
  <c r="AK129" i="8"/>
  <c r="AF129" i="8"/>
  <c r="AA129" i="8"/>
  <c r="V129" i="8"/>
  <c r="Q129" i="8"/>
  <c r="L129" i="8"/>
  <c r="G129" i="8"/>
  <c r="BZ293" i="8"/>
  <c r="EL127" i="8"/>
  <c r="BZ292" i="8" s="1"/>
  <c r="BT127" i="8"/>
  <c r="EL126" i="8"/>
  <c r="BT126" i="8"/>
  <c r="EG125" i="8"/>
  <c r="EB125" i="8"/>
  <c r="BJ298" i="8" s="1"/>
  <c r="DW125" i="8"/>
  <c r="DR125" i="8"/>
  <c r="DM125" i="8"/>
  <c r="DH125" i="8"/>
  <c r="DC125" i="8"/>
  <c r="CX125" i="8"/>
  <c r="CS125" i="8"/>
  <c r="CN125" i="8"/>
  <c r="CI125" i="8"/>
  <c r="CD125" i="8"/>
  <c r="BY125" i="8"/>
  <c r="BO125" i="8"/>
  <c r="BJ125" i="8"/>
  <c r="BE125" i="8"/>
  <c r="AZ125" i="8"/>
  <c r="AU125" i="8"/>
  <c r="AP125" i="8"/>
  <c r="AK125" i="8"/>
  <c r="AF125" i="8"/>
  <c r="AA125" i="8"/>
  <c r="V125" i="8"/>
  <c r="Q125" i="8"/>
  <c r="L125" i="8"/>
  <c r="G125" i="8"/>
  <c r="BZ289" i="8"/>
  <c r="EL123" i="8"/>
  <c r="BZ288" i="8" s="1"/>
  <c r="BT123" i="8"/>
  <c r="EL122" i="8"/>
  <c r="BT122" i="8"/>
  <c r="EG121" i="8"/>
  <c r="EB121" i="8"/>
  <c r="DW121" i="8"/>
  <c r="DR121" i="8"/>
  <c r="DM121" i="8"/>
  <c r="DH121" i="8"/>
  <c r="DC121" i="8"/>
  <c r="CX121" i="8"/>
  <c r="CS121" i="8"/>
  <c r="CN121" i="8"/>
  <c r="CI121" i="8"/>
  <c r="CD121" i="8"/>
  <c r="BY121" i="8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G121" i="8"/>
  <c r="BZ285" i="8"/>
  <c r="EG119" i="8"/>
  <c r="EB119" i="8"/>
  <c r="DW119" i="8"/>
  <c r="DR119" i="8"/>
  <c r="DM119" i="8"/>
  <c r="DH119" i="8"/>
  <c r="DC119" i="8"/>
  <c r="CX119" i="8"/>
  <c r="AF292" i="8" s="1"/>
  <c r="CS119" i="8"/>
  <c r="CN119" i="8"/>
  <c r="CI119" i="8"/>
  <c r="CD119" i="8"/>
  <c r="BO119" i="8"/>
  <c r="BJ119" i="8"/>
  <c r="BE119" i="8"/>
  <c r="AZ119" i="8"/>
  <c r="AU119" i="8"/>
  <c r="AP119" i="8"/>
  <c r="AK119" i="8"/>
  <c r="AF119" i="8"/>
  <c r="AA119" i="8"/>
  <c r="V119" i="8"/>
  <c r="Q119" i="8"/>
  <c r="L119" i="8"/>
  <c r="G119" i="8"/>
  <c r="EG118" i="8"/>
  <c r="EB118" i="8"/>
  <c r="DW118" i="8"/>
  <c r="DR118" i="8"/>
  <c r="DM118" i="8"/>
  <c r="DH118" i="8"/>
  <c r="DC118" i="8"/>
  <c r="CX118" i="8"/>
  <c r="CS118" i="8"/>
  <c r="CN118" i="8"/>
  <c r="CI118" i="8"/>
  <c r="CD118" i="8"/>
  <c r="BO118" i="8"/>
  <c r="BJ118" i="8"/>
  <c r="BE118" i="8"/>
  <c r="AZ118" i="8"/>
  <c r="AU118" i="8"/>
  <c r="AP118" i="8"/>
  <c r="AK118" i="8"/>
  <c r="AF118" i="8"/>
  <c r="AA118" i="8"/>
  <c r="V118" i="8"/>
  <c r="Q118" i="8"/>
  <c r="L118" i="8"/>
  <c r="G118" i="8"/>
  <c r="BZ281" i="8"/>
  <c r="G115" i="8"/>
  <c r="CD113" i="8"/>
  <c r="BZ276" i="8"/>
  <c r="EL110" i="8"/>
  <c r="BT110" i="8"/>
  <c r="BY110" i="8" s="1"/>
  <c r="EL109" i="8"/>
  <c r="BT109" i="8"/>
  <c r="BY109" i="8" s="1"/>
  <c r="EL108" i="8"/>
  <c r="BT108" i="8"/>
  <c r="BY108" i="8" s="1"/>
  <c r="EG107" i="8"/>
  <c r="EB107" i="8"/>
  <c r="DW107" i="8"/>
  <c r="DR107" i="8"/>
  <c r="DM107" i="8"/>
  <c r="DH107" i="8"/>
  <c r="DC107" i="8"/>
  <c r="CX107" i="8"/>
  <c r="CS107" i="8"/>
  <c r="CN107" i="8"/>
  <c r="CI107" i="8"/>
  <c r="CD107" i="8"/>
  <c r="BO107" i="8"/>
  <c r="BJ107" i="8"/>
  <c r="BE107" i="8"/>
  <c r="AZ107" i="8"/>
  <c r="AU107" i="8"/>
  <c r="AP107" i="8"/>
  <c r="AK107" i="8"/>
  <c r="AF107" i="8"/>
  <c r="AA107" i="8"/>
  <c r="V107" i="8"/>
  <c r="Q107" i="8"/>
  <c r="L107" i="8"/>
  <c r="BZ271" i="8"/>
  <c r="EL105" i="8"/>
  <c r="BT105" i="8"/>
  <c r="BY105" i="8" s="1"/>
  <c r="EL104" i="8"/>
  <c r="BT104" i="8"/>
  <c r="BY104" i="8" s="1"/>
  <c r="EL103" i="8"/>
  <c r="BT103" i="8"/>
  <c r="BY103" i="8" s="1"/>
  <c r="EG102" i="8"/>
  <c r="EB102" i="8"/>
  <c r="DW102" i="8"/>
  <c r="DR102" i="8"/>
  <c r="DM102" i="8"/>
  <c r="DH102" i="8"/>
  <c r="DC102" i="8"/>
  <c r="CX102" i="8"/>
  <c r="CS102" i="8"/>
  <c r="CN102" i="8"/>
  <c r="CI102" i="8"/>
  <c r="CD102" i="8"/>
  <c r="BO102" i="8"/>
  <c r="BJ102" i="8"/>
  <c r="BE102" i="8"/>
  <c r="AZ102" i="8"/>
  <c r="AU102" i="8"/>
  <c r="AP102" i="8"/>
  <c r="AK102" i="8"/>
  <c r="AF102" i="8"/>
  <c r="AA102" i="8"/>
  <c r="V102" i="8"/>
  <c r="Q102" i="8"/>
  <c r="L102" i="8"/>
  <c r="BZ266" i="8"/>
  <c r="EL100" i="8"/>
  <c r="BT100" i="8"/>
  <c r="BY100" i="8" s="1"/>
  <c r="EL99" i="8"/>
  <c r="BT99" i="8"/>
  <c r="BY99" i="8" s="1"/>
  <c r="EL98" i="8"/>
  <c r="BT98" i="8"/>
  <c r="BY98" i="8" s="1"/>
  <c r="EG97" i="8"/>
  <c r="EB97" i="8"/>
  <c r="DW97" i="8"/>
  <c r="DR97" i="8"/>
  <c r="DM97" i="8"/>
  <c r="DH97" i="8"/>
  <c r="DC97" i="8"/>
  <c r="CX97" i="8"/>
  <c r="CS97" i="8"/>
  <c r="CN97" i="8"/>
  <c r="CI97" i="8"/>
  <c r="CD97" i="8"/>
  <c r="BO97" i="8"/>
  <c r="BJ97" i="8"/>
  <c r="BE97" i="8"/>
  <c r="AZ97" i="8"/>
  <c r="AU97" i="8"/>
  <c r="AP97" i="8"/>
  <c r="AK97" i="8"/>
  <c r="AF97" i="8"/>
  <c r="AA97" i="8"/>
  <c r="V97" i="8"/>
  <c r="Q97" i="8"/>
  <c r="L97" i="8"/>
  <c r="BZ261" i="8"/>
  <c r="EL95" i="8"/>
  <c r="BT95" i="8"/>
  <c r="BY95" i="8" s="1"/>
  <c r="BZ260" i="8" s="1"/>
  <c r="EL94" i="8"/>
  <c r="BT94" i="8"/>
  <c r="BY94" i="8" s="1"/>
  <c r="EL93" i="8"/>
  <c r="EL92" i="8" s="1"/>
  <c r="BT93" i="8"/>
  <c r="EG92" i="8"/>
  <c r="EB92" i="8"/>
  <c r="DW92" i="8"/>
  <c r="DR92" i="8"/>
  <c r="DM92" i="8"/>
  <c r="DH92" i="8"/>
  <c r="DC92" i="8"/>
  <c r="CX92" i="8"/>
  <c r="CS92" i="8"/>
  <c r="CN92" i="8"/>
  <c r="CI92" i="8"/>
  <c r="CD92" i="8"/>
  <c r="BO92" i="8"/>
  <c r="BJ92" i="8"/>
  <c r="BE92" i="8"/>
  <c r="AZ92" i="8"/>
  <c r="AU92" i="8"/>
  <c r="AP92" i="8"/>
  <c r="AK92" i="8"/>
  <c r="AF92" i="8"/>
  <c r="AA92" i="8"/>
  <c r="V92" i="8"/>
  <c r="Q92" i="8"/>
  <c r="L92" i="8"/>
  <c r="BZ256" i="8"/>
  <c r="EL90" i="8"/>
  <c r="EL85" i="8" s="1"/>
  <c r="BT90" i="8"/>
  <c r="EL89" i="8"/>
  <c r="EL84" i="8" s="1"/>
  <c r="BT89" i="8"/>
  <c r="BT84" i="8" s="1"/>
  <c r="EL88" i="8"/>
  <c r="BT88" i="8"/>
  <c r="BT83" i="8" s="1"/>
  <c r="EG87" i="8"/>
  <c r="EB87" i="8"/>
  <c r="DW87" i="8"/>
  <c r="DR87" i="8"/>
  <c r="DM87" i="8"/>
  <c r="DH87" i="8"/>
  <c r="DC87" i="8"/>
  <c r="CX87" i="8"/>
  <c r="CS87" i="8"/>
  <c r="CN87" i="8"/>
  <c r="CI87" i="8"/>
  <c r="CD87" i="8"/>
  <c r="BO87" i="8"/>
  <c r="BJ87" i="8"/>
  <c r="BE87" i="8"/>
  <c r="AZ87" i="8"/>
  <c r="AU87" i="8"/>
  <c r="AP87" i="8"/>
  <c r="AK87" i="8"/>
  <c r="AF87" i="8"/>
  <c r="AA87" i="8"/>
  <c r="V87" i="8"/>
  <c r="Q87" i="8"/>
  <c r="L87" i="8"/>
  <c r="BZ251" i="8"/>
  <c r="EG85" i="8"/>
  <c r="EB85" i="8"/>
  <c r="DW85" i="8"/>
  <c r="DR85" i="8"/>
  <c r="DM85" i="8"/>
  <c r="DH85" i="8"/>
  <c r="AP258" i="8" s="1"/>
  <c r="DC85" i="8"/>
  <c r="CX85" i="8"/>
  <c r="CS85" i="8"/>
  <c r="CN85" i="8"/>
  <c r="CI85" i="8"/>
  <c r="CD85" i="8"/>
  <c r="BO85" i="8"/>
  <c r="BJ85" i="8"/>
  <c r="BE85" i="8"/>
  <c r="AZ85" i="8"/>
  <c r="AU85" i="8"/>
  <c r="AP85" i="8"/>
  <c r="AK85" i="8"/>
  <c r="AF85" i="8"/>
  <c r="AA85" i="8"/>
  <c r="V85" i="8"/>
  <c r="Q85" i="8"/>
  <c r="L85" i="8"/>
  <c r="EG84" i="8"/>
  <c r="EB84" i="8"/>
  <c r="DW84" i="8"/>
  <c r="DR84" i="8"/>
  <c r="DM84" i="8"/>
  <c r="DH84" i="8"/>
  <c r="DC84" i="8"/>
  <c r="CX84" i="8"/>
  <c r="CS84" i="8"/>
  <c r="CN84" i="8"/>
  <c r="CI84" i="8"/>
  <c r="CD84" i="8"/>
  <c r="BO84" i="8"/>
  <c r="BJ84" i="8"/>
  <c r="BE84" i="8"/>
  <c r="AZ84" i="8"/>
  <c r="AU84" i="8"/>
  <c r="AP84" i="8"/>
  <c r="AK84" i="8"/>
  <c r="AF84" i="8"/>
  <c r="AA84" i="8"/>
  <c r="V84" i="8"/>
  <c r="Q84" i="8"/>
  <c r="L84" i="8"/>
  <c r="EG83" i="8"/>
  <c r="EB83" i="8"/>
  <c r="DW83" i="8"/>
  <c r="DR83" i="8"/>
  <c r="DM83" i="8"/>
  <c r="DH83" i="8"/>
  <c r="DC83" i="8"/>
  <c r="CX83" i="8"/>
  <c r="CS83" i="8"/>
  <c r="CN83" i="8"/>
  <c r="CI83" i="8"/>
  <c r="CD83" i="8"/>
  <c r="BO83" i="8"/>
  <c r="BJ83" i="8"/>
  <c r="BE83" i="8"/>
  <c r="AZ83" i="8"/>
  <c r="AU83" i="8"/>
  <c r="AP83" i="8"/>
  <c r="AK83" i="8"/>
  <c r="AF83" i="8"/>
  <c r="AA83" i="8"/>
  <c r="V83" i="8"/>
  <c r="Q83" i="8"/>
  <c r="L83" i="8"/>
  <c r="BZ246" i="8"/>
  <c r="EL80" i="8"/>
  <c r="EL75" i="8" s="1"/>
  <c r="BT80" i="8"/>
  <c r="BY80" i="8" s="1"/>
  <c r="BY75" i="8" s="1"/>
  <c r="EL79" i="8"/>
  <c r="BT79" i="8"/>
  <c r="EL78" i="8"/>
  <c r="BT78" i="8"/>
  <c r="BY78" i="8" s="1"/>
  <c r="BY73" i="8" s="1"/>
  <c r="EG77" i="8"/>
  <c r="EB77" i="8"/>
  <c r="DW77" i="8"/>
  <c r="DR77" i="8"/>
  <c r="DM77" i="8"/>
  <c r="DH77" i="8"/>
  <c r="DC77" i="8"/>
  <c r="CX77" i="8"/>
  <c r="CS77" i="8"/>
  <c r="CN77" i="8"/>
  <c r="CI77" i="8"/>
  <c r="CD77" i="8"/>
  <c r="BO77" i="8"/>
  <c r="BJ77" i="8"/>
  <c r="BE77" i="8"/>
  <c r="AZ77" i="8"/>
  <c r="AU77" i="8"/>
  <c r="AP77" i="8"/>
  <c r="AK77" i="8"/>
  <c r="AF77" i="8"/>
  <c r="AA77" i="8"/>
  <c r="V77" i="8"/>
  <c r="Q77" i="8"/>
  <c r="L77" i="8"/>
  <c r="BZ241" i="8"/>
  <c r="EG75" i="8"/>
  <c r="EB75" i="8"/>
  <c r="DW75" i="8"/>
  <c r="DR75" i="8"/>
  <c r="DM75" i="8"/>
  <c r="DH75" i="8"/>
  <c r="DC75" i="8"/>
  <c r="CX75" i="8"/>
  <c r="CS75" i="8"/>
  <c r="CN75" i="8"/>
  <c r="CI75" i="8"/>
  <c r="CD75" i="8"/>
  <c r="BO75" i="8"/>
  <c r="BJ75" i="8"/>
  <c r="BE75" i="8"/>
  <c r="AZ75" i="8"/>
  <c r="AU75" i="8"/>
  <c r="AP75" i="8"/>
  <c r="AK75" i="8"/>
  <c r="AF75" i="8"/>
  <c r="AA75" i="8"/>
  <c r="V75" i="8"/>
  <c r="Q75" i="8"/>
  <c r="L75" i="8"/>
  <c r="EL74" i="8"/>
  <c r="EG74" i="8"/>
  <c r="EB74" i="8"/>
  <c r="DW74" i="8"/>
  <c r="DR74" i="8"/>
  <c r="DM74" i="8"/>
  <c r="DH74" i="8"/>
  <c r="DC74" i="8"/>
  <c r="CX74" i="8"/>
  <c r="CS74" i="8"/>
  <c r="CN74" i="8"/>
  <c r="CI74" i="8"/>
  <c r="CD74" i="8"/>
  <c r="BO74" i="8"/>
  <c r="BJ74" i="8"/>
  <c r="BE74" i="8"/>
  <c r="AZ74" i="8"/>
  <c r="AU74" i="8"/>
  <c r="AP74" i="8"/>
  <c r="AK74" i="8"/>
  <c r="AF74" i="8"/>
  <c r="AA74" i="8"/>
  <c r="V74" i="8"/>
  <c r="Q74" i="8"/>
  <c r="L74" i="8"/>
  <c r="EG73" i="8"/>
  <c r="EB73" i="8"/>
  <c r="DW73" i="8"/>
  <c r="DR73" i="8"/>
  <c r="DM73" i="8"/>
  <c r="DH73" i="8"/>
  <c r="DC73" i="8"/>
  <c r="CX73" i="8"/>
  <c r="CS73" i="8"/>
  <c r="CN73" i="8"/>
  <c r="CI73" i="8"/>
  <c r="CD73" i="8"/>
  <c r="BO73" i="8"/>
  <c r="BJ73" i="8"/>
  <c r="BE73" i="8"/>
  <c r="AZ73" i="8"/>
  <c r="AU73" i="8"/>
  <c r="AP73" i="8"/>
  <c r="AK73" i="8"/>
  <c r="AF73" i="8"/>
  <c r="AA73" i="8"/>
  <c r="V73" i="8"/>
  <c r="Q73" i="8"/>
  <c r="L73" i="8"/>
  <c r="G72" i="8"/>
  <c r="G14" i="8" s="1"/>
  <c r="EL70" i="8"/>
  <c r="BT70" i="8"/>
  <c r="EL69" i="8"/>
  <c r="BT69" i="8"/>
  <c r="EL68" i="8"/>
  <c r="BT68" i="8"/>
  <c r="EG67" i="8"/>
  <c r="EB67" i="8"/>
  <c r="DW67" i="8"/>
  <c r="DR67" i="8"/>
  <c r="DM67" i="8"/>
  <c r="DH67" i="8"/>
  <c r="DC67" i="8"/>
  <c r="CX67" i="8"/>
  <c r="CS67" i="8"/>
  <c r="CN67" i="8"/>
  <c r="CI67" i="8"/>
  <c r="CD67" i="8"/>
  <c r="BY67" i="8"/>
  <c r="BO67" i="8"/>
  <c r="BJ67" i="8"/>
  <c r="BE67" i="8"/>
  <c r="AZ67" i="8"/>
  <c r="AU67" i="8"/>
  <c r="AP67" i="8"/>
  <c r="AK67" i="8"/>
  <c r="AF67" i="8"/>
  <c r="AA67" i="8"/>
  <c r="V67" i="8"/>
  <c r="Q67" i="8"/>
  <c r="L67" i="8"/>
  <c r="EL65" i="8"/>
  <c r="BT65" i="8"/>
  <c r="EL64" i="8"/>
  <c r="BT64" i="8"/>
  <c r="EL63" i="8"/>
  <c r="BT63" i="8"/>
  <c r="EG62" i="8"/>
  <c r="EB62" i="8"/>
  <c r="DW62" i="8"/>
  <c r="DR62" i="8"/>
  <c r="DM62" i="8"/>
  <c r="DH62" i="8"/>
  <c r="DC62" i="8"/>
  <c r="CX62" i="8"/>
  <c r="CS62" i="8"/>
  <c r="CN62" i="8"/>
  <c r="CI62" i="8"/>
  <c r="CD62" i="8"/>
  <c r="BY62" i="8"/>
  <c r="BO62" i="8"/>
  <c r="BJ62" i="8"/>
  <c r="BE62" i="8"/>
  <c r="AZ62" i="8"/>
  <c r="AU62" i="8"/>
  <c r="AP62" i="8"/>
  <c r="AK62" i="8"/>
  <c r="AF62" i="8"/>
  <c r="AA62" i="8"/>
  <c r="V62" i="8"/>
  <c r="Q62" i="8"/>
  <c r="L62" i="8"/>
  <c r="EL60" i="8"/>
  <c r="BT60" i="8"/>
  <c r="EL59" i="8"/>
  <c r="BT59" i="8"/>
  <c r="EL58" i="8"/>
  <c r="BT58" i="8"/>
  <c r="EG57" i="8"/>
  <c r="EB57" i="8"/>
  <c r="DW57" i="8"/>
  <c r="DR57" i="8"/>
  <c r="DM57" i="8"/>
  <c r="DH57" i="8"/>
  <c r="DC57" i="8"/>
  <c r="CX57" i="8"/>
  <c r="CS57" i="8"/>
  <c r="CN57" i="8"/>
  <c r="CI57" i="8"/>
  <c r="CD57" i="8"/>
  <c r="BY57" i="8"/>
  <c r="BO57" i="8"/>
  <c r="BJ57" i="8"/>
  <c r="BE57" i="8"/>
  <c r="AZ57" i="8"/>
  <c r="AU57" i="8"/>
  <c r="AP57" i="8"/>
  <c r="AK57" i="8"/>
  <c r="AF57" i="8"/>
  <c r="AA57" i="8"/>
  <c r="V57" i="8"/>
  <c r="Q57" i="8"/>
  <c r="L57" i="8"/>
  <c r="EL55" i="8"/>
  <c r="BT55" i="8"/>
  <c r="EL54" i="8"/>
  <c r="BT54" i="8"/>
  <c r="EL53" i="8"/>
  <c r="BT53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E52" i="8"/>
  <c r="AZ52" i="8"/>
  <c r="AU52" i="8"/>
  <c r="AP52" i="8"/>
  <c r="AK52" i="8"/>
  <c r="AF52" i="8"/>
  <c r="AA52" i="8"/>
  <c r="V52" i="8"/>
  <c r="Q52" i="8"/>
  <c r="L52" i="8"/>
  <c r="EL50" i="8"/>
  <c r="BT50" i="8"/>
  <c r="EL49" i="8"/>
  <c r="BT49" i="8"/>
  <c r="EL48" i="8"/>
  <c r="BT48" i="8"/>
  <c r="EG47" i="8"/>
  <c r="EB47" i="8"/>
  <c r="DW47" i="8"/>
  <c r="DR47" i="8"/>
  <c r="DM47" i="8"/>
  <c r="DH47" i="8"/>
  <c r="DC47" i="8"/>
  <c r="CX47" i="8"/>
  <c r="CS47" i="8"/>
  <c r="CN47" i="8"/>
  <c r="CI47" i="8"/>
  <c r="CD47" i="8"/>
  <c r="BY47" i="8"/>
  <c r="BO47" i="8"/>
  <c r="BJ47" i="8"/>
  <c r="BE47" i="8"/>
  <c r="AZ47" i="8"/>
  <c r="AU47" i="8"/>
  <c r="AP47" i="8"/>
  <c r="AK47" i="8"/>
  <c r="AF47" i="8"/>
  <c r="AA47" i="8"/>
  <c r="V47" i="8"/>
  <c r="Q47" i="8"/>
  <c r="L47" i="8"/>
  <c r="EL45" i="8"/>
  <c r="BZ229" i="8" s="1"/>
  <c r="BT45" i="8"/>
  <c r="EL44" i="8"/>
  <c r="BZ228" i="8" s="1"/>
  <c r="BT44" i="8"/>
  <c r="EL43" i="8"/>
  <c r="BZ227" i="8" s="1"/>
  <c r="BT43" i="8"/>
  <c r="EG42" i="8"/>
  <c r="EB42" i="8"/>
  <c r="DW42" i="8"/>
  <c r="BE224" i="8" s="1"/>
  <c r="DR42" i="8"/>
  <c r="DM42" i="8"/>
  <c r="DH42" i="8"/>
  <c r="DC42" i="8"/>
  <c r="CX42" i="8"/>
  <c r="CS42" i="8"/>
  <c r="CN42" i="8"/>
  <c r="CI42" i="8"/>
  <c r="CD42" i="8"/>
  <c r="L224" i="8" s="1"/>
  <c r="BY42" i="8"/>
  <c r="BO42" i="8"/>
  <c r="BJ42" i="8"/>
  <c r="BE42" i="8"/>
  <c r="AZ42" i="8"/>
  <c r="AU42" i="8"/>
  <c r="AP42" i="8"/>
  <c r="AK42" i="8"/>
  <c r="AF42" i="8"/>
  <c r="AA42" i="8"/>
  <c r="V42" i="8"/>
  <c r="Q42" i="8"/>
  <c r="L42" i="8"/>
  <c r="BZ225" i="8"/>
  <c r="EL40" i="8"/>
  <c r="BZ224" i="8" s="1"/>
  <c r="BT40" i="8"/>
  <c r="EL39" i="8"/>
  <c r="BZ223" i="8" s="1"/>
  <c r="BT39" i="8"/>
  <c r="EL38" i="8"/>
  <c r="BZ222" i="8" s="1"/>
  <c r="BT38" i="8"/>
  <c r="EG37" i="8"/>
  <c r="EB37" i="8"/>
  <c r="DW37" i="8"/>
  <c r="DR37" i="8"/>
  <c r="DM37" i="8"/>
  <c r="DH37" i="8"/>
  <c r="DC37" i="8"/>
  <c r="CX37" i="8"/>
  <c r="CS37" i="8"/>
  <c r="CN37" i="8"/>
  <c r="CI37" i="8"/>
  <c r="CD37" i="8"/>
  <c r="BY37" i="8"/>
  <c r="BO37" i="8"/>
  <c r="BJ37" i="8"/>
  <c r="BE37" i="8"/>
  <c r="AZ37" i="8"/>
  <c r="AU37" i="8"/>
  <c r="AP37" i="8"/>
  <c r="AK37" i="8"/>
  <c r="AF37" i="8"/>
  <c r="AA37" i="8"/>
  <c r="V37" i="8"/>
  <c r="Q37" i="8"/>
  <c r="L37" i="8"/>
  <c r="EL35" i="8"/>
  <c r="BZ219" i="8" s="1"/>
  <c r="BT35" i="8"/>
  <c r="EL34" i="8"/>
  <c r="BZ218" i="8" s="1"/>
  <c r="BT34" i="8"/>
  <c r="EL33" i="8"/>
  <c r="BZ217" i="8" s="1"/>
  <c r="BT33" i="8"/>
  <c r="EG32" i="8"/>
  <c r="EB32" i="8"/>
  <c r="DW32" i="8"/>
  <c r="DR32" i="8"/>
  <c r="DM32" i="8"/>
  <c r="DH32" i="8"/>
  <c r="DC32" i="8"/>
  <c r="CX32" i="8"/>
  <c r="AF214" i="8" s="1"/>
  <c r="CS32" i="8"/>
  <c r="CN32" i="8"/>
  <c r="CI32" i="8"/>
  <c r="CD32" i="8"/>
  <c r="BY32" i="8"/>
  <c r="BO32" i="8"/>
  <c r="BJ32" i="8"/>
  <c r="BE32" i="8"/>
  <c r="AZ32" i="8"/>
  <c r="AU32" i="8"/>
  <c r="AP32" i="8"/>
  <c r="AK32" i="8"/>
  <c r="AF32" i="8"/>
  <c r="AA32" i="8"/>
  <c r="V32" i="8"/>
  <c r="Q32" i="8"/>
  <c r="L32" i="8"/>
  <c r="EL30" i="8"/>
  <c r="BT30" i="8"/>
  <c r="BY30" i="8" s="1"/>
  <c r="BY20" i="8" s="1"/>
  <c r="EL29" i="8"/>
  <c r="BT29" i="8"/>
  <c r="EL28" i="8"/>
  <c r="BT28" i="8"/>
  <c r="EG27" i="8"/>
  <c r="EB27" i="8"/>
  <c r="DW27" i="8"/>
  <c r="DR27" i="8"/>
  <c r="DM27" i="8"/>
  <c r="DH27" i="8"/>
  <c r="DC27" i="8"/>
  <c r="CX27" i="8"/>
  <c r="CS27" i="8"/>
  <c r="CN27" i="8"/>
  <c r="CI27" i="8"/>
  <c r="CD27" i="8"/>
  <c r="BO27" i="8"/>
  <c r="BJ27" i="8"/>
  <c r="BE27" i="8"/>
  <c r="AZ27" i="8"/>
  <c r="AU27" i="8"/>
  <c r="AP27" i="8"/>
  <c r="AK27" i="8"/>
  <c r="AF27" i="8"/>
  <c r="AA27" i="8"/>
  <c r="V27" i="8"/>
  <c r="Q27" i="8"/>
  <c r="L27" i="8"/>
  <c r="EL25" i="8"/>
  <c r="BT25" i="8"/>
  <c r="EL24" i="8"/>
  <c r="BT24" i="8"/>
  <c r="EL23" i="8"/>
  <c r="BT23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Z215" i="8"/>
  <c r="EG20" i="8"/>
  <c r="EB20" i="8"/>
  <c r="DW20" i="8"/>
  <c r="DR20" i="8"/>
  <c r="DM20" i="8"/>
  <c r="DH20" i="8"/>
  <c r="DC20" i="8"/>
  <c r="CX20" i="8"/>
  <c r="CS20" i="8"/>
  <c r="CN20" i="8"/>
  <c r="CI20" i="8"/>
  <c r="CD20" i="8"/>
  <c r="BO20" i="8"/>
  <c r="BJ20" i="8"/>
  <c r="BE20" i="8"/>
  <c r="AZ20" i="8"/>
  <c r="AU20" i="8"/>
  <c r="AP20" i="8"/>
  <c r="AK20" i="8"/>
  <c r="AF20" i="8"/>
  <c r="AA20" i="8"/>
  <c r="V20" i="8"/>
  <c r="Q20" i="8"/>
  <c r="L20" i="8"/>
  <c r="EG19" i="8"/>
  <c r="EB19" i="8"/>
  <c r="DW19" i="8"/>
  <c r="DR19" i="8"/>
  <c r="DM19" i="8"/>
  <c r="DH19" i="8"/>
  <c r="DC19" i="8"/>
  <c r="CX19" i="8"/>
  <c r="CS19" i="8"/>
  <c r="CN19" i="8"/>
  <c r="CI19" i="8"/>
  <c r="CD19" i="8"/>
  <c r="BO19" i="8"/>
  <c r="BJ19" i="8"/>
  <c r="BE19" i="8"/>
  <c r="AZ19" i="8"/>
  <c r="AU19" i="8"/>
  <c r="AP19" i="8"/>
  <c r="AK19" i="8"/>
  <c r="AF19" i="8"/>
  <c r="AA19" i="8"/>
  <c r="V19" i="8"/>
  <c r="Q19" i="8"/>
  <c r="L19" i="8"/>
  <c r="EG18" i="8"/>
  <c r="EB18" i="8"/>
  <c r="DW18" i="8"/>
  <c r="DR18" i="8"/>
  <c r="DM18" i="8"/>
  <c r="DH18" i="8"/>
  <c r="DC18" i="8"/>
  <c r="CX18" i="8"/>
  <c r="CS18" i="8"/>
  <c r="CN18" i="8"/>
  <c r="CI18" i="8"/>
  <c r="Q210" i="8" s="1"/>
  <c r="CD18" i="8"/>
  <c r="BY18" i="8"/>
  <c r="BO18" i="8"/>
  <c r="BJ18" i="8"/>
  <c r="BE18" i="8"/>
  <c r="AZ18" i="8"/>
  <c r="AU18" i="8"/>
  <c r="AP18" i="8"/>
  <c r="AK18" i="8"/>
  <c r="AF18" i="8"/>
  <c r="AA18" i="8"/>
  <c r="V18" i="8"/>
  <c r="Q18" i="8"/>
  <c r="L18" i="8"/>
  <c r="G17" i="8"/>
  <c r="G13" i="8" s="1"/>
  <c r="BZ210" i="8"/>
  <c r="BY9" i="8"/>
  <c r="G9" i="8"/>
  <c r="BY8" i="8"/>
  <c r="G8" i="8"/>
  <c r="CA376" i="7"/>
  <c r="BZ376" i="7"/>
  <c r="BX376" i="7"/>
  <c r="BW376" i="7"/>
  <c r="BV376" i="7"/>
  <c r="BU376" i="7"/>
  <c r="BT376" i="7"/>
  <c r="BS376" i="7"/>
  <c r="BR376" i="7"/>
  <c r="BQ376" i="7"/>
  <c r="BP376" i="7"/>
  <c r="BO376" i="7"/>
  <c r="BN376" i="7"/>
  <c r="BM376" i="7"/>
  <c r="BL376" i="7"/>
  <c r="BK376" i="7"/>
  <c r="BJ376" i="7"/>
  <c r="BI376" i="7"/>
  <c r="BH376" i="7"/>
  <c r="BG376" i="7"/>
  <c r="BF376" i="7"/>
  <c r="BE376" i="7"/>
  <c r="BD376" i="7"/>
  <c r="BC376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AB376" i="7"/>
  <c r="AA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CA375" i="7"/>
  <c r="BZ375" i="7"/>
  <c r="BX375" i="7"/>
  <c r="BW375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CA374" i="7"/>
  <c r="BZ374" i="7"/>
  <c r="BW374" i="7"/>
  <c r="BV374" i="7"/>
  <c r="BU374" i="7"/>
  <c r="BS374" i="7"/>
  <c r="BR374" i="7"/>
  <c r="BQ374" i="7"/>
  <c r="BP374" i="7"/>
  <c r="BO374" i="7"/>
  <c r="BN374" i="7"/>
  <c r="BM374" i="7"/>
  <c r="BL374" i="7"/>
  <c r="BK374" i="7"/>
  <c r="BJ374" i="7"/>
  <c r="BI374" i="7"/>
  <c r="BH374" i="7"/>
  <c r="BG374" i="7"/>
  <c r="BF374" i="7"/>
  <c r="BE374" i="7"/>
  <c r="BD374" i="7"/>
  <c r="BC374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CA373" i="7"/>
  <c r="BZ373" i="7"/>
  <c r="BW373" i="7"/>
  <c r="BV373" i="7"/>
  <c r="BU373" i="7"/>
  <c r="BT373" i="7"/>
  <c r="BS373" i="7"/>
  <c r="BR373" i="7"/>
  <c r="BQ373" i="7"/>
  <c r="BP373" i="7"/>
  <c r="BO373" i="7"/>
  <c r="BN373" i="7"/>
  <c r="BM373" i="7"/>
  <c r="BL373" i="7"/>
  <c r="BK373" i="7"/>
  <c r="BJ373" i="7"/>
  <c r="BI373" i="7"/>
  <c r="BH373" i="7"/>
  <c r="BG373" i="7"/>
  <c r="BF373" i="7"/>
  <c r="BE373" i="7"/>
  <c r="BD373" i="7"/>
  <c r="BC373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AB373" i="7"/>
  <c r="AA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CA372" i="7"/>
  <c r="BZ372" i="7"/>
  <c r="BW372" i="7"/>
  <c r="BV372" i="7"/>
  <c r="BU372" i="7"/>
  <c r="BS372" i="7"/>
  <c r="BR372" i="7"/>
  <c r="BQ372" i="7"/>
  <c r="BP372" i="7"/>
  <c r="BO372" i="7"/>
  <c r="BN372" i="7"/>
  <c r="BM372" i="7"/>
  <c r="BL372" i="7"/>
  <c r="BK372" i="7"/>
  <c r="BJ372" i="7"/>
  <c r="BI372" i="7"/>
  <c r="BH372" i="7"/>
  <c r="BG372" i="7"/>
  <c r="BF372" i="7"/>
  <c r="BE372" i="7"/>
  <c r="BD372" i="7"/>
  <c r="BC372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AB372" i="7"/>
  <c r="AA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CA371" i="7"/>
  <c r="BZ371" i="7"/>
  <c r="BW371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CA370" i="7"/>
  <c r="BZ370" i="7"/>
  <c r="BW370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CA369" i="7"/>
  <c r="BZ369" i="7"/>
  <c r="BW369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CA368" i="7"/>
  <c r="BZ368" i="7"/>
  <c r="BW368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CA367" i="7"/>
  <c r="BZ367" i="7"/>
  <c r="BW367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CA366" i="7"/>
  <c r="BZ366" i="7"/>
  <c r="BW366" i="7"/>
  <c r="BV366" i="7"/>
  <c r="BU366" i="7"/>
  <c r="BS366" i="7"/>
  <c r="BR366" i="7"/>
  <c r="BQ366" i="7"/>
  <c r="BP366" i="7"/>
  <c r="BN366" i="7"/>
  <c r="BM366" i="7"/>
  <c r="BL366" i="7"/>
  <c r="BK366" i="7"/>
  <c r="BI366" i="7"/>
  <c r="BH366" i="7"/>
  <c r="BG366" i="7"/>
  <c r="BF366" i="7"/>
  <c r="BD366" i="7"/>
  <c r="BC366" i="7"/>
  <c r="BB366" i="7"/>
  <c r="BA366" i="7"/>
  <c r="AY366" i="7"/>
  <c r="AX366" i="7"/>
  <c r="AW366" i="7"/>
  <c r="AV366" i="7"/>
  <c r="AT366" i="7"/>
  <c r="AS366" i="7"/>
  <c r="AR366" i="7"/>
  <c r="AQ366" i="7"/>
  <c r="AO366" i="7"/>
  <c r="AN366" i="7"/>
  <c r="AM366" i="7"/>
  <c r="AL366" i="7"/>
  <c r="AJ366" i="7"/>
  <c r="AI366" i="7"/>
  <c r="AH366" i="7"/>
  <c r="AG366" i="7"/>
  <c r="AF366" i="7"/>
  <c r="AE366" i="7"/>
  <c r="AD366" i="7"/>
  <c r="AC366" i="7"/>
  <c r="AB366" i="7"/>
  <c r="Z366" i="7"/>
  <c r="Y366" i="7"/>
  <c r="X366" i="7"/>
  <c r="W366" i="7"/>
  <c r="U366" i="7"/>
  <c r="T366" i="7"/>
  <c r="S366" i="7"/>
  <c r="R366" i="7"/>
  <c r="P366" i="7"/>
  <c r="O366" i="7"/>
  <c r="N366" i="7"/>
  <c r="M366" i="7"/>
  <c r="CA365" i="7"/>
  <c r="BZ365" i="7"/>
  <c r="BW365" i="7"/>
  <c r="BV365" i="7"/>
  <c r="BU365" i="7"/>
  <c r="BT365" i="7"/>
  <c r="BS365" i="7"/>
  <c r="BR365" i="7"/>
  <c r="BQ365" i="7"/>
  <c r="BP365" i="7"/>
  <c r="BO365" i="7"/>
  <c r="BN365" i="7"/>
  <c r="BM365" i="7"/>
  <c r="BL365" i="7"/>
  <c r="BK365" i="7"/>
  <c r="BJ365" i="7"/>
  <c r="BI365" i="7"/>
  <c r="BH365" i="7"/>
  <c r="BG365" i="7"/>
  <c r="BF365" i="7"/>
  <c r="BE365" i="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CA364" i="7"/>
  <c r="BZ364" i="7"/>
  <c r="BW364" i="7"/>
  <c r="BV364" i="7"/>
  <c r="BU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CA363" i="7"/>
  <c r="BZ363" i="7"/>
  <c r="BW363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CA362" i="7"/>
  <c r="BZ362" i="7"/>
  <c r="BW362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CA361" i="7"/>
  <c r="BZ361" i="7"/>
  <c r="BW361" i="7"/>
  <c r="BV361" i="7"/>
  <c r="BU361" i="7"/>
  <c r="BS361" i="7"/>
  <c r="BR361" i="7"/>
  <c r="BQ361" i="7"/>
  <c r="BP361" i="7"/>
  <c r="BN361" i="7"/>
  <c r="BM361" i="7"/>
  <c r="BL361" i="7"/>
  <c r="BK361" i="7"/>
  <c r="BI361" i="7"/>
  <c r="BH361" i="7"/>
  <c r="BG361" i="7"/>
  <c r="BF361" i="7"/>
  <c r="BD361" i="7"/>
  <c r="BC361" i="7"/>
  <c r="BB361" i="7"/>
  <c r="BA361" i="7"/>
  <c r="AY361" i="7"/>
  <c r="AX361" i="7"/>
  <c r="AW361" i="7"/>
  <c r="AV361" i="7"/>
  <c r="AU361" i="7"/>
  <c r="AT361" i="7"/>
  <c r="AS361" i="7"/>
  <c r="AR361" i="7"/>
  <c r="AQ361" i="7"/>
  <c r="AO361" i="7"/>
  <c r="AN361" i="7"/>
  <c r="AM361" i="7"/>
  <c r="AL361" i="7"/>
  <c r="AJ361" i="7"/>
  <c r="AI361" i="7"/>
  <c r="AH361" i="7"/>
  <c r="AG361" i="7"/>
  <c r="AF361" i="7"/>
  <c r="AE361" i="7"/>
  <c r="AD361" i="7"/>
  <c r="AC361" i="7"/>
  <c r="AB361" i="7"/>
  <c r="Z361" i="7"/>
  <c r="Y361" i="7"/>
  <c r="X361" i="7"/>
  <c r="W361" i="7"/>
  <c r="U361" i="7"/>
  <c r="T361" i="7"/>
  <c r="S361" i="7"/>
  <c r="R361" i="7"/>
  <c r="P361" i="7"/>
  <c r="O361" i="7"/>
  <c r="N361" i="7"/>
  <c r="M361" i="7"/>
  <c r="CA360" i="7"/>
  <c r="BZ360" i="7"/>
  <c r="BW360" i="7"/>
  <c r="BV360" i="7"/>
  <c r="BU360" i="7"/>
  <c r="BT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CA359" i="7"/>
  <c r="BZ359" i="7"/>
  <c r="BW359" i="7"/>
  <c r="BV359" i="7"/>
  <c r="BU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CA358" i="7"/>
  <c r="BZ358" i="7"/>
  <c r="BW358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CA357" i="7"/>
  <c r="BZ357" i="7"/>
  <c r="BW357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CA356" i="7"/>
  <c r="BZ356" i="7"/>
  <c r="BW356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CA355" i="7"/>
  <c r="BZ355" i="7"/>
  <c r="BW355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CA354" i="7"/>
  <c r="BZ354" i="7"/>
  <c r="BW354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CA353" i="7"/>
  <c r="BZ353" i="7"/>
  <c r="BW353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CA352" i="7"/>
  <c r="BZ352" i="7"/>
  <c r="BW352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CA351" i="7"/>
  <c r="BZ351" i="7"/>
  <c r="BW351" i="7"/>
  <c r="BV351" i="7"/>
  <c r="BU351" i="7"/>
  <c r="BS351" i="7"/>
  <c r="BR351" i="7"/>
  <c r="BQ351" i="7"/>
  <c r="BP351" i="7"/>
  <c r="BN351" i="7"/>
  <c r="BM351" i="7"/>
  <c r="BL351" i="7"/>
  <c r="BK351" i="7"/>
  <c r="BI351" i="7"/>
  <c r="BH351" i="7"/>
  <c r="BG351" i="7"/>
  <c r="BF351" i="7"/>
  <c r="BD351" i="7"/>
  <c r="BC351" i="7"/>
  <c r="BB351" i="7"/>
  <c r="BA351" i="7"/>
  <c r="AY351" i="7"/>
  <c r="AX351" i="7"/>
  <c r="AW351" i="7"/>
  <c r="AV351" i="7"/>
  <c r="AT351" i="7"/>
  <c r="AS351" i="7"/>
  <c r="AR351" i="7"/>
  <c r="AQ351" i="7"/>
  <c r="AO351" i="7"/>
  <c r="AN351" i="7"/>
  <c r="AM351" i="7"/>
  <c r="AL351" i="7"/>
  <c r="AJ351" i="7"/>
  <c r="AI351" i="7"/>
  <c r="AH351" i="7"/>
  <c r="AG351" i="7"/>
  <c r="AE351" i="7"/>
  <c r="AD351" i="7"/>
  <c r="AC351" i="7"/>
  <c r="AB351" i="7"/>
  <c r="Z351" i="7"/>
  <c r="Y351" i="7"/>
  <c r="X351" i="7"/>
  <c r="W351" i="7"/>
  <c r="U351" i="7"/>
  <c r="T351" i="7"/>
  <c r="S351" i="7"/>
  <c r="R351" i="7"/>
  <c r="P351" i="7"/>
  <c r="O351" i="7"/>
  <c r="N351" i="7"/>
  <c r="M351" i="7"/>
  <c r="CA350" i="7"/>
  <c r="BZ350" i="7"/>
  <c r="BW350" i="7"/>
  <c r="BV350" i="7"/>
  <c r="BU350" i="7"/>
  <c r="BT350" i="7"/>
  <c r="BS350" i="7"/>
  <c r="BR350" i="7"/>
  <c r="BQ350" i="7"/>
  <c r="BP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CA349" i="7"/>
  <c r="BZ349" i="7"/>
  <c r="BW349" i="7"/>
  <c r="BV349" i="7"/>
  <c r="BU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CA348" i="7"/>
  <c r="BZ348" i="7"/>
  <c r="BW348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CA347" i="7"/>
  <c r="BZ347" i="7"/>
  <c r="BW347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CA346" i="7"/>
  <c r="BZ346" i="7"/>
  <c r="BW346" i="7"/>
  <c r="BV346" i="7"/>
  <c r="BU346" i="7"/>
  <c r="BS346" i="7"/>
  <c r="BR346" i="7"/>
  <c r="BQ346" i="7"/>
  <c r="BP346" i="7"/>
  <c r="BN346" i="7"/>
  <c r="BM346" i="7"/>
  <c r="BL346" i="7"/>
  <c r="BK346" i="7"/>
  <c r="BJ346" i="7"/>
  <c r="BI346" i="7"/>
  <c r="BH346" i="7"/>
  <c r="BG346" i="7"/>
  <c r="BF346" i="7"/>
  <c r="BD346" i="7"/>
  <c r="BC346" i="7"/>
  <c r="BB346" i="7"/>
  <c r="BA346" i="7"/>
  <c r="AY346" i="7"/>
  <c r="AX346" i="7"/>
  <c r="AW346" i="7"/>
  <c r="AV346" i="7"/>
  <c r="AT346" i="7"/>
  <c r="AS346" i="7"/>
  <c r="AR346" i="7"/>
  <c r="AQ346" i="7"/>
  <c r="AO346" i="7"/>
  <c r="AN346" i="7"/>
  <c r="AM346" i="7"/>
  <c r="AL346" i="7"/>
  <c r="AJ346" i="7"/>
  <c r="AI346" i="7"/>
  <c r="AH346" i="7"/>
  <c r="AG346" i="7"/>
  <c r="AE346" i="7"/>
  <c r="AD346" i="7"/>
  <c r="AC346" i="7"/>
  <c r="AB346" i="7"/>
  <c r="Z346" i="7"/>
  <c r="Y346" i="7"/>
  <c r="X346" i="7"/>
  <c r="W346" i="7"/>
  <c r="U346" i="7"/>
  <c r="T346" i="7"/>
  <c r="S346" i="7"/>
  <c r="R346" i="7"/>
  <c r="P346" i="7"/>
  <c r="O346" i="7"/>
  <c r="N346" i="7"/>
  <c r="M346" i="7"/>
  <c r="CA345" i="7"/>
  <c r="BZ345" i="7"/>
  <c r="BW345" i="7"/>
  <c r="BV345" i="7"/>
  <c r="BU345" i="7"/>
  <c r="BT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CA344" i="7"/>
  <c r="BZ344" i="7"/>
  <c r="BW344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F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CA343" i="7"/>
  <c r="BZ343" i="7"/>
  <c r="BW343" i="7"/>
  <c r="BV343" i="7"/>
  <c r="BU343" i="7"/>
  <c r="BS343" i="7"/>
  <c r="BR343" i="7"/>
  <c r="BQ343" i="7"/>
  <c r="BP343" i="7"/>
  <c r="BN343" i="7"/>
  <c r="BM343" i="7"/>
  <c r="BL343" i="7"/>
  <c r="BK343" i="7"/>
  <c r="BI343" i="7"/>
  <c r="BH343" i="7"/>
  <c r="BG343" i="7"/>
  <c r="BF343" i="7"/>
  <c r="BD343" i="7"/>
  <c r="BC343" i="7"/>
  <c r="BB343" i="7"/>
  <c r="BA343" i="7"/>
  <c r="AY343" i="7"/>
  <c r="AX343" i="7"/>
  <c r="AW343" i="7"/>
  <c r="AV343" i="7"/>
  <c r="AT343" i="7"/>
  <c r="AS343" i="7"/>
  <c r="AR343" i="7"/>
  <c r="AQ343" i="7"/>
  <c r="AO343" i="7"/>
  <c r="AN343" i="7"/>
  <c r="AM343" i="7"/>
  <c r="AL343" i="7"/>
  <c r="AK343" i="7"/>
  <c r="AJ343" i="7"/>
  <c r="AI343" i="7"/>
  <c r="AH343" i="7"/>
  <c r="AG343" i="7"/>
  <c r="AE343" i="7"/>
  <c r="AD343" i="7"/>
  <c r="AC343" i="7"/>
  <c r="AB343" i="7"/>
  <c r="Z343" i="7"/>
  <c r="Y343" i="7"/>
  <c r="X343" i="7"/>
  <c r="W343" i="7"/>
  <c r="U343" i="7"/>
  <c r="T343" i="7"/>
  <c r="S343" i="7"/>
  <c r="R343" i="7"/>
  <c r="P343" i="7"/>
  <c r="O343" i="7"/>
  <c r="N343" i="7"/>
  <c r="M343" i="7"/>
  <c r="CA342" i="7"/>
  <c r="BZ342" i="7"/>
  <c r="BW342" i="7"/>
  <c r="BV342" i="7"/>
  <c r="BU342" i="7"/>
  <c r="BS342" i="7"/>
  <c r="BR342" i="7"/>
  <c r="BQ342" i="7"/>
  <c r="BP342" i="7"/>
  <c r="BN342" i="7"/>
  <c r="BM342" i="7"/>
  <c r="BL342" i="7"/>
  <c r="BK342" i="7"/>
  <c r="BI342" i="7"/>
  <c r="BH342" i="7"/>
  <c r="BG342" i="7"/>
  <c r="BF342" i="7"/>
  <c r="BD342" i="7"/>
  <c r="BC342" i="7"/>
  <c r="BB342" i="7"/>
  <c r="BA342" i="7"/>
  <c r="AY342" i="7"/>
  <c r="AX342" i="7"/>
  <c r="AW342" i="7"/>
  <c r="AV342" i="7"/>
  <c r="AT342" i="7"/>
  <c r="AS342" i="7"/>
  <c r="AR342" i="7"/>
  <c r="AQ342" i="7"/>
  <c r="AO342" i="7"/>
  <c r="AN342" i="7"/>
  <c r="AM342" i="7"/>
  <c r="AL342" i="7"/>
  <c r="AJ342" i="7"/>
  <c r="AI342" i="7"/>
  <c r="AH342" i="7"/>
  <c r="AG342" i="7"/>
  <c r="AE342" i="7"/>
  <c r="AD342" i="7"/>
  <c r="AC342" i="7"/>
  <c r="AB342" i="7"/>
  <c r="Z342" i="7"/>
  <c r="Y342" i="7"/>
  <c r="X342" i="7"/>
  <c r="W342" i="7"/>
  <c r="U342" i="7"/>
  <c r="T342" i="7"/>
  <c r="S342" i="7"/>
  <c r="R342" i="7"/>
  <c r="P342" i="7"/>
  <c r="O342" i="7"/>
  <c r="N342" i="7"/>
  <c r="M342" i="7"/>
  <c r="CA341" i="7"/>
  <c r="BZ341" i="7"/>
  <c r="BW341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CA340" i="7"/>
  <c r="BZ340" i="7"/>
  <c r="BW340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CA339" i="7"/>
  <c r="BZ339" i="7"/>
  <c r="BW339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CA338" i="7"/>
  <c r="BZ338" i="7"/>
  <c r="BW338" i="7"/>
  <c r="BV338" i="7"/>
  <c r="BU338" i="7"/>
  <c r="BS338" i="7"/>
  <c r="BR338" i="7"/>
  <c r="BQ338" i="7"/>
  <c r="BP338" i="7"/>
  <c r="BO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CA337" i="7"/>
  <c r="BZ337" i="7"/>
  <c r="BX337" i="7"/>
  <c r="BW337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CA336" i="7"/>
  <c r="BZ336" i="7"/>
  <c r="BW336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CA335" i="7"/>
  <c r="BZ335" i="7"/>
  <c r="BW335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CA334" i="7"/>
  <c r="BZ334" i="7"/>
  <c r="BW334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CA333" i="7"/>
  <c r="BZ333" i="7"/>
  <c r="BW333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CA332" i="7"/>
  <c r="BZ332" i="7"/>
  <c r="BW332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CA331" i="7"/>
  <c r="BZ331" i="7"/>
  <c r="BX331" i="7"/>
  <c r="BW331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CA330" i="7"/>
  <c r="BZ330" i="7"/>
  <c r="BW330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CA329" i="7"/>
  <c r="BZ329" i="7"/>
  <c r="BW329" i="7"/>
  <c r="BV329" i="7"/>
  <c r="BU329" i="7"/>
  <c r="BS329" i="7"/>
  <c r="BR329" i="7"/>
  <c r="BQ329" i="7"/>
  <c r="BP329" i="7"/>
  <c r="BN329" i="7"/>
  <c r="BM329" i="7"/>
  <c r="BL329" i="7"/>
  <c r="BK329" i="7"/>
  <c r="BJ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L329" i="7"/>
  <c r="CA328" i="7"/>
  <c r="BZ328" i="7"/>
  <c r="BX328" i="7"/>
  <c r="BW328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CA327" i="7"/>
  <c r="BZ327" i="7"/>
  <c r="BW327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CA326" i="7"/>
  <c r="BZ326" i="7"/>
  <c r="BW326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CA325" i="7"/>
  <c r="BZ325" i="7"/>
  <c r="BX325" i="7"/>
  <c r="BW325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CA324" i="7"/>
  <c r="BZ324" i="7"/>
  <c r="BW324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CA323" i="7"/>
  <c r="BZ323" i="7"/>
  <c r="BW323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CA322" i="7"/>
  <c r="BZ322" i="7"/>
  <c r="BX322" i="7"/>
  <c r="BW322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CA321" i="7"/>
  <c r="BZ321" i="7"/>
  <c r="BW321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U321" i="7"/>
  <c r="T321" i="7"/>
  <c r="S321" i="7"/>
  <c r="R321" i="7"/>
  <c r="Q321" i="7"/>
  <c r="P321" i="7"/>
  <c r="O321" i="7"/>
  <c r="N321" i="7"/>
  <c r="M321" i="7"/>
  <c r="L321" i="7"/>
  <c r="CA320" i="7"/>
  <c r="BZ320" i="7"/>
  <c r="BW320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P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CA319" i="7"/>
  <c r="BZ319" i="7"/>
  <c r="BX319" i="7"/>
  <c r="BW319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CA318" i="7"/>
  <c r="BZ318" i="7"/>
  <c r="BW318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CA317" i="7"/>
  <c r="BZ317" i="7"/>
  <c r="BW317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Q317" i="7"/>
  <c r="P317" i="7"/>
  <c r="O317" i="7"/>
  <c r="N317" i="7"/>
  <c r="M317" i="7"/>
  <c r="CA316" i="7"/>
  <c r="BZ316" i="7"/>
  <c r="BX316" i="7"/>
  <c r="BW316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CA315" i="7"/>
  <c r="BZ315" i="7"/>
  <c r="BW315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CA314" i="7"/>
  <c r="BZ314" i="7"/>
  <c r="BW314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AA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L314" i="7"/>
  <c r="CA313" i="7"/>
  <c r="BZ313" i="7"/>
  <c r="BX313" i="7"/>
  <c r="BW313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CA312" i="7"/>
  <c r="BZ312" i="7"/>
  <c r="BW312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CA311" i="7"/>
  <c r="BZ311" i="7"/>
  <c r="BW311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CA310" i="7"/>
  <c r="BZ310" i="7"/>
  <c r="BX310" i="7"/>
  <c r="BW310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CA309" i="7"/>
  <c r="BZ309" i="7"/>
  <c r="BW309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CA308" i="7"/>
  <c r="BZ308" i="7"/>
  <c r="BW308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CA307" i="7"/>
  <c r="BZ307" i="7"/>
  <c r="BX307" i="7"/>
  <c r="BW307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CA306" i="7"/>
  <c r="BZ306" i="7"/>
  <c r="BW306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CA305" i="7"/>
  <c r="BZ305" i="7"/>
  <c r="BW305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CA304" i="7"/>
  <c r="BZ304" i="7"/>
  <c r="BX304" i="7"/>
  <c r="BW304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CA303" i="7"/>
  <c r="BZ303" i="7"/>
  <c r="BW303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CA302" i="7"/>
  <c r="BZ302" i="7"/>
  <c r="BW302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CA301" i="7"/>
  <c r="BZ301" i="7"/>
  <c r="BX301" i="7"/>
  <c r="BW301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CA300" i="7"/>
  <c r="BZ300" i="7"/>
  <c r="BW300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CA299" i="7"/>
  <c r="BZ299" i="7"/>
  <c r="BW299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CA298" i="7"/>
  <c r="BZ298" i="7"/>
  <c r="BX298" i="7"/>
  <c r="BW298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CA297" i="7"/>
  <c r="BZ297" i="7"/>
  <c r="BW297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CA296" i="7"/>
  <c r="BZ296" i="7"/>
  <c r="BW296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CA295" i="7"/>
  <c r="BZ295" i="7"/>
  <c r="BX295" i="7"/>
  <c r="BW295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CA294" i="7"/>
  <c r="BZ294" i="7"/>
  <c r="BW294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CA293" i="7"/>
  <c r="BZ293" i="7"/>
  <c r="BW293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M293" i="7"/>
  <c r="CA292" i="7"/>
  <c r="BZ292" i="7"/>
  <c r="BX292" i="7"/>
  <c r="BW292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CA291" i="7"/>
  <c r="BZ291" i="7"/>
  <c r="BW291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CA290" i="7"/>
  <c r="BZ290" i="7"/>
  <c r="BW290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CA289" i="7"/>
  <c r="BZ289" i="7"/>
  <c r="BX289" i="7"/>
  <c r="BW289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CA288" i="7"/>
  <c r="BZ288" i="7"/>
  <c r="BW288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CA287" i="7"/>
  <c r="BZ287" i="7"/>
  <c r="BW287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F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CA286" i="7"/>
  <c r="BZ286" i="7"/>
  <c r="BW286" i="7"/>
  <c r="BV286" i="7"/>
  <c r="BU286" i="7"/>
  <c r="BS286" i="7"/>
  <c r="BR286" i="7"/>
  <c r="BQ286" i="7"/>
  <c r="BP286" i="7"/>
  <c r="BN286" i="7"/>
  <c r="BM286" i="7"/>
  <c r="BL286" i="7"/>
  <c r="BK286" i="7"/>
  <c r="BI286" i="7"/>
  <c r="BH286" i="7"/>
  <c r="BG286" i="7"/>
  <c r="BF286" i="7"/>
  <c r="BD286" i="7"/>
  <c r="BC286" i="7"/>
  <c r="BB286" i="7"/>
  <c r="BA286" i="7"/>
  <c r="AY286" i="7"/>
  <c r="AX286" i="7"/>
  <c r="AW286" i="7"/>
  <c r="AV286" i="7"/>
  <c r="AT286" i="7"/>
  <c r="AS286" i="7"/>
  <c r="AR286" i="7"/>
  <c r="AQ286" i="7"/>
  <c r="AO286" i="7"/>
  <c r="AN286" i="7"/>
  <c r="AM286" i="7"/>
  <c r="AL286" i="7"/>
  <c r="AJ286" i="7"/>
  <c r="AI286" i="7"/>
  <c r="AH286" i="7"/>
  <c r="AG286" i="7"/>
  <c r="AE286" i="7"/>
  <c r="AD286" i="7"/>
  <c r="AC286" i="7"/>
  <c r="AB286" i="7"/>
  <c r="Z286" i="7"/>
  <c r="Y286" i="7"/>
  <c r="X286" i="7"/>
  <c r="W286" i="7"/>
  <c r="U286" i="7"/>
  <c r="T286" i="7"/>
  <c r="S286" i="7"/>
  <c r="R286" i="7"/>
  <c r="P286" i="7"/>
  <c r="O286" i="7"/>
  <c r="N286" i="7"/>
  <c r="M286" i="7"/>
  <c r="CA285" i="7"/>
  <c r="BZ285" i="7"/>
  <c r="BW285" i="7"/>
  <c r="BV285" i="7"/>
  <c r="BU285" i="7"/>
  <c r="BS285" i="7"/>
  <c r="BR285" i="7"/>
  <c r="BQ285" i="7"/>
  <c r="BP285" i="7"/>
  <c r="BN285" i="7"/>
  <c r="BM285" i="7"/>
  <c r="BL285" i="7"/>
  <c r="BK285" i="7"/>
  <c r="BI285" i="7"/>
  <c r="BH285" i="7"/>
  <c r="BG285" i="7"/>
  <c r="BF285" i="7"/>
  <c r="BD285" i="7"/>
  <c r="BC285" i="7"/>
  <c r="BB285" i="7"/>
  <c r="BA285" i="7"/>
  <c r="AY285" i="7"/>
  <c r="AX285" i="7"/>
  <c r="AW285" i="7"/>
  <c r="AV285" i="7"/>
  <c r="AT285" i="7"/>
  <c r="AS285" i="7"/>
  <c r="AR285" i="7"/>
  <c r="AQ285" i="7"/>
  <c r="AO285" i="7"/>
  <c r="AN285" i="7"/>
  <c r="AM285" i="7"/>
  <c r="AL285" i="7"/>
  <c r="AJ285" i="7"/>
  <c r="AI285" i="7"/>
  <c r="AH285" i="7"/>
  <c r="AG285" i="7"/>
  <c r="AE285" i="7"/>
  <c r="AD285" i="7"/>
  <c r="AC285" i="7"/>
  <c r="AB285" i="7"/>
  <c r="Z285" i="7"/>
  <c r="Y285" i="7"/>
  <c r="X285" i="7"/>
  <c r="W285" i="7"/>
  <c r="U285" i="7"/>
  <c r="T285" i="7"/>
  <c r="S285" i="7"/>
  <c r="R285" i="7"/>
  <c r="P285" i="7"/>
  <c r="O285" i="7"/>
  <c r="N285" i="7"/>
  <c r="M285" i="7"/>
  <c r="CA284" i="7"/>
  <c r="BZ284" i="7"/>
  <c r="BW284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CA283" i="7"/>
  <c r="BZ283" i="7"/>
  <c r="BW283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CA282" i="7"/>
  <c r="BZ282" i="7"/>
  <c r="BW282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CA281" i="7"/>
  <c r="BZ281" i="7"/>
  <c r="BX281" i="7"/>
  <c r="BW281" i="7"/>
  <c r="BV281" i="7"/>
  <c r="BU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CA280" i="7"/>
  <c r="BZ280" i="7"/>
  <c r="BW280" i="7"/>
  <c r="BV280" i="7"/>
  <c r="BU280" i="7"/>
  <c r="BS280" i="7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CA279" i="7"/>
  <c r="BZ279" i="7"/>
  <c r="BW279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CA278" i="7"/>
  <c r="BZ278" i="7"/>
  <c r="BX278" i="7"/>
  <c r="BW278" i="7"/>
  <c r="BV278" i="7"/>
  <c r="BU278" i="7"/>
  <c r="BT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CA277" i="7"/>
  <c r="BZ277" i="7"/>
  <c r="BW277" i="7"/>
  <c r="BV277" i="7"/>
  <c r="BU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CA276" i="7"/>
  <c r="BZ276" i="7"/>
  <c r="BW276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CA275" i="7"/>
  <c r="BZ275" i="7"/>
  <c r="BW275" i="7"/>
  <c r="BV275" i="7"/>
  <c r="BU275" i="7"/>
  <c r="BT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CA274" i="7"/>
  <c r="BZ274" i="7"/>
  <c r="BW274" i="7"/>
  <c r="BV274" i="7"/>
  <c r="BU274" i="7"/>
  <c r="BS274" i="7"/>
  <c r="BR274" i="7"/>
  <c r="BQ274" i="7"/>
  <c r="BP274" i="7"/>
  <c r="BO274" i="7"/>
  <c r="BN274" i="7"/>
  <c r="BM274" i="7"/>
  <c r="BL274" i="7"/>
  <c r="BK274" i="7"/>
  <c r="BI274" i="7"/>
  <c r="BH274" i="7"/>
  <c r="BG274" i="7"/>
  <c r="BF274" i="7"/>
  <c r="BD274" i="7"/>
  <c r="BC274" i="7"/>
  <c r="BB274" i="7"/>
  <c r="BA274" i="7"/>
  <c r="AY274" i="7"/>
  <c r="AX274" i="7"/>
  <c r="AW274" i="7"/>
  <c r="AV274" i="7"/>
  <c r="AT274" i="7"/>
  <c r="AS274" i="7"/>
  <c r="AR274" i="7"/>
  <c r="AQ274" i="7"/>
  <c r="AO274" i="7"/>
  <c r="AN274" i="7"/>
  <c r="AM274" i="7"/>
  <c r="AL274" i="7"/>
  <c r="AJ274" i="7"/>
  <c r="AI274" i="7"/>
  <c r="AH274" i="7"/>
  <c r="AG274" i="7"/>
  <c r="AE274" i="7"/>
  <c r="AD274" i="7"/>
  <c r="AC274" i="7"/>
  <c r="AB274" i="7"/>
  <c r="Z274" i="7"/>
  <c r="Y274" i="7"/>
  <c r="X274" i="7"/>
  <c r="W274" i="7"/>
  <c r="U274" i="7"/>
  <c r="T274" i="7"/>
  <c r="S274" i="7"/>
  <c r="R274" i="7"/>
  <c r="P274" i="7"/>
  <c r="O274" i="7"/>
  <c r="N274" i="7"/>
  <c r="M274" i="7"/>
  <c r="CA273" i="7"/>
  <c r="BZ273" i="7"/>
  <c r="BX273" i="7"/>
  <c r="BW273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CA272" i="7"/>
  <c r="BZ272" i="7"/>
  <c r="BW272" i="7"/>
  <c r="BV272" i="7"/>
  <c r="BU272" i="7"/>
  <c r="BS272" i="7"/>
  <c r="BR272" i="7"/>
  <c r="BQ272" i="7"/>
  <c r="BP272" i="7"/>
  <c r="BN272" i="7"/>
  <c r="BM272" i="7"/>
  <c r="BL272" i="7"/>
  <c r="BK272" i="7"/>
  <c r="BI272" i="7"/>
  <c r="BH272" i="7"/>
  <c r="BG272" i="7"/>
  <c r="BF272" i="7"/>
  <c r="BD272" i="7"/>
  <c r="BC272" i="7"/>
  <c r="BB272" i="7"/>
  <c r="BA272" i="7"/>
  <c r="AY272" i="7"/>
  <c r="AX272" i="7"/>
  <c r="AW272" i="7"/>
  <c r="AV272" i="7"/>
  <c r="AT272" i="7"/>
  <c r="AS272" i="7"/>
  <c r="AR272" i="7"/>
  <c r="AQ272" i="7"/>
  <c r="AO272" i="7"/>
  <c r="AN272" i="7"/>
  <c r="AM272" i="7"/>
  <c r="AL272" i="7"/>
  <c r="AJ272" i="7"/>
  <c r="AI272" i="7"/>
  <c r="AH272" i="7"/>
  <c r="AG272" i="7"/>
  <c r="AE272" i="7"/>
  <c r="AD272" i="7"/>
  <c r="AC272" i="7"/>
  <c r="AB272" i="7"/>
  <c r="Z272" i="7"/>
  <c r="Y272" i="7"/>
  <c r="X272" i="7"/>
  <c r="W272" i="7"/>
  <c r="U272" i="7"/>
  <c r="T272" i="7"/>
  <c r="S272" i="7"/>
  <c r="R272" i="7"/>
  <c r="P272" i="7"/>
  <c r="O272" i="7"/>
  <c r="N272" i="7"/>
  <c r="M272" i="7"/>
  <c r="CA271" i="7"/>
  <c r="BZ271" i="7"/>
  <c r="BW271" i="7"/>
  <c r="BV271" i="7"/>
  <c r="BU271" i="7"/>
  <c r="BS271" i="7"/>
  <c r="BR271" i="7"/>
  <c r="BQ271" i="7"/>
  <c r="BP271" i="7"/>
  <c r="BN271" i="7"/>
  <c r="BM271" i="7"/>
  <c r="BL271" i="7"/>
  <c r="BK271" i="7"/>
  <c r="BI271" i="7"/>
  <c r="BH271" i="7"/>
  <c r="BG271" i="7"/>
  <c r="BF271" i="7"/>
  <c r="BD271" i="7"/>
  <c r="BC271" i="7"/>
  <c r="BB271" i="7"/>
  <c r="BA271" i="7"/>
  <c r="AY271" i="7"/>
  <c r="AX271" i="7"/>
  <c r="AW271" i="7"/>
  <c r="AV271" i="7"/>
  <c r="AT271" i="7"/>
  <c r="AS271" i="7"/>
  <c r="AR271" i="7"/>
  <c r="AQ271" i="7"/>
  <c r="AO271" i="7"/>
  <c r="AN271" i="7"/>
  <c r="AM271" i="7"/>
  <c r="AL271" i="7"/>
  <c r="AJ271" i="7"/>
  <c r="AI271" i="7"/>
  <c r="AH271" i="7"/>
  <c r="AG271" i="7"/>
  <c r="AF271" i="7"/>
  <c r="AE271" i="7"/>
  <c r="AD271" i="7"/>
  <c r="AC271" i="7"/>
  <c r="AB271" i="7"/>
  <c r="Z271" i="7"/>
  <c r="Y271" i="7"/>
  <c r="X271" i="7"/>
  <c r="W271" i="7"/>
  <c r="U271" i="7"/>
  <c r="T271" i="7"/>
  <c r="S271" i="7"/>
  <c r="R271" i="7"/>
  <c r="P271" i="7"/>
  <c r="O271" i="7"/>
  <c r="N271" i="7"/>
  <c r="M271" i="7"/>
  <c r="L271" i="7"/>
  <c r="CA270" i="7"/>
  <c r="BZ270" i="7"/>
  <c r="BW270" i="7"/>
  <c r="BV270" i="7"/>
  <c r="BU270" i="7"/>
  <c r="BS270" i="7"/>
  <c r="BR270" i="7"/>
  <c r="BQ270" i="7"/>
  <c r="BP270" i="7"/>
  <c r="BN270" i="7"/>
  <c r="BM270" i="7"/>
  <c r="BL270" i="7"/>
  <c r="BK270" i="7"/>
  <c r="BI270" i="7"/>
  <c r="BH270" i="7"/>
  <c r="BG270" i="7"/>
  <c r="BF270" i="7"/>
  <c r="BD270" i="7"/>
  <c r="BC270" i="7"/>
  <c r="BB270" i="7"/>
  <c r="BA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J270" i="7"/>
  <c r="AI270" i="7"/>
  <c r="AH270" i="7"/>
  <c r="AG270" i="7"/>
  <c r="AE270" i="7"/>
  <c r="AD270" i="7"/>
  <c r="AC270" i="7"/>
  <c r="AB270" i="7"/>
  <c r="Z270" i="7"/>
  <c r="Y270" i="7"/>
  <c r="X270" i="7"/>
  <c r="W270" i="7"/>
  <c r="U270" i="7"/>
  <c r="T270" i="7"/>
  <c r="S270" i="7"/>
  <c r="R270" i="7"/>
  <c r="P270" i="7"/>
  <c r="O270" i="7"/>
  <c r="N270" i="7"/>
  <c r="M270" i="7"/>
  <c r="CA269" i="7"/>
  <c r="BZ269" i="7"/>
  <c r="BW269" i="7"/>
  <c r="BV269" i="7"/>
  <c r="BU269" i="7"/>
  <c r="BS269" i="7"/>
  <c r="BR269" i="7"/>
  <c r="BQ269" i="7"/>
  <c r="BP269" i="7"/>
  <c r="BN269" i="7"/>
  <c r="BM269" i="7"/>
  <c r="BL269" i="7"/>
  <c r="BK269" i="7"/>
  <c r="BI269" i="7"/>
  <c r="BH269" i="7"/>
  <c r="BG269" i="7"/>
  <c r="BF269" i="7"/>
  <c r="BD269" i="7"/>
  <c r="BC269" i="7"/>
  <c r="BB269" i="7"/>
  <c r="BA269" i="7"/>
  <c r="AY269" i="7"/>
  <c r="AX269" i="7"/>
  <c r="AW269" i="7"/>
  <c r="AV269" i="7"/>
  <c r="AT269" i="7"/>
  <c r="AS269" i="7"/>
  <c r="AR269" i="7"/>
  <c r="AQ269" i="7"/>
  <c r="AO269" i="7"/>
  <c r="AN269" i="7"/>
  <c r="AM269" i="7"/>
  <c r="AL269" i="7"/>
  <c r="AJ269" i="7"/>
  <c r="AI269" i="7"/>
  <c r="AH269" i="7"/>
  <c r="AG269" i="7"/>
  <c r="AE269" i="7"/>
  <c r="AD269" i="7"/>
  <c r="AC269" i="7"/>
  <c r="AB269" i="7"/>
  <c r="Z269" i="7"/>
  <c r="Y269" i="7"/>
  <c r="X269" i="7"/>
  <c r="W269" i="7"/>
  <c r="U269" i="7"/>
  <c r="T269" i="7"/>
  <c r="S269" i="7"/>
  <c r="R269" i="7"/>
  <c r="P269" i="7"/>
  <c r="O269" i="7"/>
  <c r="N269" i="7"/>
  <c r="M269" i="7"/>
  <c r="CA268" i="7"/>
  <c r="BZ268" i="7"/>
  <c r="BW268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CA267" i="7"/>
  <c r="BZ267" i="7"/>
  <c r="BW267" i="7"/>
  <c r="BV267" i="7"/>
  <c r="BU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CA266" i="7"/>
  <c r="BZ266" i="7"/>
  <c r="BX266" i="7"/>
  <c r="BW266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CA265" i="7"/>
  <c r="BZ265" i="7"/>
  <c r="BW265" i="7"/>
  <c r="BV265" i="7"/>
  <c r="BU265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CA264" i="7"/>
  <c r="BZ264" i="7"/>
  <c r="BW264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CA263" i="7"/>
  <c r="BZ263" i="7"/>
  <c r="BW263" i="7"/>
  <c r="BV263" i="7"/>
  <c r="BU263" i="7"/>
  <c r="BT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CA262" i="7"/>
  <c r="BZ262" i="7"/>
  <c r="BW262" i="7"/>
  <c r="BV262" i="7"/>
  <c r="BU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CA261" i="7"/>
  <c r="BZ261" i="7"/>
  <c r="BX261" i="7"/>
  <c r="BW261" i="7"/>
  <c r="BV261" i="7"/>
  <c r="BU261" i="7"/>
  <c r="BT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CA260" i="7"/>
  <c r="BZ260" i="7"/>
  <c r="BW260" i="7"/>
  <c r="BV260" i="7"/>
  <c r="BU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CA259" i="7"/>
  <c r="BZ259" i="7"/>
  <c r="BW259" i="7"/>
  <c r="BV259" i="7"/>
  <c r="BU259" i="7"/>
  <c r="BS259" i="7"/>
  <c r="BR259" i="7"/>
  <c r="BQ259" i="7"/>
  <c r="BP259" i="7"/>
  <c r="BO259" i="7"/>
  <c r="BN259" i="7"/>
  <c r="BM259" i="7"/>
  <c r="BL259" i="7"/>
  <c r="BK259" i="7"/>
  <c r="BI259" i="7"/>
  <c r="BH259" i="7"/>
  <c r="BG259" i="7"/>
  <c r="BF259" i="7"/>
  <c r="BD259" i="7"/>
  <c r="BC259" i="7"/>
  <c r="BB259" i="7"/>
  <c r="BA259" i="7"/>
  <c r="AZ259" i="7"/>
  <c r="AY259" i="7"/>
  <c r="AX259" i="7"/>
  <c r="AW259" i="7"/>
  <c r="AV259" i="7"/>
  <c r="AT259" i="7"/>
  <c r="AS259" i="7"/>
  <c r="AR259" i="7"/>
  <c r="AQ259" i="7"/>
  <c r="AO259" i="7"/>
  <c r="AN259" i="7"/>
  <c r="AM259" i="7"/>
  <c r="AL259" i="7"/>
  <c r="AJ259" i="7"/>
  <c r="AI259" i="7"/>
  <c r="AH259" i="7"/>
  <c r="AG259" i="7"/>
  <c r="AE259" i="7"/>
  <c r="AD259" i="7"/>
  <c r="AC259" i="7"/>
  <c r="AB259" i="7"/>
  <c r="Z259" i="7"/>
  <c r="Y259" i="7"/>
  <c r="X259" i="7"/>
  <c r="W259" i="7"/>
  <c r="U259" i="7"/>
  <c r="T259" i="7"/>
  <c r="S259" i="7"/>
  <c r="R259" i="7"/>
  <c r="P259" i="7"/>
  <c r="O259" i="7"/>
  <c r="N259" i="7"/>
  <c r="M259" i="7"/>
  <c r="CA258" i="7"/>
  <c r="BZ258" i="7"/>
  <c r="BW258" i="7"/>
  <c r="BV258" i="7"/>
  <c r="BU258" i="7"/>
  <c r="BT258" i="7"/>
  <c r="BS258" i="7"/>
  <c r="BR258" i="7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CA257" i="7"/>
  <c r="BZ257" i="7"/>
  <c r="BW257" i="7"/>
  <c r="BV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CA256" i="7"/>
  <c r="BZ256" i="7"/>
  <c r="BX256" i="7"/>
  <c r="BW256" i="7"/>
  <c r="BV256" i="7"/>
  <c r="BU256" i="7"/>
  <c r="BT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CA255" i="7"/>
  <c r="BZ255" i="7"/>
  <c r="BW255" i="7"/>
  <c r="BV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CA254" i="7"/>
  <c r="BZ254" i="7"/>
  <c r="BW254" i="7"/>
  <c r="BV254" i="7"/>
  <c r="BU254" i="7"/>
  <c r="BS254" i="7"/>
  <c r="BR254" i="7"/>
  <c r="BQ254" i="7"/>
  <c r="BP254" i="7"/>
  <c r="BN254" i="7"/>
  <c r="BM254" i="7"/>
  <c r="BL254" i="7"/>
  <c r="BK254" i="7"/>
  <c r="BI254" i="7"/>
  <c r="BH254" i="7"/>
  <c r="BG254" i="7"/>
  <c r="BF254" i="7"/>
  <c r="BD254" i="7"/>
  <c r="BC254" i="7"/>
  <c r="BB254" i="7"/>
  <c r="BA254" i="7"/>
  <c r="AY254" i="7"/>
  <c r="AX254" i="7"/>
  <c r="AW254" i="7"/>
  <c r="AV254" i="7"/>
  <c r="AT254" i="7"/>
  <c r="AS254" i="7"/>
  <c r="AR254" i="7"/>
  <c r="AQ254" i="7"/>
  <c r="AO254" i="7"/>
  <c r="AN254" i="7"/>
  <c r="AM254" i="7"/>
  <c r="AL254" i="7"/>
  <c r="AJ254" i="7"/>
  <c r="AI254" i="7"/>
  <c r="AH254" i="7"/>
  <c r="AG254" i="7"/>
  <c r="AE254" i="7"/>
  <c r="AD254" i="7"/>
  <c r="AC254" i="7"/>
  <c r="AB254" i="7"/>
  <c r="Z254" i="7"/>
  <c r="Y254" i="7"/>
  <c r="X254" i="7"/>
  <c r="W254" i="7"/>
  <c r="U254" i="7"/>
  <c r="T254" i="7"/>
  <c r="S254" i="7"/>
  <c r="R254" i="7"/>
  <c r="P254" i="7"/>
  <c r="O254" i="7"/>
  <c r="N254" i="7"/>
  <c r="M254" i="7"/>
  <c r="CA253" i="7"/>
  <c r="BZ253" i="7"/>
  <c r="BX253" i="7"/>
  <c r="BW253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CA252" i="7"/>
  <c r="BZ252" i="7"/>
  <c r="BW252" i="7"/>
  <c r="BV252" i="7"/>
  <c r="BU252" i="7"/>
  <c r="BS252" i="7"/>
  <c r="BR252" i="7"/>
  <c r="BQ252" i="7"/>
  <c r="BP252" i="7"/>
  <c r="BN252" i="7"/>
  <c r="BM252" i="7"/>
  <c r="BL252" i="7"/>
  <c r="BK252" i="7"/>
  <c r="BJ252" i="7"/>
  <c r="BI252" i="7"/>
  <c r="BH252" i="7"/>
  <c r="BG252" i="7"/>
  <c r="BF252" i="7"/>
  <c r="BD252" i="7"/>
  <c r="BC252" i="7"/>
  <c r="BB252" i="7"/>
  <c r="BA252" i="7"/>
  <c r="AY252" i="7"/>
  <c r="AX252" i="7"/>
  <c r="AW252" i="7"/>
  <c r="AV252" i="7"/>
  <c r="AT252" i="7"/>
  <c r="AS252" i="7"/>
  <c r="AR252" i="7"/>
  <c r="AQ252" i="7"/>
  <c r="AO252" i="7"/>
  <c r="AN252" i="7"/>
  <c r="AM252" i="7"/>
  <c r="AL252" i="7"/>
  <c r="AJ252" i="7"/>
  <c r="AI252" i="7"/>
  <c r="AH252" i="7"/>
  <c r="AG252" i="7"/>
  <c r="AE252" i="7"/>
  <c r="AD252" i="7"/>
  <c r="AC252" i="7"/>
  <c r="AB252" i="7"/>
  <c r="Z252" i="7"/>
  <c r="Y252" i="7"/>
  <c r="X252" i="7"/>
  <c r="W252" i="7"/>
  <c r="V252" i="7"/>
  <c r="U252" i="7"/>
  <c r="T252" i="7"/>
  <c r="S252" i="7"/>
  <c r="R252" i="7"/>
  <c r="P252" i="7"/>
  <c r="O252" i="7"/>
  <c r="N252" i="7"/>
  <c r="M252" i="7"/>
  <c r="CA251" i="7"/>
  <c r="BZ251" i="7"/>
  <c r="BX251" i="7"/>
  <c r="BW251" i="7"/>
  <c r="BV251" i="7"/>
  <c r="BU251" i="7"/>
  <c r="BT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CA250" i="7"/>
  <c r="BZ250" i="7"/>
  <c r="BW250" i="7"/>
  <c r="BV250" i="7"/>
  <c r="BU250" i="7"/>
  <c r="BS250" i="7"/>
  <c r="BR250" i="7"/>
  <c r="BQ250" i="7"/>
  <c r="BP250" i="7"/>
  <c r="BN250" i="7"/>
  <c r="BM250" i="7"/>
  <c r="BL250" i="7"/>
  <c r="BK250" i="7"/>
  <c r="BI250" i="7"/>
  <c r="BH250" i="7"/>
  <c r="BG250" i="7"/>
  <c r="BF250" i="7"/>
  <c r="BD250" i="7"/>
  <c r="BC250" i="7"/>
  <c r="BB250" i="7"/>
  <c r="BA250" i="7"/>
  <c r="AY250" i="7"/>
  <c r="AX250" i="7"/>
  <c r="AW250" i="7"/>
  <c r="AV250" i="7"/>
  <c r="AT250" i="7"/>
  <c r="AS250" i="7"/>
  <c r="AR250" i="7"/>
  <c r="AQ250" i="7"/>
  <c r="AO250" i="7"/>
  <c r="AN250" i="7"/>
  <c r="AM250" i="7"/>
  <c r="AL250" i="7"/>
  <c r="AJ250" i="7"/>
  <c r="AI250" i="7"/>
  <c r="AH250" i="7"/>
  <c r="AG250" i="7"/>
  <c r="AE250" i="7"/>
  <c r="AD250" i="7"/>
  <c r="AC250" i="7"/>
  <c r="AB250" i="7"/>
  <c r="Z250" i="7"/>
  <c r="Y250" i="7"/>
  <c r="X250" i="7"/>
  <c r="W250" i="7"/>
  <c r="U250" i="7"/>
  <c r="T250" i="7"/>
  <c r="S250" i="7"/>
  <c r="R250" i="7"/>
  <c r="P250" i="7"/>
  <c r="O250" i="7"/>
  <c r="N250" i="7"/>
  <c r="M250" i="7"/>
  <c r="CA249" i="7"/>
  <c r="BZ249" i="7"/>
  <c r="BW249" i="7"/>
  <c r="BV249" i="7"/>
  <c r="BU249" i="7"/>
  <c r="BS249" i="7"/>
  <c r="BR249" i="7"/>
  <c r="BQ249" i="7"/>
  <c r="BP249" i="7"/>
  <c r="BN249" i="7"/>
  <c r="BM249" i="7"/>
  <c r="BL249" i="7"/>
  <c r="BK249" i="7"/>
  <c r="BI249" i="7"/>
  <c r="BH249" i="7"/>
  <c r="BG249" i="7"/>
  <c r="BF249" i="7"/>
  <c r="BD249" i="7"/>
  <c r="BC249" i="7"/>
  <c r="BB249" i="7"/>
  <c r="BA249" i="7"/>
  <c r="AY249" i="7"/>
  <c r="AX249" i="7"/>
  <c r="AW249" i="7"/>
  <c r="AV249" i="7"/>
  <c r="AT249" i="7"/>
  <c r="AS249" i="7"/>
  <c r="AR249" i="7"/>
  <c r="AQ249" i="7"/>
  <c r="AO249" i="7"/>
  <c r="AN249" i="7"/>
  <c r="AM249" i="7"/>
  <c r="AL249" i="7"/>
  <c r="AJ249" i="7"/>
  <c r="AI249" i="7"/>
  <c r="AH249" i="7"/>
  <c r="AG249" i="7"/>
  <c r="AE249" i="7"/>
  <c r="AD249" i="7"/>
  <c r="AC249" i="7"/>
  <c r="AB249" i="7"/>
  <c r="Z249" i="7"/>
  <c r="Y249" i="7"/>
  <c r="X249" i="7"/>
  <c r="W249" i="7"/>
  <c r="U249" i="7"/>
  <c r="T249" i="7"/>
  <c r="S249" i="7"/>
  <c r="R249" i="7"/>
  <c r="P249" i="7"/>
  <c r="O249" i="7"/>
  <c r="N249" i="7"/>
  <c r="M249" i="7"/>
  <c r="CA248" i="7"/>
  <c r="BZ248" i="7"/>
  <c r="BX248" i="7"/>
  <c r="BW248" i="7"/>
  <c r="BV248" i="7"/>
  <c r="BU248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CA247" i="7"/>
  <c r="BZ247" i="7"/>
  <c r="BX247" i="7"/>
  <c r="BW247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CA246" i="7"/>
  <c r="BZ246" i="7"/>
  <c r="BW246" i="7"/>
  <c r="BV246" i="7"/>
  <c r="BU246" i="7"/>
  <c r="BS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CA245" i="7"/>
  <c r="BZ245" i="7"/>
  <c r="BW245" i="7"/>
  <c r="BV245" i="7"/>
  <c r="BU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CA244" i="7"/>
  <c r="BZ244" i="7"/>
  <c r="BW244" i="7"/>
  <c r="BV244" i="7"/>
  <c r="BU244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CA243" i="7"/>
  <c r="BZ243" i="7"/>
  <c r="BX243" i="7"/>
  <c r="BW243" i="7"/>
  <c r="BV243" i="7"/>
  <c r="BU243" i="7"/>
  <c r="BT243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CA242" i="7"/>
  <c r="BZ242" i="7"/>
  <c r="BX242" i="7"/>
  <c r="BW242" i="7"/>
  <c r="BV242" i="7"/>
  <c r="BU242" i="7"/>
  <c r="BT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CA241" i="7"/>
  <c r="BZ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CA240" i="7"/>
  <c r="BZ240" i="7"/>
  <c r="BX240" i="7"/>
  <c r="BW240" i="7"/>
  <c r="BV240" i="7"/>
  <c r="BU240" i="7"/>
  <c r="BT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CA239" i="7"/>
  <c r="BZ239" i="7"/>
  <c r="BX239" i="7"/>
  <c r="BW239" i="7"/>
  <c r="BV239" i="7"/>
  <c r="BU239" i="7"/>
  <c r="BT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CA238" i="7"/>
  <c r="BZ238" i="7"/>
  <c r="BW238" i="7"/>
  <c r="BV238" i="7"/>
  <c r="BU238" i="7"/>
  <c r="BS238" i="7"/>
  <c r="BR238" i="7"/>
  <c r="BQ238" i="7"/>
  <c r="BP238" i="7"/>
  <c r="BN238" i="7"/>
  <c r="BM238" i="7"/>
  <c r="BL238" i="7"/>
  <c r="BK238" i="7"/>
  <c r="BI238" i="7"/>
  <c r="BH238" i="7"/>
  <c r="BG238" i="7"/>
  <c r="BF238" i="7"/>
  <c r="BD238" i="7"/>
  <c r="BC238" i="7"/>
  <c r="BB238" i="7"/>
  <c r="BA238" i="7"/>
  <c r="AY238" i="7"/>
  <c r="AX238" i="7"/>
  <c r="AW238" i="7"/>
  <c r="AV238" i="7"/>
  <c r="AT238" i="7"/>
  <c r="AS238" i="7"/>
  <c r="AR238" i="7"/>
  <c r="AQ238" i="7"/>
  <c r="AO238" i="7"/>
  <c r="AN238" i="7"/>
  <c r="AM238" i="7"/>
  <c r="AL238" i="7"/>
  <c r="AJ238" i="7"/>
  <c r="AI238" i="7"/>
  <c r="AH238" i="7"/>
  <c r="AG238" i="7"/>
  <c r="AE238" i="7"/>
  <c r="AD238" i="7"/>
  <c r="AC238" i="7"/>
  <c r="AB238" i="7"/>
  <c r="Z238" i="7"/>
  <c r="Y238" i="7"/>
  <c r="X238" i="7"/>
  <c r="W238" i="7"/>
  <c r="U238" i="7"/>
  <c r="T238" i="7"/>
  <c r="S238" i="7"/>
  <c r="R238" i="7"/>
  <c r="P238" i="7"/>
  <c r="O238" i="7"/>
  <c r="N238" i="7"/>
  <c r="M238" i="7"/>
  <c r="CA237" i="7"/>
  <c r="BZ237" i="7"/>
  <c r="BW237" i="7"/>
  <c r="BV237" i="7"/>
  <c r="BU237" i="7"/>
  <c r="BS237" i="7"/>
  <c r="BR237" i="7"/>
  <c r="BQ237" i="7"/>
  <c r="BP237" i="7"/>
  <c r="BN237" i="7"/>
  <c r="BM237" i="7"/>
  <c r="BL237" i="7"/>
  <c r="BK237" i="7"/>
  <c r="BI237" i="7"/>
  <c r="BH237" i="7"/>
  <c r="BG237" i="7"/>
  <c r="BF237" i="7"/>
  <c r="BD237" i="7"/>
  <c r="BC237" i="7"/>
  <c r="BB237" i="7"/>
  <c r="BA237" i="7"/>
  <c r="AY237" i="7"/>
  <c r="AX237" i="7"/>
  <c r="AW237" i="7"/>
  <c r="AV237" i="7"/>
  <c r="AT237" i="7"/>
  <c r="AS237" i="7"/>
  <c r="AR237" i="7"/>
  <c r="AQ237" i="7"/>
  <c r="AO237" i="7"/>
  <c r="AN237" i="7"/>
  <c r="AM237" i="7"/>
  <c r="AL237" i="7"/>
  <c r="AJ237" i="7"/>
  <c r="AI237" i="7"/>
  <c r="AH237" i="7"/>
  <c r="AG237" i="7"/>
  <c r="AE237" i="7"/>
  <c r="AD237" i="7"/>
  <c r="AC237" i="7"/>
  <c r="AB237" i="7"/>
  <c r="Z237" i="7"/>
  <c r="Y237" i="7"/>
  <c r="X237" i="7"/>
  <c r="W237" i="7"/>
  <c r="U237" i="7"/>
  <c r="T237" i="7"/>
  <c r="S237" i="7"/>
  <c r="R237" i="7"/>
  <c r="P237" i="7"/>
  <c r="O237" i="7"/>
  <c r="N237" i="7"/>
  <c r="M237" i="7"/>
  <c r="CA236" i="7"/>
  <c r="BZ236" i="7"/>
  <c r="BX236" i="7"/>
  <c r="BW236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CA235" i="7"/>
  <c r="BZ235" i="7"/>
  <c r="BW235" i="7"/>
  <c r="BV235" i="7"/>
  <c r="BU235" i="7"/>
  <c r="BS235" i="7"/>
  <c r="BR235" i="7"/>
  <c r="BQ235" i="7"/>
  <c r="BP235" i="7"/>
  <c r="BN235" i="7"/>
  <c r="BM235" i="7"/>
  <c r="BL235" i="7"/>
  <c r="BK235" i="7"/>
  <c r="BI235" i="7"/>
  <c r="BH235" i="7"/>
  <c r="BG235" i="7"/>
  <c r="BF235" i="7"/>
  <c r="BD235" i="7"/>
  <c r="BC235" i="7"/>
  <c r="BB235" i="7"/>
  <c r="BA235" i="7"/>
  <c r="AY235" i="7"/>
  <c r="AX235" i="7"/>
  <c r="AW235" i="7"/>
  <c r="AV235" i="7"/>
  <c r="AT235" i="7"/>
  <c r="AS235" i="7"/>
  <c r="AR235" i="7"/>
  <c r="AQ235" i="7"/>
  <c r="AO235" i="7"/>
  <c r="AN235" i="7"/>
  <c r="AM235" i="7"/>
  <c r="AL235" i="7"/>
  <c r="AJ235" i="7"/>
  <c r="AI235" i="7"/>
  <c r="AH235" i="7"/>
  <c r="AG235" i="7"/>
  <c r="AE235" i="7"/>
  <c r="AD235" i="7"/>
  <c r="AC235" i="7"/>
  <c r="AB235" i="7"/>
  <c r="Z235" i="7"/>
  <c r="Y235" i="7"/>
  <c r="X235" i="7"/>
  <c r="W235" i="7"/>
  <c r="U235" i="7"/>
  <c r="T235" i="7"/>
  <c r="S235" i="7"/>
  <c r="R235" i="7"/>
  <c r="P235" i="7"/>
  <c r="O235" i="7"/>
  <c r="N235" i="7"/>
  <c r="M235" i="7"/>
  <c r="CA234" i="7"/>
  <c r="BZ234" i="7"/>
  <c r="BW234" i="7"/>
  <c r="BV234" i="7"/>
  <c r="BU234" i="7"/>
  <c r="BS234" i="7"/>
  <c r="BR234" i="7"/>
  <c r="BQ234" i="7"/>
  <c r="BP234" i="7"/>
  <c r="BN234" i="7"/>
  <c r="BM234" i="7"/>
  <c r="BL234" i="7"/>
  <c r="BK234" i="7"/>
  <c r="BI234" i="7"/>
  <c r="BH234" i="7"/>
  <c r="BG234" i="7"/>
  <c r="BF234" i="7"/>
  <c r="BD234" i="7"/>
  <c r="BC234" i="7"/>
  <c r="BB234" i="7"/>
  <c r="BA234" i="7"/>
  <c r="AY234" i="7"/>
  <c r="AX234" i="7"/>
  <c r="AW234" i="7"/>
  <c r="AV234" i="7"/>
  <c r="AT234" i="7"/>
  <c r="AS234" i="7"/>
  <c r="AR234" i="7"/>
  <c r="AQ234" i="7"/>
  <c r="AO234" i="7"/>
  <c r="AN234" i="7"/>
  <c r="AM234" i="7"/>
  <c r="AL234" i="7"/>
  <c r="AJ234" i="7"/>
  <c r="AI234" i="7"/>
  <c r="AH234" i="7"/>
  <c r="AG234" i="7"/>
  <c r="AE234" i="7"/>
  <c r="AD234" i="7"/>
  <c r="AC234" i="7"/>
  <c r="AB234" i="7"/>
  <c r="Z234" i="7"/>
  <c r="Y234" i="7"/>
  <c r="X234" i="7"/>
  <c r="W234" i="7"/>
  <c r="U234" i="7"/>
  <c r="T234" i="7"/>
  <c r="S234" i="7"/>
  <c r="R234" i="7"/>
  <c r="P234" i="7"/>
  <c r="O234" i="7"/>
  <c r="N234" i="7"/>
  <c r="M234" i="7"/>
  <c r="CA233" i="7"/>
  <c r="BZ233" i="7"/>
  <c r="BW233" i="7"/>
  <c r="BV233" i="7"/>
  <c r="BU233" i="7"/>
  <c r="BS233" i="7"/>
  <c r="BR233" i="7"/>
  <c r="BQ233" i="7"/>
  <c r="BP233" i="7"/>
  <c r="BN233" i="7"/>
  <c r="BM233" i="7"/>
  <c r="BL233" i="7"/>
  <c r="BK233" i="7"/>
  <c r="BI233" i="7"/>
  <c r="BH233" i="7"/>
  <c r="BG233" i="7"/>
  <c r="BF233" i="7"/>
  <c r="BD233" i="7"/>
  <c r="BC233" i="7"/>
  <c r="BB233" i="7"/>
  <c r="BA233" i="7"/>
  <c r="AY233" i="7"/>
  <c r="AX233" i="7"/>
  <c r="AW233" i="7"/>
  <c r="AV233" i="7"/>
  <c r="AT233" i="7"/>
  <c r="AS233" i="7"/>
  <c r="AR233" i="7"/>
  <c r="AQ233" i="7"/>
  <c r="AO233" i="7"/>
  <c r="AN233" i="7"/>
  <c r="AM233" i="7"/>
  <c r="AL233" i="7"/>
  <c r="AJ233" i="7"/>
  <c r="AI233" i="7"/>
  <c r="AH233" i="7"/>
  <c r="AG233" i="7"/>
  <c r="AE233" i="7"/>
  <c r="AD233" i="7"/>
  <c r="AC233" i="7"/>
  <c r="AB233" i="7"/>
  <c r="Z233" i="7"/>
  <c r="Y233" i="7"/>
  <c r="X233" i="7"/>
  <c r="W233" i="7"/>
  <c r="U233" i="7"/>
  <c r="T233" i="7"/>
  <c r="S233" i="7"/>
  <c r="R233" i="7"/>
  <c r="P233" i="7"/>
  <c r="O233" i="7"/>
  <c r="N233" i="7"/>
  <c r="M233" i="7"/>
  <c r="CA232" i="7"/>
  <c r="BZ232" i="7"/>
  <c r="BW232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CA231" i="7"/>
  <c r="BZ231" i="7"/>
  <c r="BW231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BX374" i="7"/>
  <c r="EL223" i="7"/>
  <c r="BT223" i="7"/>
  <c r="BT374" i="7" s="1"/>
  <c r="EL222" i="7"/>
  <c r="BT222" i="7"/>
  <c r="BT220" i="7" s="1"/>
  <c r="BX372" i="7"/>
  <c r="EL221" i="7"/>
  <c r="BT221" i="7"/>
  <c r="BT372" i="7" s="1"/>
  <c r="EG220" i="7"/>
  <c r="EB220" i="7"/>
  <c r="DW220" i="7"/>
  <c r="DR220" i="7"/>
  <c r="DM220" i="7"/>
  <c r="DH220" i="7"/>
  <c r="DC220" i="7"/>
  <c r="CX220" i="7"/>
  <c r="CS220" i="7"/>
  <c r="CN220" i="7"/>
  <c r="CI220" i="7"/>
  <c r="CD220" i="7"/>
  <c r="BY220" i="7"/>
  <c r="BO220" i="7"/>
  <c r="BJ220" i="7"/>
  <c r="BE220" i="7"/>
  <c r="BE371" i="7" s="1"/>
  <c r="AZ220" i="7"/>
  <c r="AZ371" i="7" s="1"/>
  <c r="AU220" i="7"/>
  <c r="AU371" i="7" s="1"/>
  <c r="AP220" i="7"/>
  <c r="AP371" i="7" s="1"/>
  <c r="AK220" i="7"/>
  <c r="AK371" i="7" s="1"/>
  <c r="AF220" i="7"/>
  <c r="AA220" i="7"/>
  <c r="V220" i="7"/>
  <c r="Q220" i="7"/>
  <c r="L220" i="7"/>
  <c r="L371" i="7" s="1"/>
  <c r="G220" i="7"/>
  <c r="BX370" i="7"/>
  <c r="EL218" i="7"/>
  <c r="BT218" i="7"/>
  <c r="EL217" i="7"/>
  <c r="BT217" i="7"/>
  <c r="BT368" i="7" s="1"/>
  <c r="EL216" i="7"/>
  <c r="BT216" i="7"/>
  <c r="EG215" i="7"/>
  <c r="EB215" i="7"/>
  <c r="DW215" i="7"/>
  <c r="DR215" i="7"/>
  <c r="DM215" i="7"/>
  <c r="DH215" i="7"/>
  <c r="DC215" i="7"/>
  <c r="CX215" i="7"/>
  <c r="CS215" i="7"/>
  <c r="CN215" i="7"/>
  <c r="CI215" i="7"/>
  <c r="CD215" i="7"/>
  <c r="BY215" i="7"/>
  <c r="BO215" i="7"/>
  <c r="BJ215" i="7"/>
  <c r="BE215" i="7"/>
  <c r="AZ215" i="7"/>
  <c r="AU215" i="7"/>
  <c r="AU366" i="7" s="1"/>
  <c r="AP215" i="7"/>
  <c r="AP366" i="7" s="1"/>
  <c r="AK215" i="7"/>
  <c r="AK366" i="7" s="1"/>
  <c r="AF215" i="7"/>
  <c r="AA215" i="7"/>
  <c r="V215" i="7"/>
  <c r="V366" i="7" s="1"/>
  <c r="Q215" i="7"/>
  <c r="L215" i="7"/>
  <c r="L366" i="7" s="1"/>
  <c r="G215" i="7"/>
  <c r="BX365" i="7"/>
  <c r="BX364" i="7"/>
  <c r="EL213" i="7"/>
  <c r="BT213" i="7"/>
  <c r="BT364" i="7" s="1"/>
  <c r="EL212" i="7"/>
  <c r="BT212" i="7"/>
  <c r="EL211" i="7"/>
  <c r="BX362" i="7" s="1"/>
  <c r="BT211" i="7"/>
  <c r="EG210" i="7"/>
  <c r="EB210" i="7"/>
  <c r="DW210" i="7"/>
  <c r="DR210" i="7"/>
  <c r="DM210" i="7"/>
  <c r="DH210" i="7"/>
  <c r="DC210" i="7"/>
  <c r="CX210" i="7"/>
  <c r="CS210" i="7"/>
  <c r="CN210" i="7"/>
  <c r="CI210" i="7"/>
  <c r="CD210" i="7"/>
  <c r="L361" i="7" s="1"/>
  <c r="BY210" i="7"/>
  <c r="BO210" i="7"/>
  <c r="BO361" i="7" s="1"/>
  <c r="BJ210" i="7"/>
  <c r="BJ361" i="7" s="1"/>
  <c r="BE210" i="7"/>
  <c r="AZ210" i="7"/>
  <c r="AU210" i="7"/>
  <c r="AP210" i="7"/>
  <c r="AK210" i="7"/>
  <c r="AK361" i="7" s="1"/>
  <c r="AF210" i="7"/>
  <c r="AA210" i="7"/>
  <c r="V210" i="7"/>
  <c r="V361" i="7" s="1"/>
  <c r="Q210" i="7"/>
  <c r="L210" i="7"/>
  <c r="G210" i="7"/>
  <c r="BX360" i="7"/>
  <c r="EL208" i="7"/>
  <c r="BX359" i="7" s="1"/>
  <c r="BT208" i="7"/>
  <c r="BT359" i="7" s="1"/>
  <c r="EL207" i="7"/>
  <c r="BT207" i="7"/>
  <c r="BT358" i="7" s="1"/>
  <c r="EL206" i="7"/>
  <c r="BT206" i="7"/>
  <c r="EG205" i="7"/>
  <c r="EB205" i="7"/>
  <c r="BJ356" i="7" s="1"/>
  <c r="DW205" i="7"/>
  <c r="DR205" i="7"/>
  <c r="DM205" i="7"/>
  <c r="DH205" i="7"/>
  <c r="DC205" i="7"/>
  <c r="CX205" i="7"/>
  <c r="CS205" i="7"/>
  <c r="CN205" i="7"/>
  <c r="CI205" i="7"/>
  <c r="CD205" i="7"/>
  <c r="BY205" i="7"/>
  <c r="BO205" i="7"/>
  <c r="BJ205" i="7"/>
  <c r="BE205" i="7"/>
  <c r="AZ205" i="7"/>
  <c r="AZ356" i="7" s="1"/>
  <c r="AU205" i="7"/>
  <c r="AP205" i="7"/>
  <c r="AK205" i="7"/>
  <c r="AF205" i="7"/>
  <c r="AA205" i="7"/>
  <c r="V205" i="7"/>
  <c r="Q205" i="7"/>
  <c r="Q356" i="7" s="1"/>
  <c r="L205" i="7"/>
  <c r="L356" i="7" s="1"/>
  <c r="G205" i="7"/>
  <c r="BX355" i="7"/>
  <c r="EL203" i="7"/>
  <c r="BX354" i="7" s="1"/>
  <c r="BT203" i="7"/>
  <c r="EL202" i="7"/>
  <c r="EL200" i="7" s="1"/>
  <c r="BT202" i="7"/>
  <c r="BX352" i="7"/>
  <c r="EL201" i="7"/>
  <c r="BT201" i="7"/>
  <c r="BT352" i="7" s="1"/>
  <c r="EG200" i="7"/>
  <c r="EB200" i="7"/>
  <c r="DW200" i="7"/>
  <c r="DR200" i="7"/>
  <c r="DM200" i="7"/>
  <c r="DH200" i="7"/>
  <c r="DC200" i="7"/>
  <c r="CX200" i="7"/>
  <c r="CS200" i="7"/>
  <c r="CN200" i="7"/>
  <c r="CI200" i="7"/>
  <c r="CD200" i="7"/>
  <c r="BY200" i="7"/>
  <c r="BO200" i="7"/>
  <c r="BJ200" i="7"/>
  <c r="BE200" i="7"/>
  <c r="AZ200" i="7"/>
  <c r="AU200" i="7"/>
  <c r="AP200" i="7"/>
  <c r="AK200" i="7"/>
  <c r="AF200" i="7"/>
  <c r="AA200" i="7"/>
  <c r="V200" i="7"/>
  <c r="V351" i="7" s="1"/>
  <c r="Q200" i="7"/>
  <c r="L200" i="7"/>
  <c r="L351" i="7" s="1"/>
  <c r="G200" i="7"/>
  <c r="BX350" i="7"/>
  <c r="EL198" i="7"/>
  <c r="BX349" i="7" s="1"/>
  <c r="BT198" i="7"/>
  <c r="EL197" i="7"/>
  <c r="BT197" i="7"/>
  <c r="BX347" i="7"/>
  <c r="EL196" i="7"/>
  <c r="BT196" i="7"/>
  <c r="BT347" i="7" s="1"/>
  <c r="EG195" i="7"/>
  <c r="EB195" i="7"/>
  <c r="DW195" i="7"/>
  <c r="DR195" i="7"/>
  <c r="DM195" i="7"/>
  <c r="DH195" i="7"/>
  <c r="DC195" i="7"/>
  <c r="CX195" i="7"/>
  <c r="CS195" i="7"/>
  <c r="CN195" i="7"/>
  <c r="CI195" i="7"/>
  <c r="CD195" i="7"/>
  <c r="L346" i="7" s="1"/>
  <c r="BY195" i="7"/>
  <c r="BO195" i="7"/>
  <c r="BJ195" i="7"/>
  <c r="BE195" i="7"/>
  <c r="AZ195" i="7"/>
  <c r="AU195" i="7"/>
  <c r="AU346" i="7" s="1"/>
  <c r="AP195" i="7"/>
  <c r="AK195" i="7"/>
  <c r="AF195" i="7"/>
  <c r="AF346" i="7" s="1"/>
  <c r="AA195" i="7"/>
  <c r="AA346" i="7" s="1"/>
  <c r="V195" i="7"/>
  <c r="Q195" i="7"/>
  <c r="L195" i="7"/>
  <c r="G195" i="7"/>
  <c r="BX345" i="7"/>
  <c r="EG193" i="7"/>
  <c r="EB193" i="7"/>
  <c r="DW193" i="7"/>
  <c r="DR193" i="7"/>
  <c r="DM193" i="7"/>
  <c r="DH193" i="7"/>
  <c r="DC193" i="7"/>
  <c r="CX193" i="7"/>
  <c r="CX190" i="7" s="1"/>
  <c r="CX16" i="7" s="1"/>
  <c r="CS193" i="7"/>
  <c r="CN193" i="7"/>
  <c r="CI193" i="7"/>
  <c r="CD193" i="7"/>
  <c r="BY193" i="7"/>
  <c r="BO193" i="7"/>
  <c r="BJ193" i="7"/>
  <c r="BJ344" i="7" s="1"/>
  <c r="BE193" i="7"/>
  <c r="BE344" i="7" s="1"/>
  <c r="AZ193" i="7"/>
  <c r="AZ344" i="7" s="1"/>
  <c r="AU193" i="7"/>
  <c r="AP193" i="7"/>
  <c r="AK193" i="7"/>
  <c r="AK344" i="7" s="1"/>
  <c r="AF193" i="7"/>
  <c r="AA193" i="7"/>
  <c r="V193" i="7"/>
  <c r="Q193" i="7"/>
  <c r="L193" i="7"/>
  <c r="G193" i="7"/>
  <c r="EG192" i="7"/>
  <c r="EB192" i="7"/>
  <c r="DW192" i="7"/>
  <c r="DR192" i="7"/>
  <c r="AZ343" i="7" s="1"/>
  <c r="DM192" i="7"/>
  <c r="DH192" i="7"/>
  <c r="DC192" i="7"/>
  <c r="CX192" i="7"/>
  <c r="CS192" i="7"/>
  <c r="CN192" i="7"/>
  <c r="CI192" i="7"/>
  <c r="CD192" i="7"/>
  <c r="BY192" i="7"/>
  <c r="BO192" i="7"/>
  <c r="BJ192" i="7"/>
  <c r="BJ343" i="7" s="1"/>
  <c r="BE192" i="7"/>
  <c r="AZ192" i="7"/>
  <c r="AU192" i="7"/>
  <c r="AP192" i="7"/>
  <c r="AK192" i="7"/>
  <c r="AK190" i="7" s="1"/>
  <c r="AF192" i="7"/>
  <c r="AA192" i="7"/>
  <c r="AA343" i="7" s="1"/>
  <c r="V192" i="7"/>
  <c r="V343" i="7" s="1"/>
  <c r="Q192" i="7"/>
  <c r="L192" i="7"/>
  <c r="G192" i="7"/>
  <c r="EG191" i="7"/>
  <c r="EB191" i="7"/>
  <c r="EB190" i="7" s="1"/>
  <c r="EB16" i="7" s="1"/>
  <c r="DW191" i="7"/>
  <c r="DR191" i="7"/>
  <c r="DM191" i="7"/>
  <c r="DH191" i="7"/>
  <c r="DC191" i="7"/>
  <c r="CX191" i="7"/>
  <c r="CS191" i="7"/>
  <c r="CN191" i="7"/>
  <c r="CI191" i="7"/>
  <c r="CD191" i="7"/>
  <c r="BY191" i="7"/>
  <c r="BO191" i="7"/>
  <c r="BJ191" i="7"/>
  <c r="BE191" i="7"/>
  <c r="AZ191" i="7"/>
  <c r="AU191" i="7"/>
  <c r="AP191" i="7"/>
  <c r="AP190" i="7" s="1"/>
  <c r="AK191" i="7"/>
  <c r="AK342" i="7" s="1"/>
  <c r="AF191" i="7"/>
  <c r="AF342" i="7" s="1"/>
  <c r="AA191" i="7"/>
  <c r="V191" i="7"/>
  <c r="Q191" i="7"/>
  <c r="L191" i="7"/>
  <c r="G191" i="7"/>
  <c r="DW190" i="7"/>
  <c r="DW16" i="7" s="1"/>
  <c r="DM190" i="7"/>
  <c r="DM16" i="7" s="1"/>
  <c r="BX340" i="7"/>
  <c r="EL188" i="7"/>
  <c r="BX339" i="7" s="1"/>
  <c r="BT188" i="7"/>
  <c r="EL187" i="7"/>
  <c r="EG187" i="7"/>
  <c r="EB187" i="7"/>
  <c r="DW187" i="7"/>
  <c r="DR187" i="7"/>
  <c r="DM187" i="7"/>
  <c r="DH187" i="7"/>
  <c r="DC187" i="7"/>
  <c r="CX187" i="7"/>
  <c r="CS187" i="7"/>
  <c r="CN187" i="7"/>
  <c r="CI187" i="7"/>
  <c r="CD187" i="7"/>
  <c r="BY187" i="7"/>
  <c r="BO187" i="7"/>
  <c r="BJ187" i="7"/>
  <c r="BE187" i="7"/>
  <c r="AZ187" i="7"/>
  <c r="AU187" i="7"/>
  <c r="AP187" i="7"/>
  <c r="AK187" i="7"/>
  <c r="AF187" i="7"/>
  <c r="AF338" i="7" s="1"/>
  <c r="AA187" i="7"/>
  <c r="AA338" i="7" s="1"/>
  <c r="V187" i="7"/>
  <c r="V338" i="7" s="1"/>
  <c r="Q187" i="7"/>
  <c r="L187" i="7"/>
  <c r="L338" i="7" s="1"/>
  <c r="G187" i="7"/>
  <c r="BX336" i="7"/>
  <c r="EL185" i="7"/>
  <c r="BT185" i="7"/>
  <c r="BT336" i="7" s="1"/>
  <c r="EG184" i="7"/>
  <c r="EB184" i="7"/>
  <c r="DW184" i="7"/>
  <c r="DR184" i="7"/>
  <c r="DM184" i="7"/>
  <c r="DH184" i="7"/>
  <c r="AP335" i="7" s="1"/>
  <c r="DC184" i="7"/>
  <c r="CX184" i="7"/>
  <c r="CS184" i="7"/>
  <c r="CN184" i="7"/>
  <c r="CI184" i="7"/>
  <c r="CD184" i="7"/>
  <c r="L335" i="7" s="1"/>
  <c r="BY184" i="7"/>
  <c r="BO184" i="7"/>
  <c r="BO335" i="7" s="1"/>
  <c r="BJ184" i="7"/>
  <c r="BJ335" i="7" s="1"/>
  <c r="BE184" i="7"/>
  <c r="AZ184" i="7"/>
  <c r="AZ335" i="7" s="1"/>
  <c r="AU184" i="7"/>
  <c r="AP184" i="7"/>
  <c r="AK184" i="7"/>
  <c r="AF184" i="7"/>
  <c r="AF335" i="7" s="1"/>
  <c r="AA184" i="7"/>
  <c r="V184" i="7"/>
  <c r="V335" i="7" s="1"/>
  <c r="Q184" i="7"/>
  <c r="L184" i="7"/>
  <c r="G184" i="7"/>
  <c r="BX334" i="7"/>
  <c r="EL182" i="7"/>
  <c r="BX333" i="7" s="1"/>
  <c r="BT182" i="7"/>
  <c r="EG181" i="7"/>
  <c r="EB181" i="7"/>
  <c r="DW181" i="7"/>
  <c r="DR181" i="7"/>
  <c r="DM181" i="7"/>
  <c r="DH181" i="7"/>
  <c r="DC181" i="7"/>
  <c r="AK332" i="7" s="1"/>
  <c r="CX181" i="7"/>
  <c r="CS181" i="7"/>
  <c r="CN181" i="7"/>
  <c r="CI181" i="7"/>
  <c r="CD181" i="7"/>
  <c r="BY181" i="7"/>
  <c r="BO181" i="7"/>
  <c r="BO332" i="7" s="1"/>
  <c r="BJ181" i="7"/>
  <c r="BE181" i="7"/>
  <c r="AZ181" i="7"/>
  <c r="AU181" i="7"/>
  <c r="AP181" i="7"/>
  <c r="AK181" i="7"/>
  <c r="AF181" i="7"/>
  <c r="AA181" i="7"/>
  <c r="V181" i="7"/>
  <c r="Q181" i="7"/>
  <c r="Q332" i="7" s="1"/>
  <c r="L181" i="7"/>
  <c r="G181" i="7"/>
  <c r="EL179" i="7"/>
  <c r="BT179" i="7"/>
  <c r="EG178" i="7"/>
  <c r="EB178" i="7"/>
  <c r="DW178" i="7"/>
  <c r="DR178" i="7"/>
  <c r="DM178" i="7"/>
  <c r="AU329" i="7" s="1"/>
  <c r="DH178" i="7"/>
  <c r="DC178" i="7"/>
  <c r="CX178" i="7"/>
  <c r="CS178" i="7"/>
  <c r="CN178" i="7"/>
  <c r="CI178" i="7"/>
  <c r="CD178" i="7"/>
  <c r="BY178" i="7"/>
  <c r="BT178" i="7"/>
  <c r="BO178" i="7"/>
  <c r="BJ178" i="7"/>
  <c r="BE178" i="7"/>
  <c r="BE329" i="7" s="1"/>
  <c r="AZ178" i="7"/>
  <c r="AZ329" i="7" s="1"/>
  <c r="AU178" i="7"/>
  <c r="AP178" i="7"/>
  <c r="AK178" i="7"/>
  <c r="AF178" i="7"/>
  <c r="AA178" i="7"/>
  <c r="V178" i="7"/>
  <c r="V329" i="7" s="1"/>
  <c r="Q178" i="7"/>
  <c r="L178" i="7"/>
  <c r="G178" i="7"/>
  <c r="EL176" i="7"/>
  <c r="BT176" i="7"/>
  <c r="BT327" i="7" s="1"/>
  <c r="EG175" i="7"/>
  <c r="EB175" i="7"/>
  <c r="DW175" i="7"/>
  <c r="DR175" i="7"/>
  <c r="DM175" i="7"/>
  <c r="DH175" i="7"/>
  <c r="DC175" i="7"/>
  <c r="CX175" i="7"/>
  <c r="CS175" i="7"/>
  <c r="CN175" i="7"/>
  <c r="CI175" i="7"/>
  <c r="CD175" i="7"/>
  <c r="BY175" i="7"/>
  <c r="BO175" i="7"/>
  <c r="BO326" i="7" s="1"/>
  <c r="BJ175" i="7"/>
  <c r="BE175" i="7"/>
  <c r="AZ175" i="7"/>
  <c r="AU175" i="7"/>
  <c r="AP175" i="7"/>
  <c r="AP326" i="7" s="1"/>
  <c r="AK175" i="7"/>
  <c r="AK326" i="7" s="1"/>
  <c r="AF175" i="7"/>
  <c r="AA175" i="7"/>
  <c r="V175" i="7"/>
  <c r="Q175" i="7"/>
  <c r="L175" i="7"/>
  <c r="L326" i="7" s="1"/>
  <c r="G175" i="7"/>
  <c r="EL173" i="7"/>
  <c r="EL172" i="7" s="1"/>
  <c r="BT173" i="7"/>
  <c r="EG172" i="7"/>
  <c r="BO323" i="7" s="1"/>
  <c r="EB172" i="7"/>
  <c r="DW172" i="7"/>
  <c r="DR172" i="7"/>
  <c r="DM172" i="7"/>
  <c r="DH172" i="7"/>
  <c r="DC172" i="7"/>
  <c r="CX172" i="7"/>
  <c r="CS172" i="7"/>
  <c r="CN172" i="7"/>
  <c r="CI172" i="7"/>
  <c r="Q323" i="7" s="1"/>
  <c r="CD172" i="7"/>
  <c r="BY172" i="7"/>
  <c r="BO172" i="7"/>
  <c r="BJ172" i="7"/>
  <c r="BJ323" i="7" s="1"/>
  <c r="BE172" i="7"/>
  <c r="BE323" i="7" s="1"/>
  <c r="AZ172" i="7"/>
  <c r="AU172" i="7"/>
  <c r="AP172" i="7"/>
  <c r="AK172" i="7"/>
  <c r="AF172" i="7"/>
  <c r="AF323" i="7" s="1"/>
  <c r="AA172" i="7"/>
  <c r="V172" i="7"/>
  <c r="Q172" i="7"/>
  <c r="L172" i="7"/>
  <c r="G172" i="7"/>
  <c r="EL170" i="7"/>
  <c r="EL169" i="7" s="1"/>
  <c r="V170" i="7"/>
  <c r="BT170" i="7" s="1"/>
  <c r="EG169" i="7"/>
  <c r="EB169" i="7"/>
  <c r="DW169" i="7"/>
  <c r="DR169" i="7"/>
  <c r="DM169" i="7"/>
  <c r="DH169" i="7"/>
  <c r="DC169" i="7"/>
  <c r="CX169" i="7"/>
  <c r="CS169" i="7"/>
  <c r="CN169" i="7"/>
  <c r="CI169" i="7"/>
  <c r="CD169" i="7"/>
  <c r="BY169" i="7"/>
  <c r="BT169" i="7"/>
  <c r="BO169" i="7"/>
  <c r="BJ169" i="7"/>
  <c r="BE169" i="7"/>
  <c r="AZ169" i="7"/>
  <c r="AU169" i="7"/>
  <c r="AP169" i="7"/>
  <c r="AK169" i="7"/>
  <c r="AF169" i="7"/>
  <c r="AA169" i="7"/>
  <c r="V169" i="7"/>
  <c r="V320" i="7" s="1"/>
  <c r="Q169" i="7"/>
  <c r="L169" i="7"/>
  <c r="G169" i="7"/>
  <c r="EL167" i="7"/>
  <c r="EL166" i="7" s="1"/>
  <c r="BT167" i="7"/>
  <c r="EG166" i="7"/>
  <c r="EB166" i="7"/>
  <c r="DW166" i="7"/>
  <c r="DR166" i="7"/>
  <c r="DM166" i="7"/>
  <c r="DH166" i="7"/>
  <c r="DC166" i="7"/>
  <c r="CX166" i="7"/>
  <c r="CS166" i="7"/>
  <c r="CN166" i="7"/>
  <c r="CI166" i="7"/>
  <c r="CD166" i="7"/>
  <c r="BY166" i="7"/>
  <c r="BT166" i="7"/>
  <c r="BO166" i="7"/>
  <c r="BO317" i="7" s="1"/>
  <c r="BJ166" i="7"/>
  <c r="BJ317" i="7" s="1"/>
  <c r="BE166" i="7"/>
  <c r="AZ166" i="7"/>
  <c r="AU166" i="7"/>
  <c r="AP166" i="7"/>
  <c r="AP317" i="7" s="1"/>
  <c r="AK166" i="7"/>
  <c r="AF166" i="7"/>
  <c r="AA166" i="7"/>
  <c r="V166" i="7"/>
  <c r="Q166" i="7"/>
  <c r="L166" i="7"/>
  <c r="L317" i="7" s="1"/>
  <c r="G166" i="7"/>
  <c r="EL164" i="7"/>
  <c r="BT164" i="7"/>
  <c r="EG163" i="7"/>
  <c r="EB163" i="7"/>
  <c r="DW163" i="7"/>
  <c r="DR163" i="7"/>
  <c r="DM163" i="7"/>
  <c r="DH163" i="7"/>
  <c r="DC163" i="7"/>
  <c r="CX163" i="7"/>
  <c r="CS163" i="7"/>
  <c r="CN163" i="7"/>
  <c r="CI163" i="7"/>
  <c r="CD163" i="7"/>
  <c r="BY163" i="7"/>
  <c r="BO163" i="7"/>
  <c r="BJ163" i="7"/>
  <c r="BJ314" i="7" s="1"/>
  <c r="BE163" i="7"/>
  <c r="AZ163" i="7"/>
  <c r="AU163" i="7"/>
  <c r="AP163" i="7"/>
  <c r="AK163" i="7"/>
  <c r="AF163" i="7"/>
  <c r="AF314" i="7" s="1"/>
  <c r="AA163" i="7"/>
  <c r="V163" i="7"/>
  <c r="Q163" i="7"/>
  <c r="L163" i="7"/>
  <c r="G163" i="7"/>
  <c r="EL161" i="7"/>
  <c r="BT161" i="7"/>
  <c r="BT160" i="7" s="1"/>
  <c r="EG160" i="7"/>
  <c r="EB160" i="7"/>
  <c r="DW160" i="7"/>
  <c r="DR160" i="7"/>
  <c r="DM160" i="7"/>
  <c r="DH160" i="7"/>
  <c r="DC160" i="7"/>
  <c r="AK311" i="7" s="1"/>
  <c r="CX160" i="7"/>
  <c r="CS160" i="7"/>
  <c r="CN160" i="7"/>
  <c r="CI160" i="7"/>
  <c r="CD160" i="7"/>
  <c r="BY160" i="7"/>
  <c r="BO160" i="7"/>
  <c r="BJ160" i="7"/>
  <c r="BE160" i="7"/>
  <c r="BE311" i="7" s="1"/>
  <c r="AZ160" i="7"/>
  <c r="AU160" i="7"/>
  <c r="AU311" i="7" s="1"/>
  <c r="AP160" i="7"/>
  <c r="AP311" i="7" s="1"/>
  <c r="AK160" i="7"/>
  <c r="AF160" i="7"/>
  <c r="AF311" i="7" s="1"/>
  <c r="AA160" i="7"/>
  <c r="V160" i="7"/>
  <c r="Q160" i="7"/>
  <c r="L160" i="7"/>
  <c r="G160" i="7"/>
  <c r="EL158" i="7"/>
  <c r="BT158" i="7"/>
  <c r="BT309" i="7" s="1"/>
  <c r="EL157" i="7"/>
  <c r="EG157" i="7"/>
  <c r="EB157" i="7"/>
  <c r="DW157" i="7"/>
  <c r="DR157" i="7"/>
  <c r="DM157" i="7"/>
  <c r="AU308" i="7" s="1"/>
  <c r="DH157" i="7"/>
  <c r="DC157" i="7"/>
  <c r="CX157" i="7"/>
  <c r="CS157" i="7"/>
  <c r="CN157" i="7"/>
  <c r="CI157" i="7"/>
  <c r="CD157" i="7"/>
  <c r="BY157" i="7"/>
  <c r="BO157" i="7"/>
  <c r="BJ157" i="7"/>
  <c r="BJ308" i="7" s="1"/>
  <c r="BE157" i="7"/>
  <c r="BE308" i="7" s="1"/>
  <c r="AZ157" i="7"/>
  <c r="AU157" i="7"/>
  <c r="AP157" i="7"/>
  <c r="AK157" i="7"/>
  <c r="AK308" i="7" s="1"/>
  <c r="AF157" i="7"/>
  <c r="AA157" i="7"/>
  <c r="AA308" i="7" s="1"/>
  <c r="V157" i="7"/>
  <c r="Q157" i="7"/>
  <c r="L157" i="7"/>
  <c r="L308" i="7" s="1"/>
  <c r="G157" i="7"/>
  <c r="EL155" i="7"/>
  <c r="BT155" i="7"/>
  <c r="BT306" i="7" s="1"/>
  <c r="EG154" i="7"/>
  <c r="EB154" i="7"/>
  <c r="BJ305" i="7" s="1"/>
  <c r="DW154" i="7"/>
  <c r="BE305" i="7" s="1"/>
  <c r="DR154" i="7"/>
  <c r="DM154" i="7"/>
  <c r="DH154" i="7"/>
  <c r="DC154" i="7"/>
  <c r="CX154" i="7"/>
  <c r="CS154" i="7"/>
  <c r="CN154" i="7"/>
  <c r="CI154" i="7"/>
  <c r="CD154" i="7"/>
  <c r="BY154" i="7"/>
  <c r="BT154" i="7"/>
  <c r="BO154" i="7"/>
  <c r="BJ154" i="7"/>
  <c r="BE154" i="7"/>
  <c r="AZ154" i="7"/>
  <c r="AU154" i="7"/>
  <c r="AP154" i="7"/>
  <c r="AP305" i="7" s="1"/>
  <c r="AK154" i="7"/>
  <c r="AF154" i="7"/>
  <c r="AA154" i="7"/>
  <c r="V154" i="7"/>
  <c r="V305" i="7" s="1"/>
  <c r="Q154" i="7"/>
  <c r="L154" i="7"/>
  <c r="G154" i="7"/>
  <c r="EL152" i="7"/>
  <c r="BT152" i="7"/>
  <c r="BT303" i="7" s="1"/>
  <c r="EG151" i="7"/>
  <c r="BO302" i="7" s="1"/>
  <c r="EB151" i="7"/>
  <c r="DW151" i="7"/>
  <c r="DR151" i="7"/>
  <c r="DM151" i="7"/>
  <c r="DH151" i="7"/>
  <c r="DC151" i="7"/>
  <c r="CX151" i="7"/>
  <c r="CS151" i="7"/>
  <c r="CN151" i="7"/>
  <c r="CI151" i="7"/>
  <c r="CD151" i="7"/>
  <c r="BY151" i="7"/>
  <c r="BO151" i="7"/>
  <c r="BJ151" i="7"/>
  <c r="BJ302" i="7" s="1"/>
  <c r="BE151" i="7"/>
  <c r="AZ151" i="7"/>
  <c r="AU151" i="7"/>
  <c r="AP151" i="7"/>
  <c r="AK151" i="7"/>
  <c r="AF151" i="7"/>
  <c r="AF302" i="7" s="1"/>
  <c r="AA151" i="7"/>
  <c r="V151" i="7"/>
  <c r="V302" i="7" s="1"/>
  <c r="Q151" i="7"/>
  <c r="L151" i="7"/>
  <c r="G151" i="7"/>
  <c r="EL149" i="7"/>
  <c r="EL148" i="7" s="1"/>
  <c r="AK149" i="7"/>
  <c r="EG148" i="7"/>
  <c r="EB148" i="7"/>
  <c r="DW148" i="7"/>
  <c r="DR148" i="7"/>
  <c r="DM148" i="7"/>
  <c r="DH148" i="7"/>
  <c r="DC148" i="7"/>
  <c r="CX148" i="7"/>
  <c r="CS148" i="7"/>
  <c r="CN148" i="7"/>
  <c r="CI148" i="7"/>
  <c r="CD148" i="7"/>
  <c r="BY148" i="7"/>
  <c r="BO148" i="7"/>
  <c r="BJ148" i="7"/>
  <c r="BE148" i="7"/>
  <c r="AZ148" i="7"/>
  <c r="AU148" i="7"/>
  <c r="AP148" i="7"/>
  <c r="AF148" i="7"/>
  <c r="AA148" i="7"/>
  <c r="V148" i="7"/>
  <c r="Q148" i="7"/>
  <c r="L148" i="7"/>
  <c r="G148" i="7"/>
  <c r="EL146" i="7"/>
  <c r="BT146" i="7"/>
  <c r="EL145" i="7"/>
  <c r="BX299" i="7" s="1"/>
  <c r="EG145" i="7"/>
  <c r="EB145" i="7"/>
  <c r="DW145" i="7"/>
  <c r="DR145" i="7"/>
  <c r="DM145" i="7"/>
  <c r="DH145" i="7"/>
  <c r="DC145" i="7"/>
  <c r="CX145" i="7"/>
  <c r="CS145" i="7"/>
  <c r="CN145" i="7"/>
  <c r="CI145" i="7"/>
  <c r="Q299" i="7" s="1"/>
  <c r="CE145" i="7"/>
  <c r="CD145" i="7"/>
  <c r="BY145" i="7"/>
  <c r="BO145" i="7"/>
  <c r="BJ145" i="7"/>
  <c r="BE145" i="7"/>
  <c r="BE299" i="7" s="1"/>
  <c r="AZ145" i="7"/>
  <c r="AU145" i="7"/>
  <c r="AP145" i="7"/>
  <c r="AP299" i="7" s="1"/>
  <c r="AK145" i="7"/>
  <c r="AK299" i="7" s="1"/>
  <c r="AF145" i="7"/>
  <c r="AA145" i="7"/>
  <c r="V145" i="7"/>
  <c r="V299" i="7" s="1"/>
  <c r="Q145" i="7"/>
  <c r="M145" i="7"/>
  <c r="M299" i="7" s="1"/>
  <c r="L145" i="7"/>
  <c r="G145" i="7"/>
  <c r="EL143" i="7"/>
  <c r="BX297" i="7" s="1"/>
  <c r="BT143" i="7"/>
  <c r="EL142" i="7"/>
  <c r="BX296" i="7" s="1"/>
  <c r="EG142" i="7"/>
  <c r="BO296" i="7" s="1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E142" i="7"/>
  <c r="AZ142" i="7"/>
  <c r="AZ296" i="7" s="1"/>
  <c r="AU142" i="7"/>
  <c r="AP142" i="7"/>
  <c r="AP296" i="7" s="1"/>
  <c r="AK142" i="7"/>
  <c r="AF142" i="7"/>
  <c r="AF296" i="7" s="1"/>
  <c r="AA142" i="7"/>
  <c r="V142" i="7"/>
  <c r="Q142" i="7"/>
  <c r="L142" i="7"/>
  <c r="G142" i="7"/>
  <c r="BX294" i="7"/>
  <c r="EL140" i="7"/>
  <c r="BT140" i="7"/>
  <c r="BT139" i="7" s="1"/>
  <c r="EL139" i="7"/>
  <c r="EG139" i="7"/>
  <c r="EB139" i="7"/>
  <c r="DW139" i="7"/>
  <c r="DR139" i="7"/>
  <c r="DM139" i="7"/>
  <c r="DH139" i="7"/>
  <c r="AP293" i="7" s="1"/>
  <c r="DC139" i="7"/>
  <c r="CX139" i="7"/>
  <c r="CS139" i="7"/>
  <c r="CN139" i="7"/>
  <c r="CI139" i="7"/>
  <c r="CD139" i="7"/>
  <c r="BY139" i="7"/>
  <c r="BO139" i="7"/>
  <c r="BJ139" i="7"/>
  <c r="BE139" i="7"/>
  <c r="BE293" i="7" s="1"/>
  <c r="AZ139" i="7"/>
  <c r="AZ293" i="7" s="1"/>
  <c r="AU139" i="7"/>
  <c r="AU293" i="7" s="1"/>
  <c r="AP139" i="7"/>
  <c r="AK139" i="7"/>
  <c r="AF139" i="7"/>
  <c r="AA139" i="7"/>
  <c r="AA293" i="7" s="1"/>
  <c r="V139" i="7"/>
  <c r="Q139" i="7"/>
  <c r="L139" i="7"/>
  <c r="L293" i="7" s="1"/>
  <c r="G139" i="7"/>
  <c r="EL137" i="7"/>
  <c r="BT137" i="7"/>
  <c r="EG136" i="7"/>
  <c r="EB136" i="7"/>
  <c r="DW136" i="7"/>
  <c r="DR136" i="7"/>
  <c r="AZ290" i="7" s="1"/>
  <c r="DM136" i="7"/>
  <c r="DH136" i="7"/>
  <c r="DC136" i="7"/>
  <c r="CX136" i="7"/>
  <c r="CS136" i="7"/>
  <c r="CN136" i="7"/>
  <c r="CI136" i="7"/>
  <c r="CD136" i="7"/>
  <c r="BY136" i="7"/>
  <c r="BT136" i="7"/>
  <c r="BO136" i="7"/>
  <c r="BO290" i="7" s="1"/>
  <c r="BJ136" i="7"/>
  <c r="BJ290" i="7" s="1"/>
  <c r="BE136" i="7"/>
  <c r="AZ136" i="7"/>
  <c r="AU136" i="7"/>
  <c r="AP136" i="7"/>
  <c r="AP290" i="7" s="1"/>
  <c r="AK136" i="7"/>
  <c r="AF136" i="7"/>
  <c r="AA136" i="7"/>
  <c r="V136" i="7"/>
  <c r="Q136" i="7"/>
  <c r="Q290" i="7" s="1"/>
  <c r="L136" i="7"/>
  <c r="G136" i="7"/>
  <c r="EL134" i="7"/>
  <c r="BT134" i="7"/>
  <c r="EG133" i="7"/>
  <c r="EB133" i="7"/>
  <c r="DW133" i="7"/>
  <c r="DR133" i="7"/>
  <c r="DM133" i="7"/>
  <c r="DH133" i="7"/>
  <c r="DC133" i="7"/>
  <c r="CX133" i="7"/>
  <c r="CS133" i="7"/>
  <c r="CN133" i="7"/>
  <c r="CI133" i="7"/>
  <c r="CD133" i="7"/>
  <c r="L287" i="7" s="1"/>
  <c r="BY133" i="7"/>
  <c r="BO133" i="7"/>
  <c r="BJ133" i="7"/>
  <c r="BE133" i="7"/>
  <c r="AZ133" i="7"/>
  <c r="AZ287" i="7" s="1"/>
  <c r="AU133" i="7"/>
  <c r="AU287" i="7" s="1"/>
  <c r="AP133" i="7"/>
  <c r="AK133" i="7"/>
  <c r="AF133" i="7"/>
  <c r="AA133" i="7"/>
  <c r="V133" i="7"/>
  <c r="Q133" i="7"/>
  <c r="L133" i="7"/>
  <c r="G133" i="7"/>
  <c r="EL131" i="7"/>
  <c r="BT131" i="7"/>
  <c r="EL130" i="7"/>
  <c r="EG130" i="7"/>
  <c r="EB130" i="7"/>
  <c r="DW130" i="7"/>
  <c r="DR130" i="7"/>
  <c r="DM130" i="7"/>
  <c r="DH130" i="7"/>
  <c r="DC130" i="7"/>
  <c r="CX130" i="7"/>
  <c r="CS130" i="7"/>
  <c r="CN130" i="7"/>
  <c r="CI130" i="7"/>
  <c r="CE130" i="7"/>
  <c r="CD130" i="7"/>
  <c r="BY130" i="7"/>
  <c r="BT130" i="7"/>
  <c r="BO130" i="7"/>
  <c r="BJ130" i="7"/>
  <c r="BE130" i="7"/>
  <c r="AZ130" i="7"/>
  <c r="AU130" i="7"/>
  <c r="AP130" i="7"/>
  <c r="AK130" i="7"/>
  <c r="AF130" i="7"/>
  <c r="AA130" i="7"/>
  <c r="V130" i="7"/>
  <c r="Q130" i="7"/>
  <c r="M130" i="7"/>
  <c r="L130" i="7"/>
  <c r="G130" i="7"/>
  <c r="EL128" i="7"/>
  <c r="BT128" i="7"/>
  <c r="EL127" i="7"/>
  <c r="EG127" i="7"/>
  <c r="EB127" i="7"/>
  <c r="DW127" i="7"/>
  <c r="DR127" i="7"/>
  <c r="DM127" i="7"/>
  <c r="DH127" i="7"/>
  <c r="DC127" i="7"/>
  <c r="CX127" i="7"/>
  <c r="CS127" i="7"/>
  <c r="CN127" i="7"/>
  <c r="CI127" i="7"/>
  <c r="CE127" i="7"/>
  <c r="CD127" i="7"/>
  <c r="BY127" i="7"/>
  <c r="BT127" i="7"/>
  <c r="BO127" i="7"/>
  <c r="BJ127" i="7"/>
  <c r="BE127" i="7"/>
  <c r="AZ127" i="7"/>
  <c r="AU127" i="7"/>
  <c r="AP127" i="7"/>
  <c r="AK127" i="7"/>
  <c r="AF127" i="7"/>
  <c r="AA127" i="7"/>
  <c r="V127" i="7"/>
  <c r="Q127" i="7"/>
  <c r="M127" i="7"/>
  <c r="L127" i="7"/>
  <c r="G127" i="7"/>
  <c r="EL125" i="7"/>
  <c r="EL124" i="7" s="1"/>
  <c r="BT125" i="7"/>
  <c r="BT124" i="7" s="1"/>
  <c r="EG124" i="7"/>
  <c r="EB124" i="7"/>
  <c r="DW124" i="7"/>
  <c r="DR124" i="7"/>
  <c r="DM124" i="7"/>
  <c r="DH124" i="7"/>
  <c r="DC124" i="7"/>
  <c r="CX124" i="7"/>
  <c r="CS124" i="7"/>
  <c r="CN124" i="7"/>
  <c r="CI124" i="7"/>
  <c r="CD124" i="7"/>
  <c r="BY124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EL122" i="7"/>
  <c r="BT122" i="7"/>
  <c r="BT121" i="7" s="1"/>
  <c r="EL121" i="7"/>
  <c r="EG121" i="7"/>
  <c r="EB121" i="7"/>
  <c r="DW121" i="7"/>
  <c r="DR121" i="7"/>
  <c r="DM121" i="7"/>
  <c r="DH121" i="7"/>
  <c r="DC121" i="7"/>
  <c r="CX121" i="7"/>
  <c r="CS121" i="7"/>
  <c r="CN121" i="7"/>
  <c r="CI121" i="7"/>
  <c r="CD121" i="7"/>
  <c r="BY121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EL119" i="7"/>
  <c r="BT119" i="7"/>
  <c r="BT118" i="7" s="1"/>
  <c r="EG118" i="7"/>
  <c r="EB118" i="7"/>
  <c r="DW118" i="7"/>
  <c r="DR118" i="7"/>
  <c r="DM118" i="7"/>
  <c r="DH118" i="7"/>
  <c r="DC118" i="7"/>
  <c r="CX118" i="7"/>
  <c r="CS118" i="7"/>
  <c r="CN118" i="7"/>
  <c r="CI118" i="7"/>
  <c r="CD118" i="7"/>
  <c r="BY118" i="7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EL116" i="7"/>
  <c r="BT116" i="7"/>
  <c r="BT115" i="7" s="1"/>
  <c r="EG115" i="7"/>
  <c r="BO286" i="7" s="1"/>
  <c r="EB115" i="7"/>
  <c r="DW115" i="7"/>
  <c r="DR115" i="7"/>
  <c r="DM115" i="7"/>
  <c r="DH115" i="7"/>
  <c r="AP286" i="7" s="1"/>
  <c r="DC115" i="7"/>
  <c r="CX115" i="7"/>
  <c r="CS115" i="7"/>
  <c r="CN115" i="7"/>
  <c r="CI115" i="7"/>
  <c r="CD115" i="7"/>
  <c r="BY115" i="7"/>
  <c r="BO115" i="7"/>
  <c r="BJ115" i="7"/>
  <c r="BJ286" i="7" s="1"/>
  <c r="BE115" i="7"/>
  <c r="AZ115" i="7"/>
  <c r="AU115" i="7"/>
  <c r="AP115" i="7"/>
  <c r="AK115" i="7"/>
  <c r="AF115" i="7"/>
  <c r="AA115" i="7"/>
  <c r="AA286" i="7" s="1"/>
  <c r="V115" i="7"/>
  <c r="V286" i="7" s="1"/>
  <c r="Q115" i="7"/>
  <c r="L115" i="7"/>
  <c r="G115" i="7"/>
  <c r="EG113" i="7"/>
  <c r="EB113" i="7"/>
  <c r="DW113" i="7"/>
  <c r="DW112" i="7" s="1"/>
  <c r="DR113" i="7"/>
  <c r="DR112" i="7" s="1"/>
  <c r="DM113" i="7"/>
  <c r="DH113" i="7"/>
  <c r="DC113" i="7"/>
  <c r="CX113" i="7"/>
  <c r="CX112" i="7" s="1"/>
  <c r="CX15" i="7" s="1"/>
  <c r="CS113" i="7"/>
  <c r="CS112" i="7" s="1"/>
  <c r="CN113" i="7"/>
  <c r="CN112" i="7" s="1"/>
  <c r="CN15" i="7" s="1"/>
  <c r="CI113" i="7"/>
  <c r="CI112" i="7" s="1"/>
  <c r="CI15" i="7" s="1"/>
  <c r="CD113" i="7"/>
  <c r="CD112" i="7" s="1"/>
  <c r="CD15" i="7" s="1"/>
  <c r="BY113" i="7"/>
  <c r="BY112" i="7" s="1"/>
  <c r="BY15" i="7" s="1"/>
  <c r="BO113" i="7"/>
  <c r="BJ113" i="7"/>
  <c r="BE113" i="7"/>
  <c r="AZ113" i="7"/>
  <c r="AZ112" i="7" s="1"/>
  <c r="AU113" i="7"/>
  <c r="AP113" i="7"/>
  <c r="AP112" i="7" s="1"/>
  <c r="AF113" i="7"/>
  <c r="AA113" i="7"/>
  <c r="V113" i="7"/>
  <c r="V285" i="7" s="1"/>
  <c r="Q113" i="7"/>
  <c r="L113" i="7"/>
  <c r="L112" i="7" s="1"/>
  <c r="G113" i="7"/>
  <c r="EG112" i="7"/>
  <c r="EG15" i="7" s="1"/>
  <c r="EB112" i="7"/>
  <c r="DM112" i="7"/>
  <c r="DM15" i="7" s="1"/>
  <c r="DH112" i="7"/>
  <c r="DH15" i="7" s="1"/>
  <c r="DC112" i="7"/>
  <c r="DC15" i="7" s="1"/>
  <c r="BJ112" i="7"/>
  <c r="BE112" i="7"/>
  <c r="AA112" i="7"/>
  <c r="AA284" i="7" s="1"/>
  <c r="V112" i="7"/>
  <c r="G112" i="7"/>
  <c r="BX283" i="7"/>
  <c r="EL110" i="7"/>
  <c r="BT110" i="7"/>
  <c r="EL109" i="7"/>
  <c r="BT109" i="7"/>
  <c r="BT281" i="7" s="1"/>
  <c r="EL108" i="7"/>
  <c r="BT108" i="7"/>
  <c r="EG107" i="7"/>
  <c r="EB107" i="7"/>
  <c r="DW107" i="7"/>
  <c r="DR107" i="7"/>
  <c r="DM107" i="7"/>
  <c r="DH107" i="7"/>
  <c r="DC107" i="7"/>
  <c r="CX107" i="7"/>
  <c r="CS107" i="7"/>
  <c r="CN107" i="7"/>
  <c r="V279" i="7" s="1"/>
  <c r="CI107" i="7"/>
  <c r="CD107" i="7"/>
  <c r="BY107" i="7"/>
  <c r="BO107" i="7"/>
  <c r="BJ107" i="7"/>
  <c r="BE107" i="7"/>
  <c r="AZ107" i="7"/>
  <c r="AU107" i="7"/>
  <c r="AU279" i="7" s="1"/>
  <c r="AP107" i="7"/>
  <c r="AK107" i="7"/>
  <c r="AF107" i="7"/>
  <c r="AA107" i="7"/>
  <c r="V107" i="7"/>
  <c r="Q107" i="7"/>
  <c r="L107" i="7"/>
  <c r="L279" i="7" s="1"/>
  <c r="G107" i="7"/>
  <c r="EL105" i="7"/>
  <c r="BX277" i="7" s="1"/>
  <c r="BT105" i="7"/>
  <c r="EL104" i="7"/>
  <c r="BT104" i="7"/>
  <c r="EL103" i="7"/>
  <c r="BT103" i="7"/>
  <c r="EG102" i="7"/>
  <c r="EB102" i="7"/>
  <c r="DW102" i="7"/>
  <c r="DR102" i="7"/>
  <c r="DM102" i="7"/>
  <c r="DH102" i="7"/>
  <c r="DC102" i="7"/>
  <c r="CX102" i="7"/>
  <c r="CS102" i="7"/>
  <c r="CN102" i="7"/>
  <c r="CI102" i="7"/>
  <c r="CD102" i="7"/>
  <c r="BY102" i="7"/>
  <c r="BO102" i="7"/>
  <c r="BJ102" i="7"/>
  <c r="BE102" i="7"/>
  <c r="AZ102" i="7"/>
  <c r="AU102" i="7"/>
  <c r="AP102" i="7"/>
  <c r="AK102" i="7"/>
  <c r="AF102" i="7"/>
  <c r="AA102" i="7"/>
  <c r="V102" i="7"/>
  <c r="Q102" i="7"/>
  <c r="Q274" i="7" s="1"/>
  <c r="L102" i="7"/>
  <c r="G102" i="7"/>
  <c r="EG100" i="7"/>
  <c r="EB100" i="7"/>
  <c r="DW100" i="7"/>
  <c r="DR100" i="7"/>
  <c r="DM100" i="7"/>
  <c r="DM97" i="7" s="1"/>
  <c r="DM14" i="7" s="1"/>
  <c r="DH100" i="7"/>
  <c r="DC100" i="7"/>
  <c r="CX100" i="7"/>
  <c r="CS100" i="7"/>
  <c r="CN100" i="7"/>
  <c r="CI100" i="7"/>
  <c r="CI97" i="7" s="1"/>
  <c r="CI14" i="7" s="1"/>
  <c r="CD100" i="7"/>
  <c r="BY100" i="7"/>
  <c r="BO100" i="7"/>
  <c r="BO272" i="7" s="1"/>
  <c r="BJ100" i="7"/>
  <c r="BE100" i="7"/>
  <c r="AZ100" i="7"/>
  <c r="AZ272" i="7" s="1"/>
  <c r="AU100" i="7"/>
  <c r="AP100" i="7"/>
  <c r="AP272" i="7" s="1"/>
  <c r="AK100" i="7"/>
  <c r="AF100" i="7"/>
  <c r="AA100" i="7"/>
  <c r="AA272" i="7" s="1"/>
  <c r="V100" i="7"/>
  <c r="Q100" i="7"/>
  <c r="L100" i="7"/>
  <c r="EL99" i="7"/>
  <c r="BX271" i="7" s="1"/>
  <c r="EG99" i="7"/>
  <c r="EB99" i="7"/>
  <c r="DW99" i="7"/>
  <c r="DR99" i="7"/>
  <c r="DM99" i="7"/>
  <c r="DH99" i="7"/>
  <c r="DC99" i="7"/>
  <c r="CX99" i="7"/>
  <c r="CS99" i="7"/>
  <c r="CN99" i="7"/>
  <c r="CI99" i="7"/>
  <c r="CD99" i="7"/>
  <c r="BY99" i="7"/>
  <c r="BO99" i="7"/>
  <c r="BJ99" i="7"/>
  <c r="BJ271" i="7" s="1"/>
  <c r="BE99" i="7"/>
  <c r="BE271" i="7" s="1"/>
  <c r="AZ99" i="7"/>
  <c r="AU99" i="7"/>
  <c r="AP99" i="7"/>
  <c r="AK99" i="7"/>
  <c r="AF99" i="7"/>
  <c r="AA99" i="7"/>
  <c r="AA271" i="7" s="1"/>
  <c r="V99" i="7"/>
  <c r="Q99" i="7"/>
  <c r="Q271" i="7" s="1"/>
  <c r="L99" i="7"/>
  <c r="EG98" i="7"/>
  <c r="BO270" i="7" s="1"/>
  <c r="EB98" i="7"/>
  <c r="DW98" i="7"/>
  <c r="DR98" i="7"/>
  <c r="DM98" i="7"/>
  <c r="DH98" i="7"/>
  <c r="DC98" i="7"/>
  <c r="DC97" i="7" s="1"/>
  <c r="DC14" i="7" s="1"/>
  <c r="CX98" i="7"/>
  <c r="CX97" i="7" s="1"/>
  <c r="CX14" i="7" s="1"/>
  <c r="CS98" i="7"/>
  <c r="CS97" i="7" s="1"/>
  <c r="CS14" i="7" s="1"/>
  <c r="CN98" i="7"/>
  <c r="CI98" i="7"/>
  <c r="CD98" i="7"/>
  <c r="BY98" i="7"/>
  <c r="BO98" i="7"/>
  <c r="BO97" i="7" s="1"/>
  <c r="BO14" i="7" s="1"/>
  <c r="BJ98" i="7"/>
  <c r="BE98" i="7"/>
  <c r="AZ98" i="7"/>
  <c r="AU98" i="7"/>
  <c r="AP98" i="7"/>
  <c r="AK98" i="7"/>
  <c r="AK97" i="7" s="1"/>
  <c r="AK14" i="7" s="1"/>
  <c r="AF98" i="7"/>
  <c r="AA98" i="7"/>
  <c r="V98" i="7"/>
  <c r="Q98" i="7"/>
  <c r="L98" i="7"/>
  <c r="G98" i="7"/>
  <c r="G97" i="7" s="1"/>
  <c r="G14" i="7" s="1"/>
  <c r="BX268" i="7"/>
  <c r="EL94" i="7"/>
  <c r="BT94" i="7"/>
  <c r="EL93" i="7"/>
  <c r="BT93" i="7"/>
  <c r="EL92" i="7"/>
  <c r="BT92" i="7"/>
  <c r="EL91" i="7"/>
  <c r="BT91" i="7"/>
  <c r="EL90" i="7"/>
  <c r="BT90" i="7"/>
  <c r="EL89" i="7"/>
  <c r="BT89" i="7"/>
  <c r="EL88" i="7"/>
  <c r="BT88" i="7"/>
  <c r="EL87" i="7"/>
  <c r="BT87" i="7"/>
  <c r="EL86" i="7"/>
  <c r="BT86" i="7"/>
  <c r="EL85" i="7"/>
  <c r="BT85" i="7"/>
  <c r="EL84" i="7"/>
  <c r="BT84" i="7"/>
  <c r="EL83" i="7"/>
  <c r="BT83" i="7"/>
  <c r="EL82" i="7"/>
  <c r="BT82" i="7"/>
  <c r="EL81" i="7"/>
  <c r="BT81" i="7"/>
  <c r="EL80" i="7"/>
  <c r="BT80" i="7"/>
  <c r="EL79" i="7"/>
  <c r="EL76" i="7" s="1"/>
  <c r="BT79" i="7"/>
  <c r="EL78" i="7"/>
  <c r="BT78" i="7"/>
  <c r="EL77" i="7"/>
  <c r="BT77" i="7"/>
  <c r="G77" i="7"/>
  <c r="EG76" i="7"/>
  <c r="EB76" i="7"/>
  <c r="DW76" i="7"/>
  <c r="DR76" i="7"/>
  <c r="DM76" i="7"/>
  <c r="DH76" i="7"/>
  <c r="DC76" i="7"/>
  <c r="CX76" i="7"/>
  <c r="CS76" i="7"/>
  <c r="CN76" i="7"/>
  <c r="CI76" i="7"/>
  <c r="CI19" i="7" s="1"/>
  <c r="CI18" i="7" s="1"/>
  <c r="CI13" i="7" s="1"/>
  <c r="CD76" i="7"/>
  <c r="BY76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EL74" i="7"/>
  <c r="BT74" i="7"/>
  <c r="EL73" i="7"/>
  <c r="BT73" i="7"/>
  <c r="BT72" i="7" s="1"/>
  <c r="EG72" i="7"/>
  <c r="EB72" i="7"/>
  <c r="DW72" i="7"/>
  <c r="DR72" i="7"/>
  <c r="DM72" i="7"/>
  <c r="DH72" i="7"/>
  <c r="DC72" i="7"/>
  <c r="CX72" i="7"/>
  <c r="CS72" i="7"/>
  <c r="CN72" i="7"/>
  <c r="CI72" i="7"/>
  <c r="CD72" i="7"/>
  <c r="BY72" i="7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EL70" i="7"/>
  <c r="BT70" i="7"/>
  <c r="EL69" i="7"/>
  <c r="BT69" i="7"/>
  <c r="BT68" i="7" s="1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EL66" i="7"/>
  <c r="BT66" i="7"/>
  <c r="EL65" i="7"/>
  <c r="BT65" i="7"/>
  <c r="EG64" i="7"/>
  <c r="EB64" i="7"/>
  <c r="DW64" i="7"/>
  <c r="DR64" i="7"/>
  <c r="DM64" i="7"/>
  <c r="DH64" i="7"/>
  <c r="DC64" i="7"/>
  <c r="CX64" i="7"/>
  <c r="CS64" i="7"/>
  <c r="CN64" i="7"/>
  <c r="CI64" i="7"/>
  <c r="CD64" i="7"/>
  <c r="BY64" i="7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EL62" i="7"/>
  <c r="BT62" i="7"/>
  <c r="BY62" i="7" s="1"/>
  <c r="EL61" i="7"/>
  <c r="BT61" i="7"/>
  <c r="BY61" i="7" s="1"/>
  <c r="EG60" i="7"/>
  <c r="EB60" i="7"/>
  <c r="DW60" i="7"/>
  <c r="DR60" i="7"/>
  <c r="DM60" i="7"/>
  <c r="DH60" i="7"/>
  <c r="DC60" i="7"/>
  <c r="CX60" i="7"/>
  <c r="CS60" i="7"/>
  <c r="CN60" i="7"/>
  <c r="CI60" i="7"/>
  <c r="CD60" i="7"/>
  <c r="BO60" i="7"/>
  <c r="BJ60" i="7"/>
  <c r="BE60" i="7"/>
  <c r="AZ60" i="7"/>
  <c r="AU60" i="7"/>
  <c r="AP60" i="7"/>
  <c r="AK60" i="7"/>
  <c r="AF60" i="7"/>
  <c r="AA60" i="7"/>
  <c r="V60" i="7"/>
  <c r="Q60" i="7"/>
  <c r="L60" i="7"/>
  <c r="EM58" i="7"/>
  <c r="EL58" i="7"/>
  <c r="BT58" i="7"/>
  <c r="BY58" i="7" s="1"/>
  <c r="EM57" i="7"/>
  <c r="EL57" i="7"/>
  <c r="BT57" i="7"/>
  <c r="BT56" i="7" s="1"/>
  <c r="EG56" i="7"/>
  <c r="EB56" i="7"/>
  <c r="DW56" i="7"/>
  <c r="DR56" i="7"/>
  <c r="DM56" i="7"/>
  <c r="DH56" i="7"/>
  <c r="DC56" i="7"/>
  <c r="CX56" i="7"/>
  <c r="CS56" i="7"/>
  <c r="CN56" i="7"/>
  <c r="CI56" i="7"/>
  <c r="CD56" i="7"/>
  <c r="BO56" i="7"/>
  <c r="BJ56" i="7"/>
  <c r="BE56" i="7"/>
  <c r="AZ56" i="7"/>
  <c r="AU56" i="7"/>
  <c r="AP56" i="7"/>
  <c r="AK56" i="7"/>
  <c r="AF56" i="7"/>
  <c r="AA56" i="7"/>
  <c r="V56" i="7"/>
  <c r="Q56" i="7"/>
  <c r="L56" i="7"/>
  <c r="EL54" i="7"/>
  <c r="BT54" i="7"/>
  <c r="EL53" i="7"/>
  <c r="BT53" i="7"/>
  <c r="EG52" i="7"/>
  <c r="EB52" i="7"/>
  <c r="DW52" i="7"/>
  <c r="DR52" i="7"/>
  <c r="DM52" i="7"/>
  <c r="DH52" i="7"/>
  <c r="DC52" i="7"/>
  <c r="CX52" i="7"/>
  <c r="CS52" i="7"/>
  <c r="CN52" i="7"/>
  <c r="CI52" i="7"/>
  <c r="CD52" i="7"/>
  <c r="BY52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EL50" i="7"/>
  <c r="BT50" i="7"/>
  <c r="BY50" i="7" s="1"/>
  <c r="EL49" i="7"/>
  <c r="EL48" i="7" s="1"/>
  <c r="BT49" i="7"/>
  <c r="EG48" i="7"/>
  <c r="EB48" i="7"/>
  <c r="DW48" i="7"/>
  <c r="DR48" i="7"/>
  <c r="DM48" i="7"/>
  <c r="DH48" i="7"/>
  <c r="DC48" i="7"/>
  <c r="CX48" i="7"/>
  <c r="CS48" i="7"/>
  <c r="CN48" i="7"/>
  <c r="CI48" i="7"/>
  <c r="CD48" i="7"/>
  <c r="BO48" i="7"/>
  <c r="BJ48" i="7"/>
  <c r="BE48" i="7"/>
  <c r="AZ48" i="7"/>
  <c r="AU48" i="7"/>
  <c r="AP48" i="7"/>
  <c r="AK48" i="7"/>
  <c r="AF48" i="7"/>
  <c r="AA48" i="7"/>
  <c r="V48" i="7"/>
  <c r="Q48" i="7"/>
  <c r="L48" i="7"/>
  <c r="EM46" i="7"/>
  <c r="EL46" i="7"/>
  <c r="BT46" i="7"/>
  <c r="BY46" i="7" s="1"/>
  <c r="EM45" i="7"/>
  <c r="EL45" i="7"/>
  <c r="BT45" i="7"/>
  <c r="BT44" i="7" s="1"/>
  <c r="EG44" i="7"/>
  <c r="EB44" i="7"/>
  <c r="DW44" i="7"/>
  <c r="DR44" i="7"/>
  <c r="DM44" i="7"/>
  <c r="DH44" i="7"/>
  <c r="DC44" i="7"/>
  <c r="CX44" i="7"/>
  <c r="CS44" i="7"/>
  <c r="CN44" i="7"/>
  <c r="CI44" i="7"/>
  <c r="CD44" i="7"/>
  <c r="BO44" i="7"/>
  <c r="BJ44" i="7"/>
  <c r="BE44" i="7"/>
  <c r="AZ44" i="7"/>
  <c r="AU44" i="7"/>
  <c r="AP44" i="7"/>
  <c r="AK44" i="7"/>
  <c r="AF44" i="7"/>
  <c r="AA44" i="7"/>
  <c r="V44" i="7"/>
  <c r="Q44" i="7"/>
  <c r="L44" i="7"/>
  <c r="EL42" i="7"/>
  <c r="BT42" i="7"/>
  <c r="BX265" i="7"/>
  <c r="EL41" i="7"/>
  <c r="BT41" i="7"/>
  <c r="BT265" i="7" s="1"/>
  <c r="EG40" i="7"/>
  <c r="EB40" i="7"/>
  <c r="DW40" i="7"/>
  <c r="DR40" i="7"/>
  <c r="DM40" i="7"/>
  <c r="AU264" i="7" s="1"/>
  <c r="DH40" i="7"/>
  <c r="DC40" i="7"/>
  <c r="CX40" i="7"/>
  <c r="CS40" i="7"/>
  <c r="CN40" i="7"/>
  <c r="CI40" i="7"/>
  <c r="CD40" i="7"/>
  <c r="BY40" i="7"/>
  <c r="BO40" i="7"/>
  <c r="BO264" i="7" s="1"/>
  <c r="BJ40" i="7"/>
  <c r="BE40" i="7"/>
  <c r="BE264" i="7" s="1"/>
  <c r="AZ40" i="7"/>
  <c r="AZ264" i="7" s="1"/>
  <c r="AU40" i="7"/>
  <c r="AP40" i="7"/>
  <c r="AP264" i="7" s="1"/>
  <c r="AK40" i="7"/>
  <c r="AK264" i="7" s="1"/>
  <c r="AF40" i="7"/>
  <c r="AA40" i="7"/>
  <c r="AA264" i="7" s="1"/>
  <c r="V40" i="7"/>
  <c r="Q40" i="7"/>
  <c r="L40" i="7"/>
  <c r="L264" i="7" s="1"/>
  <c r="G40" i="7"/>
  <c r="BX263" i="7"/>
  <c r="EL38" i="7"/>
  <c r="BY38" i="7"/>
  <c r="BT38" i="7"/>
  <c r="EL37" i="7"/>
  <c r="BT37" i="7"/>
  <c r="BY37" i="7" s="1"/>
  <c r="EG36" i="7"/>
  <c r="EB36" i="7"/>
  <c r="DW36" i="7"/>
  <c r="DR36" i="7"/>
  <c r="DM36" i="7"/>
  <c r="DH36" i="7"/>
  <c r="AP259" i="7" s="1"/>
  <c r="DC36" i="7"/>
  <c r="CX36" i="7"/>
  <c r="CS36" i="7"/>
  <c r="CN36" i="7"/>
  <c r="CI36" i="7"/>
  <c r="CD36" i="7"/>
  <c r="BO36" i="7"/>
  <c r="BJ36" i="7"/>
  <c r="BE36" i="7"/>
  <c r="AZ36" i="7"/>
  <c r="AU36" i="7"/>
  <c r="AP36" i="7"/>
  <c r="AK36" i="7"/>
  <c r="AF36" i="7"/>
  <c r="AA36" i="7"/>
  <c r="AA259" i="7" s="1"/>
  <c r="V36" i="7"/>
  <c r="V259" i="7" s="1"/>
  <c r="Q36" i="7"/>
  <c r="Q259" i="7" s="1"/>
  <c r="L36" i="7"/>
  <c r="L259" i="7" s="1"/>
  <c r="BX258" i="7"/>
  <c r="EM34" i="7"/>
  <c r="BU257" i="7" s="1"/>
  <c r="EL34" i="7"/>
  <c r="BY34" i="7"/>
  <c r="BT34" i="7"/>
  <c r="BT257" i="7" s="1"/>
  <c r="EM33" i="7"/>
  <c r="BU255" i="7" s="1"/>
  <c r="EL33" i="7"/>
  <c r="BT33" i="7"/>
  <c r="BY33" i="7" s="1"/>
  <c r="BY32" i="7" s="1"/>
  <c r="EG32" i="7"/>
  <c r="EB32" i="7"/>
  <c r="DW32" i="7"/>
  <c r="DR32" i="7"/>
  <c r="DM32" i="7"/>
  <c r="DH32" i="7"/>
  <c r="DC32" i="7"/>
  <c r="CX32" i="7"/>
  <c r="CS32" i="7"/>
  <c r="CN32" i="7"/>
  <c r="CI32" i="7"/>
  <c r="CD32" i="7"/>
  <c r="BO32" i="7"/>
  <c r="BO254" i="7" s="1"/>
  <c r="BJ32" i="7"/>
  <c r="BE32" i="7"/>
  <c r="AZ32" i="7"/>
  <c r="AU32" i="7"/>
  <c r="AP32" i="7"/>
  <c r="AP254" i="7" s="1"/>
  <c r="AK32" i="7"/>
  <c r="AK254" i="7" s="1"/>
  <c r="AF32" i="7"/>
  <c r="AA32" i="7"/>
  <c r="V32" i="7"/>
  <c r="V254" i="7" s="1"/>
  <c r="Q32" i="7"/>
  <c r="L32" i="7"/>
  <c r="EM30" i="7"/>
  <c r="EL30" i="7"/>
  <c r="BT30" i="7"/>
  <c r="EM29" i="7"/>
  <c r="EL29" i="7"/>
  <c r="BT29" i="7"/>
  <c r="BT25" i="7" s="1"/>
  <c r="EG28" i="7"/>
  <c r="EB28" i="7"/>
  <c r="DW28" i="7"/>
  <c r="DR28" i="7"/>
  <c r="DM28" i="7"/>
  <c r="DH28" i="7"/>
  <c r="DC28" i="7"/>
  <c r="CX28" i="7"/>
  <c r="CS28" i="7"/>
  <c r="CN28" i="7"/>
  <c r="CI28" i="7"/>
  <c r="CD28" i="7"/>
  <c r="BY28" i="7"/>
  <c r="BO28" i="7"/>
  <c r="BJ28" i="7"/>
  <c r="BE28" i="7"/>
  <c r="AZ28" i="7"/>
  <c r="AU28" i="7"/>
  <c r="AP28" i="7"/>
  <c r="AK28" i="7"/>
  <c r="AF28" i="7"/>
  <c r="AA28" i="7"/>
  <c r="V28" i="7"/>
  <c r="Q28" i="7"/>
  <c r="L28" i="7"/>
  <c r="EG26" i="7"/>
  <c r="EB26" i="7"/>
  <c r="DW26" i="7"/>
  <c r="DR26" i="7"/>
  <c r="DR24" i="7" s="1"/>
  <c r="DR19" i="7" s="1"/>
  <c r="DR18" i="7" s="1"/>
  <c r="DR13" i="7" s="1"/>
  <c r="DM26" i="7"/>
  <c r="DM24" i="7" s="1"/>
  <c r="DM19" i="7" s="1"/>
  <c r="DM18" i="7" s="1"/>
  <c r="DM13" i="7" s="1"/>
  <c r="DH26" i="7"/>
  <c r="DC26" i="7"/>
  <c r="CX26" i="7"/>
  <c r="CX24" i="7" s="1"/>
  <c r="CX19" i="7" s="1"/>
  <c r="CX18" i="7" s="1"/>
  <c r="CX13" i="7" s="1"/>
  <c r="CS26" i="7"/>
  <c r="CN26" i="7"/>
  <c r="CI26" i="7"/>
  <c r="CI24" i="7" s="1"/>
  <c r="CD26" i="7"/>
  <c r="BO26" i="7"/>
  <c r="BJ26" i="7"/>
  <c r="BE26" i="7"/>
  <c r="BE252" i="7" s="1"/>
  <c r="AZ26" i="7"/>
  <c r="AU26" i="7"/>
  <c r="AU252" i="7" s="1"/>
  <c r="AP26" i="7"/>
  <c r="AP252" i="7" s="1"/>
  <c r="AK26" i="7"/>
  <c r="AF26" i="7"/>
  <c r="AF24" i="7" s="1"/>
  <c r="AA26" i="7"/>
  <c r="V26" i="7"/>
  <c r="Q26" i="7"/>
  <c r="L26" i="7"/>
  <c r="G26" i="7"/>
  <c r="G24" i="7" s="1"/>
  <c r="EG25" i="7"/>
  <c r="EG24" i="7" s="1"/>
  <c r="EG19" i="7" s="1"/>
  <c r="EG18" i="7" s="1"/>
  <c r="EG13" i="7" s="1"/>
  <c r="EB25" i="7"/>
  <c r="EB24" i="7" s="1"/>
  <c r="EB19" i="7" s="1"/>
  <c r="EB18" i="7" s="1"/>
  <c r="EB13" i="7" s="1"/>
  <c r="DW25" i="7"/>
  <c r="DW24" i="7" s="1"/>
  <c r="DR25" i="7"/>
  <c r="DM25" i="7"/>
  <c r="DH25" i="7"/>
  <c r="DH24" i="7" s="1"/>
  <c r="DC25" i="7"/>
  <c r="CX25" i="7"/>
  <c r="CS25" i="7"/>
  <c r="CN25" i="7"/>
  <c r="CI25" i="7"/>
  <c r="CD25" i="7"/>
  <c r="BO25" i="7"/>
  <c r="BJ25" i="7"/>
  <c r="BJ250" i="7" s="1"/>
  <c r="BE25" i="7"/>
  <c r="BE250" i="7" s="1"/>
  <c r="AZ25" i="7"/>
  <c r="AZ250" i="7" s="1"/>
  <c r="AU25" i="7"/>
  <c r="AP25" i="7"/>
  <c r="AP250" i="7" s="1"/>
  <c r="AK25" i="7"/>
  <c r="AF25" i="7"/>
  <c r="AF250" i="7" s="1"/>
  <c r="AA25" i="7"/>
  <c r="V25" i="7"/>
  <c r="V250" i="7" s="1"/>
  <c r="Q25" i="7"/>
  <c r="L25" i="7"/>
  <c r="L250" i="7" s="1"/>
  <c r="G25" i="7"/>
  <c r="CN24" i="7"/>
  <c r="AK24" i="7"/>
  <c r="V24" i="7"/>
  <c r="V19" i="7" s="1"/>
  <c r="V18" i="7" s="1"/>
  <c r="EL22" i="7"/>
  <c r="BX246" i="7" s="1"/>
  <c r="BT22" i="7"/>
  <c r="BT246" i="7" s="1"/>
  <c r="EL21" i="7"/>
  <c r="BT21" i="7"/>
  <c r="EL20" i="7"/>
  <c r="BT20" i="7"/>
  <c r="BT244" i="7" s="1"/>
  <c r="BY16" i="7"/>
  <c r="G16" i="7"/>
  <c r="EB15" i="7"/>
  <c r="DR15" i="7"/>
  <c r="CS15" i="7"/>
  <c r="BJ15" i="7"/>
  <c r="BE15" i="7"/>
  <c r="AP15" i="7"/>
  <c r="AA15" i="7"/>
  <c r="AA234" i="7" s="1"/>
  <c r="L15" i="7"/>
  <c r="G15" i="7"/>
  <c r="BY9" i="7"/>
  <c r="G9" i="7"/>
  <c r="BY8" i="7"/>
  <c r="G8" i="7"/>
  <c r="M1" i="7"/>
  <c r="CA735" i="6"/>
  <c r="BZ735" i="6"/>
  <c r="BX735" i="6"/>
  <c r="BW735" i="6"/>
  <c r="BV735" i="6"/>
  <c r="BU735" i="6"/>
  <c r="BT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CA734" i="6"/>
  <c r="BZ734" i="6"/>
  <c r="BX734" i="6"/>
  <c r="BW734" i="6"/>
  <c r="BV734" i="6"/>
  <c r="BU734" i="6"/>
  <c r="BT734" i="6"/>
  <c r="BS734" i="6"/>
  <c r="BR734" i="6"/>
  <c r="BQ734" i="6"/>
  <c r="BP734" i="6"/>
  <c r="BO734" i="6"/>
  <c r="BN734" i="6"/>
  <c r="BM734" i="6"/>
  <c r="BL734" i="6"/>
  <c r="BK734" i="6"/>
  <c r="BJ734" i="6"/>
  <c r="BI734" i="6"/>
  <c r="BH734" i="6"/>
  <c r="BG734" i="6"/>
  <c r="BF734" i="6"/>
  <c r="BE734" i="6"/>
  <c r="BD734" i="6"/>
  <c r="BC734" i="6"/>
  <c r="BB734" i="6"/>
  <c r="BA734" i="6"/>
  <c r="AZ734" i="6"/>
  <c r="AY734" i="6"/>
  <c r="AX734" i="6"/>
  <c r="AW734" i="6"/>
  <c r="AV734" i="6"/>
  <c r="AU734" i="6"/>
  <c r="AT734" i="6"/>
  <c r="AS734" i="6"/>
  <c r="AR734" i="6"/>
  <c r="AQ734" i="6"/>
  <c r="AP734" i="6"/>
  <c r="AO734" i="6"/>
  <c r="AN734" i="6"/>
  <c r="AM734" i="6"/>
  <c r="AL734" i="6"/>
  <c r="AK734" i="6"/>
  <c r="AJ734" i="6"/>
  <c r="AI734" i="6"/>
  <c r="AH734" i="6"/>
  <c r="AG734" i="6"/>
  <c r="AF734" i="6"/>
  <c r="AE734" i="6"/>
  <c r="AD734" i="6"/>
  <c r="AC734" i="6"/>
  <c r="AB734" i="6"/>
  <c r="AA734" i="6"/>
  <c r="Z734" i="6"/>
  <c r="Y734" i="6"/>
  <c r="X734" i="6"/>
  <c r="W734" i="6"/>
  <c r="V734" i="6"/>
  <c r="U734" i="6"/>
  <c r="T734" i="6"/>
  <c r="S734" i="6"/>
  <c r="R734" i="6"/>
  <c r="Q734" i="6"/>
  <c r="P734" i="6"/>
  <c r="O734" i="6"/>
  <c r="N734" i="6"/>
  <c r="M734" i="6"/>
  <c r="L734" i="6"/>
  <c r="K734" i="6"/>
  <c r="J734" i="6"/>
  <c r="I734" i="6"/>
  <c r="H734" i="6"/>
  <c r="G734" i="6"/>
  <c r="BX733" i="6"/>
  <c r="BW733" i="6"/>
  <c r="BV733" i="6"/>
  <c r="BU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X732" i="6"/>
  <c r="BW732" i="6"/>
  <c r="BV732" i="6"/>
  <c r="BU732" i="6"/>
  <c r="BS732" i="6"/>
  <c r="BR732" i="6"/>
  <c r="BQ732" i="6"/>
  <c r="BP732" i="6"/>
  <c r="BN732" i="6"/>
  <c r="BM732" i="6"/>
  <c r="BL732" i="6"/>
  <c r="BK732" i="6"/>
  <c r="BI732" i="6"/>
  <c r="BH732" i="6"/>
  <c r="BG732" i="6"/>
  <c r="BF732" i="6"/>
  <c r="BD732" i="6"/>
  <c r="BC732" i="6"/>
  <c r="BB732" i="6"/>
  <c r="BA732" i="6"/>
  <c r="AY732" i="6"/>
  <c r="AX732" i="6"/>
  <c r="AW732" i="6"/>
  <c r="AV732" i="6"/>
  <c r="AT732" i="6"/>
  <c r="AS732" i="6"/>
  <c r="AR732" i="6"/>
  <c r="AQ732" i="6"/>
  <c r="AO732" i="6"/>
  <c r="AN732" i="6"/>
  <c r="AM732" i="6"/>
  <c r="AL732" i="6"/>
  <c r="AJ732" i="6"/>
  <c r="AI732" i="6"/>
  <c r="AH732" i="6"/>
  <c r="AG732" i="6"/>
  <c r="AE732" i="6"/>
  <c r="AD732" i="6"/>
  <c r="AC732" i="6"/>
  <c r="AB732" i="6"/>
  <c r="Z732" i="6"/>
  <c r="Y732" i="6"/>
  <c r="X732" i="6"/>
  <c r="W732" i="6"/>
  <c r="U732" i="6"/>
  <c r="T732" i="6"/>
  <c r="S732" i="6"/>
  <c r="R732" i="6"/>
  <c r="P732" i="6"/>
  <c r="O732" i="6"/>
  <c r="N732" i="6"/>
  <c r="M732" i="6"/>
  <c r="K732" i="6"/>
  <c r="J732" i="6"/>
  <c r="I732" i="6"/>
  <c r="H732" i="6"/>
  <c r="CA731" i="6"/>
  <c r="BZ731" i="6"/>
  <c r="BX731" i="6"/>
  <c r="BW731" i="6"/>
  <c r="BV731" i="6"/>
  <c r="BU731" i="6"/>
  <c r="BT731" i="6"/>
  <c r="BS731" i="6"/>
  <c r="BR731" i="6"/>
  <c r="BQ731" i="6"/>
  <c r="BP731" i="6"/>
  <c r="BO731" i="6"/>
  <c r="BN731" i="6"/>
  <c r="BM731" i="6"/>
  <c r="BL731" i="6"/>
  <c r="BK731" i="6"/>
  <c r="BJ731" i="6"/>
  <c r="BI731" i="6"/>
  <c r="BH731" i="6"/>
  <c r="BG731" i="6"/>
  <c r="BF731" i="6"/>
  <c r="BE731" i="6"/>
  <c r="BD731" i="6"/>
  <c r="BC731" i="6"/>
  <c r="BB731" i="6"/>
  <c r="BA731" i="6"/>
  <c r="AZ731" i="6"/>
  <c r="AY731" i="6"/>
  <c r="AX731" i="6"/>
  <c r="AW731" i="6"/>
  <c r="AV731" i="6"/>
  <c r="AU731" i="6"/>
  <c r="AT731" i="6"/>
  <c r="AS731" i="6"/>
  <c r="AR731" i="6"/>
  <c r="AQ731" i="6"/>
  <c r="AP731" i="6"/>
  <c r="AO731" i="6"/>
  <c r="AN731" i="6"/>
  <c r="AM731" i="6"/>
  <c r="AL731" i="6"/>
  <c r="AK731" i="6"/>
  <c r="AJ731" i="6"/>
  <c r="AI731" i="6"/>
  <c r="AH731" i="6"/>
  <c r="AG731" i="6"/>
  <c r="AF731" i="6"/>
  <c r="AE731" i="6"/>
  <c r="AD731" i="6"/>
  <c r="AC731" i="6"/>
  <c r="AB731" i="6"/>
  <c r="AA731" i="6"/>
  <c r="Z731" i="6"/>
  <c r="Y731" i="6"/>
  <c r="X731" i="6"/>
  <c r="W731" i="6"/>
  <c r="V731" i="6"/>
  <c r="U731" i="6"/>
  <c r="T731" i="6"/>
  <c r="S731" i="6"/>
  <c r="R731" i="6"/>
  <c r="Q731" i="6"/>
  <c r="P731" i="6"/>
  <c r="O731" i="6"/>
  <c r="N731" i="6"/>
  <c r="M731" i="6"/>
  <c r="L731" i="6"/>
  <c r="K731" i="6"/>
  <c r="J731" i="6"/>
  <c r="I731" i="6"/>
  <c r="H731" i="6"/>
  <c r="G731" i="6"/>
  <c r="BX730" i="6"/>
  <c r="BW730" i="6"/>
  <c r="BV730" i="6"/>
  <c r="BU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X729" i="6"/>
  <c r="BW729" i="6"/>
  <c r="BV729" i="6"/>
  <c r="BU729" i="6"/>
  <c r="BS729" i="6"/>
  <c r="BR729" i="6"/>
  <c r="BQ729" i="6"/>
  <c r="BP729" i="6"/>
  <c r="BN729" i="6"/>
  <c r="BM729" i="6"/>
  <c r="BL729" i="6"/>
  <c r="BK729" i="6"/>
  <c r="BI729" i="6"/>
  <c r="BH729" i="6"/>
  <c r="BG729" i="6"/>
  <c r="BF729" i="6"/>
  <c r="BD729" i="6"/>
  <c r="BC729" i="6"/>
  <c r="BB729" i="6"/>
  <c r="BA729" i="6"/>
  <c r="AY729" i="6"/>
  <c r="AX729" i="6"/>
  <c r="AW729" i="6"/>
  <c r="AV729" i="6"/>
  <c r="AT729" i="6"/>
  <c r="AS729" i="6"/>
  <c r="AR729" i="6"/>
  <c r="AQ729" i="6"/>
  <c r="AO729" i="6"/>
  <c r="AN729" i="6"/>
  <c r="AM729" i="6"/>
  <c r="AL729" i="6"/>
  <c r="AJ729" i="6"/>
  <c r="AI729" i="6"/>
  <c r="AH729" i="6"/>
  <c r="AG729" i="6"/>
  <c r="AE729" i="6"/>
  <c r="AD729" i="6"/>
  <c r="AC729" i="6"/>
  <c r="AB729" i="6"/>
  <c r="Z729" i="6"/>
  <c r="Y729" i="6"/>
  <c r="X729" i="6"/>
  <c r="W729" i="6"/>
  <c r="U729" i="6"/>
  <c r="T729" i="6"/>
  <c r="S729" i="6"/>
  <c r="R729" i="6"/>
  <c r="P729" i="6"/>
  <c r="O729" i="6"/>
  <c r="N729" i="6"/>
  <c r="M729" i="6"/>
  <c r="K729" i="6"/>
  <c r="J729" i="6"/>
  <c r="I729" i="6"/>
  <c r="H729" i="6"/>
  <c r="CA728" i="6"/>
  <c r="BZ728" i="6"/>
  <c r="BX728" i="6"/>
  <c r="BW728" i="6"/>
  <c r="BV728" i="6"/>
  <c r="BU728" i="6"/>
  <c r="BT728" i="6"/>
  <c r="BS728" i="6"/>
  <c r="BR728" i="6"/>
  <c r="BQ728" i="6"/>
  <c r="BP728" i="6"/>
  <c r="BO728" i="6"/>
  <c r="BN728" i="6"/>
  <c r="BM728" i="6"/>
  <c r="BL728" i="6"/>
  <c r="BK728" i="6"/>
  <c r="BJ728" i="6"/>
  <c r="BI728" i="6"/>
  <c r="BH728" i="6"/>
  <c r="BG728" i="6"/>
  <c r="BF728" i="6"/>
  <c r="BE728" i="6"/>
  <c r="BD728" i="6"/>
  <c r="BC728" i="6"/>
  <c r="BB728" i="6"/>
  <c r="BA728" i="6"/>
  <c r="AZ728" i="6"/>
  <c r="AY728" i="6"/>
  <c r="AX728" i="6"/>
  <c r="AW728" i="6"/>
  <c r="AV728" i="6"/>
  <c r="AU728" i="6"/>
  <c r="AT728" i="6"/>
  <c r="AS728" i="6"/>
  <c r="AR728" i="6"/>
  <c r="AQ728" i="6"/>
  <c r="AP728" i="6"/>
  <c r="AO728" i="6"/>
  <c r="AN728" i="6"/>
  <c r="AM728" i="6"/>
  <c r="AL728" i="6"/>
  <c r="AK728" i="6"/>
  <c r="AJ728" i="6"/>
  <c r="AI728" i="6"/>
  <c r="AH728" i="6"/>
  <c r="AG728" i="6"/>
  <c r="AF728" i="6"/>
  <c r="AE728" i="6"/>
  <c r="AD728" i="6"/>
  <c r="AC728" i="6"/>
  <c r="AB728" i="6"/>
  <c r="AA728" i="6"/>
  <c r="Z728" i="6"/>
  <c r="Y728" i="6"/>
  <c r="X728" i="6"/>
  <c r="W728" i="6"/>
  <c r="V728" i="6"/>
  <c r="U728" i="6"/>
  <c r="T728" i="6"/>
  <c r="S728" i="6"/>
  <c r="R728" i="6"/>
  <c r="Q728" i="6"/>
  <c r="P728" i="6"/>
  <c r="O728" i="6"/>
  <c r="N728" i="6"/>
  <c r="M728" i="6"/>
  <c r="L728" i="6"/>
  <c r="K728" i="6"/>
  <c r="J728" i="6"/>
  <c r="I728" i="6"/>
  <c r="H728" i="6"/>
  <c r="G728" i="6"/>
  <c r="BX727" i="6"/>
  <c r="BW727" i="6"/>
  <c r="BV727" i="6"/>
  <c r="BU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X726" i="6"/>
  <c r="BW726" i="6"/>
  <c r="BV726" i="6"/>
  <c r="BU726" i="6"/>
  <c r="BS726" i="6"/>
  <c r="BR726" i="6"/>
  <c r="BQ726" i="6"/>
  <c r="BP726" i="6"/>
  <c r="BN726" i="6"/>
  <c r="BM726" i="6"/>
  <c r="BL726" i="6"/>
  <c r="BK726" i="6"/>
  <c r="BI726" i="6"/>
  <c r="BH726" i="6"/>
  <c r="BG726" i="6"/>
  <c r="BF726" i="6"/>
  <c r="BD726" i="6"/>
  <c r="BC726" i="6"/>
  <c r="BB726" i="6"/>
  <c r="BA726" i="6"/>
  <c r="AY726" i="6"/>
  <c r="AX726" i="6"/>
  <c r="AW726" i="6"/>
  <c r="AV726" i="6"/>
  <c r="AT726" i="6"/>
  <c r="AS726" i="6"/>
  <c r="AR726" i="6"/>
  <c r="AQ726" i="6"/>
  <c r="AO726" i="6"/>
  <c r="AN726" i="6"/>
  <c r="AM726" i="6"/>
  <c r="AL726" i="6"/>
  <c r="AJ726" i="6"/>
  <c r="AI726" i="6"/>
  <c r="AH726" i="6"/>
  <c r="AG726" i="6"/>
  <c r="AE726" i="6"/>
  <c r="AD726" i="6"/>
  <c r="AC726" i="6"/>
  <c r="AB726" i="6"/>
  <c r="Z726" i="6"/>
  <c r="Y726" i="6"/>
  <c r="X726" i="6"/>
  <c r="W726" i="6"/>
  <c r="U726" i="6"/>
  <c r="T726" i="6"/>
  <c r="S726" i="6"/>
  <c r="R726" i="6"/>
  <c r="P726" i="6"/>
  <c r="O726" i="6"/>
  <c r="N726" i="6"/>
  <c r="M726" i="6"/>
  <c r="K726" i="6"/>
  <c r="J726" i="6"/>
  <c r="I726" i="6"/>
  <c r="H726" i="6"/>
  <c r="CA725" i="6"/>
  <c r="BZ725" i="6"/>
  <c r="BX725" i="6"/>
  <c r="BW725" i="6"/>
  <c r="BV725" i="6"/>
  <c r="BU725" i="6"/>
  <c r="BT725" i="6"/>
  <c r="BS725" i="6"/>
  <c r="BR725" i="6"/>
  <c r="BQ725" i="6"/>
  <c r="BP725" i="6"/>
  <c r="BO725" i="6"/>
  <c r="BN725" i="6"/>
  <c r="BM725" i="6"/>
  <c r="BL725" i="6"/>
  <c r="BK725" i="6"/>
  <c r="BJ725" i="6"/>
  <c r="BI725" i="6"/>
  <c r="BH725" i="6"/>
  <c r="BG725" i="6"/>
  <c r="BF725" i="6"/>
  <c r="BE725" i="6"/>
  <c r="BD725" i="6"/>
  <c r="BC725" i="6"/>
  <c r="BB725" i="6"/>
  <c r="BA725" i="6"/>
  <c r="AZ725" i="6"/>
  <c r="AY725" i="6"/>
  <c r="AX725" i="6"/>
  <c r="AW725" i="6"/>
  <c r="AV725" i="6"/>
  <c r="AU725" i="6"/>
  <c r="AT725" i="6"/>
  <c r="AS725" i="6"/>
  <c r="AR725" i="6"/>
  <c r="AQ725" i="6"/>
  <c r="AP725" i="6"/>
  <c r="AO725" i="6"/>
  <c r="AN725" i="6"/>
  <c r="AM725" i="6"/>
  <c r="AL725" i="6"/>
  <c r="AK725" i="6"/>
  <c r="AJ725" i="6"/>
  <c r="AI725" i="6"/>
  <c r="AH725" i="6"/>
  <c r="AG725" i="6"/>
  <c r="AF725" i="6"/>
  <c r="AE725" i="6"/>
  <c r="AD725" i="6"/>
  <c r="AC725" i="6"/>
  <c r="AB725" i="6"/>
  <c r="AA725" i="6"/>
  <c r="Z725" i="6"/>
  <c r="Y725" i="6"/>
  <c r="X725" i="6"/>
  <c r="W725" i="6"/>
  <c r="V725" i="6"/>
  <c r="U725" i="6"/>
  <c r="T725" i="6"/>
  <c r="S725" i="6"/>
  <c r="R725" i="6"/>
  <c r="Q725" i="6"/>
  <c r="P725" i="6"/>
  <c r="O725" i="6"/>
  <c r="N725" i="6"/>
  <c r="M725" i="6"/>
  <c r="L725" i="6"/>
  <c r="K725" i="6"/>
  <c r="J725" i="6"/>
  <c r="I725" i="6"/>
  <c r="H725" i="6"/>
  <c r="G725" i="6"/>
  <c r="BX724" i="6"/>
  <c r="BW724" i="6"/>
  <c r="BV724" i="6"/>
  <c r="BU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X723" i="6"/>
  <c r="BW723" i="6"/>
  <c r="BV723" i="6"/>
  <c r="BU723" i="6"/>
  <c r="BS723" i="6"/>
  <c r="BR723" i="6"/>
  <c r="BQ723" i="6"/>
  <c r="BP723" i="6"/>
  <c r="BN723" i="6"/>
  <c r="BM723" i="6"/>
  <c r="BL723" i="6"/>
  <c r="BK723" i="6"/>
  <c r="BI723" i="6"/>
  <c r="BH723" i="6"/>
  <c r="BG723" i="6"/>
  <c r="BF723" i="6"/>
  <c r="BD723" i="6"/>
  <c r="BC723" i="6"/>
  <c r="BB723" i="6"/>
  <c r="BA723" i="6"/>
  <c r="AY723" i="6"/>
  <c r="AX723" i="6"/>
  <c r="AW723" i="6"/>
  <c r="AV723" i="6"/>
  <c r="AT723" i="6"/>
  <c r="AS723" i="6"/>
  <c r="AR723" i="6"/>
  <c r="AQ723" i="6"/>
  <c r="AO723" i="6"/>
  <c r="AN723" i="6"/>
  <c r="AM723" i="6"/>
  <c r="AL723" i="6"/>
  <c r="AJ723" i="6"/>
  <c r="AI723" i="6"/>
  <c r="AH723" i="6"/>
  <c r="AG723" i="6"/>
  <c r="AE723" i="6"/>
  <c r="AD723" i="6"/>
  <c r="AC723" i="6"/>
  <c r="AB723" i="6"/>
  <c r="Z723" i="6"/>
  <c r="Y723" i="6"/>
  <c r="X723" i="6"/>
  <c r="W723" i="6"/>
  <c r="U723" i="6"/>
  <c r="T723" i="6"/>
  <c r="S723" i="6"/>
  <c r="R723" i="6"/>
  <c r="P723" i="6"/>
  <c r="O723" i="6"/>
  <c r="N723" i="6"/>
  <c r="M723" i="6"/>
  <c r="K723" i="6"/>
  <c r="J723" i="6"/>
  <c r="I723" i="6"/>
  <c r="H723" i="6"/>
  <c r="CA722" i="6"/>
  <c r="BZ722" i="6"/>
  <c r="BX722" i="6"/>
  <c r="BW722" i="6"/>
  <c r="BV722" i="6"/>
  <c r="BU722" i="6"/>
  <c r="BT722" i="6"/>
  <c r="BS722" i="6"/>
  <c r="BR722" i="6"/>
  <c r="BQ722" i="6"/>
  <c r="BP722" i="6"/>
  <c r="BO722" i="6"/>
  <c r="BN722" i="6"/>
  <c r="BM722" i="6"/>
  <c r="BL722" i="6"/>
  <c r="BK722" i="6"/>
  <c r="BJ722" i="6"/>
  <c r="BI722" i="6"/>
  <c r="BH722" i="6"/>
  <c r="BG722" i="6"/>
  <c r="BF722" i="6"/>
  <c r="BE722" i="6"/>
  <c r="BD722" i="6"/>
  <c r="BC722" i="6"/>
  <c r="BB722" i="6"/>
  <c r="BA722" i="6"/>
  <c r="AZ722" i="6"/>
  <c r="AY722" i="6"/>
  <c r="AX722" i="6"/>
  <c r="AW722" i="6"/>
  <c r="AV722" i="6"/>
  <c r="AU722" i="6"/>
  <c r="AT722" i="6"/>
  <c r="AS722" i="6"/>
  <c r="AR722" i="6"/>
  <c r="AQ722" i="6"/>
  <c r="AP722" i="6"/>
  <c r="AO722" i="6"/>
  <c r="AN722" i="6"/>
  <c r="AM722" i="6"/>
  <c r="AL722" i="6"/>
  <c r="AK722" i="6"/>
  <c r="AJ722" i="6"/>
  <c r="AI722" i="6"/>
  <c r="AH722" i="6"/>
  <c r="AG722" i="6"/>
  <c r="AF722" i="6"/>
  <c r="AE722" i="6"/>
  <c r="AD722" i="6"/>
  <c r="AC722" i="6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BX721" i="6"/>
  <c r="BW721" i="6"/>
  <c r="BV721" i="6"/>
  <c r="BU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X720" i="6"/>
  <c r="BW720" i="6"/>
  <c r="BV720" i="6"/>
  <c r="BU720" i="6"/>
  <c r="BS720" i="6"/>
  <c r="BR720" i="6"/>
  <c r="BQ720" i="6"/>
  <c r="BP720" i="6"/>
  <c r="BN720" i="6"/>
  <c r="BM720" i="6"/>
  <c r="BL720" i="6"/>
  <c r="BK720" i="6"/>
  <c r="BI720" i="6"/>
  <c r="BH720" i="6"/>
  <c r="BG720" i="6"/>
  <c r="BF720" i="6"/>
  <c r="BD720" i="6"/>
  <c r="BC720" i="6"/>
  <c r="BB720" i="6"/>
  <c r="BA720" i="6"/>
  <c r="AY720" i="6"/>
  <c r="AX720" i="6"/>
  <c r="AW720" i="6"/>
  <c r="AV720" i="6"/>
  <c r="AT720" i="6"/>
  <c r="AS720" i="6"/>
  <c r="AR720" i="6"/>
  <c r="AQ720" i="6"/>
  <c r="AO720" i="6"/>
  <c r="AN720" i="6"/>
  <c r="AM720" i="6"/>
  <c r="AL720" i="6"/>
  <c r="AJ720" i="6"/>
  <c r="AI720" i="6"/>
  <c r="AH720" i="6"/>
  <c r="AG720" i="6"/>
  <c r="AE720" i="6"/>
  <c r="AD720" i="6"/>
  <c r="AC720" i="6"/>
  <c r="AB720" i="6"/>
  <c r="Z720" i="6"/>
  <c r="Y720" i="6"/>
  <c r="X720" i="6"/>
  <c r="W720" i="6"/>
  <c r="U720" i="6"/>
  <c r="T720" i="6"/>
  <c r="S720" i="6"/>
  <c r="R720" i="6"/>
  <c r="P720" i="6"/>
  <c r="O720" i="6"/>
  <c r="N720" i="6"/>
  <c r="M720" i="6"/>
  <c r="K720" i="6"/>
  <c r="J720" i="6"/>
  <c r="I720" i="6"/>
  <c r="H720" i="6"/>
  <c r="CA719" i="6"/>
  <c r="BZ719" i="6"/>
  <c r="BX719" i="6"/>
  <c r="BW719" i="6"/>
  <c r="BV719" i="6"/>
  <c r="BU719" i="6"/>
  <c r="BT719" i="6"/>
  <c r="BS719" i="6"/>
  <c r="BR719" i="6"/>
  <c r="BQ719" i="6"/>
  <c r="BP719" i="6"/>
  <c r="BO719" i="6"/>
  <c r="BN719" i="6"/>
  <c r="BM719" i="6"/>
  <c r="BL719" i="6"/>
  <c r="BK719" i="6"/>
  <c r="BJ719" i="6"/>
  <c r="BI719" i="6"/>
  <c r="BH719" i="6"/>
  <c r="BG719" i="6"/>
  <c r="BF719" i="6"/>
  <c r="BE719" i="6"/>
  <c r="BD719" i="6"/>
  <c r="BC719" i="6"/>
  <c r="BB719" i="6"/>
  <c r="BA719" i="6"/>
  <c r="AZ719" i="6"/>
  <c r="AY719" i="6"/>
  <c r="AX719" i="6"/>
  <c r="AW719" i="6"/>
  <c r="AV719" i="6"/>
  <c r="AU719" i="6"/>
  <c r="AT719" i="6"/>
  <c r="AS719" i="6"/>
  <c r="AR719" i="6"/>
  <c r="AQ719" i="6"/>
  <c r="AP719" i="6"/>
  <c r="AO719" i="6"/>
  <c r="AN719" i="6"/>
  <c r="AM719" i="6"/>
  <c r="AL719" i="6"/>
  <c r="AK719" i="6"/>
  <c r="AJ719" i="6"/>
  <c r="AI719" i="6"/>
  <c r="AH719" i="6"/>
  <c r="AG719" i="6"/>
  <c r="AF719" i="6"/>
  <c r="AE719" i="6"/>
  <c r="AD719" i="6"/>
  <c r="AC719" i="6"/>
  <c r="AB719" i="6"/>
  <c r="AA719" i="6"/>
  <c r="Z719" i="6"/>
  <c r="Y719" i="6"/>
  <c r="X719" i="6"/>
  <c r="W719" i="6"/>
  <c r="V719" i="6"/>
  <c r="U719" i="6"/>
  <c r="T719" i="6"/>
  <c r="S719" i="6"/>
  <c r="R719" i="6"/>
  <c r="Q719" i="6"/>
  <c r="P719" i="6"/>
  <c r="O719" i="6"/>
  <c r="N719" i="6"/>
  <c r="M719" i="6"/>
  <c r="L719" i="6"/>
  <c r="K719" i="6"/>
  <c r="J719" i="6"/>
  <c r="I719" i="6"/>
  <c r="H719" i="6"/>
  <c r="G719" i="6"/>
  <c r="BX718" i="6"/>
  <c r="BW718" i="6"/>
  <c r="BV718" i="6"/>
  <c r="BU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X717" i="6"/>
  <c r="BW717" i="6"/>
  <c r="BV717" i="6"/>
  <c r="BU717" i="6"/>
  <c r="BS717" i="6"/>
  <c r="BR717" i="6"/>
  <c r="BQ717" i="6"/>
  <c r="BP717" i="6"/>
  <c r="BN717" i="6"/>
  <c r="BM717" i="6"/>
  <c r="BL717" i="6"/>
  <c r="BK717" i="6"/>
  <c r="BI717" i="6"/>
  <c r="BH717" i="6"/>
  <c r="BG717" i="6"/>
  <c r="BF717" i="6"/>
  <c r="BD717" i="6"/>
  <c r="BC717" i="6"/>
  <c r="BB717" i="6"/>
  <c r="BA717" i="6"/>
  <c r="AY717" i="6"/>
  <c r="AX717" i="6"/>
  <c r="AW717" i="6"/>
  <c r="AV717" i="6"/>
  <c r="AT717" i="6"/>
  <c r="AS717" i="6"/>
  <c r="AR717" i="6"/>
  <c r="AQ717" i="6"/>
  <c r="AO717" i="6"/>
  <c r="AN717" i="6"/>
  <c r="AM717" i="6"/>
  <c r="AL717" i="6"/>
  <c r="AJ717" i="6"/>
  <c r="AI717" i="6"/>
  <c r="AH717" i="6"/>
  <c r="AG717" i="6"/>
  <c r="AE717" i="6"/>
  <c r="AD717" i="6"/>
  <c r="AC717" i="6"/>
  <c r="AB717" i="6"/>
  <c r="Z717" i="6"/>
  <c r="Y717" i="6"/>
  <c r="X717" i="6"/>
  <c r="W717" i="6"/>
  <c r="U717" i="6"/>
  <c r="T717" i="6"/>
  <c r="S717" i="6"/>
  <c r="R717" i="6"/>
  <c r="P717" i="6"/>
  <c r="O717" i="6"/>
  <c r="N717" i="6"/>
  <c r="M717" i="6"/>
  <c r="K717" i="6"/>
  <c r="J717" i="6"/>
  <c r="I717" i="6"/>
  <c r="H717" i="6"/>
  <c r="CA716" i="6"/>
  <c r="BZ716" i="6"/>
  <c r="BX716" i="6"/>
  <c r="BW716" i="6"/>
  <c r="BV716" i="6"/>
  <c r="BU716" i="6"/>
  <c r="BT716" i="6"/>
  <c r="BS716" i="6"/>
  <c r="BR716" i="6"/>
  <c r="BQ716" i="6"/>
  <c r="BP716" i="6"/>
  <c r="BO716" i="6"/>
  <c r="BN716" i="6"/>
  <c r="BM716" i="6"/>
  <c r="BL716" i="6"/>
  <c r="BK716" i="6"/>
  <c r="BJ716" i="6"/>
  <c r="BI716" i="6"/>
  <c r="BH716" i="6"/>
  <c r="BG716" i="6"/>
  <c r="BF716" i="6"/>
  <c r="BE716" i="6"/>
  <c r="BD716" i="6"/>
  <c r="BC716" i="6"/>
  <c r="BB716" i="6"/>
  <c r="BA716" i="6"/>
  <c r="AZ716" i="6"/>
  <c r="AY716" i="6"/>
  <c r="AX716" i="6"/>
  <c r="AW716" i="6"/>
  <c r="AV716" i="6"/>
  <c r="AU716" i="6"/>
  <c r="AT716" i="6"/>
  <c r="AS716" i="6"/>
  <c r="AR716" i="6"/>
  <c r="AQ716" i="6"/>
  <c r="AP716" i="6"/>
  <c r="AO716" i="6"/>
  <c r="AN716" i="6"/>
  <c r="AM716" i="6"/>
  <c r="AL716" i="6"/>
  <c r="AK716" i="6"/>
  <c r="AJ716" i="6"/>
  <c r="AI716" i="6"/>
  <c r="AH716" i="6"/>
  <c r="AG716" i="6"/>
  <c r="AF716" i="6"/>
  <c r="AE716" i="6"/>
  <c r="AD716" i="6"/>
  <c r="AC716" i="6"/>
  <c r="AB716" i="6"/>
  <c r="AA716" i="6"/>
  <c r="Z716" i="6"/>
  <c r="Y716" i="6"/>
  <c r="X716" i="6"/>
  <c r="W716" i="6"/>
  <c r="V716" i="6"/>
  <c r="U716" i="6"/>
  <c r="T716" i="6"/>
  <c r="S716" i="6"/>
  <c r="R716" i="6"/>
  <c r="Q716" i="6"/>
  <c r="P716" i="6"/>
  <c r="O716" i="6"/>
  <c r="N716" i="6"/>
  <c r="M716" i="6"/>
  <c r="L716" i="6"/>
  <c r="K716" i="6"/>
  <c r="J716" i="6"/>
  <c r="I716" i="6"/>
  <c r="H716" i="6"/>
  <c r="G716" i="6"/>
  <c r="BX715" i="6"/>
  <c r="BW715" i="6"/>
  <c r="BV715" i="6"/>
  <c r="BU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X714" i="6"/>
  <c r="BW714" i="6"/>
  <c r="BV714" i="6"/>
  <c r="BU714" i="6"/>
  <c r="BS714" i="6"/>
  <c r="BR714" i="6"/>
  <c r="BQ714" i="6"/>
  <c r="BP714" i="6"/>
  <c r="BN714" i="6"/>
  <c r="BM714" i="6"/>
  <c r="BL714" i="6"/>
  <c r="BK714" i="6"/>
  <c r="BI714" i="6"/>
  <c r="BH714" i="6"/>
  <c r="BG714" i="6"/>
  <c r="BF714" i="6"/>
  <c r="BD714" i="6"/>
  <c r="BC714" i="6"/>
  <c r="BB714" i="6"/>
  <c r="BA714" i="6"/>
  <c r="AY714" i="6"/>
  <c r="AX714" i="6"/>
  <c r="AW714" i="6"/>
  <c r="AV714" i="6"/>
  <c r="AT714" i="6"/>
  <c r="AS714" i="6"/>
  <c r="AR714" i="6"/>
  <c r="AQ714" i="6"/>
  <c r="AO714" i="6"/>
  <c r="AN714" i="6"/>
  <c r="AM714" i="6"/>
  <c r="AL714" i="6"/>
  <c r="AJ714" i="6"/>
  <c r="AI714" i="6"/>
  <c r="AH714" i="6"/>
  <c r="AG714" i="6"/>
  <c r="AE714" i="6"/>
  <c r="AD714" i="6"/>
  <c r="AC714" i="6"/>
  <c r="AB714" i="6"/>
  <c r="Z714" i="6"/>
  <c r="Y714" i="6"/>
  <c r="X714" i="6"/>
  <c r="W714" i="6"/>
  <c r="U714" i="6"/>
  <c r="T714" i="6"/>
  <c r="S714" i="6"/>
  <c r="R714" i="6"/>
  <c r="P714" i="6"/>
  <c r="O714" i="6"/>
  <c r="N714" i="6"/>
  <c r="M714" i="6"/>
  <c r="K714" i="6"/>
  <c r="J714" i="6"/>
  <c r="I714" i="6"/>
  <c r="H714" i="6"/>
  <c r="CA713" i="6"/>
  <c r="BZ713" i="6"/>
  <c r="BX713" i="6"/>
  <c r="BW713" i="6"/>
  <c r="BV713" i="6"/>
  <c r="BU713" i="6"/>
  <c r="BT713" i="6"/>
  <c r="BS713" i="6"/>
  <c r="BR713" i="6"/>
  <c r="BQ713" i="6"/>
  <c r="BP713" i="6"/>
  <c r="BO713" i="6"/>
  <c r="BN713" i="6"/>
  <c r="BM713" i="6"/>
  <c r="BL713" i="6"/>
  <c r="BK713" i="6"/>
  <c r="BJ713" i="6"/>
  <c r="BI713" i="6"/>
  <c r="BH713" i="6"/>
  <c r="BG713" i="6"/>
  <c r="BF713" i="6"/>
  <c r="BE713" i="6"/>
  <c r="BD713" i="6"/>
  <c r="BC713" i="6"/>
  <c r="BB713" i="6"/>
  <c r="BA713" i="6"/>
  <c r="AZ713" i="6"/>
  <c r="AY713" i="6"/>
  <c r="AX713" i="6"/>
  <c r="AW713" i="6"/>
  <c r="AV713" i="6"/>
  <c r="AU713" i="6"/>
  <c r="AT713" i="6"/>
  <c r="AS713" i="6"/>
  <c r="AR713" i="6"/>
  <c r="AQ713" i="6"/>
  <c r="AP713" i="6"/>
  <c r="AO713" i="6"/>
  <c r="AN713" i="6"/>
  <c r="AM713" i="6"/>
  <c r="AL713" i="6"/>
  <c r="AK713" i="6"/>
  <c r="AJ713" i="6"/>
  <c r="AI713" i="6"/>
  <c r="AH713" i="6"/>
  <c r="AG713" i="6"/>
  <c r="AF713" i="6"/>
  <c r="AE713" i="6"/>
  <c r="AD713" i="6"/>
  <c r="AC713" i="6"/>
  <c r="AB713" i="6"/>
  <c r="AA713" i="6"/>
  <c r="Z713" i="6"/>
  <c r="Y713" i="6"/>
  <c r="X713" i="6"/>
  <c r="W713" i="6"/>
  <c r="V713" i="6"/>
  <c r="U713" i="6"/>
  <c r="T713" i="6"/>
  <c r="S713" i="6"/>
  <c r="R713" i="6"/>
  <c r="Q713" i="6"/>
  <c r="P713" i="6"/>
  <c r="O713" i="6"/>
  <c r="N713" i="6"/>
  <c r="M713" i="6"/>
  <c r="L713" i="6"/>
  <c r="K713" i="6"/>
  <c r="J713" i="6"/>
  <c r="I713" i="6"/>
  <c r="H713" i="6"/>
  <c r="G713" i="6"/>
  <c r="BX712" i="6"/>
  <c r="BW712" i="6"/>
  <c r="BV712" i="6"/>
  <c r="BU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X711" i="6"/>
  <c r="BW711" i="6"/>
  <c r="BV711" i="6"/>
  <c r="BU711" i="6"/>
  <c r="BS711" i="6"/>
  <c r="BR711" i="6"/>
  <c r="BQ711" i="6"/>
  <c r="BP711" i="6"/>
  <c r="BN711" i="6"/>
  <c r="BM711" i="6"/>
  <c r="BL711" i="6"/>
  <c r="BK711" i="6"/>
  <c r="BI711" i="6"/>
  <c r="BH711" i="6"/>
  <c r="BG711" i="6"/>
  <c r="BF711" i="6"/>
  <c r="BD711" i="6"/>
  <c r="BC711" i="6"/>
  <c r="BB711" i="6"/>
  <c r="BA711" i="6"/>
  <c r="AY711" i="6"/>
  <c r="AX711" i="6"/>
  <c r="AW711" i="6"/>
  <c r="AV711" i="6"/>
  <c r="AT711" i="6"/>
  <c r="AS711" i="6"/>
  <c r="AR711" i="6"/>
  <c r="AQ711" i="6"/>
  <c r="AO711" i="6"/>
  <c r="AN711" i="6"/>
  <c r="AM711" i="6"/>
  <c r="AL711" i="6"/>
  <c r="AJ711" i="6"/>
  <c r="AI711" i="6"/>
  <c r="AH711" i="6"/>
  <c r="AG711" i="6"/>
  <c r="AE711" i="6"/>
  <c r="AD711" i="6"/>
  <c r="AC711" i="6"/>
  <c r="AB711" i="6"/>
  <c r="Z711" i="6"/>
  <c r="Y711" i="6"/>
  <c r="X711" i="6"/>
  <c r="W711" i="6"/>
  <c r="U711" i="6"/>
  <c r="T711" i="6"/>
  <c r="S711" i="6"/>
  <c r="R711" i="6"/>
  <c r="P711" i="6"/>
  <c r="O711" i="6"/>
  <c r="N711" i="6"/>
  <c r="M711" i="6"/>
  <c r="K711" i="6"/>
  <c r="J711" i="6"/>
  <c r="I711" i="6"/>
  <c r="H711" i="6"/>
  <c r="CA710" i="6"/>
  <c r="BZ710" i="6"/>
  <c r="BX710" i="6"/>
  <c r="BW710" i="6"/>
  <c r="BV710" i="6"/>
  <c r="BU710" i="6"/>
  <c r="BT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X709" i="6"/>
  <c r="BW709" i="6"/>
  <c r="BV709" i="6"/>
  <c r="BU709" i="6"/>
  <c r="BS709" i="6"/>
  <c r="BR709" i="6"/>
  <c r="BQ709" i="6"/>
  <c r="BP709" i="6"/>
  <c r="BO709" i="6"/>
  <c r="BN709" i="6"/>
  <c r="BM709" i="6"/>
  <c r="BL709" i="6"/>
  <c r="BK709" i="6"/>
  <c r="BJ709" i="6"/>
  <c r="BI709" i="6"/>
  <c r="BH709" i="6"/>
  <c r="BG709" i="6"/>
  <c r="BF709" i="6"/>
  <c r="BE709" i="6"/>
  <c r="BD709" i="6"/>
  <c r="BC709" i="6"/>
  <c r="BB709" i="6"/>
  <c r="BA709" i="6"/>
  <c r="AZ709" i="6"/>
  <c r="AY709" i="6"/>
  <c r="AX709" i="6"/>
  <c r="AW709" i="6"/>
  <c r="AV709" i="6"/>
  <c r="AU709" i="6"/>
  <c r="AT709" i="6"/>
  <c r="AS709" i="6"/>
  <c r="AR709" i="6"/>
  <c r="AQ709" i="6"/>
  <c r="AP709" i="6"/>
  <c r="AO709" i="6"/>
  <c r="AN709" i="6"/>
  <c r="AM709" i="6"/>
  <c r="AL709" i="6"/>
  <c r="AK709" i="6"/>
  <c r="AJ709" i="6"/>
  <c r="AI709" i="6"/>
  <c r="AH709" i="6"/>
  <c r="AG709" i="6"/>
  <c r="AF709" i="6"/>
  <c r="AE709" i="6"/>
  <c r="AD709" i="6"/>
  <c r="AC709" i="6"/>
  <c r="AB709" i="6"/>
  <c r="AA709" i="6"/>
  <c r="Z709" i="6"/>
  <c r="Y709" i="6"/>
  <c r="X709" i="6"/>
  <c r="W709" i="6"/>
  <c r="V709" i="6"/>
  <c r="U709" i="6"/>
  <c r="T709" i="6"/>
  <c r="S709" i="6"/>
  <c r="R709" i="6"/>
  <c r="Q709" i="6"/>
  <c r="P709" i="6"/>
  <c r="O709" i="6"/>
  <c r="N709" i="6"/>
  <c r="M709" i="6"/>
  <c r="L709" i="6"/>
  <c r="K709" i="6"/>
  <c r="J709" i="6"/>
  <c r="I709" i="6"/>
  <c r="H709" i="6"/>
  <c r="G709" i="6"/>
  <c r="BX708" i="6"/>
  <c r="BW708" i="6"/>
  <c r="BV708" i="6"/>
  <c r="BU708" i="6"/>
  <c r="BS708" i="6"/>
  <c r="BR708" i="6"/>
  <c r="Y708" i="6"/>
  <c r="X708" i="6"/>
  <c r="W708" i="6"/>
  <c r="U708" i="6"/>
  <c r="T708" i="6"/>
  <c r="S708" i="6"/>
  <c r="R708" i="6"/>
  <c r="P708" i="6"/>
  <c r="O708" i="6"/>
  <c r="N708" i="6"/>
  <c r="K708" i="6"/>
  <c r="J708" i="6"/>
  <c r="I708" i="6"/>
  <c r="H708" i="6"/>
  <c r="CA707" i="6"/>
  <c r="BZ707" i="6"/>
  <c r="BX707" i="6"/>
  <c r="BW707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X706" i="6"/>
  <c r="BW706" i="6"/>
  <c r="BV706" i="6"/>
  <c r="BU706" i="6"/>
  <c r="BT706" i="6"/>
  <c r="BS706" i="6"/>
  <c r="BR706" i="6"/>
  <c r="BQ706" i="6"/>
  <c r="BP706" i="6"/>
  <c r="BO706" i="6"/>
  <c r="BN706" i="6"/>
  <c r="BM706" i="6"/>
  <c r="BL706" i="6"/>
  <c r="BK706" i="6"/>
  <c r="BJ706" i="6"/>
  <c r="BI706" i="6"/>
  <c r="BH706" i="6"/>
  <c r="BG706" i="6"/>
  <c r="BF706" i="6"/>
  <c r="BE706" i="6"/>
  <c r="BD706" i="6"/>
  <c r="BC706" i="6"/>
  <c r="BB706" i="6"/>
  <c r="BA706" i="6"/>
  <c r="AZ706" i="6"/>
  <c r="AY706" i="6"/>
  <c r="AX706" i="6"/>
  <c r="AW706" i="6"/>
  <c r="AV706" i="6"/>
  <c r="AU706" i="6"/>
  <c r="AT706" i="6"/>
  <c r="AS706" i="6"/>
  <c r="AR706" i="6"/>
  <c r="AQ706" i="6"/>
  <c r="AP706" i="6"/>
  <c r="AO706" i="6"/>
  <c r="AN706" i="6"/>
  <c r="AM706" i="6"/>
  <c r="AL706" i="6"/>
  <c r="AK706" i="6"/>
  <c r="AJ706" i="6"/>
  <c r="AI706" i="6"/>
  <c r="AH706" i="6"/>
  <c r="AG706" i="6"/>
  <c r="AF706" i="6"/>
  <c r="AE706" i="6"/>
  <c r="AD706" i="6"/>
  <c r="AC706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BX705" i="6"/>
  <c r="BW705" i="6"/>
  <c r="BV705" i="6"/>
  <c r="BU705" i="6"/>
  <c r="BS705" i="6"/>
  <c r="BR705" i="6"/>
  <c r="BQ705" i="6"/>
  <c r="BP705" i="6"/>
  <c r="BO705" i="6"/>
  <c r="BN705" i="6"/>
  <c r="BM705" i="6"/>
  <c r="BL705" i="6"/>
  <c r="BK705" i="6"/>
  <c r="BJ705" i="6"/>
  <c r="BI705" i="6"/>
  <c r="BH705" i="6"/>
  <c r="BG705" i="6"/>
  <c r="BF705" i="6"/>
  <c r="BE705" i="6"/>
  <c r="BD705" i="6"/>
  <c r="BC705" i="6"/>
  <c r="BB705" i="6"/>
  <c r="BA705" i="6"/>
  <c r="AZ705" i="6"/>
  <c r="AY705" i="6"/>
  <c r="AX705" i="6"/>
  <c r="AW705" i="6"/>
  <c r="AV705" i="6"/>
  <c r="AU705" i="6"/>
  <c r="AT705" i="6"/>
  <c r="AS705" i="6"/>
  <c r="AR705" i="6"/>
  <c r="AQ705" i="6"/>
  <c r="AP705" i="6"/>
  <c r="AO705" i="6"/>
  <c r="AN705" i="6"/>
  <c r="AM705" i="6"/>
  <c r="AL705" i="6"/>
  <c r="AK705" i="6"/>
  <c r="AJ705" i="6"/>
  <c r="AI705" i="6"/>
  <c r="AH705" i="6"/>
  <c r="AG705" i="6"/>
  <c r="AF705" i="6"/>
  <c r="AE705" i="6"/>
  <c r="AD705" i="6"/>
  <c r="AC705" i="6"/>
  <c r="AB705" i="6"/>
  <c r="AA705" i="6"/>
  <c r="Z705" i="6"/>
  <c r="Y705" i="6"/>
  <c r="X705" i="6"/>
  <c r="W705" i="6"/>
  <c r="V705" i="6"/>
  <c r="U705" i="6"/>
  <c r="T705" i="6"/>
  <c r="S705" i="6"/>
  <c r="R705" i="6"/>
  <c r="Q705" i="6"/>
  <c r="P705" i="6"/>
  <c r="O705" i="6"/>
  <c r="N705" i="6"/>
  <c r="M705" i="6"/>
  <c r="L705" i="6"/>
  <c r="K705" i="6"/>
  <c r="J705" i="6"/>
  <c r="I705" i="6"/>
  <c r="H705" i="6"/>
  <c r="G705" i="6"/>
  <c r="BX704" i="6"/>
  <c r="BW704" i="6"/>
  <c r="BV704" i="6"/>
  <c r="BU704" i="6"/>
  <c r="BS704" i="6"/>
  <c r="BR704" i="6"/>
  <c r="BQ704" i="6"/>
  <c r="BP704" i="6"/>
  <c r="BN704" i="6"/>
  <c r="BM704" i="6"/>
  <c r="BL704" i="6"/>
  <c r="BK704" i="6"/>
  <c r="BI704" i="6"/>
  <c r="BH704" i="6"/>
  <c r="BG704" i="6"/>
  <c r="BF704" i="6"/>
  <c r="BD704" i="6"/>
  <c r="BC704" i="6"/>
  <c r="BB704" i="6"/>
  <c r="BA704" i="6"/>
  <c r="AY704" i="6"/>
  <c r="AX704" i="6"/>
  <c r="AW704" i="6"/>
  <c r="AV704" i="6"/>
  <c r="AT704" i="6"/>
  <c r="AS704" i="6"/>
  <c r="AR704" i="6"/>
  <c r="AQ704" i="6"/>
  <c r="AO704" i="6"/>
  <c r="AN704" i="6"/>
  <c r="AM704" i="6"/>
  <c r="AL704" i="6"/>
  <c r="AJ704" i="6"/>
  <c r="AI704" i="6"/>
  <c r="AH704" i="6"/>
  <c r="AG704" i="6"/>
  <c r="AE704" i="6"/>
  <c r="AD704" i="6"/>
  <c r="AC704" i="6"/>
  <c r="AB704" i="6"/>
  <c r="Z704" i="6"/>
  <c r="Y704" i="6"/>
  <c r="X704" i="6"/>
  <c r="W704" i="6"/>
  <c r="U704" i="6"/>
  <c r="T704" i="6"/>
  <c r="S704" i="6"/>
  <c r="R704" i="6"/>
  <c r="P704" i="6"/>
  <c r="O704" i="6"/>
  <c r="N704" i="6"/>
  <c r="M704" i="6"/>
  <c r="K704" i="6"/>
  <c r="J704" i="6"/>
  <c r="I704" i="6"/>
  <c r="H704" i="6"/>
  <c r="CA703" i="6"/>
  <c r="BZ703" i="6"/>
  <c r="BX703" i="6"/>
  <c r="BW703" i="6"/>
  <c r="BV703" i="6"/>
  <c r="BU703" i="6"/>
  <c r="BT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X702" i="6"/>
  <c r="BW702" i="6"/>
  <c r="BV702" i="6"/>
  <c r="BU702" i="6"/>
  <c r="BT702" i="6"/>
  <c r="BS702" i="6"/>
  <c r="BR702" i="6"/>
  <c r="BQ702" i="6"/>
  <c r="BP702" i="6"/>
  <c r="BO702" i="6"/>
  <c r="BN702" i="6"/>
  <c r="BM702" i="6"/>
  <c r="BL702" i="6"/>
  <c r="BK702" i="6"/>
  <c r="BJ702" i="6"/>
  <c r="BI702" i="6"/>
  <c r="BH702" i="6"/>
  <c r="BG702" i="6"/>
  <c r="BF702" i="6"/>
  <c r="BE702" i="6"/>
  <c r="BD702" i="6"/>
  <c r="BC702" i="6"/>
  <c r="BB702" i="6"/>
  <c r="BA702" i="6"/>
  <c r="AZ702" i="6"/>
  <c r="AY702" i="6"/>
  <c r="AX702" i="6"/>
  <c r="AW702" i="6"/>
  <c r="AV702" i="6"/>
  <c r="AU702" i="6"/>
  <c r="AT702" i="6"/>
  <c r="AS702" i="6"/>
  <c r="AR702" i="6"/>
  <c r="AQ702" i="6"/>
  <c r="AP702" i="6"/>
  <c r="AO702" i="6"/>
  <c r="AN702" i="6"/>
  <c r="AM702" i="6"/>
  <c r="AL702" i="6"/>
  <c r="AK702" i="6"/>
  <c r="AJ702" i="6"/>
  <c r="AI702" i="6"/>
  <c r="AH702" i="6"/>
  <c r="AG702" i="6"/>
  <c r="AF702" i="6"/>
  <c r="AE702" i="6"/>
  <c r="AD702" i="6"/>
  <c r="AC702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BX701" i="6"/>
  <c r="BW701" i="6"/>
  <c r="BV701" i="6"/>
  <c r="BU701" i="6"/>
  <c r="BS701" i="6"/>
  <c r="BR701" i="6"/>
  <c r="BQ701" i="6"/>
  <c r="BP701" i="6"/>
  <c r="BN701" i="6"/>
  <c r="BM701" i="6"/>
  <c r="BL701" i="6"/>
  <c r="BK701" i="6"/>
  <c r="BI701" i="6"/>
  <c r="BH701" i="6"/>
  <c r="BG701" i="6"/>
  <c r="BF701" i="6"/>
  <c r="BD701" i="6"/>
  <c r="BC701" i="6"/>
  <c r="BB701" i="6"/>
  <c r="BA701" i="6"/>
  <c r="AY701" i="6"/>
  <c r="AX701" i="6"/>
  <c r="AW701" i="6"/>
  <c r="AV701" i="6"/>
  <c r="AT701" i="6"/>
  <c r="AS701" i="6"/>
  <c r="AR701" i="6"/>
  <c r="AQ701" i="6"/>
  <c r="AO701" i="6"/>
  <c r="AN701" i="6"/>
  <c r="AM701" i="6"/>
  <c r="AL701" i="6"/>
  <c r="AJ701" i="6"/>
  <c r="AI701" i="6"/>
  <c r="AH701" i="6"/>
  <c r="AG701" i="6"/>
  <c r="AE701" i="6"/>
  <c r="AD701" i="6"/>
  <c r="AC701" i="6"/>
  <c r="AB701" i="6"/>
  <c r="Z701" i="6"/>
  <c r="Y701" i="6"/>
  <c r="X701" i="6"/>
  <c r="W701" i="6"/>
  <c r="U701" i="6"/>
  <c r="T701" i="6"/>
  <c r="S701" i="6"/>
  <c r="R701" i="6"/>
  <c r="P701" i="6"/>
  <c r="O701" i="6"/>
  <c r="N701" i="6"/>
  <c r="M701" i="6"/>
  <c r="K701" i="6"/>
  <c r="J701" i="6"/>
  <c r="I701" i="6"/>
  <c r="H701" i="6"/>
  <c r="BX700" i="6"/>
  <c r="BW700" i="6"/>
  <c r="BV700" i="6"/>
  <c r="BU700" i="6"/>
  <c r="BS700" i="6"/>
  <c r="BR700" i="6"/>
  <c r="BQ700" i="6"/>
  <c r="BP700" i="6"/>
  <c r="BN700" i="6"/>
  <c r="BM700" i="6"/>
  <c r="BL700" i="6"/>
  <c r="BK700" i="6"/>
  <c r="BI700" i="6"/>
  <c r="BH700" i="6"/>
  <c r="BG700" i="6"/>
  <c r="BF700" i="6"/>
  <c r="BD700" i="6"/>
  <c r="BC700" i="6"/>
  <c r="BB700" i="6"/>
  <c r="BA700" i="6"/>
  <c r="AY700" i="6"/>
  <c r="AX700" i="6"/>
  <c r="AW700" i="6"/>
  <c r="AV700" i="6"/>
  <c r="AT700" i="6"/>
  <c r="AS700" i="6"/>
  <c r="AR700" i="6"/>
  <c r="AQ700" i="6"/>
  <c r="AO700" i="6"/>
  <c r="AN700" i="6"/>
  <c r="AM700" i="6"/>
  <c r="AL700" i="6"/>
  <c r="AJ700" i="6"/>
  <c r="AI700" i="6"/>
  <c r="AH700" i="6"/>
  <c r="AG700" i="6"/>
  <c r="AE700" i="6"/>
  <c r="AD700" i="6"/>
  <c r="AC700" i="6"/>
  <c r="AB700" i="6"/>
  <c r="Z700" i="6"/>
  <c r="Y700" i="6"/>
  <c r="X700" i="6"/>
  <c r="W700" i="6"/>
  <c r="U700" i="6"/>
  <c r="T700" i="6"/>
  <c r="S700" i="6"/>
  <c r="R700" i="6"/>
  <c r="P700" i="6"/>
  <c r="O700" i="6"/>
  <c r="N700" i="6"/>
  <c r="M700" i="6"/>
  <c r="K700" i="6"/>
  <c r="J700" i="6"/>
  <c r="I700" i="6"/>
  <c r="H700" i="6"/>
  <c r="CA699" i="6"/>
  <c r="BZ699" i="6"/>
  <c r="BX699" i="6"/>
  <c r="BW699" i="6"/>
  <c r="BV699" i="6"/>
  <c r="BU699" i="6"/>
  <c r="BT699" i="6"/>
  <c r="BS699" i="6"/>
  <c r="BR699" i="6"/>
  <c r="BQ699" i="6"/>
  <c r="BP699" i="6"/>
  <c r="BO699" i="6"/>
  <c r="BN699" i="6"/>
  <c r="BM699" i="6"/>
  <c r="BL699" i="6"/>
  <c r="BK699" i="6"/>
  <c r="BJ699" i="6"/>
  <c r="BI699" i="6"/>
  <c r="BH699" i="6"/>
  <c r="BG699" i="6"/>
  <c r="BF699" i="6"/>
  <c r="BE699" i="6"/>
  <c r="BD699" i="6"/>
  <c r="BC699" i="6"/>
  <c r="BB699" i="6"/>
  <c r="BA699" i="6"/>
  <c r="AZ699" i="6"/>
  <c r="AY699" i="6"/>
  <c r="AX699" i="6"/>
  <c r="AW699" i="6"/>
  <c r="AV699" i="6"/>
  <c r="AU699" i="6"/>
  <c r="AT699" i="6"/>
  <c r="AS699" i="6"/>
  <c r="AR699" i="6"/>
  <c r="AQ699" i="6"/>
  <c r="AP699" i="6"/>
  <c r="AO699" i="6"/>
  <c r="AN699" i="6"/>
  <c r="AM699" i="6"/>
  <c r="AL699" i="6"/>
  <c r="AK699" i="6"/>
  <c r="AJ699" i="6"/>
  <c r="AI699" i="6"/>
  <c r="AH699" i="6"/>
  <c r="AG699" i="6"/>
  <c r="AF699" i="6"/>
  <c r="AE699" i="6"/>
  <c r="AD699" i="6"/>
  <c r="AC699" i="6"/>
  <c r="AB699" i="6"/>
  <c r="AA699" i="6"/>
  <c r="Z699" i="6"/>
  <c r="Y699" i="6"/>
  <c r="X699" i="6"/>
  <c r="W699" i="6"/>
  <c r="V699" i="6"/>
  <c r="U699" i="6"/>
  <c r="T699" i="6"/>
  <c r="S699" i="6"/>
  <c r="R699" i="6"/>
  <c r="Q699" i="6"/>
  <c r="P699" i="6"/>
  <c r="O699" i="6"/>
  <c r="N699" i="6"/>
  <c r="M699" i="6"/>
  <c r="L699" i="6"/>
  <c r="K699" i="6"/>
  <c r="J699" i="6"/>
  <c r="I699" i="6"/>
  <c r="H699" i="6"/>
  <c r="G699" i="6"/>
  <c r="BX698" i="6"/>
  <c r="BW698" i="6"/>
  <c r="BV698" i="6"/>
  <c r="BU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X697" i="6"/>
  <c r="BW697" i="6"/>
  <c r="BV697" i="6"/>
  <c r="BU697" i="6"/>
  <c r="BS697" i="6"/>
  <c r="BR697" i="6"/>
  <c r="BQ697" i="6"/>
  <c r="BP697" i="6"/>
  <c r="BN697" i="6"/>
  <c r="BM697" i="6"/>
  <c r="BL697" i="6"/>
  <c r="BK697" i="6"/>
  <c r="BI697" i="6"/>
  <c r="BH697" i="6"/>
  <c r="BG697" i="6"/>
  <c r="BF697" i="6"/>
  <c r="BD697" i="6"/>
  <c r="BC697" i="6"/>
  <c r="BB697" i="6"/>
  <c r="BA697" i="6"/>
  <c r="AY697" i="6"/>
  <c r="AX697" i="6"/>
  <c r="AW697" i="6"/>
  <c r="AV697" i="6"/>
  <c r="AT697" i="6"/>
  <c r="AS697" i="6"/>
  <c r="AR697" i="6"/>
  <c r="AQ697" i="6"/>
  <c r="AO697" i="6"/>
  <c r="AN697" i="6"/>
  <c r="AM697" i="6"/>
  <c r="AL697" i="6"/>
  <c r="AJ697" i="6"/>
  <c r="AI697" i="6"/>
  <c r="AH697" i="6"/>
  <c r="AG697" i="6"/>
  <c r="AE697" i="6"/>
  <c r="AD697" i="6"/>
  <c r="AC697" i="6"/>
  <c r="AB697" i="6"/>
  <c r="Z697" i="6"/>
  <c r="Y697" i="6"/>
  <c r="X697" i="6"/>
  <c r="W697" i="6"/>
  <c r="U697" i="6"/>
  <c r="T697" i="6"/>
  <c r="S697" i="6"/>
  <c r="R697" i="6"/>
  <c r="P697" i="6"/>
  <c r="O697" i="6"/>
  <c r="N697" i="6"/>
  <c r="M697" i="6"/>
  <c r="K697" i="6"/>
  <c r="J697" i="6"/>
  <c r="I697" i="6"/>
  <c r="H697" i="6"/>
  <c r="CA696" i="6"/>
  <c r="BZ696" i="6"/>
  <c r="BX696" i="6"/>
  <c r="BW696" i="6"/>
  <c r="BV696" i="6"/>
  <c r="BU696" i="6"/>
  <c r="BT696" i="6"/>
  <c r="BS696" i="6"/>
  <c r="BR696" i="6"/>
  <c r="BQ696" i="6"/>
  <c r="BP696" i="6"/>
  <c r="BO696" i="6"/>
  <c r="BN696" i="6"/>
  <c r="BM696" i="6"/>
  <c r="BL696" i="6"/>
  <c r="BK696" i="6"/>
  <c r="BJ696" i="6"/>
  <c r="BI696" i="6"/>
  <c r="BH696" i="6"/>
  <c r="BG696" i="6"/>
  <c r="BF696" i="6"/>
  <c r="BE696" i="6"/>
  <c r="BD696" i="6"/>
  <c r="BC696" i="6"/>
  <c r="BB696" i="6"/>
  <c r="BA696" i="6"/>
  <c r="AZ696" i="6"/>
  <c r="AY696" i="6"/>
  <c r="AX696" i="6"/>
  <c r="AW696" i="6"/>
  <c r="AV696" i="6"/>
  <c r="AU696" i="6"/>
  <c r="AT696" i="6"/>
  <c r="AS696" i="6"/>
  <c r="AR696" i="6"/>
  <c r="AQ696" i="6"/>
  <c r="AP696" i="6"/>
  <c r="AO696" i="6"/>
  <c r="AN696" i="6"/>
  <c r="AM696" i="6"/>
  <c r="AL696" i="6"/>
  <c r="AK696" i="6"/>
  <c r="AJ696" i="6"/>
  <c r="AI696" i="6"/>
  <c r="AH696" i="6"/>
  <c r="AG696" i="6"/>
  <c r="AF696" i="6"/>
  <c r="AE696" i="6"/>
  <c r="AD696" i="6"/>
  <c r="AC696" i="6"/>
  <c r="AB696" i="6"/>
  <c r="AA696" i="6"/>
  <c r="Z696" i="6"/>
  <c r="Y696" i="6"/>
  <c r="X696" i="6"/>
  <c r="W696" i="6"/>
  <c r="V696" i="6"/>
  <c r="U696" i="6"/>
  <c r="T696" i="6"/>
  <c r="S696" i="6"/>
  <c r="R696" i="6"/>
  <c r="Q696" i="6"/>
  <c r="P696" i="6"/>
  <c r="O696" i="6"/>
  <c r="N696" i="6"/>
  <c r="M696" i="6"/>
  <c r="L696" i="6"/>
  <c r="K696" i="6"/>
  <c r="J696" i="6"/>
  <c r="I696" i="6"/>
  <c r="H696" i="6"/>
  <c r="G696" i="6"/>
  <c r="BX695" i="6"/>
  <c r="BW695" i="6"/>
  <c r="BV695" i="6"/>
  <c r="BU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X694" i="6"/>
  <c r="BW694" i="6"/>
  <c r="BV694" i="6"/>
  <c r="BU694" i="6"/>
  <c r="BS694" i="6"/>
  <c r="BR694" i="6"/>
  <c r="BQ694" i="6"/>
  <c r="BP694" i="6"/>
  <c r="BN694" i="6"/>
  <c r="BM694" i="6"/>
  <c r="BL694" i="6"/>
  <c r="BK694" i="6"/>
  <c r="BI694" i="6"/>
  <c r="BH694" i="6"/>
  <c r="BG694" i="6"/>
  <c r="BF694" i="6"/>
  <c r="BD694" i="6"/>
  <c r="BC694" i="6"/>
  <c r="BB694" i="6"/>
  <c r="BA694" i="6"/>
  <c r="AY694" i="6"/>
  <c r="AX694" i="6"/>
  <c r="AW694" i="6"/>
  <c r="AV694" i="6"/>
  <c r="AT694" i="6"/>
  <c r="AS694" i="6"/>
  <c r="AR694" i="6"/>
  <c r="AQ694" i="6"/>
  <c r="AO694" i="6"/>
  <c r="AN694" i="6"/>
  <c r="AM694" i="6"/>
  <c r="AL694" i="6"/>
  <c r="AJ694" i="6"/>
  <c r="AI694" i="6"/>
  <c r="AH694" i="6"/>
  <c r="AG694" i="6"/>
  <c r="AE694" i="6"/>
  <c r="AD694" i="6"/>
  <c r="AC694" i="6"/>
  <c r="AB694" i="6"/>
  <c r="Z694" i="6"/>
  <c r="Y694" i="6"/>
  <c r="X694" i="6"/>
  <c r="W694" i="6"/>
  <c r="U694" i="6"/>
  <c r="T694" i="6"/>
  <c r="S694" i="6"/>
  <c r="R694" i="6"/>
  <c r="P694" i="6"/>
  <c r="O694" i="6"/>
  <c r="N694" i="6"/>
  <c r="K694" i="6"/>
  <c r="J694" i="6"/>
  <c r="I694" i="6"/>
  <c r="H694" i="6"/>
  <c r="CA693" i="6"/>
  <c r="BZ693" i="6"/>
  <c r="BX693" i="6"/>
  <c r="BW693" i="6"/>
  <c r="BV693" i="6"/>
  <c r="BU693" i="6"/>
  <c r="BT693" i="6"/>
  <c r="BS693" i="6"/>
  <c r="BR693" i="6"/>
  <c r="BQ693" i="6"/>
  <c r="BP693" i="6"/>
  <c r="BO693" i="6"/>
  <c r="BN693" i="6"/>
  <c r="BM693" i="6"/>
  <c r="BL693" i="6"/>
  <c r="BK693" i="6"/>
  <c r="BJ693" i="6"/>
  <c r="BI693" i="6"/>
  <c r="BH693" i="6"/>
  <c r="BG693" i="6"/>
  <c r="BF693" i="6"/>
  <c r="BE693" i="6"/>
  <c r="BD693" i="6"/>
  <c r="BC693" i="6"/>
  <c r="BB693" i="6"/>
  <c r="BA693" i="6"/>
  <c r="AZ693" i="6"/>
  <c r="AY693" i="6"/>
  <c r="AX693" i="6"/>
  <c r="AW693" i="6"/>
  <c r="AV693" i="6"/>
  <c r="AU693" i="6"/>
  <c r="AT693" i="6"/>
  <c r="AS693" i="6"/>
  <c r="AR693" i="6"/>
  <c r="AQ693" i="6"/>
  <c r="AP693" i="6"/>
  <c r="AO693" i="6"/>
  <c r="AN693" i="6"/>
  <c r="AM693" i="6"/>
  <c r="AL693" i="6"/>
  <c r="AK693" i="6"/>
  <c r="AJ693" i="6"/>
  <c r="AI693" i="6"/>
  <c r="AH693" i="6"/>
  <c r="AG693" i="6"/>
  <c r="AF693" i="6"/>
  <c r="AE693" i="6"/>
  <c r="AD693" i="6"/>
  <c r="AC693" i="6"/>
  <c r="AB693" i="6"/>
  <c r="AA693" i="6"/>
  <c r="Z693" i="6"/>
  <c r="Y693" i="6"/>
  <c r="X693" i="6"/>
  <c r="W693" i="6"/>
  <c r="V693" i="6"/>
  <c r="U693" i="6"/>
  <c r="T693" i="6"/>
  <c r="S693" i="6"/>
  <c r="R693" i="6"/>
  <c r="Q693" i="6"/>
  <c r="P693" i="6"/>
  <c r="O693" i="6"/>
  <c r="N693" i="6"/>
  <c r="M693" i="6"/>
  <c r="L693" i="6"/>
  <c r="K693" i="6"/>
  <c r="J693" i="6"/>
  <c r="I693" i="6"/>
  <c r="H693" i="6"/>
  <c r="G693" i="6"/>
  <c r="BX692" i="6"/>
  <c r="BW692" i="6"/>
  <c r="BV692" i="6"/>
  <c r="BU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X691" i="6"/>
  <c r="BW691" i="6"/>
  <c r="BV691" i="6"/>
  <c r="BU691" i="6"/>
  <c r="BS691" i="6"/>
  <c r="BR691" i="6"/>
  <c r="BQ691" i="6"/>
  <c r="BP691" i="6"/>
  <c r="BN691" i="6"/>
  <c r="BM691" i="6"/>
  <c r="BL691" i="6"/>
  <c r="BK691" i="6"/>
  <c r="BI691" i="6"/>
  <c r="BH691" i="6"/>
  <c r="BG691" i="6"/>
  <c r="BF691" i="6"/>
  <c r="BD691" i="6"/>
  <c r="BC691" i="6"/>
  <c r="BB691" i="6"/>
  <c r="BA691" i="6"/>
  <c r="AY691" i="6"/>
  <c r="AX691" i="6"/>
  <c r="AW691" i="6"/>
  <c r="AV691" i="6"/>
  <c r="AT691" i="6"/>
  <c r="AS691" i="6"/>
  <c r="AR691" i="6"/>
  <c r="AQ691" i="6"/>
  <c r="AO691" i="6"/>
  <c r="AN691" i="6"/>
  <c r="AM691" i="6"/>
  <c r="AL691" i="6"/>
  <c r="AJ691" i="6"/>
  <c r="AI691" i="6"/>
  <c r="AH691" i="6"/>
  <c r="AG691" i="6"/>
  <c r="AE691" i="6"/>
  <c r="AD691" i="6"/>
  <c r="AC691" i="6"/>
  <c r="AB691" i="6"/>
  <c r="Z691" i="6"/>
  <c r="Y691" i="6"/>
  <c r="X691" i="6"/>
  <c r="W691" i="6"/>
  <c r="U691" i="6"/>
  <c r="T691" i="6"/>
  <c r="S691" i="6"/>
  <c r="R691" i="6"/>
  <c r="P691" i="6"/>
  <c r="O691" i="6"/>
  <c r="N691" i="6"/>
  <c r="K691" i="6"/>
  <c r="J691" i="6"/>
  <c r="I691" i="6"/>
  <c r="H691" i="6"/>
  <c r="CA690" i="6"/>
  <c r="BZ690" i="6"/>
  <c r="BX690" i="6"/>
  <c r="BW690" i="6"/>
  <c r="BV690" i="6"/>
  <c r="BU690" i="6"/>
  <c r="BT690" i="6"/>
  <c r="BS690" i="6"/>
  <c r="BR690" i="6"/>
  <c r="BQ690" i="6"/>
  <c r="BP690" i="6"/>
  <c r="BO690" i="6"/>
  <c r="BN690" i="6"/>
  <c r="BM690" i="6"/>
  <c r="BL690" i="6"/>
  <c r="BK690" i="6"/>
  <c r="BJ690" i="6"/>
  <c r="BI690" i="6"/>
  <c r="BH690" i="6"/>
  <c r="BG690" i="6"/>
  <c r="BF690" i="6"/>
  <c r="BE690" i="6"/>
  <c r="BD690" i="6"/>
  <c r="BC690" i="6"/>
  <c r="BB690" i="6"/>
  <c r="BA690" i="6"/>
  <c r="AZ690" i="6"/>
  <c r="AY690" i="6"/>
  <c r="AX690" i="6"/>
  <c r="AW690" i="6"/>
  <c r="AV690" i="6"/>
  <c r="AU690" i="6"/>
  <c r="AT690" i="6"/>
  <c r="AS690" i="6"/>
  <c r="AR690" i="6"/>
  <c r="AQ690" i="6"/>
  <c r="AP690" i="6"/>
  <c r="AO690" i="6"/>
  <c r="AN690" i="6"/>
  <c r="AM690" i="6"/>
  <c r="AL690" i="6"/>
  <c r="AK690" i="6"/>
  <c r="AJ690" i="6"/>
  <c r="AI690" i="6"/>
  <c r="AH690" i="6"/>
  <c r="AG690" i="6"/>
  <c r="AF690" i="6"/>
  <c r="AE690" i="6"/>
  <c r="AD690" i="6"/>
  <c r="AC690" i="6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BX689" i="6"/>
  <c r="BW689" i="6"/>
  <c r="BV689" i="6"/>
  <c r="BU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X688" i="6"/>
  <c r="BW688" i="6"/>
  <c r="BV688" i="6"/>
  <c r="BU688" i="6"/>
  <c r="BS688" i="6"/>
  <c r="BR688" i="6"/>
  <c r="BQ688" i="6"/>
  <c r="BP688" i="6"/>
  <c r="BN688" i="6"/>
  <c r="BM688" i="6"/>
  <c r="BL688" i="6"/>
  <c r="BK688" i="6"/>
  <c r="BI688" i="6"/>
  <c r="BH688" i="6"/>
  <c r="BG688" i="6"/>
  <c r="BF688" i="6"/>
  <c r="BD688" i="6"/>
  <c r="BC688" i="6"/>
  <c r="BB688" i="6"/>
  <c r="BA688" i="6"/>
  <c r="AY688" i="6"/>
  <c r="AX688" i="6"/>
  <c r="AW688" i="6"/>
  <c r="AV688" i="6"/>
  <c r="AT688" i="6"/>
  <c r="AS688" i="6"/>
  <c r="AR688" i="6"/>
  <c r="AQ688" i="6"/>
  <c r="AO688" i="6"/>
  <c r="AN688" i="6"/>
  <c r="AM688" i="6"/>
  <c r="AL688" i="6"/>
  <c r="AJ688" i="6"/>
  <c r="AI688" i="6"/>
  <c r="AH688" i="6"/>
  <c r="AG688" i="6"/>
  <c r="AE688" i="6"/>
  <c r="AD688" i="6"/>
  <c r="AC688" i="6"/>
  <c r="AB688" i="6"/>
  <c r="Z688" i="6"/>
  <c r="Y688" i="6"/>
  <c r="X688" i="6"/>
  <c r="W688" i="6"/>
  <c r="U688" i="6"/>
  <c r="T688" i="6"/>
  <c r="S688" i="6"/>
  <c r="R688" i="6"/>
  <c r="P688" i="6"/>
  <c r="O688" i="6"/>
  <c r="N688" i="6"/>
  <c r="M688" i="6"/>
  <c r="K688" i="6"/>
  <c r="J688" i="6"/>
  <c r="I688" i="6"/>
  <c r="H688" i="6"/>
  <c r="CA687" i="6"/>
  <c r="BZ687" i="6"/>
  <c r="BX687" i="6"/>
  <c r="BW687" i="6"/>
  <c r="BV687" i="6"/>
  <c r="BU687" i="6"/>
  <c r="BT687" i="6"/>
  <c r="BS687" i="6"/>
  <c r="BR687" i="6"/>
  <c r="BQ687" i="6"/>
  <c r="BP687" i="6"/>
  <c r="BO687" i="6"/>
  <c r="BN687" i="6"/>
  <c r="BM687" i="6"/>
  <c r="BL687" i="6"/>
  <c r="BK687" i="6"/>
  <c r="BJ687" i="6"/>
  <c r="BI687" i="6"/>
  <c r="BH687" i="6"/>
  <c r="BG687" i="6"/>
  <c r="BF687" i="6"/>
  <c r="BE687" i="6"/>
  <c r="BD687" i="6"/>
  <c r="BC687" i="6"/>
  <c r="BB687" i="6"/>
  <c r="BA687" i="6"/>
  <c r="AZ687" i="6"/>
  <c r="AY687" i="6"/>
  <c r="AX687" i="6"/>
  <c r="AW687" i="6"/>
  <c r="AV687" i="6"/>
  <c r="AU687" i="6"/>
  <c r="AT687" i="6"/>
  <c r="AS687" i="6"/>
  <c r="AR687" i="6"/>
  <c r="AQ687" i="6"/>
  <c r="AP687" i="6"/>
  <c r="AO687" i="6"/>
  <c r="AN687" i="6"/>
  <c r="AM687" i="6"/>
  <c r="AL687" i="6"/>
  <c r="AK687" i="6"/>
  <c r="AJ687" i="6"/>
  <c r="AI687" i="6"/>
  <c r="AH687" i="6"/>
  <c r="AG687" i="6"/>
  <c r="AF687" i="6"/>
  <c r="AE687" i="6"/>
  <c r="AD687" i="6"/>
  <c r="AC687" i="6"/>
  <c r="AB687" i="6"/>
  <c r="AA687" i="6"/>
  <c r="Z687" i="6"/>
  <c r="Y687" i="6"/>
  <c r="X687" i="6"/>
  <c r="W687" i="6"/>
  <c r="V687" i="6"/>
  <c r="U687" i="6"/>
  <c r="T687" i="6"/>
  <c r="S687" i="6"/>
  <c r="R687" i="6"/>
  <c r="Q687" i="6"/>
  <c r="P687" i="6"/>
  <c r="O687" i="6"/>
  <c r="N687" i="6"/>
  <c r="M687" i="6"/>
  <c r="L687" i="6"/>
  <c r="K687" i="6"/>
  <c r="J687" i="6"/>
  <c r="I687" i="6"/>
  <c r="H687" i="6"/>
  <c r="G687" i="6"/>
  <c r="BX686" i="6"/>
  <c r="BW686" i="6"/>
  <c r="BV686" i="6"/>
  <c r="BU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X685" i="6"/>
  <c r="BW685" i="6"/>
  <c r="BV685" i="6"/>
  <c r="BU685" i="6"/>
  <c r="BS685" i="6"/>
  <c r="BR685" i="6"/>
  <c r="BQ685" i="6"/>
  <c r="BP685" i="6"/>
  <c r="BN685" i="6"/>
  <c r="BM685" i="6"/>
  <c r="BL685" i="6"/>
  <c r="BK685" i="6"/>
  <c r="BI685" i="6"/>
  <c r="BH685" i="6"/>
  <c r="BG685" i="6"/>
  <c r="BF685" i="6"/>
  <c r="BD685" i="6"/>
  <c r="BC685" i="6"/>
  <c r="BB685" i="6"/>
  <c r="BA685" i="6"/>
  <c r="AY685" i="6"/>
  <c r="AX685" i="6"/>
  <c r="AW685" i="6"/>
  <c r="AV685" i="6"/>
  <c r="AT685" i="6"/>
  <c r="AS685" i="6"/>
  <c r="AR685" i="6"/>
  <c r="AQ685" i="6"/>
  <c r="AO685" i="6"/>
  <c r="AN685" i="6"/>
  <c r="AM685" i="6"/>
  <c r="AL685" i="6"/>
  <c r="AJ685" i="6"/>
  <c r="AI685" i="6"/>
  <c r="AH685" i="6"/>
  <c r="AG685" i="6"/>
  <c r="AE685" i="6"/>
  <c r="AD685" i="6"/>
  <c r="AC685" i="6"/>
  <c r="AB685" i="6"/>
  <c r="Z685" i="6"/>
  <c r="Y685" i="6"/>
  <c r="X685" i="6"/>
  <c r="W685" i="6"/>
  <c r="U685" i="6"/>
  <c r="T685" i="6"/>
  <c r="S685" i="6"/>
  <c r="R685" i="6"/>
  <c r="P685" i="6"/>
  <c r="O685" i="6"/>
  <c r="N685" i="6"/>
  <c r="M685" i="6"/>
  <c r="K685" i="6"/>
  <c r="J685" i="6"/>
  <c r="I685" i="6"/>
  <c r="H685" i="6"/>
  <c r="CA684" i="6"/>
  <c r="BZ684" i="6"/>
  <c r="BX684" i="6"/>
  <c r="BW684" i="6"/>
  <c r="BV684" i="6"/>
  <c r="BU684" i="6"/>
  <c r="BT684" i="6"/>
  <c r="BS684" i="6"/>
  <c r="BR684" i="6"/>
  <c r="BQ684" i="6"/>
  <c r="BP684" i="6"/>
  <c r="BO684" i="6"/>
  <c r="BN684" i="6"/>
  <c r="BM684" i="6"/>
  <c r="BL684" i="6"/>
  <c r="BK684" i="6"/>
  <c r="BJ684" i="6"/>
  <c r="BI684" i="6"/>
  <c r="BH684" i="6"/>
  <c r="BG684" i="6"/>
  <c r="BF684" i="6"/>
  <c r="BE684" i="6"/>
  <c r="BD684" i="6"/>
  <c r="BC684" i="6"/>
  <c r="BB684" i="6"/>
  <c r="BA684" i="6"/>
  <c r="AZ684" i="6"/>
  <c r="AY684" i="6"/>
  <c r="AX684" i="6"/>
  <c r="AW684" i="6"/>
  <c r="AV684" i="6"/>
  <c r="AU684" i="6"/>
  <c r="AT684" i="6"/>
  <c r="AS684" i="6"/>
  <c r="AR684" i="6"/>
  <c r="AQ684" i="6"/>
  <c r="AP684" i="6"/>
  <c r="AO684" i="6"/>
  <c r="AN684" i="6"/>
  <c r="AM684" i="6"/>
  <c r="AL684" i="6"/>
  <c r="AK684" i="6"/>
  <c r="AJ684" i="6"/>
  <c r="AI684" i="6"/>
  <c r="AH684" i="6"/>
  <c r="AG684" i="6"/>
  <c r="AF684" i="6"/>
  <c r="AE684" i="6"/>
  <c r="AD684" i="6"/>
  <c r="AC684" i="6"/>
  <c r="AB684" i="6"/>
  <c r="AA684" i="6"/>
  <c r="Z684" i="6"/>
  <c r="Y684" i="6"/>
  <c r="X684" i="6"/>
  <c r="W684" i="6"/>
  <c r="V684" i="6"/>
  <c r="U684" i="6"/>
  <c r="T684" i="6"/>
  <c r="S684" i="6"/>
  <c r="R684" i="6"/>
  <c r="Q684" i="6"/>
  <c r="P684" i="6"/>
  <c r="O684" i="6"/>
  <c r="N684" i="6"/>
  <c r="M684" i="6"/>
  <c r="L684" i="6"/>
  <c r="K684" i="6"/>
  <c r="J684" i="6"/>
  <c r="I684" i="6"/>
  <c r="H684" i="6"/>
  <c r="G684" i="6"/>
  <c r="BX683" i="6"/>
  <c r="BW683" i="6"/>
  <c r="BV683" i="6"/>
  <c r="BU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X682" i="6"/>
  <c r="BW682" i="6"/>
  <c r="BV682" i="6"/>
  <c r="BU682" i="6"/>
  <c r="BS682" i="6"/>
  <c r="BR682" i="6"/>
  <c r="BQ682" i="6"/>
  <c r="BP682" i="6"/>
  <c r="BN682" i="6"/>
  <c r="BM682" i="6"/>
  <c r="BL682" i="6"/>
  <c r="BK682" i="6"/>
  <c r="BI682" i="6"/>
  <c r="BH682" i="6"/>
  <c r="BG682" i="6"/>
  <c r="BF682" i="6"/>
  <c r="BD682" i="6"/>
  <c r="BC682" i="6"/>
  <c r="BB682" i="6"/>
  <c r="BA682" i="6"/>
  <c r="AY682" i="6"/>
  <c r="AX682" i="6"/>
  <c r="AW682" i="6"/>
  <c r="AV682" i="6"/>
  <c r="AT682" i="6"/>
  <c r="AS682" i="6"/>
  <c r="AR682" i="6"/>
  <c r="AQ682" i="6"/>
  <c r="AO682" i="6"/>
  <c r="AN682" i="6"/>
  <c r="AM682" i="6"/>
  <c r="AL682" i="6"/>
  <c r="AJ682" i="6"/>
  <c r="AI682" i="6"/>
  <c r="AH682" i="6"/>
  <c r="AG682" i="6"/>
  <c r="AE682" i="6"/>
  <c r="AD682" i="6"/>
  <c r="AC682" i="6"/>
  <c r="AB682" i="6"/>
  <c r="Z682" i="6"/>
  <c r="Y682" i="6"/>
  <c r="X682" i="6"/>
  <c r="W682" i="6"/>
  <c r="U682" i="6"/>
  <c r="T682" i="6"/>
  <c r="S682" i="6"/>
  <c r="R682" i="6"/>
  <c r="P682" i="6"/>
  <c r="O682" i="6"/>
  <c r="N682" i="6"/>
  <c r="M682" i="6"/>
  <c r="K682" i="6"/>
  <c r="J682" i="6"/>
  <c r="I682" i="6"/>
  <c r="H682" i="6"/>
  <c r="CA681" i="6"/>
  <c r="BZ681" i="6"/>
  <c r="BX681" i="6"/>
  <c r="BW681" i="6"/>
  <c r="BV681" i="6"/>
  <c r="BU681" i="6"/>
  <c r="BT681" i="6"/>
  <c r="BS681" i="6"/>
  <c r="BR681" i="6"/>
  <c r="BQ681" i="6"/>
  <c r="BP681" i="6"/>
  <c r="BO681" i="6"/>
  <c r="BN681" i="6"/>
  <c r="BM681" i="6"/>
  <c r="BL681" i="6"/>
  <c r="BK681" i="6"/>
  <c r="BJ681" i="6"/>
  <c r="BI681" i="6"/>
  <c r="BH681" i="6"/>
  <c r="BG681" i="6"/>
  <c r="BF681" i="6"/>
  <c r="BE681" i="6"/>
  <c r="BD681" i="6"/>
  <c r="BC681" i="6"/>
  <c r="BB681" i="6"/>
  <c r="BA681" i="6"/>
  <c r="AZ681" i="6"/>
  <c r="AY681" i="6"/>
  <c r="AX681" i="6"/>
  <c r="AW681" i="6"/>
  <c r="AV681" i="6"/>
  <c r="AU681" i="6"/>
  <c r="AT681" i="6"/>
  <c r="AS681" i="6"/>
  <c r="AR681" i="6"/>
  <c r="AQ681" i="6"/>
  <c r="AP681" i="6"/>
  <c r="AO681" i="6"/>
  <c r="AN681" i="6"/>
  <c r="AM681" i="6"/>
  <c r="AL681" i="6"/>
  <c r="AK681" i="6"/>
  <c r="AJ681" i="6"/>
  <c r="AI681" i="6"/>
  <c r="AH681" i="6"/>
  <c r="AG681" i="6"/>
  <c r="AF681" i="6"/>
  <c r="AE681" i="6"/>
  <c r="AD681" i="6"/>
  <c r="AC681" i="6"/>
  <c r="AB681" i="6"/>
  <c r="AA681" i="6"/>
  <c r="Z681" i="6"/>
  <c r="Y681" i="6"/>
  <c r="X681" i="6"/>
  <c r="W681" i="6"/>
  <c r="V681" i="6"/>
  <c r="U681" i="6"/>
  <c r="T681" i="6"/>
  <c r="S681" i="6"/>
  <c r="R681" i="6"/>
  <c r="Q681" i="6"/>
  <c r="P681" i="6"/>
  <c r="O681" i="6"/>
  <c r="N681" i="6"/>
  <c r="M681" i="6"/>
  <c r="L681" i="6"/>
  <c r="K681" i="6"/>
  <c r="J681" i="6"/>
  <c r="I681" i="6"/>
  <c r="H681" i="6"/>
  <c r="G681" i="6"/>
  <c r="BX680" i="6"/>
  <c r="BW680" i="6"/>
  <c r="BV680" i="6"/>
  <c r="BU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X679" i="6"/>
  <c r="BW679" i="6"/>
  <c r="BV679" i="6"/>
  <c r="BU679" i="6"/>
  <c r="BS679" i="6"/>
  <c r="BR679" i="6"/>
  <c r="BQ679" i="6"/>
  <c r="BP679" i="6"/>
  <c r="BN679" i="6"/>
  <c r="BM679" i="6"/>
  <c r="BL679" i="6"/>
  <c r="BK679" i="6"/>
  <c r="BI679" i="6"/>
  <c r="BH679" i="6"/>
  <c r="BG679" i="6"/>
  <c r="BF679" i="6"/>
  <c r="BD679" i="6"/>
  <c r="BC679" i="6"/>
  <c r="BB679" i="6"/>
  <c r="BA679" i="6"/>
  <c r="AY679" i="6"/>
  <c r="AX679" i="6"/>
  <c r="AW679" i="6"/>
  <c r="AV679" i="6"/>
  <c r="AT679" i="6"/>
  <c r="AS679" i="6"/>
  <c r="AR679" i="6"/>
  <c r="AQ679" i="6"/>
  <c r="AO679" i="6"/>
  <c r="AN679" i="6"/>
  <c r="AM679" i="6"/>
  <c r="AL679" i="6"/>
  <c r="AJ679" i="6"/>
  <c r="AI679" i="6"/>
  <c r="AH679" i="6"/>
  <c r="AG679" i="6"/>
  <c r="AE679" i="6"/>
  <c r="AD679" i="6"/>
  <c r="AC679" i="6"/>
  <c r="AB679" i="6"/>
  <c r="Z679" i="6"/>
  <c r="Y679" i="6"/>
  <c r="X679" i="6"/>
  <c r="W679" i="6"/>
  <c r="U679" i="6"/>
  <c r="T679" i="6"/>
  <c r="S679" i="6"/>
  <c r="R679" i="6"/>
  <c r="P679" i="6"/>
  <c r="O679" i="6"/>
  <c r="N679" i="6"/>
  <c r="M679" i="6"/>
  <c r="K679" i="6"/>
  <c r="J679" i="6"/>
  <c r="I679" i="6"/>
  <c r="H679" i="6"/>
  <c r="CA678" i="6"/>
  <c r="BZ678" i="6"/>
  <c r="BX678" i="6"/>
  <c r="BW678" i="6"/>
  <c r="BV678" i="6"/>
  <c r="BU678" i="6"/>
  <c r="BS678" i="6"/>
  <c r="BR678" i="6"/>
  <c r="BQ678" i="6"/>
  <c r="BP678" i="6"/>
  <c r="BO678" i="6"/>
  <c r="BN678" i="6"/>
  <c r="BM678" i="6"/>
  <c r="BL678" i="6"/>
  <c r="BK678" i="6"/>
  <c r="BJ678" i="6"/>
  <c r="BI678" i="6"/>
  <c r="BH678" i="6"/>
  <c r="BG678" i="6"/>
  <c r="BF678" i="6"/>
  <c r="BE678" i="6"/>
  <c r="BD678" i="6"/>
  <c r="BC678" i="6"/>
  <c r="BB678" i="6"/>
  <c r="BA678" i="6"/>
  <c r="AZ678" i="6"/>
  <c r="AY678" i="6"/>
  <c r="AX678" i="6"/>
  <c r="AW678" i="6"/>
  <c r="AV678" i="6"/>
  <c r="AU678" i="6"/>
  <c r="AT678" i="6"/>
  <c r="AS678" i="6"/>
  <c r="AR678" i="6"/>
  <c r="AQ678" i="6"/>
  <c r="AP678" i="6"/>
  <c r="AO678" i="6"/>
  <c r="AN678" i="6"/>
  <c r="AM678" i="6"/>
  <c r="AL678" i="6"/>
  <c r="AK678" i="6"/>
  <c r="AJ678" i="6"/>
  <c r="AI678" i="6"/>
  <c r="AH678" i="6"/>
  <c r="AG678" i="6"/>
  <c r="AF678" i="6"/>
  <c r="AE678" i="6"/>
  <c r="AD678" i="6"/>
  <c r="AC678" i="6"/>
  <c r="AB678" i="6"/>
  <c r="AA678" i="6"/>
  <c r="Z678" i="6"/>
  <c r="Y678" i="6"/>
  <c r="X678" i="6"/>
  <c r="W678" i="6"/>
  <c r="V678" i="6"/>
  <c r="U678" i="6"/>
  <c r="T678" i="6"/>
  <c r="S678" i="6"/>
  <c r="R678" i="6"/>
  <c r="Q678" i="6"/>
  <c r="P678" i="6"/>
  <c r="O678" i="6"/>
  <c r="N678" i="6"/>
  <c r="M678" i="6"/>
  <c r="L678" i="6"/>
  <c r="K678" i="6"/>
  <c r="J678" i="6"/>
  <c r="I678" i="6"/>
  <c r="H678" i="6"/>
  <c r="G678" i="6"/>
  <c r="BX677" i="6"/>
  <c r="BW677" i="6"/>
  <c r="BV677" i="6"/>
  <c r="BU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X676" i="6"/>
  <c r="BW676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X675" i="6"/>
  <c r="BW675" i="6"/>
  <c r="BV675" i="6"/>
  <c r="BU675" i="6"/>
  <c r="BT675" i="6"/>
  <c r="BS675" i="6"/>
  <c r="BR675" i="6"/>
  <c r="BQ675" i="6"/>
  <c r="BP675" i="6"/>
  <c r="BO675" i="6"/>
  <c r="BN675" i="6"/>
  <c r="BM675" i="6"/>
  <c r="BL675" i="6"/>
  <c r="BK675" i="6"/>
  <c r="BJ675" i="6"/>
  <c r="BI675" i="6"/>
  <c r="BH675" i="6"/>
  <c r="BG675" i="6"/>
  <c r="BF675" i="6"/>
  <c r="BE675" i="6"/>
  <c r="BD675" i="6"/>
  <c r="BC675" i="6"/>
  <c r="BB675" i="6"/>
  <c r="BA675" i="6"/>
  <c r="AZ675" i="6"/>
  <c r="AY675" i="6"/>
  <c r="AX675" i="6"/>
  <c r="AW675" i="6"/>
  <c r="AV675" i="6"/>
  <c r="AU675" i="6"/>
  <c r="AT675" i="6"/>
  <c r="AS675" i="6"/>
  <c r="AR675" i="6"/>
  <c r="AQ675" i="6"/>
  <c r="AP675" i="6"/>
  <c r="AO675" i="6"/>
  <c r="AN675" i="6"/>
  <c r="AM675" i="6"/>
  <c r="AL675" i="6"/>
  <c r="AK675" i="6"/>
  <c r="AJ675" i="6"/>
  <c r="AI675" i="6"/>
  <c r="AH675" i="6"/>
  <c r="AG675" i="6"/>
  <c r="AF675" i="6"/>
  <c r="AE675" i="6"/>
  <c r="AD675" i="6"/>
  <c r="AC675" i="6"/>
  <c r="AB675" i="6"/>
  <c r="AA675" i="6"/>
  <c r="Z675" i="6"/>
  <c r="Y675" i="6"/>
  <c r="X675" i="6"/>
  <c r="W675" i="6"/>
  <c r="V675" i="6"/>
  <c r="U675" i="6"/>
  <c r="T675" i="6"/>
  <c r="S675" i="6"/>
  <c r="R675" i="6"/>
  <c r="Q675" i="6"/>
  <c r="P675" i="6"/>
  <c r="O675" i="6"/>
  <c r="N675" i="6"/>
  <c r="M675" i="6"/>
  <c r="L675" i="6"/>
  <c r="K675" i="6"/>
  <c r="J675" i="6"/>
  <c r="I675" i="6"/>
  <c r="H675" i="6"/>
  <c r="G675" i="6"/>
  <c r="BX674" i="6"/>
  <c r="BW674" i="6"/>
  <c r="BV674" i="6"/>
  <c r="BU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X673" i="6"/>
  <c r="BW673" i="6"/>
  <c r="BV673" i="6"/>
  <c r="BU673" i="6"/>
  <c r="BS673" i="6"/>
  <c r="BR673" i="6"/>
  <c r="BQ673" i="6"/>
  <c r="BP673" i="6"/>
  <c r="BN673" i="6"/>
  <c r="BM673" i="6"/>
  <c r="BL673" i="6"/>
  <c r="BK673" i="6"/>
  <c r="BI673" i="6"/>
  <c r="BH673" i="6"/>
  <c r="BG673" i="6"/>
  <c r="BF673" i="6"/>
  <c r="BD673" i="6"/>
  <c r="BC673" i="6"/>
  <c r="BB673" i="6"/>
  <c r="BA673" i="6"/>
  <c r="AY673" i="6"/>
  <c r="AX673" i="6"/>
  <c r="AW673" i="6"/>
  <c r="AV673" i="6"/>
  <c r="AT673" i="6"/>
  <c r="AS673" i="6"/>
  <c r="AR673" i="6"/>
  <c r="AQ673" i="6"/>
  <c r="AO673" i="6"/>
  <c r="AN673" i="6"/>
  <c r="AM673" i="6"/>
  <c r="AL673" i="6"/>
  <c r="AJ673" i="6"/>
  <c r="AI673" i="6"/>
  <c r="AH673" i="6"/>
  <c r="AG673" i="6"/>
  <c r="AE673" i="6"/>
  <c r="AD673" i="6"/>
  <c r="AC673" i="6"/>
  <c r="AB673" i="6"/>
  <c r="Z673" i="6"/>
  <c r="Y673" i="6"/>
  <c r="X673" i="6"/>
  <c r="W673" i="6"/>
  <c r="U673" i="6"/>
  <c r="T673" i="6"/>
  <c r="S673" i="6"/>
  <c r="R673" i="6"/>
  <c r="P673" i="6"/>
  <c r="O673" i="6"/>
  <c r="N673" i="6"/>
  <c r="M673" i="6"/>
  <c r="K673" i="6"/>
  <c r="J673" i="6"/>
  <c r="I673" i="6"/>
  <c r="H673" i="6"/>
  <c r="CA672" i="6"/>
  <c r="BZ672" i="6"/>
  <c r="BX672" i="6"/>
  <c r="BW672" i="6"/>
  <c r="BV672" i="6"/>
  <c r="BU672" i="6"/>
  <c r="BT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X671" i="6"/>
  <c r="BW671" i="6"/>
  <c r="BV671" i="6"/>
  <c r="BU671" i="6"/>
  <c r="BS671" i="6"/>
  <c r="BR671" i="6"/>
  <c r="BQ671" i="6"/>
  <c r="BP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J671" i="6"/>
  <c r="AI671" i="6"/>
  <c r="AH671" i="6"/>
  <c r="AG671" i="6"/>
  <c r="AE671" i="6"/>
  <c r="AD671" i="6"/>
  <c r="AC671" i="6"/>
  <c r="AB671" i="6"/>
  <c r="Z671" i="6"/>
  <c r="Y671" i="6"/>
  <c r="X671" i="6"/>
  <c r="W671" i="6"/>
  <c r="U671" i="6"/>
  <c r="T671" i="6"/>
  <c r="S671" i="6"/>
  <c r="R671" i="6"/>
  <c r="P671" i="6"/>
  <c r="O671" i="6"/>
  <c r="N671" i="6"/>
  <c r="M671" i="6"/>
  <c r="K671" i="6"/>
  <c r="J671" i="6"/>
  <c r="I671" i="6"/>
  <c r="H671" i="6"/>
  <c r="BX670" i="6"/>
  <c r="BW670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CA669" i="6"/>
  <c r="BZ669" i="6"/>
  <c r="BX669" i="6"/>
  <c r="BW669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X668" i="6"/>
  <c r="BW668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X667" i="6"/>
  <c r="BW667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X666" i="6"/>
  <c r="BW666" i="6"/>
  <c r="BV666" i="6"/>
  <c r="BU666" i="6"/>
  <c r="BS666" i="6"/>
  <c r="BR666" i="6"/>
  <c r="BQ666" i="6"/>
  <c r="BP666" i="6"/>
  <c r="BO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Z666" i="6"/>
  <c r="AY666" i="6"/>
  <c r="AX666" i="6"/>
  <c r="AW666" i="6"/>
  <c r="AV666" i="6"/>
  <c r="AU666" i="6"/>
  <c r="AT666" i="6"/>
  <c r="AS666" i="6"/>
  <c r="AR666" i="6"/>
  <c r="AQ666" i="6"/>
  <c r="AO666" i="6"/>
  <c r="AN666" i="6"/>
  <c r="AM666" i="6"/>
  <c r="AL666" i="6"/>
  <c r="AK666" i="6"/>
  <c r="AJ666" i="6"/>
  <c r="AI666" i="6"/>
  <c r="AH666" i="6"/>
  <c r="AG666" i="6"/>
  <c r="AE666" i="6"/>
  <c r="AD666" i="6"/>
  <c r="AC666" i="6"/>
  <c r="AB666" i="6"/>
  <c r="AA666" i="6"/>
  <c r="Z666" i="6"/>
  <c r="Y666" i="6"/>
  <c r="X666" i="6"/>
  <c r="W666" i="6"/>
  <c r="U666" i="6"/>
  <c r="T666" i="6"/>
  <c r="S666" i="6"/>
  <c r="R666" i="6"/>
  <c r="Q666" i="6"/>
  <c r="P666" i="6"/>
  <c r="O666" i="6"/>
  <c r="N666" i="6"/>
  <c r="M666" i="6"/>
  <c r="K666" i="6"/>
  <c r="J666" i="6"/>
  <c r="I666" i="6"/>
  <c r="H666" i="6"/>
  <c r="G666" i="6"/>
  <c r="BX665" i="6"/>
  <c r="BW665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CA664" i="6"/>
  <c r="BZ664" i="6"/>
  <c r="BX664" i="6"/>
  <c r="BW664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X663" i="6"/>
  <c r="BW663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X662" i="6"/>
  <c r="BW662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X661" i="6"/>
  <c r="BW661" i="6"/>
  <c r="BV661" i="6"/>
  <c r="BU661" i="6"/>
  <c r="BS661" i="6"/>
  <c r="BR661" i="6"/>
  <c r="BQ661" i="6"/>
  <c r="BP661" i="6"/>
  <c r="BN661" i="6"/>
  <c r="BM661" i="6"/>
  <c r="BL661" i="6"/>
  <c r="BK661" i="6"/>
  <c r="BI661" i="6"/>
  <c r="BH661" i="6"/>
  <c r="BG661" i="6"/>
  <c r="BF661" i="6"/>
  <c r="BD661" i="6"/>
  <c r="BC661" i="6"/>
  <c r="BB661" i="6"/>
  <c r="BA661" i="6"/>
  <c r="AY661" i="6"/>
  <c r="AX661" i="6"/>
  <c r="AW661" i="6"/>
  <c r="AV661" i="6"/>
  <c r="AT661" i="6"/>
  <c r="AS661" i="6"/>
  <c r="AR661" i="6"/>
  <c r="AQ661" i="6"/>
  <c r="AO661" i="6"/>
  <c r="AN661" i="6"/>
  <c r="AM661" i="6"/>
  <c r="AL661" i="6"/>
  <c r="AJ661" i="6"/>
  <c r="AI661" i="6"/>
  <c r="AH661" i="6"/>
  <c r="AG661" i="6"/>
  <c r="AE661" i="6"/>
  <c r="AD661" i="6"/>
  <c r="AC661" i="6"/>
  <c r="AB661" i="6"/>
  <c r="Z661" i="6"/>
  <c r="Y661" i="6"/>
  <c r="X661" i="6"/>
  <c r="W661" i="6"/>
  <c r="U661" i="6"/>
  <c r="T661" i="6"/>
  <c r="S661" i="6"/>
  <c r="R661" i="6"/>
  <c r="P661" i="6"/>
  <c r="O661" i="6"/>
  <c r="N661" i="6"/>
  <c r="M661" i="6"/>
  <c r="K661" i="6"/>
  <c r="J661" i="6"/>
  <c r="I661" i="6"/>
  <c r="H661" i="6"/>
  <c r="G661" i="6"/>
  <c r="BX660" i="6"/>
  <c r="BW660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CA659" i="6"/>
  <c r="BZ659" i="6"/>
  <c r="BX659" i="6"/>
  <c r="BW659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BX658" i="6"/>
  <c r="BW658" i="6"/>
  <c r="BV658" i="6"/>
  <c r="BU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X657" i="6"/>
  <c r="BW657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X656" i="6"/>
  <c r="BW656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X655" i="6"/>
  <c r="BW655" i="6"/>
  <c r="BV655" i="6"/>
  <c r="BU655" i="6"/>
  <c r="BS655" i="6"/>
  <c r="BR655" i="6"/>
  <c r="BQ655" i="6"/>
  <c r="BP655" i="6"/>
  <c r="BN655" i="6"/>
  <c r="BM655" i="6"/>
  <c r="BL655" i="6"/>
  <c r="BK655" i="6"/>
  <c r="BI655" i="6"/>
  <c r="BH655" i="6"/>
  <c r="BG655" i="6"/>
  <c r="BF655" i="6"/>
  <c r="BD655" i="6"/>
  <c r="BC655" i="6"/>
  <c r="BB655" i="6"/>
  <c r="BA655" i="6"/>
  <c r="AY655" i="6"/>
  <c r="AX655" i="6"/>
  <c r="AW655" i="6"/>
  <c r="AV655" i="6"/>
  <c r="AT655" i="6"/>
  <c r="AS655" i="6"/>
  <c r="AR655" i="6"/>
  <c r="AQ655" i="6"/>
  <c r="AO655" i="6"/>
  <c r="AN655" i="6"/>
  <c r="AM655" i="6"/>
  <c r="AL655" i="6"/>
  <c r="AJ655" i="6"/>
  <c r="AI655" i="6"/>
  <c r="AH655" i="6"/>
  <c r="AG655" i="6"/>
  <c r="AE655" i="6"/>
  <c r="AD655" i="6"/>
  <c r="AC655" i="6"/>
  <c r="AB655" i="6"/>
  <c r="Z655" i="6"/>
  <c r="Y655" i="6"/>
  <c r="X655" i="6"/>
  <c r="W655" i="6"/>
  <c r="U655" i="6"/>
  <c r="T655" i="6"/>
  <c r="S655" i="6"/>
  <c r="R655" i="6"/>
  <c r="P655" i="6"/>
  <c r="O655" i="6"/>
  <c r="N655" i="6"/>
  <c r="M655" i="6"/>
  <c r="K655" i="6"/>
  <c r="J655" i="6"/>
  <c r="I655" i="6"/>
  <c r="H655" i="6"/>
  <c r="CA654" i="6"/>
  <c r="BZ654" i="6"/>
  <c r="BX654" i="6"/>
  <c r="BW654" i="6"/>
  <c r="BV654" i="6"/>
  <c r="BU654" i="6"/>
  <c r="BT654" i="6"/>
  <c r="BS654" i="6"/>
  <c r="BR654" i="6"/>
  <c r="BQ654" i="6"/>
  <c r="BP654" i="6"/>
  <c r="BO654" i="6"/>
  <c r="BN654" i="6"/>
  <c r="BM654" i="6"/>
  <c r="BL654" i="6"/>
  <c r="BK654" i="6"/>
  <c r="BJ654" i="6"/>
  <c r="BI654" i="6"/>
  <c r="BH654" i="6"/>
  <c r="BG654" i="6"/>
  <c r="BF654" i="6"/>
  <c r="BE654" i="6"/>
  <c r="BD654" i="6"/>
  <c r="BC654" i="6"/>
  <c r="BB654" i="6"/>
  <c r="BA654" i="6"/>
  <c r="AZ654" i="6"/>
  <c r="AY654" i="6"/>
  <c r="AX654" i="6"/>
  <c r="AW654" i="6"/>
  <c r="AV654" i="6"/>
  <c r="AU654" i="6"/>
  <c r="AT654" i="6"/>
  <c r="AS654" i="6"/>
  <c r="AR654" i="6"/>
  <c r="AQ654" i="6"/>
  <c r="AP654" i="6"/>
  <c r="AO654" i="6"/>
  <c r="AN654" i="6"/>
  <c r="AM654" i="6"/>
  <c r="AL654" i="6"/>
  <c r="AK654" i="6"/>
  <c r="AJ654" i="6"/>
  <c r="AI654" i="6"/>
  <c r="AH654" i="6"/>
  <c r="AG654" i="6"/>
  <c r="AF654" i="6"/>
  <c r="AE654" i="6"/>
  <c r="AD654" i="6"/>
  <c r="AC654" i="6"/>
  <c r="AB654" i="6"/>
  <c r="AA654" i="6"/>
  <c r="Z654" i="6"/>
  <c r="Y654" i="6"/>
  <c r="X654" i="6"/>
  <c r="W654" i="6"/>
  <c r="V654" i="6"/>
  <c r="U654" i="6"/>
  <c r="T654" i="6"/>
  <c r="S654" i="6"/>
  <c r="R654" i="6"/>
  <c r="Q654" i="6"/>
  <c r="P654" i="6"/>
  <c r="O654" i="6"/>
  <c r="N654" i="6"/>
  <c r="M654" i="6"/>
  <c r="L654" i="6"/>
  <c r="K654" i="6"/>
  <c r="J654" i="6"/>
  <c r="I654" i="6"/>
  <c r="H654" i="6"/>
  <c r="G654" i="6"/>
  <c r="CA653" i="6"/>
  <c r="BZ653" i="6"/>
  <c r="BX653" i="6"/>
  <c r="BW653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X652" i="6"/>
  <c r="BW652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X651" i="6"/>
  <c r="BW651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X650" i="6"/>
  <c r="BW650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X649" i="6"/>
  <c r="BW649" i="6"/>
  <c r="BV649" i="6"/>
  <c r="BU649" i="6"/>
  <c r="BS649" i="6"/>
  <c r="BR649" i="6"/>
  <c r="BQ649" i="6"/>
  <c r="BP649" i="6"/>
  <c r="BN649" i="6"/>
  <c r="BM649" i="6"/>
  <c r="BL649" i="6"/>
  <c r="BK649" i="6"/>
  <c r="BI649" i="6"/>
  <c r="BH649" i="6"/>
  <c r="BG649" i="6"/>
  <c r="BF649" i="6"/>
  <c r="BD649" i="6"/>
  <c r="BC649" i="6"/>
  <c r="BB649" i="6"/>
  <c r="BA649" i="6"/>
  <c r="AY649" i="6"/>
  <c r="AX649" i="6"/>
  <c r="AW649" i="6"/>
  <c r="AV649" i="6"/>
  <c r="AT649" i="6"/>
  <c r="AS649" i="6"/>
  <c r="AR649" i="6"/>
  <c r="AQ649" i="6"/>
  <c r="AO649" i="6"/>
  <c r="AN649" i="6"/>
  <c r="AM649" i="6"/>
  <c r="AL649" i="6"/>
  <c r="AJ649" i="6"/>
  <c r="AI649" i="6"/>
  <c r="AH649" i="6"/>
  <c r="AG649" i="6"/>
  <c r="AE649" i="6"/>
  <c r="AD649" i="6"/>
  <c r="AC649" i="6"/>
  <c r="AB649" i="6"/>
  <c r="Z649" i="6"/>
  <c r="Y649" i="6"/>
  <c r="X649" i="6"/>
  <c r="W649" i="6"/>
  <c r="U649" i="6"/>
  <c r="T649" i="6"/>
  <c r="S649" i="6"/>
  <c r="R649" i="6"/>
  <c r="P649" i="6"/>
  <c r="O649" i="6"/>
  <c r="N649" i="6"/>
  <c r="M649" i="6"/>
  <c r="K649" i="6"/>
  <c r="J649" i="6"/>
  <c r="I649" i="6"/>
  <c r="H649" i="6"/>
  <c r="BZ648" i="6"/>
  <c r="BX648" i="6"/>
  <c r="BW648" i="6"/>
  <c r="BV648" i="6"/>
  <c r="BU648" i="6"/>
  <c r="BT648" i="6"/>
  <c r="BS648" i="6"/>
  <c r="BR648" i="6"/>
  <c r="BQ648" i="6"/>
  <c r="BP648" i="6"/>
  <c r="BO648" i="6"/>
  <c r="BN648" i="6"/>
  <c r="BM648" i="6"/>
  <c r="BL648" i="6"/>
  <c r="BK648" i="6"/>
  <c r="BJ648" i="6"/>
  <c r="BI648" i="6"/>
  <c r="BH648" i="6"/>
  <c r="BG648" i="6"/>
  <c r="BF648" i="6"/>
  <c r="BE648" i="6"/>
  <c r="BD648" i="6"/>
  <c r="BC648" i="6"/>
  <c r="BB648" i="6"/>
  <c r="BA648" i="6"/>
  <c r="AZ648" i="6"/>
  <c r="AY648" i="6"/>
  <c r="AX648" i="6"/>
  <c r="AW648" i="6"/>
  <c r="AV648" i="6"/>
  <c r="AU648" i="6"/>
  <c r="AT648" i="6"/>
  <c r="AS648" i="6"/>
  <c r="AR648" i="6"/>
  <c r="AQ648" i="6"/>
  <c r="AP648" i="6"/>
  <c r="AO648" i="6"/>
  <c r="AN648" i="6"/>
  <c r="AM648" i="6"/>
  <c r="AL648" i="6"/>
  <c r="AK648" i="6"/>
  <c r="AJ648" i="6"/>
  <c r="AI648" i="6"/>
  <c r="AH648" i="6"/>
  <c r="AG648" i="6"/>
  <c r="AF648" i="6"/>
  <c r="AE648" i="6"/>
  <c r="AD648" i="6"/>
  <c r="AC648" i="6"/>
  <c r="AB648" i="6"/>
  <c r="AA648" i="6"/>
  <c r="Z648" i="6"/>
  <c r="Y648" i="6"/>
  <c r="X648" i="6"/>
  <c r="W648" i="6"/>
  <c r="V648" i="6"/>
  <c r="U648" i="6"/>
  <c r="T648" i="6"/>
  <c r="S648" i="6"/>
  <c r="R648" i="6"/>
  <c r="Q648" i="6"/>
  <c r="P648" i="6"/>
  <c r="O648" i="6"/>
  <c r="N648" i="6"/>
  <c r="M648" i="6"/>
  <c r="L648" i="6"/>
  <c r="K648" i="6"/>
  <c r="J648" i="6"/>
  <c r="I648" i="6"/>
  <c r="H648" i="6"/>
  <c r="G648" i="6"/>
  <c r="BX647" i="6"/>
  <c r="BW647" i="6"/>
  <c r="BV647" i="6"/>
  <c r="BU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X646" i="6"/>
  <c r="BW646" i="6"/>
  <c r="BV646" i="6"/>
  <c r="BU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X645" i="6"/>
  <c r="BW645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X644" i="6"/>
  <c r="BW644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X643" i="6"/>
  <c r="BW643" i="6"/>
  <c r="BV643" i="6"/>
  <c r="BU643" i="6"/>
  <c r="BS643" i="6"/>
  <c r="BR643" i="6"/>
  <c r="BQ643" i="6"/>
  <c r="BP643" i="6"/>
  <c r="BN643" i="6"/>
  <c r="BM643" i="6"/>
  <c r="BL643" i="6"/>
  <c r="BK643" i="6"/>
  <c r="BI643" i="6"/>
  <c r="BH643" i="6"/>
  <c r="BG643" i="6"/>
  <c r="BF643" i="6"/>
  <c r="BD643" i="6"/>
  <c r="BC643" i="6"/>
  <c r="BB643" i="6"/>
  <c r="BA643" i="6"/>
  <c r="AY643" i="6"/>
  <c r="AX643" i="6"/>
  <c r="AW643" i="6"/>
  <c r="AV643" i="6"/>
  <c r="AT643" i="6"/>
  <c r="AS643" i="6"/>
  <c r="AR643" i="6"/>
  <c r="AQ643" i="6"/>
  <c r="AO643" i="6"/>
  <c r="AN643" i="6"/>
  <c r="AM643" i="6"/>
  <c r="AL643" i="6"/>
  <c r="AJ643" i="6"/>
  <c r="AI643" i="6"/>
  <c r="AH643" i="6"/>
  <c r="AG643" i="6"/>
  <c r="AE643" i="6"/>
  <c r="AD643" i="6"/>
  <c r="AC643" i="6"/>
  <c r="AB643" i="6"/>
  <c r="Z643" i="6"/>
  <c r="Y643" i="6"/>
  <c r="X643" i="6"/>
  <c r="W643" i="6"/>
  <c r="U643" i="6"/>
  <c r="T643" i="6"/>
  <c r="S643" i="6"/>
  <c r="R643" i="6"/>
  <c r="P643" i="6"/>
  <c r="O643" i="6"/>
  <c r="N643" i="6"/>
  <c r="M643" i="6"/>
  <c r="K643" i="6"/>
  <c r="J643" i="6"/>
  <c r="I643" i="6"/>
  <c r="H643" i="6"/>
  <c r="BZ642" i="6"/>
  <c r="BX642" i="6"/>
  <c r="BW642" i="6"/>
  <c r="BV642" i="6"/>
  <c r="BU642" i="6"/>
  <c r="BT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CA641" i="6"/>
  <c r="BZ641" i="6"/>
  <c r="BX641" i="6"/>
  <c r="BW641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X640" i="6"/>
  <c r="BW640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X639" i="6"/>
  <c r="BW639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X638" i="6"/>
  <c r="BW638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X637" i="6"/>
  <c r="BW637" i="6"/>
  <c r="BV637" i="6"/>
  <c r="BU637" i="6"/>
  <c r="BS637" i="6"/>
  <c r="BR637" i="6"/>
  <c r="BQ637" i="6"/>
  <c r="BP637" i="6"/>
  <c r="BO637" i="6"/>
  <c r="BN637" i="6"/>
  <c r="BM637" i="6"/>
  <c r="BL637" i="6"/>
  <c r="BK637" i="6"/>
  <c r="BJ637" i="6"/>
  <c r="BI637" i="6"/>
  <c r="BH637" i="6"/>
  <c r="BG637" i="6"/>
  <c r="BF637" i="6"/>
  <c r="BE637" i="6"/>
  <c r="BD637" i="6"/>
  <c r="BC637" i="6"/>
  <c r="BB637" i="6"/>
  <c r="BA637" i="6"/>
  <c r="AZ637" i="6"/>
  <c r="AY637" i="6"/>
  <c r="AX637" i="6"/>
  <c r="AW637" i="6"/>
  <c r="AV637" i="6"/>
  <c r="AU637" i="6"/>
  <c r="AT637" i="6"/>
  <c r="AS637" i="6"/>
  <c r="AR637" i="6"/>
  <c r="AQ637" i="6"/>
  <c r="AP637" i="6"/>
  <c r="AO637" i="6"/>
  <c r="AN637" i="6"/>
  <c r="AM637" i="6"/>
  <c r="AL637" i="6"/>
  <c r="AK637" i="6"/>
  <c r="AJ637" i="6"/>
  <c r="AI637" i="6"/>
  <c r="AH637" i="6"/>
  <c r="AG637" i="6"/>
  <c r="AF637" i="6"/>
  <c r="AE637" i="6"/>
  <c r="AD637" i="6"/>
  <c r="AC637" i="6"/>
  <c r="AB637" i="6"/>
  <c r="AA637" i="6"/>
  <c r="Z637" i="6"/>
  <c r="Y637" i="6"/>
  <c r="X637" i="6"/>
  <c r="W637" i="6"/>
  <c r="V637" i="6"/>
  <c r="U637" i="6"/>
  <c r="T637" i="6"/>
  <c r="S637" i="6"/>
  <c r="R637" i="6"/>
  <c r="Q637" i="6"/>
  <c r="P637" i="6"/>
  <c r="O637" i="6"/>
  <c r="N637" i="6"/>
  <c r="M637" i="6"/>
  <c r="L637" i="6"/>
  <c r="K637" i="6"/>
  <c r="J637" i="6"/>
  <c r="I637" i="6"/>
  <c r="H637" i="6"/>
  <c r="G637" i="6"/>
  <c r="CA636" i="6"/>
  <c r="BZ636" i="6"/>
  <c r="BX636" i="6"/>
  <c r="BW636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X635" i="6"/>
  <c r="BW635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X634" i="6"/>
  <c r="BW634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X633" i="6"/>
  <c r="BW633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X632" i="6"/>
  <c r="BW632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CA631" i="6"/>
  <c r="BZ631" i="6"/>
  <c r="BX631" i="6"/>
  <c r="BW631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X630" i="6"/>
  <c r="BW630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X629" i="6"/>
  <c r="BW629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X628" i="6"/>
  <c r="BW628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X627" i="6"/>
  <c r="BW627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CA626" i="6"/>
  <c r="BZ626" i="6"/>
  <c r="BX626" i="6"/>
  <c r="BW626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X625" i="6"/>
  <c r="BW625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X624" i="6"/>
  <c r="BW624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X623" i="6"/>
  <c r="BW623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X622" i="6"/>
  <c r="BW622" i="6"/>
  <c r="BV622" i="6"/>
  <c r="BU622" i="6"/>
  <c r="BS622" i="6"/>
  <c r="BR622" i="6"/>
  <c r="BQ622" i="6"/>
  <c r="BP622" i="6"/>
  <c r="BN622" i="6"/>
  <c r="BM622" i="6"/>
  <c r="BL622" i="6"/>
  <c r="BK622" i="6"/>
  <c r="BI622" i="6"/>
  <c r="BH622" i="6"/>
  <c r="BG622" i="6"/>
  <c r="BF622" i="6"/>
  <c r="BD622" i="6"/>
  <c r="BC622" i="6"/>
  <c r="BB622" i="6"/>
  <c r="BA622" i="6"/>
  <c r="AY622" i="6"/>
  <c r="AX622" i="6"/>
  <c r="AW622" i="6"/>
  <c r="AV622" i="6"/>
  <c r="AT622" i="6"/>
  <c r="AS622" i="6"/>
  <c r="AR622" i="6"/>
  <c r="AQ622" i="6"/>
  <c r="AO622" i="6"/>
  <c r="AN622" i="6"/>
  <c r="AM622" i="6"/>
  <c r="AL622" i="6"/>
  <c r="AJ622" i="6"/>
  <c r="AI622" i="6"/>
  <c r="AH622" i="6"/>
  <c r="AG622" i="6"/>
  <c r="AE622" i="6"/>
  <c r="AD622" i="6"/>
  <c r="AC622" i="6"/>
  <c r="AB622" i="6"/>
  <c r="Z622" i="6"/>
  <c r="Y622" i="6"/>
  <c r="X622" i="6"/>
  <c r="W622" i="6"/>
  <c r="U622" i="6"/>
  <c r="T622" i="6"/>
  <c r="S622" i="6"/>
  <c r="R622" i="6"/>
  <c r="P622" i="6"/>
  <c r="O622" i="6"/>
  <c r="N622" i="6"/>
  <c r="M622" i="6"/>
  <c r="K622" i="6"/>
  <c r="J622" i="6"/>
  <c r="I622" i="6"/>
  <c r="H622" i="6"/>
  <c r="CA621" i="6"/>
  <c r="BZ621" i="6"/>
  <c r="BX621" i="6"/>
  <c r="BW621" i="6"/>
  <c r="BV621" i="6"/>
  <c r="BU621" i="6"/>
  <c r="BT621" i="6"/>
  <c r="BS621" i="6"/>
  <c r="BR621" i="6"/>
  <c r="BQ621" i="6"/>
  <c r="BP621" i="6"/>
  <c r="BO621" i="6"/>
  <c r="BN621" i="6"/>
  <c r="BM621" i="6"/>
  <c r="BL621" i="6"/>
  <c r="BK621" i="6"/>
  <c r="BJ621" i="6"/>
  <c r="BI621" i="6"/>
  <c r="BH621" i="6"/>
  <c r="BG621" i="6"/>
  <c r="BF621" i="6"/>
  <c r="BE621" i="6"/>
  <c r="BD621" i="6"/>
  <c r="BC621" i="6"/>
  <c r="BB621" i="6"/>
  <c r="BA621" i="6"/>
  <c r="AZ621" i="6"/>
  <c r="AY621" i="6"/>
  <c r="AX621" i="6"/>
  <c r="AW621" i="6"/>
  <c r="AV621" i="6"/>
  <c r="AU621" i="6"/>
  <c r="AT621" i="6"/>
  <c r="AS621" i="6"/>
  <c r="AR621" i="6"/>
  <c r="AQ621" i="6"/>
  <c r="AP621" i="6"/>
  <c r="AO621" i="6"/>
  <c r="AN621" i="6"/>
  <c r="AM621" i="6"/>
  <c r="AL621" i="6"/>
  <c r="AK621" i="6"/>
  <c r="AJ621" i="6"/>
  <c r="AI621" i="6"/>
  <c r="AH621" i="6"/>
  <c r="AG621" i="6"/>
  <c r="AF621" i="6"/>
  <c r="AE621" i="6"/>
  <c r="AD621" i="6"/>
  <c r="AC621" i="6"/>
  <c r="AB621" i="6"/>
  <c r="AA621" i="6"/>
  <c r="Z621" i="6"/>
  <c r="Y621" i="6"/>
  <c r="X621" i="6"/>
  <c r="W621" i="6"/>
  <c r="V621" i="6"/>
  <c r="U621" i="6"/>
  <c r="T621" i="6"/>
  <c r="S621" i="6"/>
  <c r="R621" i="6"/>
  <c r="Q621" i="6"/>
  <c r="P621" i="6"/>
  <c r="O621" i="6"/>
  <c r="N621" i="6"/>
  <c r="M621" i="6"/>
  <c r="L621" i="6"/>
  <c r="K621" i="6"/>
  <c r="J621" i="6"/>
  <c r="I621" i="6"/>
  <c r="H621" i="6"/>
  <c r="G621" i="6"/>
  <c r="BX620" i="6"/>
  <c r="BW620" i="6"/>
  <c r="BV620" i="6"/>
  <c r="BU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X619" i="6"/>
  <c r="BW619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X618" i="6"/>
  <c r="BW618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X617" i="6"/>
  <c r="BW617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X616" i="6"/>
  <c r="BW616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CA615" i="6"/>
  <c r="BZ615" i="6"/>
  <c r="BX615" i="6"/>
  <c r="BW615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X614" i="6"/>
  <c r="BW614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X613" i="6"/>
  <c r="BW613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X612" i="6"/>
  <c r="BW612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X611" i="6"/>
  <c r="BW611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Z610" i="6"/>
  <c r="BX610" i="6"/>
  <c r="BW610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X609" i="6"/>
  <c r="BW609" i="6"/>
  <c r="BV609" i="6"/>
  <c r="BU609" i="6"/>
  <c r="BS609" i="6"/>
  <c r="BR609" i="6"/>
  <c r="BQ609" i="6"/>
  <c r="BP609" i="6"/>
  <c r="BO609" i="6"/>
  <c r="BN609" i="6"/>
  <c r="BM609" i="6"/>
  <c r="BL609" i="6"/>
  <c r="BK609" i="6"/>
  <c r="BJ609" i="6"/>
  <c r="BI609" i="6"/>
  <c r="BH609" i="6"/>
  <c r="BG609" i="6"/>
  <c r="BF609" i="6"/>
  <c r="BE609" i="6"/>
  <c r="BD609" i="6"/>
  <c r="BC609" i="6"/>
  <c r="BB609" i="6"/>
  <c r="BA609" i="6"/>
  <c r="AZ609" i="6"/>
  <c r="AY609" i="6"/>
  <c r="AX609" i="6"/>
  <c r="AW609" i="6"/>
  <c r="AV609" i="6"/>
  <c r="AU609" i="6"/>
  <c r="AT609" i="6"/>
  <c r="AS609" i="6"/>
  <c r="AR609" i="6"/>
  <c r="AQ609" i="6"/>
  <c r="AP609" i="6"/>
  <c r="AO609" i="6"/>
  <c r="AN609" i="6"/>
  <c r="AM609" i="6"/>
  <c r="AL609" i="6"/>
  <c r="AK609" i="6"/>
  <c r="AJ609" i="6"/>
  <c r="AI609" i="6"/>
  <c r="AH609" i="6"/>
  <c r="AG609" i="6"/>
  <c r="AF609" i="6"/>
  <c r="AE609" i="6"/>
  <c r="AD609" i="6"/>
  <c r="AC609" i="6"/>
  <c r="AB609" i="6"/>
  <c r="AA609" i="6"/>
  <c r="Z609" i="6"/>
  <c r="Y609" i="6"/>
  <c r="X609" i="6"/>
  <c r="W609" i="6"/>
  <c r="V609" i="6"/>
  <c r="U609" i="6"/>
  <c r="T609" i="6"/>
  <c r="S609" i="6"/>
  <c r="R609" i="6"/>
  <c r="Q609" i="6"/>
  <c r="P609" i="6"/>
  <c r="O609" i="6"/>
  <c r="N609" i="6"/>
  <c r="M609" i="6"/>
  <c r="L609" i="6"/>
  <c r="K609" i="6"/>
  <c r="J609" i="6"/>
  <c r="I609" i="6"/>
  <c r="H609" i="6"/>
  <c r="G609" i="6"/>
  <c r="BX608" i="6"/>
  <c r="BW608" i="6"/>
  <c r="BV608" i="6"/>
  <c r="BU608" i="6"/>
  <c r="BS608" i="6"/>
  <c r="BR608" i="6"/>
  <c r="BQ608" i="6"/>
  <c r="BP608" i="6"/>
  <c r="BO608" i="6"/>
  <c r="BN608" i="6"/>
  <c r="BM608" i="6"/>
  <c r="BL608" i="6"/>
  <c r="BK608" i="6"/>
  <c r="BJ608" i="6"/>
  <c r="BI608" i="6"/>
  <c r="BH608" i="6"/>
  <c r="BG608" i="6"/>
  <c r="BF608" i="6"/>
  <c r="BE608" i="6"/>
  <c r="BD608" i="6"/>
  <c r="BC608" i="6"/>
  <c r="BB608" i="6"/>
  <c r="BA608" i="6"/>
  <c r="AZ608" i="6"/>
  <c r="AY608" i="6"/>
  <c r="AX608" i="6"/>
  <c r="AW608" i="6"/>
  <c r="AV608" i="6"/>
  <c r="AU608" i="6"/>
  <c r="AT608" i="6"/>
  <c r="AS608" i="6"/>
  <c r="AR608" i="6"/>
  <c r="AQ608" i="6"/>
  <c r="AP608" i="6"/>
  <c r="AO608" i="6"/>
  <c r="AN608" i="6"/>
  <c r="AM608" i="6"/>
  <c r="AL608" i="6"/>
  <c r="AK608" i="6"/>
  <c r="AJ608" i="6"/>
  <c r="AI608" i="6"/>
  <c r="AH608" i="6"/>
  <c r="AG608" i="6"/>
  <c r="AF608" i="6"/>
  <c r="AE608" i="6"/>
  <c r="AD608" i="6"/>
  <c r="AC608" i="6"/>
  <c r="AB608" i="6"/>
  <c r="AA608" i="6"/>
  <c r="Z608" i="6"/>
  <c r="Y608" i="6"/>
  <c r="X608" i="6"/>
  <c r="W608" i="6"/>
  <c r="V608" i="6"/>
  <c r="U608" i="6"/>
  <c r="T608" i="6"/>
  <c r="S608" i="6"/>
  <c r="R608" i="6"/>
  <c r="Q608" i="6"/>
  <c r="P608" i="6"/>
  <c r="O608" i="6"/>
  <c r="N608" i="6"/>
  <c r="M608" i="6"/>
  <c r="L608" i="6"/>
  <c r="K608" i="6"/>
  <c r="J608" i="6"/>
  <c r="I608" i="6"/>
  <c r="H608" i="6"/>
  <c r="G608" i="6"/>
  <c r="BX607" i="6"/>
  <c r="BW607" i="6"/>
  <c r="BV607" i="6"/>
  <c r="BU607" i="6"/>
  <c r="BS607" i="6"/>
  <c r="BR607" i="6"/>
  <c r="BQ607" i="6"/>
  <c r="BP607" i="6"/>
  <c r="BO607" i="6"/>
  <c r="BN607" i="6"/>
  <c r="BM607" i="6"/>
  <c r="BL607" i="6"/>
  <c r="BK607" i="6"/>
  <c r="BJ607" i="6"/>
  <c r="BI607" i="6"/>
  <c r="BH607" i="6"/>
  <c r="BG607" i="6"/>
  <c r="BF607" i="6"/>
  <c r="BE607" i="6"/>
  <c r="BD607" i="6"/>
  <c r="BC607" i="6"/>
  <c r="BB607" i="6"/>
  <c r="BA607" i="6"/>
  <c r="AZ607" i="6"/>
  <c r="AY607" i="6"/>
  <c r="AX607" i="6"/>
  <c r="AW607" i="6"/>
  <c r="AV607" i="6"/>
  <c r="AU607" i="6"/>
  <c r="AT607" i="6"/>
  <c r="AS607" i="6"/>
  <c r="AR607" i="6"/>
  <c r="AQ607" i="6"/>
  <c r="AP607" i="6"/>
  <c r="AO607" i="6"/>
  <c r="AN607" i="6"/>
  <c r="AM607" i="6"/>
  <c r="AL607" i="6"/>
  <c r="AK607" i="6"/>
  <c r="AJ607" i="6"/>
  <c r="AI607" i="6"/>
  <c r="AH607" i="6"/>
  <c r="AG607" i="6"/>
  <c r="AF607" i="6"/>
  <c r="AE607" i="6"/>
  <c r="AD607" i="6"/>
  <c r="AC607" i="6"/>
  <c r="AB607" i="6"/>
  <c r="AA607" i="6"/>
  <c r="Z607" i="6"/>
  <c r="Y607" i="6"/>
  <c r="X607" i="6"/>
  <c r="W607" i="6"/>
  <c r="V607" i="6"/>
  <c r="U607" i="6"/>
  <c r="T607" i="6"/>
  <c r="S607" i="6"/>
  <c r="R607" i="6"/>
  <c r="Q607" i="6"/>
  <c r="P607" i="6"/>
  <c r="O607" i="6"/>
  <c r="N607" i="6"/>
  <c r="M607" i="6"/>
  <c r="L607" i="6"/>
  <c r="K607" i="6"/>
  <c r="J607" i="6"/>
  <c r="I607" i="6"/>
  <c r="H607" i="6"/>
  <c r="G607" i="6"/>
  <c r="BX606" i="6"/>
  <c r="BW606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Z605" i="6"/>
  <c r="BX605" i="6"/>
  <c r="BW605" i="6"/>
  <c r="BV605" i="6"/>
  <c r="BU605" i="6"/>
  <c r="BT605" i="6"/>
  <c r="BS605" i="6"/>
  <c r="BR605" i="6"/>
  <c r="BQ605" i="6"/>
  <c r="BP605" i="6"/>
  <c r="BO605" i="6"/>
  <c r="BN605" i="6"/>
  <c r="BM605" i="6"/>
  <c r="BL605" i="6"/>
  <c r="BK605" i="6"/>
  <c r="BJ605" i="6"/>
  <c r="BI605" i="6"/>
  <c r="BH605" i="6"/>
  <c r="BG605" i="6"/>
  <c r="BF605" i="6"/>
  <c r="BE605" i="6"/>
  <c r="BD605" i="6"/>
  <c r="BC605" i="6"/>
  <c r="BB605" i="6"/>
  <c r="BA605" i="6"/>
  <c r="AZ605" i="6"/>
  <c r="AY605" i="6"/>
  <c r="AX605" i="6"/>
  <c r="AW605" i="6"/>
  <c r="AV605" i="6"/>
  <c r="AU605" i="6"/>
  <c r="AT605" i="6"/>
  <c r="AS605" i="6"/>
  <c r="AR605" i="6"/>
  <c r="AQ605" i="6"/>
  <c r="AP605" i="6"/>
  <c r="AO605" i="6"/>
  <c r="AN605" i="6"/>
  <c r="AM605" i="6"/>
  <c r="AL605" i="6"/>
  <c r="AK605" i="6"/>
  <c r="AJ605" i="6"/>
  <c r="AI605" i="6"/>
  <c r="AH605" i="6"/>
  <c r="AG605" i="6"/>
  <c r="AF605" i="6"/>
  <c r="AE605" i="6"/>
  <c r="AD605" i="6"/>
  <c r="AC605" i="6"/>
  <c r="AB605" i="6"/>
  <c r="AA605" i="6"/>
  <c r="Z605" i="6"/>
  <c r="Y605" i="6"/>
  <c r="X605" i="6"/>
  <c r="W605" i="6"/>
  <c r="V605" i="6"/>
  <c r="U605" i="6"/>
  <c r="T605" i="6"/>
  <c r="S605" i="6"/>
  <c r="R605" i="6"/>
  <c r="Q605" i="6"/>
  <c r="P605" i="6"/>
  <c r="O605" i="6"/>
  <c r="N605" i="6"/>
  <c r="M605" i="6"/>
  <c r="L605" i="6"/>
  <c r="K605" i="6"/>
  <c r="J605" i="6"/>
  <c r="I605" i="6"/>
  <c r="H605" i="6"/>
  <c r="G605" i="6"/>
  <c r="BX604" i="6"/>
  <c r="BW604" i="6"/>
  <c r="BV604" i="6"/>
  <c r="BU604" i="6"/>
  <c r="BS604" i="6"/>
  <c r="BR604" i="6"/>
  <c r="BQ604" i="6"/>
  <c r="BP604" i="6"/>
  <c r="BN604" i="6"/>
  <c r="BM604" i="6"/>
  <c r="BL604" i="6"/>
  <c r="BK604" i="6"/>
  <c r="BI604" i="6"/>
  <c r="BH604" i="6"/>
  <c r="BG604" i="6"/>
  <c r="BF604" i="6"/>
  <c r="BD604" i="6"/>
  <c r="BC604" i="6"/>
  <c r="BB604" i="6"/>
  <c r="BA604" i="6"/>
  <c r="AY604" i="6"/>
  <c r="AX604" i="6"/>
  <c r="AW604" i="6"/>
  <c r="AV604" i="6"/>
  <c r="AT604" i="6"/>
  <c r="AS604" i="6"/>
  <c r="AR604" i="6"/>
  <c r="AQ604" i="6"/>
  <c r="AO604" i="6"/>
  <c r="AN604" i="6"/>
  <c r="AM604" i="6"/>
  <c r="AL604" i="6"/>
  <c r="AJ604" i="6"/>
  <c r="AI604" i="6"/>
  <c r="AH604" i="6"/>
  <c r="AG604" i="6"/>
  <c r="AE604" i="6"/>
  <c r="AD604" i="6"/>
  <c r="AC604" i="6"/>
  <c r="AB604" i="6"/>
  <c r="Z604" i="6"/>
  <c r="Y604" i="6"/>
  <c r="X604" i="6"/>
  <c r="W604" i="6"/>
  <c r="U604" i="6"/>
  <c r="T604" i="6"/>
  <c r="S604" i="6"/>
  <c r="R604" i="6"/>
  <c r="P604" i="6"/>
  <c r="O604" i="6"/>
  <c r="N604" i="6"/>
  <c r="M604" i="6"/>
  <c r="K604" i="6"/>
  <c r="J604" i="6"/>
  <c r="I604" i="6"/>
  <c r="H604" i="6"/>
  <c r="BX603" i="6"/>
  <c r="BW603" i="6"/>
  <c r="BV603" i="6"/>
  <c r="BU603" i="6"/>
  <c r="BS603" i="6"/>
  <c r="BR603" i="6"/>
  <c r="BQ603" i="6"/>
  <c r="BP603" i="6"/>
  <c r="BN603" i="6"/>
  <c r="BM603" i="6"/>
  <c r="BL603" i="6"/>
  <c r="BK603" i="6"/>
  <c r="BI603" i="6"/>
  <c r="BH603" i="6"/>
  <c r="BG603" i="6"/>
  <c r="BF603" i="6"/>
  <c r="BD603" i="6"/>
  <c r="BC603" i="6"/>
  <c r="BB603" i="6"/>
  <c r="BA603" i="6"/>
  <c r="AY603" i="6"/>
  <c r="AX603" i="6"/>
  <c r="AW603" i="6"/>
  <c r="AV603" i="6"/>
  <c r="AT603" i="6"/>
  <c r="AS603" i="6"/>
  <c r="AR603" i="6"/>
  <c r="AQ603" i="6"/>
  <c r="AO603" i="6"/>
  <c r="AN603" i="6"/>
  <c r="AM603" i="6"/>
  <c r="AL603" i="6"/>
  <c r="AJ603" i="6"/>
  <c r="AI603" i="6"/>
  <c r="AH603" i="6"/>
  <c r="AG603" i="6"/>
  <c r="AE603" i="6"/>
  <c r="AD603" i="6"/>
  <c r="AC603" i="6"/>
  <c r="AB603" i="6"/>
  <c r="Z603" i="6"/>
  <c r="Y603" i="6"/>
  <c r="X603" i="6"/>
  <c r="W603" i="6"/>
  <c r="U603" i="6"/>
  <c r="T603" i="6"/>
  <c r="S603" i="6"/>
  <c r="R603" i="6"/>
  <c r="P603" i="6"/>
  <c r="O603" i="6"/>
  <c r="N603" i="6"/>
  <c r="M603" i="6"/>
  <c r="K603" i="6"/>
  <c r="J603" i="6"/>
  <c r="I603" i="6"/>
  <c r="H603" i="6"/>
  <c r="BX602" i="6"/>
  <c r="BW602" i="6"/>
  <c r="BV602" i="6"/>
  <c r="BU602" i="6"/>
  <c r="BS602" i="6"/>
  <c r="BR602" i="6"/>
  <c r="BQ602" i="6"/>
  <c r="BP602" i="6"/>
  <c r="BN602" i="6"/>
  <c r="BM602" i="6"/>
  <c r="BL602" i="6"/>
  <c r="BK602" i="6"/>
  <c r="BI602" i="6"/>
  <c r="BH602" i="6"/>
  <c r="BG602" i="6"/>
  <c r="BF602" i="6"/>
  <c r="BD602" i="6"/>
  <c r="BC602" i="6"/>
  <c r="BB602" i="6"/>
  <c r="BA602" i="6"/>
  <c r="AY602" i="6"/>
  <c r="AX602" i="6"/>
  <c r="AW602" i="6"/>
  <c r="AV602" i="6"/>
  <c r="AT602" i="6"/>
  <c r="AS602" i="6"/>
  <c r="AR602" i="6"/>
  <c r="AQ602" i="6"/>
  <c r="AO602" i="6"/>
  <c r="AN602" i="6"/>
  <c r="AM602" i="6"/>
  <c r="AL602" i="6"/>
  <c r="AJ602" i="6"/>
  <c r="AI602" i="6"/>
  <c r="AH602" i="6"/>
  <c r="AG602" i="6"/>
  <c r="AE602" i="6"/>
  <c r="AD602" i="6"/>
  <c r="AC602" i="6"/>
  <c r="AB602" i="6"/>
  <c r="Z602" i="6"/>
  <c r="Y602" i="6"/>
  <c r="X602" i="6"/>
  <c r="W602" i="6"/>
  <c r="U602" i="6"/>
  <c r="T602" i="6"/>
  <c r="S602" i="6"/>
  <c r="R602" i="6"/>
  <c r="P602" i="6"/>
  <c r="O602" i="6"/>
  <c r="N602" i="6"/>
  <c r="M602" i="6"/>
  <c r="K602" i="6"/>
  <c r="J602" i="6"/>
  <c r="I602" i="6"/>
  <c r="H602" i="6"/>
  <c r="BX601" i="6"/>
  <c r="BW601" i="6"/>
  <c r="BV601" i="6"/>
  <c r="BU601" i="6"/>
  <c r="BS601" i="6"/>
  <c r="BR601" i="6"/>
  <c r="BQ601" i="6"/>
  <c r="BP601" i="6"/>
  <c r="BN601" i="6"/>
  <c r="BM601" i="6"/>
  <c r="BL601" i="6"/>
  <c r="BK601" i="6"/>
  <c r="BI601" i="6"/>
  <c r="BH601" i="6"/>
  <c r="BG601" i="6"/>
  <c r="BF601" i="6"/>
  <c r="BD601" i="6"/>
  <c r="BC601" i="6"/>
  <c r="BB601" i="6"/>
  <c r="BA601" i="6"/>
  <c r="AY601" i="6"/>
  <c r="AX601" i="6"/>
  <c r="AW601" i="6"/>
  <c r="AV601" i="6"/>
  <c r="AT601" i="6"/>
  <c r="AS601" i="6"/>
  <c r="AR601" i="6"/>
  <c r="AQ601" i="6"/>
  <c r="AO601" i="6"/>
  <c r="AN601" i="6"/>
  <c r="AM601" i="6"/>
  <c r="AL601" i="6"/>
  <c r="AJ601" i="6"/>
  <c r="AI601" i="6"/>
  <c r="AH601" i="6"/>
  <c r="AG601" i="6"/>
  <c r="AE601" i="6"/>
  <c r="AD601" i="6"/>
  <c r="AC601" i="6"/>
  <c r="AB601" i="6"/>
  <c r="Z601" i="6"/>
  <c r="Y601" i="6"/>
  <c r="X601" i="6"/>
  <c r="W601" i="6"/>
  <c r="U601" i="6"/>
  <c r="T601" i="6"/>
  <c r="S601" i="6"/>
  <c r="R601" i="6"/>
  <c r="P601" i="6"/>
  <c r="O601" i="6"/>
  <c r="N601" i="6"/>
  <c r="M601" i="6"/>
  <c r="K601" i="6"/>
  <c r="J601" i="6"/>
  <c r="I601" i="6"/>
  <c r="H601" i="6"/>
  <c r="BX600" i="6"/>
  <c r="BW600" i="6"/>
  <c r="BV600" i="6"/>
  <c r="BU600" i="6"/>
  <c r="BS600" i="6"/>
  <c r="BR600" i="6"/>
  <c r="BQ600" i="6"/>
  <c r="BP600" i="6"/>
  <c r="BN600" i="6"/>
  <c r="BM600" i="6"/>
  <c r="BL600" i="6"/>
  <c r="BK600" i="6"/>
  <c r="BI600" i="6"/>
  <c r="BH600" i="6"/>
  <c r="BG600" i="6"/>
  <c r="BF600" i="6"/>
  <c r="BD600" i="6"/>
  <c r="BC600" i="6"/>
  <c r="BB600" i="6"/>
  <c r="BA600" i="6"/>
  <c r="AY600" i="6"/>
  <c r="AX600" i="6"/>
  <c r="AW600" i="6"/>
  <c r="AV600" i="6"/>
  <c r="AT600" i="6"/>
  <c r="AS600" i="6"/>
  <c r="AR600" i="6"/>
  <c r="AQ600" i="6"/>
  <c r="AO600" i="6"/>
  <c r="AN600" i="6"/>
  <c r="AM600" i="6"/>
  <c r="AL600" i="6"/>
  <c r="AJ600" i="6"/>
  <c r="AI600" i="6"/>
  <c r="AH600" i="6"/>
  <c r="AG600" i="6"/>
  <c r="AE600" i="6"/>
  <c r="AD600" i="6"/>
  <c r="AC600" i="6"/>
  <c r="AB600" i="6"/>
  <c r="Z600" i="6"/>
  <c r="Y600" i="6"/>
  <c r="X600" i="6"/>
  <c r="W600" i="6"/>
  <c r="U600" i="6"/>
  <c r="T600" i="6"/>
  <c r="S600" i="6"/>
  <c r="R600" i="6"/>
  <c r="P600" i="6"/>
  <c r="O600" i="6"/>
  <c r="N600" i="6"/>
  <c r="M600" i="6"/>
  <c r="K600" i="6"/>
  <c r="J600" i="6"/>
  <c r="I600" i="6"/>
  <c r="H600" i="6"/>
  <c r="BZ599" i="6"/>
  <c r="BX599" i="6"/>
  <c r="BW599" i="6"/>
  <c r="BV599" i="6"/>
  <c r="BU599" i="6"/>
  <c r="BT599" i="6"/>
  <c r="BS599" i="6"/>
  <c r="BR599" i="6"/>
  <c r="BQ599" i="6"/>
  <c r="BP599" i="6"/>
  <c r="BO599" i="6"/>
  <c r="BN599" i="6"/>
  <c r="BM599" i="6"/>
  <c r="BL599" i="6"/>
  <c r="BK599" i="6"/>
  <c r="BJ599" i="6"/>
  <c r="BI599" i="6"/>
  <c r="BH599" i="6"/>
  <c r="BG599" i="6"/>
  <c r="BF599" i="6"/>
  <c r="BE599" i="6"/>
  <c r="BD599" i="6"/>
  <c r="BC599" i="6"/>
  <c r="BB599" i="6"/>
  <c r="BA599" i="6"/>
  <c r="AZ599" i="6"/>
  <c r="AY599" i="6"/>
  <c r="AX599" i="6"/>
  <c r="AW599" i="6"/>
  <c r="AV599" i="6"/>
  <c r="AU599" i="6"/>
  <c r="AT599" i="6"/>
  <c r="AS599" i="6"/>
  <c r="AR599" i="6"/>
  <c r="AQ599" i="6"/>
  <c r="AP599" i="6"/>
  <c r="AO599" i="6"/>
  <c r="AN599" i="6"/>
  <c r="AM599" i="6"/>
  <c r="AL599" i="6"/>
  <c r="AK599" i="6"/>
  <c r="AJ599" i="6"/>
  <c r="AI599" i="6"/>
  <c r="AH599" i="6"/>
  <c r="AG599" i="6"/>
  <c r="AF599" i="6"/>
  <c r="AE599" i="6"/>
  <c r="AD599" i="6"/>
  <c r="AC599" i="6"/>
  <c r="AB599" i="6"/>
  <c r="AA599" i="6"/>
  <c r="Z599" i="6"/>
  <c r="Y599" i="6"/>
  <c r="X599" i="6"/>
  <c r="W599" i="6"/>
  <c r="V599" i="6"/>
  <c r="U599" i="6"/>
  <c r="T599" i="6"/>
  <c r="S599" i="6"/>
  <c r="R599" i="6"/>
  <c r="Q599" i="6"/>
  <c r="P599" i="6"/>
  <c r="O599" i="6"/>
  <c r="N599" i="6"/>
  <c r="M599" i="6"/>
  <c r="L599" i="6"/>
  <c r="K599" i="6"/>
  <c r="J599" i="6"/>
  <c r="I599" i="6"/>
  <c r="H599" i="6"/>
  <c r="G599" i="6"/>
  <c r="BX598" i="6"/>
  <c r="BW598" i="6"/>
  <c r="BV598" i="6"/>
  <c r="BU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X597" i="6"/>
  <c r="BW597" i="6"/>
  <c r="BV597" i="6"/>
  <c r="BU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BX596" i="6"/>
  <c r="BW596" i="6"/>
  <c r="BV596" i="6"/>
  <c r="BU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X595" i="6"/>
  <c r="BW595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BX594" i="6"/>
  <c r="BW594" i="6"/>
  <c r="BV594" i="6"/>
  <c r="BU594" i="6"/>
  <c r="BS594" i="6"/>
  <c r="BR594" i="6"/>
  <c r="BQ594" i="6"/>
  <c r="BP594" i="6"/>
  <c r="BN594" i="6"/>
  <c r="BM594" i="6"/>
  <c r="BL594" i="6"/>
  <c r="BK594" i="6"/>
  <c r="BI594" i="6"/>
  <c r="BH594" i="6"/>
  <c r="BG594" i="6"/>
  <c r="BF594" i="6"/>
  <c r="BD594" i="6"/>
  <c r="BC594" i="6"/>
  <c r="BB594" i="6"/>
  <c r="BA594" i="6"/>
  <c r="AY594" i="6"/>
  <c r="AX594" i="6"/>
  <c r="AW594" i="6"/>
  <c r="AV594" i="6"/>
  <c r="AT594" i="6"/>
  <c r="AS594" i="6"/>
  <c r="AR594" i="6"/>
  <c r="AQ594" i="6"/>
  <c r="AO594" i="6"/>
  <c r="AN594" i="6"/>
  <c r="AM594" i="6"/>
  <c r="AL594" i="6"/>
  <c r="AJ594" i="6"/>
  <c r="AI594" i="6"/>
  <c r="AH594" i="6"/>
  <c r="AG594" i="6"/>
  <c r="AE594" i="6"/>
  <c r="AD594" i="6"/>
  <c r="AC594" i="6"/>
  <c r="AB594" i="6"/>
  <c r="Z594" i="6"/>
  <c r="Y594" i="6"/>
  <c r="X594" i="6"/>
  <c r="W594" i="6"/>
  <c r="U594" i="6"/>
  <c r="T594" i="6"/>
  <c r="S594" i="6"/>
  <c r="R594" i="6"/>
  <c r="P594" i="6"/>
  <c r="O594" i="6"/>
  <c r="N594" i="6"/>
  <c r="M594" i="6"/>
  <c r="K594" i="6"/>
  <c r="J594" i="6"/>
  <c r="I594" i="6"/>
  <c r="H594" i="6"/>
  <c r="BZ593" i="6"/>
  <c r="BX593" i="6"/>
  <c r="BW593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CA592" i="6"/>
  <c r="BZ592" i="6"/>
  <c r="BX592" i="6"/>
  <c r="BW592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CA591" i="6"/>
  <c r="BZ591" i="6"/>
  <c r="BX591" i="6"/>
  <c r="BW591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BX590" i="6"/>
  <c r="BW590" i="6"/>
  <c r="BV590" i="6"/>
  <c r="BU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CA589" i="6"/>
  <c r="BZ589" i="6"/>
  <c r="BX589" i="6"/>
  <c r="BW589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CA588" i="6"/>
  <c r="BZ588" i="6"/>
  <c r="BX588" i="6"/>
  <c r="BW588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CA587" i="6"/>
  <c r="BZ587" i="6"/>
  <c r="BX587" i="6"/>
  <c r="BW587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CA586" i="6"/>
  <c r="BZ586" i="6"/>
  <c r="BX586" i="6"/>
  <c r="BW586" i="6"/>
  <c r="BV586" i="6"/>
  <c r="BU586" i="6"/>
  <c r="BT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G586" i="6"/>
  <c r="CA585" i="6"/>
  <c r="BZ585" i="6"/>
  <c r="BX585" i="6"/>
  <c r="BW585" i="6"/>
  <c r="BV585" i="6"/>
  <c r="BU585" i="6"/>
  <c r="BT585" i="6"/>
  <c r="BS585" i="6"/>
  <c r="BR585" i="6"/>
  <c r="BQ585" i="6"/>
  <c r="BP585" i="6"/>
  <c r="BO585" i="6"/>
  <c r="BN585" i="6"/>
  <c r="BM585" i="6"/>
  <c r="BL585" i="6"/>
  <c r="BK585" i="6"/>
  <c r="BJ585" i="6"/>
  <c r="BI585" i="6"/>
  <c r="BH585" i="6"/>
  <c r="BG585" i="6"/>
  <c r="BF585" i="6"/>
  <c r="BE585" i="6"/>
  <c r="BD585" i="6"/>
  <c r="BC585" i="6"/>
  <c r="BB585" i="6"/>
  <c r="BA585" i="6"/>
  <c r="AZ585" i="6"/>
  <c r="AY585" i="6"/>
  <c r="AX585" i="6"/>
  <c r="AW585" i="6"/>
  <c r="AV585" i="6"/>
  <c r="AU585" i="6"/>
  <c r="AT585" i="6"/>
  <c r="AS585" i="6"/>
  <c r="AR585" i="6"/>
  <c r="AQ585" i="6"/>
  <c r="AP585" i="6"/>
  <c r="AO585" i="6"/>
  <c r="AN585" i="6"/>
  <c r="AM585" i="6"/>
  <c r="AL585" i="6"/>
  <c r="AK585" i="6"/>
  <c r="AJ585" i="6"/>
  <c r="AI585" i="6"/>
  <c r="AH585" i="6"/>
  <c r="AG585" i="6"/>
  <c r="AF585" i="6"/>
  <c r="AE585" i="6"/>
  <c r="AD585" i="6"/>
  <c r="AC585" i="6"/>
  <c r="AB585" i="6"/>
  <c r="AA585" i="6"/>
  <c r="Z585" i="6"/>
  <c r="Y585" i="6"/>
  <c r="X585" i="6"/>
  <c r="W585" i="6"/>
  <c r="V585" i="6"/>
  <c r="U585" i="6"/>
  <c r="T585" i="6"/>
  <c r="S585" i="6"/>
  <c r="R585" i="6"/>
  <c r="Q585" i="6"/>
  <c r="P585" i="6"/>
  <c r="O585" i="6"/>
  <c r="N585" i="6"/>
  <c r="M585" i="6"/>
  <c r="L585" i="6"/>
  <c r="K585" i="6"/>
  <c r="J585" i="6"/>
  <c r="I585" i="6"/>
  <c r="H585" i="6"/>
  <c r="G585" i="6"/>
  <c r="CA584" i="6"/>
  <c r="BZ584" i="6"/>
  <c r="BX584" i="6"/>
  <c r="BW584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CA583" i="6"/>
  <c r="BZ583" i="6"/>
  <c r="BX583" i="6"/>
  <c r="BW583" i="6"/>
  <c r="BV583" i="6"/>
  <c r="BU583" i="6"/>
  <c r="BT583" i="6"/>
  <c r="BS583" i="6"/>
  <c r="BR583" i="6"/>
  <c r="BQ583" i="6"/>
  <c r="BP583" i="6"/>
  <c r="BO583" i="6"/>
  <c r="BN583" i="6"/>
  <c r="BM583" i="6"/>
  <c r="BL583" i="6"/>
  <c r="BK583" i="6"/>
  <c r="BJ583" i="6"/>
  <c r="BI583" i="6"/>
  <c r="BH583" i="6"/>
  <c r="BG583" i="6"/>
  <c r="BF583" i="6"/>
  <c r="BE583" i="6"/>
  <c r="BD583" i="6"/>
  <c r="BC583" i="6"/>
  <c r="BB583" i="6"/>
  <c r="BA583" i="6"/>
  <c r="AZ583" i="6"/>
  <c r="AY583" i="6"/>
  <c r="AX583" i="6"/>
  <c r="AW583" i="6"/>
  <c r="AV583" i="6"/>
  <c r="AU583" i="6"/>
  <c r="AT583" i="6"/>
  <c r="AS583" i="6"/>
  <c r="AR583" i="6"/>
  <c r="AQ583" i="6"/>
  <c r="AP583" i="6"/>
  <c r="AO583" i="6"/>
  <c r="AN583" i="6"/>
  <c r="AM583" i="6"/>
  <c r="AL583" i="6"/>
  <c r="AK583" i="6"/>
  <c r="AJ583" i="6"/>
  <c r="AI583" i="6"/>
  <c r="AH583" i="6"/>
  <c r="AG583" i="6"/>
  <c r="AF583" i="6"/>
  <c r="AE583" i="6"/>
  <c r="AD583" i="6"/>
  <c r="AC583" i="6"/>
  <c r="AB583" i="6"/>
  <c r="AA583" i="6"/>
  <c r="Z583" i="6"/>
  <c r="Y583" i="6"/>
  <c r="X583" i="6"/>
  <c r="W583" i="6"/>
  <c r="V583" i="6"/>
  <c r="U583" i="6"/>
  <c r="T583" i="6"/>
  <c r="S583" i="6"/>
  <c r="R583" i="6"/>
  <c r="Q583" i="6"/>
  <c r="P583" i="6"/>
  <c r="O583" i="6"/>
  <c r="N583" i="6"/>
  <c r="M583" i="6"/>
  <c r="L583" i="6"/>
  <c r="K583" i="6"/>
  <c r="J583" i="6"/>
  <c r="I583" i="6"/>
  <c r="H583" i="6"/>
  <c r="G583" i="6"/>
  <c r="CA582" i="6"/>
  <c r="BZ582" i="6"/>
  <c r="BX582" i="6"/>
  <c r="BW582" i="6"/>
  <c r="BV582" i="6"/>
  <c r="BU582" i="6"/>
  <c r="BT582" i="6"/>
  <c r="BS582" i="6"/>
  <c r="BR582" i="6"/>
  <c r="BQ582" i="6"/>
  <c r="BP582" i="6"/>
  <c r="BO582" i="6"/>
  <c r="BN582" i="6"/>
  <c r="BM582" i="6"/>
  <c r="BL582" i="6"/>
  <c r="BK582" i="6"/>
  <c r="BJ582" i="6"/>
  <c r="BI582" i="6"/>
  <c r="BH582" i="6"/>
  <c r="BG582" i="6"/>
  <c r="BF582" i="6"/>
  <c r="BE582" i="6"/>
  <c r="BD582" i="6"/>
  <c r="BC582" i="6"/>
  <c r="BB582" i="6"/>
  <c r="BA582" i="6"/>
  <c r="AZ582" i="6"/>
  <c r="AY582" i="6"/>
  <c r="AX582" i="6"/>
  <c r="AW582" i="6"/>
  <c r="AV582" i="6"/>
  <c r="AU582" i="6"/>
  <c r="AT582" i="6"/>
  <c r="AS582" i="6"/>
  <c r="AR582" i="6"/>
  <c r="AQ582" i="6"/>
  <c r="AP582" i="6"/>
  <c r="AO582" i="6"/>
  <c r="AN582" i="6"/>
  <c r="AM582" i="6"/>
  <c r="AL582" i="6"/>
  <c r="AK582" i="6"/>
  <c r="AJ582" i="6"/>
  <c r="AI582" i="6"/>
  <c r="AH582" i="6"/>
  <c r="AG582" i="6"/>
  <c r="AF582" i="6"/>
  <c r="AE582" i="6"/>
  <c r="AD582" i="6"/>
  <c r="AC582" i="6"/>
  <c r="AB582" i="6"/>
  <c r="AA582" i="6"/>
  <c r="Z582" i="6"/>
  <c r="Y582" i="6"/>
  <c r="X582" i="6"/>
  <c r="W582" i="6"/>
  <c r="V582" i="6"/>
  <c r="U582" i="6"/>
  <c r="T582" i="6"/>
  <c r="S582" i="6"/>
  <c r="R582" i="6"/>
  <c r="Q582" i="6"/>
  <c r="P582" i="6"/>
  <c r="O582" i="6"/>
  <c r="N582" i="6"/>
  <c r="M582" i="6"/>
  <c r="L582" i="6"/>
  <c r="K582" i="6"/>
  <c r="J582" i="6"/>
  <c r="I582" i="6"/>
  <c r="H582" i="6"/>
  <c r="G582" i="6"/>
  <c r="BX581" i="6"/>
  <c r="BW581" i="6"/>
  <c r="BV581" i="6"/>
  <c r="BU581" i="6"/>
  <c r="BS581" i="6"/>
  <c r="BR581" i="6"/>
  <c r="BQ581" i="6"/>
  <c r="BP581" i="6"/>
  <c r="BO581" i="6"/>
  <c r="BN581" i="6"/>
  <c r="BM581" i="6"/>
  <c r="BL581" i="6"/>
  <c r="BK581" i="6"/>
  <c r="BJ581" i="6"/>
  <c r="BI581" i="6"/>
  <c r="BH581" i="6"/>
  <c r="BG581" i="6"/>
  <c r="BF581" i="6"/>
  <c r="BE581" i="6"/>
  <c r="BD581" i="6"/>
  <c r="BC581" i="6"/>
  <c r="BB581" i="6"/>
  <c r="BA581" i="6"/>
  <c r="AZ581" i="6"/>
  <c r="AY581" i="6"/>
  <c r="AX581" i="6"/>
  <c r="AW581" i="6"/>
  <c r="AV581" i="6"/>
  <c r="AU581" i="6"/>
  <c r="AT581" i="6"/>
  <c r="AS581" i="6"/>
  <c r="AR581" i="6"/>
  <c r="AQ581" i="6"/>
  <c r="AP581" i="6"/>
  <c r="AO581" i="6"/>
  <c r="AN581" i="6"/>
  <c r="AM581" i="6"/>
  <c r="AL581" i="6"/>
  <c r="AK581" i="6"/>
  <c r="AJ581" i="6"/>
  <c r="AI581" i="6"/>
  <c r="AH581" i="6"/>
  <c r="AG581" i="6"/>
  <c r="AF581" i="6"/>
  <c r="AE581" i="6"/>
  <c r="AD581" i="6"/>
  <c r="AC581" i="6"/>
  <c r="AB581" i="6"/>
  <c r="AA581" i="6"/>
  <c r="Z581" i="6"/>
  <c r="Y581" i="6"/>
  <c r="X581" i="6"/>
  <c r="W581" i="6"/>
  <c r="V581" i="6"/>
  <c r="U581" i="6"/>
  <c r="T581" i="6"/>
  <c r="S581" i="6"/>
  <c r="R581" i="6"/>
  <c r="Q581" i="6"/>
  <c r="P581" i="6"/>
  <c r="O581" i="6"/>
  <c r="N581" i="6"/>
  <c r="M581" i="6"/>
  <c r="L581" i="6"/>
  <c r="K581" i="6"/>
  <c r="J581" i="6"/>
  <c r="I581" i="6"/>
  <c r="H581" i="6"/>
  <c r="BX580" i="6"/>
  <c r="BW580" i="6"/>
  <c r="BV580" i="6"/>
  <c r="BU580" i="6"/>
  <c r="BS580" i="6"/>
  <c r="BR580" i="6"/>
  <c r="BQ580" i="6"/>
  <c r="BP580" i="6"/>
  <c r="BN580" i="6"/>
  <c r="BM580" i="6"/>
  <c r="BL580" i="6"/>
  <c r="BK580" i="6"/>
  <c r="BI580" i="6"/>
  <c r="BH580" i="6"/>
  <c r="BG580" i="6"/>
  <c r="BF580" i="6"/>
  <c r="BD580" i="6"/>
  <c r="BC580" i="6"/>
  <c r="BB580" i="6"/>
  <c r="BA580" i="6"/>
  <c r="AY580" i="6"/>
  <c r="AX580" i="6"/>
  <c r="AW580" i="6"/>
  <c r="AV580" i="6"/>
  <c r="AT580" i="6"/>
  <c r="AS580" i="6"/>
  <c r="AR580" i="6"/>
  <c r="AQ580" i="6"/>
  <c r="AO580" i="6"/>
  <c r="AN580" i="6"/>
  <c r="AM580" i="6"/>
  <c r="AL580" i="6"/>
  <c r="AJ580" i="6"/>
  <c r="AI580" i="6"/>
  <c r="AH580" i="6"/>
  <c r="AG580" i="6"/>
  <c r="AE580" i="6"/>
  <c r="AD580" i="6"/>
  <c r="AC580" i="6"/>
  <c r="AB580" i="6"/>
  <c r="Z580" i="6"/>
  <c r="Y580" i="6"/>
  <c r="X580" i="6"/>
  <c r="W580" i="6"/>
  <c r="U580" i="6"/>
  <c r="T580" i="6"/>
  <c r="S580" i="6"/>
  <c r="R580" i="6"/>
  <c r="P580" i="6"/>
  <c r="O580" i="6"/>
  <c r="N580" i="6"/>
  <c r="M580" i="6"/>
  <c r="K580" i="6"/>
  <c r="J580" i="6"/>
  <c r="I580" i="6"/>
  <c r="H580" i="6"/>
  <c r="CA579" i="6"/>
  <c r="BZ579" i="6"/>
  <c r="BX579" i="6"/>
  <c r="BW579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CA575" i="6"/>
  <c r="BZ575" i="6"/>
  <c r="BX575" i="6"/>
  <c r="BW575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CA574" i="6"/>
  <c r="BZ574" i="6"/>
  <c r="BX574" i="6"/>
  <c r="BW574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CA573" i="6"/>
  <c r="BZ573" i="6"/>
  <c r="BX573" i="6"/>
  <c r="BW573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CA572" i="6"/>
  <c r="BZ572" i="6"/>
  <c r="BX572" i="6"/>
  <c r="BW572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CA571" i="6"/>
  <c r="BZ571" i="6"/>
  <c r="BX571" i="6"/>
  <c r="BW571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CA570" i="6"/>
  <c r="BZ570" i="6"/>
  <c r="BX570" i="6"/>
  <c r="BW570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CA569" i="6"/>
  <c r="BZ569" i="6"/>
  <c r="BX569" i="6"/>
  <c r="BW569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CA568" i="6"/>
  <c r="BZ568" i="6"/>
  <c r="BX568" i="6"/>
  <c r="BW568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CA567" i="6"/>
  <c r="BZ567" i="6"/>
  <c r="BX567" i="6"/>
  <c r="BW567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CA566" i="6"/>
  <c r="BZ566" i="6"/>
  <c r="BX566" i="6"/>
  <c r="BW566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CA565" i="6"/>
  <c r="BZ565" i="6"/>
  <c r="BX565" i="6"/>
  <c r="BW565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CA564" i="6"/>
  <c r="BZ564" i="6"/>
  <c r="BX564" i="6"/>
  <c r="BW564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CA563" i="6"/>
  <c r="BZ563" i="6"/>
  <c r="BX563" i="6"/>
  <c r="BW563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CA562" i="6"/>
  <c r="BZ562" i="6"/>
  <c r="BX562" i="6"/>
  <c r="BW562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CA561" i="6"/>
  <c r="BZ561" i="6"/>
  <c r="BX561" i="6"/>
  <c r="BW561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CA560" i="6"/>
  <c r="BZ560" i="6"/>
  <c r="BX560" i="6"/>
  <c r="BW560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CA559" i="6"/>
  <c r="BZ559" i="6"/>
  <c r="BX559" i="6"/>
  <c r="BW559" i="6"/>
  <c r="BV559" i="6"/>
  <c r="BU559" i="6"/>
  <c r="BT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CA558" i="6"/>
  <c r="BZ558" i="6"/>
  <c r="BX558" i="6"/>
  <c r="BW558" i="6"/>
  <c r="BV558" i="6"/>
  <c r="BU558" i="6"/>
  <c r="BT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CA557" i="6"/>
  <c r="BZ557" i="6"/>
  <c r="BX557" i="6"/>
  <c r="BW557" i="6"/>
  <c r="BV557" i="6"/>
  <c r="BU557" i="6"/>
  <c r="BT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CA556" i="6"/>
  <c r="BZ556" i="6"/>
  <c r="BX556" i="6"/>
  <c r="BW556" i="6"/>
  <c r="BV556" i="6"/>
  <c r="BU556" i="6"/>
  <c r="BT556" i="6"/>
  <c r="BS556" i="6"/>
  <c r="BR556" i="6"/>
  <c r="BQ556" i="6"/>
  <c r="BP556" i="6"/>
  <c r="BO556" i="6"/>
  <c r="BN556" i="6"/>
  <c r="BM556" i="6"/>
  <c r="BL556" i="6"/>
  <c r="BK556" i="6"/>
  <c r="BJ556" i="6"/>
  <c r="BI556" i="6"/>
  <c r="BH556" i="6"/>
  <c r="BG556" i="6"/>
  <c r="BF556" i="6"/>
  <c r="BE556" i="6"/>
  <c r="BD556" i="6"/>
  <c r="BC556" i="6"/>
  <c r="BB556" i="6"/>
  <c r="BA556" i="6"/>
  <c r="AZ556" i="6"/>
  <c r="AY556" i="6"/>
  <c r="AX556" i="6"/>
  <c r="AW556" i="6"/>
  <c r="AV556" i="6"/>
  <c r="AU556" i="6"/>
  <c r="AT556" i="6"/>
  <c r="AS556" i="6"/>
  <c r="AR556" i="6"/>
  <c r="AQ556" i="6"/>
  <c r="AP556" i="6"/>
  <c r="AO556" i="6"/>
  <c r="AN556" i="6"/>
  <c r="AM556" i="6"/>
  <c r="AL556" i="6"/>
  <c r="AK556" i="6"/>
  <c r="AJ556" i="6"/>
  <c r="AI556" i="6"/>
  <c r="AH556" i="6"/>
  <c r="AG556" i="6"/>
  <c r="AF556" i="6"/>
  <c r="AE556" i="6"/>
  <c r="AD556" i="6"/>
  <c r="AC556" i="6"/>
  <c r="AB556" i="6"/>
  <c r="AA556" i="6"/>
  <c r="Z556" i="6"/>
  <c r="Y556" i="6"/>
  <c r="X556" i="6"/>
  <c r="W556" i="6"/>
  <c r="V556" i="6"/>
  <c r="U556" i="6"/>
  <c r="T556" i="6"/>
  <c r="S556" i="6"/>
  <c r="R556" i="6"/>
  <c r="Q556" i="6"/>
  <c r="P556" i="6"/>
  <c r="O556" i="6"/>
  <c r="N556" i="6"/>
  <c r="M556" i="6"/>
  <c r="L556" i="6"/>
  <c r="K556" i="6"/>
  <c r="J556" i="6"/>
  <c r="I556" i="6"/>
  <c r="H556" i="6"/>
  <c r="G556" i="6"/>
  <c r="CA555" i="6"/>
  <c r="BZ555" i="6"/>
  <c r="BX555" i="6"/>
  <c r="BW555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X554" i="6"/>
  <c r="BW554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X553" i="6"/>
  <c r="BW553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X552" i="6"/>
  <c r="BW552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K552" i="6"/>
  <c r="AJ552" i="6"/>
  <c r="AI552" i="6"/>
  <c r="AH552" i="6"/>
  <c r="AG552" i="6"/>
  <c r="AF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X551" i="6"/>
  <c r="BW551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CA550" i="6"/>
  <c r="BZ550" i="6"/>
  <c r="BX550" i="6"/>
  <c r="BW550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X549" i="6"/>
  <c r="BW549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X548" i="6"/>
  <c r="BW548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X547" i="6"/>
  <c r="BW547" i="6"/>
  <c r="BV547" i="6"/>
  <c r="BU547" i="6"/>
  <c r="BS547" i="6"/>
  <c r="BR547" i="6"/>
  <c r="BQ547" i="6"/>
  <c r="BP547" i="6"/>
  <c r="BO547" i="6"/>
  <c r="BN547" i="6"/>
  <c r="BM547" i="6"/>
  <c r="BL547" i="6"/>
  <c r="BK547" i="6"/>
  <c r="BJ547" i="6"/>
  <c r="BI547" i="6"/>
  <c r="BH547" i="6"/>
  <c r="BG547" i="6"/>
  <c r="BF547" i="6"/>
  <c r="BE547" i="6"/>
  <c r="BD547" i="6"/>
  <c r="BC547" i="6"/>
  <c r="BB547" i="6"/>
  <c r="BA547" i="6"/>
  <c r="AZ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AA547" i="6"/>
  <c r="Z547" i="6"/>
  <c r="Y547" i="6"/>
  <c r="X547" i="6"/>
  <c r="W547" i="6"/>
  <c r="V547" i="6"/>
  <c r="U547" i="6"/>
  <c r="T547" i="6"/>
  <c r="S547" i="6"/>
  <c r="R547" i="6"/>
  <c r="Q547" i="6"/>
  <c r="P547" i="6"/>
  <c r="O547" i="6"/>
  <c r="N547" i="6"/>
  <c r="M547" i="6"/>
  <c r="L547" i="6"/>
  <c r="K547" i="6"/>
  <c r="J547" i="6"/>
  <c r="I547" i="6"/>
  <c r="H547" i="6"/>
  <c r="G547" i="6"/>
  <c r="BX546" i="6"/>
  <c r="BW546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CA545" i="6"/>
  <c r="BZ545" i="6"/>
  <c r="BX545" i="6"/>
  <c r="BW545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X544" i="6"/>
  <c r="BW544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X543" i="6"/>
  <c r="BW543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X542" i="6"/>
  <c r="BW542" i="6"/>
  <c r="BV542" i="6"/>
  <c r="BU542" i="6"/>
  <c r="BS542" i="6"/>
  <c r="BR542" i="6"/>
  <c r="BQ542" i="6"/>
  <c r="BP542" i="6"/>
  <c r="BO542" i="6"/>
  <c r="BN542" i="6"/>
  <c r="BM542" i="6"/>
  <c r="BL542" i="6"/>
  <c r="BK542" i="6"/>
  <c r="BI542" i="6"/>
  <c r="BH542" i="6"/>
  <c r="BG542" i="6"/>
  <c r="BF542" i="6"/>
  <c r="BD542" i="6"/>
  <c r="BC542" i="6"/>
  <c r="BB542" i="6"/>
  <c r="BA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X541" i="6"/>
  <c r="BW541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Z540" i="6"/>
  <c r="BX540" i="6"/>
  <c r="BW540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X539" i="6"/>
  <c r="BW539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X538" i="6"/>
  <c r="BW538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X537" i="6"/>
  <c r="BW537" i="6"/>
  <c r="BV537" i="6"/>
  <c r="BU537" i="6"/>
  <c r="BS537" i="6"/>
  <c r="BR537" i="6"/>
  <c r="BQ537" i="6"/>
  <c r="BP537" i="6"/>
  <c r="BN537" i="6"/>
  <c r="BM537" i="6"/>
  <c r="BL537" i="6"/>
  <c r="BK537" i="6"/>
  <c r="BJ537" i="6"/>
  <c r="BI537" i="6"/>
  <c r="BH537" i="6"/>
  <c r="BG537" i="6"/>
  <c r="BF537" i="6"/>
  <c r="BD537" i="6"/>
  <c r="BC537" i="6"/>
  <c r="BB537" i="6"/>
  <c r="BA537" i="6"/>
  <c r="AZ537" i="6"/>
  <c r="AY537" i="6"/>
  <c r="AX537" i="6"/>
  <c r="AW537" i="6"/>
  <c r="AV537" i="6"/>
  <c r="AT537" i="6"/>
  <c r="AS537" i="6"/>
  <c r="AR537" i="6"/>
  <c r="AQ537" i="6"/>
  <c r="AO537" i="6"/>
  <c r="AN537" i="6"/>
  <c r="AM537" i="6"/>
  <c r="AL537" i="6"/>
  <c r="AJ537" i="6"/>
  <c r="AI537" i="6"/>
  <c r="AH537" i="6"/>
  <c r="AG537" i="6"/>
  <c r="AE537" i="6"/>
  <c r="AD537" i="6"/>
  <c r="AC537" i="6"/>
  <c r="AB537" i="6"/>
  <c r="Z537" i="6"/>
  <c r="Y537" i="6"/>
  <c r="X537" i="6"/>
  <c r="W537" i="6"/>
  <c r="U537" i="6"/>
  <c r="T537" i="6"/>
  <c r="S537" i="6"/>
  <c r="R537" i="6"/>
  <c r="P537" i="6"/>
  <c r="O537" i="6"/>
  <c r="N537" i="6"/>
  <c r="M537" i="6"/>
  <c r="K537" i="6"/>
  <c r="J537" i="6"/>
  <c r="I537" i="6"/>
  <c r="H537" i="6"/>
  <c r="G537" i="6"/>
  <c r="BX536" i="6"/>
  <c r="BW536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BZ535" i="6"/>
  <c r="BX535" i="6"/>
  <c r="BW535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X534" i="6"/>
  <c r="BW534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X533" i="6"/>
  <c r="BW533" i="6"/>
  <c r="BV533" i="6"/>
  <c r="BU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X532" i="6"/>
  <c r="BW532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X531" i="6"/>
  <c r="BW531" i="6"/>
  <c r="BV531" i="6"/>
  <c r="BU531" i="6"/>
  <c r="BS531" i="6"/>
  <c r="BR531" i="6"/>
  <c r="BQ531" i="6"/>
  <c r="BP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CA530" i="6"/>
  <c r="BZ530" i="6"/>
  <c r="BX530" i="6"/>
  <c r="BW530" i="6"/>
  <c r="BV530" i="6"/>
  <c r="BU530" i="6"/>
  <c r="BT530" i="6"/>
  <c r="BS530" i="6"/>
  <c r="BR530" i="6"/>
  <c r="BQ530" i="6"/>
  <c r="BP530" i="6"/>
  <c r="BO530" i="6"/>
  <c r="BN530" i="6"/>
  <c r="BM530" i="6"/>
  <c r="BL530" i="6"/>
  <c r="BK530" i="6"/>
  <c r="BJ530" i="6"/>
  <c r="BI530" i="6"/>
  <c r="BH530" i="6"/>
  <c r="BG530" i="6"/>
  <c r="BF530" i="6"/>
  <c r="BE530" i="6"/>
  <c r="BD530" i="6"/>
  <c r="BC530" i="6"/>
  <c r="BB530" i="6"/>
  <c r="BA530" i="6"/>
  <c r="AZ530" i="6"/>
  <c r="AY530" i="6"/>
  <c r="AX530" i="6"/>
  <c r="AW530" i="6"/>
  <c r="AV530" i="6"/>
  <c r="AU530" i="6"/>
  <c r="AT530" i="6"/>
  <c r="AS530" i="6"/>
  <c r="AR530" i="6"/>
  <c r="AQ530" i="6"/>
  <c r="AP530" i="6"/>
  <c r="AO530" i="6"/>
  <c r="AN530" i="6"/>
  <c r="AM530" i="6"/>
  <c r="AL530" i="6"/>
  <c r="AK530" i="6"/>
  <c r="AJ530" i="6"/>
  <c r="AI530" i="6"/>
  <c r="AH530" i="6"/>
  <c r="AG530" i="6"/>
  <c r="AF530" i="6"/>
  <c r="AE530" i="6"/>
  <c r="AD530" i="6"/>
  <c r="AC530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BX529" i="6"/>
  <c r="BW529" i="6"/>
  <c r="BV529" i="6"/>
  <c r="BU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CA528" i="6"/>
  <c r="BZ528" i="6"/>
  <c r="BX528" i="6"/>
  <c r="BW528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X527" i="6"/>
  <c r="BW527" i="6"/>
  <c r="BV527" i="6"/>
  <c r="BU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BX526" i="6"/>
  <c r="BW526" i="6"/>
  <c r="BV526" i="6"/>
  <c r="BU526" i="6"/>
  <c r="BS526" i="6"/>
  <c r="BR526" i="6"/>
  <c r="BQ526" i="6"/>
  <c r="BP526" i="6"/>
  <c r="BO526" i="6"/>
  <c r="BN526" i="6"/>
  <c r="BM526" i="6"/>
  <c r="BL526" i="6"/>
  <c r="BK526" i="6"/>
  <c r="BI526" i="6"/>
  <c r="BH526" i="6"/>
  <c r="BG526" i="6"/>
  <c r="BF526" i="6"/>
  <c r="BD526" i="6"/>
  <c r="BC526" i="6"/>
  <c r="BB526" i="6"/>
  <c r="BA526" i="6"/>
  <c r="AY526" i="6"/>
  <c r="AX526" i="6"/>
  <c r="AW526" i="6"/>
  <c r="AV526" i="6"/>
  <c r="AT526" i="6"/>
  <c r="AS526" i="6"/>
  <c r="AR526" i="6"/>
  <c r="AQ526" i="6"/>
  <c r="AO526" i="6"/>
  <c r="AN526" i="6"/>
  <c r="AM526" i="6"/>
  <c r="AL526" i="6"/>
  <c r="AJ526" i="6"/>
  <c r="AI526" i="6"/>
  <c r="AH526" i="6"/>
  <c r="AG526" i="6"/>
  <c r="AE526" i="6"/>
  <c r="AD526" i="6"/>
  <c r="AC526" i="6"/>
  <c r="AB526" i="6"/>
  <c r="Z526" i="6"/>
  <c r="Y526" i="6"/>
  <c r="X526" i="6"/>
  <c r="W526" i="6"/>
  <c r="U526" i="6"/>
  <c r="T526" i="6"/>
  <c r="S526" i="6"/>
  <c r="R526" i="6"/>
  <c r="P526" i="6"/>
  <c r="O526" i="6"/>
  <c r="N526" i="6"/>
  <c r="M526" i="6"/>
  <c r="K526" i="6"/>
  <c r="J526" i="6"/>
  <c r="I526" i="6"/>
  <c r="H526" i="6"/>
  <c r="G526" i="6"/>
  <c r="BX525" i="6"/>
  <c r="BW525" i="6"/>
  <c r="BV525" i="6"/>
  <c r="BU525" i="6"/>
  <c r="BS525" i="6"/>
  <c r="BR525" i="6"/>
  <c r="BQ525" i="6"/>
  <c r="BP525" i="6"/>
  <c r="BN525" i="6"/>
  <c r="BM525" i="6"/>
  <c r="BL525" i="6"/>
  <c r="BK525" i="6"/>
  <c r="BI525" i="6"/>
  <c r="BH525" i="6"/>
  <c r="BG525" i="6"/>
  <c r="BF525" i="6"/>
  <c r="BD525" i="6"/>
  <c r="BC525" i="6"/>
  <c r="BB525" i="6"/>
  <c r="BA525" i="6"/>
  <c r="AY525" i="6"/>
  <c r="AX525" i="6"/>
  <c r="AW525" i="6"/>
  <c r="AV525" i="6"/>
  <c r="AT525" i="6"/>
  <c r="AS525" i="6"/>
  <c r="AR525" i="6"/>
  <c r="AQ525" i="6"/>
  <c r="AO525" i="6"/>
  <c r="AN525" i="6"/>
  <c r="AM525" i="6"/>
  <c r="AL525" i="6"/>
  <c r="AJ525" i="6"/>
  <c r="AI525" i="6"/>
  <c r="AH525" i="6"/>
  <c r="AG525" i="6"/>
  <c r="AE525" i="6"/>
  <c r="AD525" i="6"/>
  <c r="AC525" i="6"/>
  <c r="AB525" i="6"/>
  <c r="Z525" i="6"/>
  <c r="Y525" i="6"/>
  <c r="X525" i="6"/>
  <c r="W525" i="6"/>
  <c r="U525" i="6"/>
  <c r="T525" i="6"/>
  <c r="S525" i="6"/>
  <c r="R525" i="6"/>
  <c r="P525" i="6"/>
  <c r="O525" i="6"/>
  <c r="N525" i="6"/>
  <c r="M525" i="6"/>
  <c r="K525" i="6"/>
  <c r="J525" i="6"/>
  <c r="I525" i="6"/>
  <c r="H525" i="6"/>
  <c r="CA524" i="6"/>
  <c r="BZ524" i="6"/>
  <c r="BX524" i="6"/>
  <c r="BW524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CA523" i="6"/>
  <c r="BZ523" i="6"/>
  <c r="BX523" i="6"/>
  <c r="BW523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CA522" i="6"/>
  <c r="BZ522" i="6"/>
  <c r="BX522" i="6"/>
  <c r="BW522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CA521" i="6"/>
  <c r="BZ521" i="6"/>
  <c r="BX521" i="6"/>
  <c r="BW521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CA520" i="6"/>
  <c r="BZ520" i="6"/>
  <c r="BX520" i="6"/>
  <c r="BW520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CA519" i="6"/>
  <c r="BZ519" i="6"/>
  <c r="BX519" i="6"/>
  <c r="BW519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CA518" i="6"/>
  <c r="BZ518" i="6"/>
  <c r="BX518" i="6"/>
  <c r="BW518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CA517" i="6"/>
  <c r="BZ517" i="6"/>
  <c r="BX517" i="6"/>
  <c r="BW517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CA516" i="6"/>
  <c r="BZ516" i="6"/>
  <c r="BX516" i="6"/>
  <c r="BW516" i="6"/>
  <c r="BV516" i="6"/>
  <c r="BU516" i="6"/>
  <c r="BT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CA515" i="6"/>
  <c r="BZ515" i="6"/>
  <c r="BX515" i="6"/>
  <c r="BW515" i="6"/>
  <c r="BV515" i="6"/>
  <c r="BU515" i="6"/>
  <c r="BT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CA514" i="6"/>
  <c r="BZ514" i="6"/>
  <c r="BX514" i="6"/>
  <c r="BW514" i="6"/>
  <c r="BV514" i="6"/>
  <c r="BU514" i="6"/>
  <c r="BT514" i="6"/>
  <c r="BS514" i="6"/>
  <c r="BR514" i="6"/>
  <c r="BQ514" i="6"/>
  <c r="BP514" i="6"/>
  <c r="BO514" i="6"/>
  <c r="BN514" i="6"/>
  <c r="BM514" i="6"/>
  <c r="BL514" i="6"/>
  <c r="BK514" i="6"/>
  <c r="BJ514" i="6"/>
  <c r="BI514" i="6"/>
  <c r="BH514" i="6"/>
  <c r="BG514" i="6"/>
  <c r="BF514" i="6"/>
  <c r="BE514" i="6"/>
  <c r="BD514" i="6"/>
  <c r="BC514" i="6"/>
  <c r="BB514" i="6"/>
  <c r="BA514" i="6"/>
  <c r="AZ514" i="6"/>
  <c r="AY514" i="6"/>
  <c r="AX514" i="6"/>
  <c r="AW514" i="6"/>
  <c r="AV514" i="6"/>
  <c r="AU514" i="6"/>
  <c r="AT514" i="6"/>
  <c r="AS514" i="6"/>
  <c r="AR514" i="6"/>
  <c r="AQ514" i="6"/>
  <c r="AP514" i="6"/>
  <c r="AO514" i="6"/>
  <c r="AN514" i="6"/>
  <c r="AM514" i="6"/>
  <c r="AL514" i="6"/>
  <c r="AK514" i="6"/>
  <c r="AJ514" i="6"/>
  <c r="AI514" i="6"/>
  <c r="AH514" i="6"/>
  <c r="AG514" i="6"/>
  <c r="AF514" i="6"/>
  <c r="AE514" i="6"/>
  <c r="AD514" i="6"/>
  <c r="AC514" i="6"/>
  <c r="AB514" i="6"/>
  <c r="AA514" i="6"/>
  <c r="Z514" i="6"/>
  <c r="Y514" i="6"/>
  <c r="X514" i="6"/>
  <c r="W514" i="6"/>
  <c r="V514" i="6"/>
  <c r="U514" i="6"/>
  <c r="T514" i="6"/>
  <c r="S514" i="6"/>
  <c r="R514" i="6"/>
  <c r="Q514" i="6"/>
  <c r="P514" i="6"/>
  <c r="O514" i="6"/>
  <c r="N514" i="6"/>
  <c r="M514" i="6"/>
  <c r="L514" i="6"/>
  <c r="K514" i="6"/>
  <c r="J514" i="6"/>
  <c r="I514" i="6"/>
  <c r="H514" i="6"/>
  <c r="G514" i="6"/>
  <c r="CA513" i="6"/>
  <c r="BZ513" i="6"/>
  <c r="BX513" i="6"/>
  <c r="BW513" i="6"/>
  <c r="BV513" i="6"/>
  <c r="BU513" i="6"/>
  <c r="BT513" i="6"/>
  <c r="BS513" i="6"/>
  <c r="BR513" i="6"/>
  <c r="BQ513" i="6"/>
  <c r="BP513" i="6"/>
  <c r="BO513" i="6"/>
  <c r="BN513" i="6"/>
  <c r="BM513" i="6"/>
  <c r="BL513" i="6"/>
  <c r="BK513" i="6"/>
  <c r="BJ513" i="6"/>
  <c r="BI513" i="6"/>
  <c r="BH513" i="6"/>
  <c r="BG513" i="6"/>
  <c r="BF513" i="6"/>
  <c r="BE513" i="6"/>
  <c r="BD513" i="6"/>
  <c r="BC513" i="6"/>
  <c r="BB513" i="6"/>
  <c r="BA513" i="6"/>
  <c r="AZ513" i="6"/>
  <c r="AY513" i="6"/>
  <c r="AX513" i="6"/>
  <c r="AW513" i="6"/>
  <c r="AV513" i="6"/>
  <c r="AU513" i="6"/>
  <c r="AT513" i="6"/>
  <c r="AS513" i="6"/>
  <c r="AR513" i="6"/>
  <c r="AQ513" i="6"/>
  <c r="AP513" i="6"/>
  <c r="AO513" i="6"/>
  <c r="AN513" i="6"/>
  <c r="AM513" i="6"/>
  <c r="AL513" i="6"/>
  <c r="AK513" i="6"/>
  <c r="AJ513" i="6"/>
  <c r="AI513" i="6"/>
  <c r="AH513" i="6"/>
  <c r="AG513" i="6"/>
  <c r="AF513" i="6"/>
  <c r="AE513" i="6"/>
  <c r="AD513" i="6"/>
  <c r="AC513" i="6"/>
  <c r="AB513" i="6"/>
  <c r="AA513" i="6"/>
  <c r="Z513" i="6"/>
  <c r="Y513" i="6"/>
  <c r="X513" i="6"/>
  <c r="W513" i="6"/>
  <c r="V513" i="6"/>
  <c r="U513" i="6"/>
  <c r="T513" i="6"/>
  <c r="S513" i="6"/>
  <c r="R513" i="6"/>
  <c r="Q513" i="6"/>
  <c r="P513" i="6"/>
  <c r="O513" i="6"/>
  <c r="N513" i="6"/>
  <c r="M513" i="6"/>
  <c r="L513" i="6"/>
  <c r="K513" i="6"/>
  <c r="J513" i="6"/>
  <c r="I513" i="6"/>
  <c r="H513" i="6"/>
  <c r="G513" i="6"/>
  <c r="CA512" i="6"/>
  <c r="BZ512" i="6"/>
  <c r="BX512" i="6"/>
  <c r="BW512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X511" i="6"/>
  <c r="BW511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X510" i="6"/>
  <c r="BW510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X509" i="6"/>
  <c r="BW509" i="6"/>
  <c r="BV509" i="6"/>
  <c r="BU509" i="6"/>
  <c r="BS509" i="6"/>
  <c r="BR509" i="6"/>
  <c r="BQ509" i="6"/>
  <c r="BP509" i="6"/>
  <c r="BN509" i="6"/>
  <c r="BM509" i="6"/>
  <c r="BL509" i="6"/>
  <c r="BK509" i="6"/>
  <c r="BI509" i="6"/>
  <c r="BH509" i="6"/>
  <c r="BG509" i="6"/>
  <c r="BF509" i="6"/>
  <c r="BD509" i="6"/>
  <c r="BC509" i="6"/>
  <c r="BB509" i="6"/>
  <c r="BA509" i="6"/>
  <c r="AY509" i="6"/>
  <c r="AX509" i="6"/>
  <c r="AW509" i="6"/>
  <c r="AV509" i="6"/>
  <c r="AT509" i="6"/>
  <c r="AS509" i="6"/>
  <c r="AR509" i="6"/>
  <c r="AQ509" i="6"/>
  <c r="AO509" i="6"/>
  <c r="AN509" i="6"/>
  <c r="AM509" i="6"/>
  <c r="AL509" i="6"/>
  <c r="AJ509" i="6"/>
  <c r="AI509" i="6"/>
  <c r="AH509" i="6"/>
  <c r="AG509" i="6"/>
  <c r="AE509" i="6"/>
  <c r="AD509" i="6"/>
  <c r="AC509" i="6"/>
  <c r="AB509" i="6"/>
  <c r="Z509" i="6"/>
  <c r="Y509" i="6"/>
  <c r="X509" i="6"/>
  <c r="W509" i="6"/>
  <c r="U509" i="6"/>
  <c r="T509" i="6"/>
  <c r="S509" i="6"/>
  <c r="R509" i="6"/>
  <c r="P509" i="6"/>
  <c r="O509" i="6"/>
  <c r="N509" i="6"/>
  <c r="M509" i="6"/>
  <c r="K509" i="6"/>
  <c r="J509" i="6"/>
  <c r="I509" i="6"/>
  <c r="H509" i="6"/>
  <c r="G509" i="6"/>
  <c r="BX508" i="6"/>
  <c r="BW508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X507" i="6"/>
  <c r="BW507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X506" i="6"/>
  <c r="BW506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X505" i="6"/>
  <c r="BW505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X504" i="6"/>
  <c r="BW504" i="6"/>
  <c r="BV504" i="6"/>
  <c r="BU504" i="6"/>
  <c r="BS504" i="6"/>
  <c r="BR504" i="6"/>
  <c r="BQ504" i="6"/>
  <c r="BP504" i="6"/>
  <c r="BO504" i="6"/>
  <c r="BN504" i="6"/>
  <c r="BM504" i="6"/>
  <c r="BL504" i="6"/>
  <c r="BK504" i="6"/>
  <c r="BJ504" i="6"/>
  <c r="BI504" i="6"/>
  <c r="BH504" i="6"/>
  <c r="BG504" i="6"/>
  <c r="BF504" i="6"/>
  <c r="BE504" i="6"/>
  <c r="BD504" i="6"/>
  <c r="BC504" i="6"/>
  <c r="BB504" i="6"/>
  <c r="BA504" i="6"/>
  <c r="AZ504" i="6"/>
  <c r="AY504" i="6"/>
  <c r="AX504" i="6"/>
  <c r="AW504" i="6"/>
  <c r="AV504" i="6"/>
  <c r="AU504" i="6"/>
  <c r="AT504" i="6"/>
  <c r="AS504" i="6"/>
  <c r="AR504" i="6"/>
  <c r="AQ504" i="6"/>
  <c r="AP504" i="6"/>
  <c r="AO504" i="6"/>
  <c r="AN504" i="6"/>
  <c r="AM504" i="6"/>
  <c r="AL504" i="6"/>
  <c r="AK504" i="6"/>
  <c r="AJ504" i="6"/>
  <c r="AI504" i="6"/>
  <c r="AH504" i="6"/>
  <c r="AG504" i="6"/>
  <c r="AF504" i="6"/>
  <c r="AE504" i="6"/>
  <c r="AD504" i="6"/>
  <c r="AC504" i="6"/>
  <c r="AB504" i="6"/>
  <c r="AA504" i="6"/>
  <c r="Z504" i="6"/>
  <c r="Y504" i="6"/>
  <c r="X504" i="6"/>
  <c r="W504" i="6"/>
  <c r="V504" i="6"/>
  <c r="U504" i="6"/>
  <c r="T504" i="6"/>
  <c r="S504" i="6"/>
  <c r="R504" i="6"/>
  <c r="Q504" i="6"/>
  <c r="P504" i="6"/>
  <c r="O504" i="6"/>
  <c r="N504" i="6"/>
  <c r="M504" i="6"/>
  <c r="L504" i="6"/>
  <c r="K504" i="6"/>
  <c r="J504" i="6"/>
  <c r="I504" i="6"/>
  <c r="H504" i="6"/>
  <c r="G504" i="6"/>
  <c r="BX503" i="6"/>
  <c r="BW503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X502" i="6"/>
  <c r="BW502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X501" i="6"/>
  <c r="BW501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X500" i="6"/>
  <c r="BW500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X499" i="6"/>
  <c r="BW499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X498" i="6"/>
  <c r="BW498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X497" i="6"/>
  <c r="BW497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X496" i="6"/>
  <c r="BW496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X495" i="6"/>
  <c r="BW495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X494" i="6"/>
  <c r="BW494" i="6"/>
  <c r="BV494" i="6"/>
  <c r="BU494" i="6"/>
  <c r="BS494" i="6"/>
  <c r="BR494" i="6"/>
  <c r="BQ494" i="6"/>
  <c r="BP494" i="6"/>
  <c r="BN494" i="6"/>
  <c r="BM494" i="6"/>
  <c r="BL494" i="6"/>
  <c r="BK494" i="6"/>
  <c r="BI494" i="6"/>
  <c r="BH494" i="6"/>
  <c r="BG494" i="6"/>
  <c r="BF494" i="6"/>
  <c r="BD494" i="6"/>
  <c r="BC494" i="6"/>
  <c r="BB494" i="6"/>
  <c r="BA494" i="6"/>
  <c r="AY494" i="6"/>
  <c r="AX494" i="6"/>
  <c r="AW494" i="6"/>
  <c r="AV494" i="6"/>
  <c r="AT494" i="6"/>
  <c r="AS494" i="6"/>
  <c r="AR494" i="6"/>
  <c r="AQ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X493" i="6"/>
  <c r="BW493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X492" i="6"/>
  <c r="BW492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X491" i="6"/>
  <c r="BW491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X490" i="6"/>
  <c r="BW490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X489" i="6"/>
  <c r="BW489" i="6"/>
  <c r="BV489" i="6"/>
  <c r="BU489" i="6"/>
  <c r="BS489" i="6"/>
  <c r="BR489" i="6"/>
  <c r="BQ489" i="6"/>
  <c r="BP489" i="6"/>
  <c r="BO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X488" i="6"/>
  <c r="BW488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X487" i="6"/>
  <c r="BW487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X486" i="6"/>
  <c r="BW486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X485" i="6"/>
  <c r="BW485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X484" i="6"/>
  <c r="BW484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Y484" i="6"/>
  <c r="AX484" i="6"/>
  <c r="AW484" i="6"/>
  <c r="AV484" i="6"/>
  <c r="AT484" i="6"/>
  <c r="AS484" i="6"/>
  <c r="AR484" i="6"/>
  <c r="AQ484" i="6"/>
  <c r="AO484" i="6"/>
  <c r="AN484" i="6"/>
  <c r="AM484" i="6"/>
  <c r="AL484" i="6"/>
  <c r="AJ484" i="6"/>
  <c r="AI484" i="6"/>
  <c r="AH484" i="6"/>
  <c r="AG484" i="6"/>
  <c r="AE484" i="6"/>
  <c r="AD484" i="6"/>
  <c r="AC484" i="6"/>
  <c r="AB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X483" i="6"/>
  <c r="BW483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X482" i="6"/>
  <c r="BW482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X481" i="6"/>
  <c r="BW481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X480" i="6"/>
  <c r="BW480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X479" i="6"/>
  <c r="BW479" i="6"/>
  <c r="BV479" i="6"/>
  <c r="BU479" i="6"/>
  <c r="BS479" i="6"/>
  <c r="BR479" i="6"/>
  <c r="BQ479" i="6"/>
  <c r="BP479" i="6"/>
  <c r="BN479" i="6"/>
  <c r="BM479" i="6"/>
  <c r="BL479" i="6"/>
  <c r="BK479" i="6"/>
  <c r="BI479" i="6"/>
  <c r="BH479" i="6"/>
  <c r="BG479" i="6"/>
  <c r="BF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Z479" i="6"/>
  <c r="Y479" i="6"/>
  <c r="X479" i="6"/>
  <c r="W479" i="6"/>
  <c r="V479" i="6"/>
  <c r="U479" i="6"/>
  <c r="T479" i="6"/>
  <c r="S479" i="6"/>
  <c r="R479" i="6"/>
  <c r="P479" i="6"/>
  <c r="O479" i="6"/>
  <c r="N479" i="6"/>
  <c r="M479" i="6"/>
  <c r="K479" i="6"/>
  <c r="J479" i="6"/>
  <c r="I479" i="6"/>
  <c r="H479" i="6"/>
  <c r="G479" i="6"/>
  <c r="BX478" i="6"/>
  <c r="BW478" i="6"/>
  <c r="BV478" i="6"/>
  <c r="BU478" i="6"/>
  <c r="BS478" i="6"/>
  <c r="BR478" i="6"/>
  <c r="BQ478" i="6"/>
  <c r="BP478" i="6"/>
  <c r="BN478" i="6"/>
  <c r="BM478" i="6"/>
  <c r="BL478" i="6"/>
  <c r="BK478" i="6"/>
  <c r="BI478" i="6"/>
  <c r="BH478" i="6"/>
  <c r="BG478" i="6"/>
  <c r="BF478" i="6"/>
  <c r="BD478" i="6"/>
  <c r="BC478" i="6"/>
  <c r="BB478" i="6"/>
  <c r="BA478" i="6"/>
  <c r="AY478" i="6"/>
  <c r="AX478" i="6"/>
  <c r="AW478" i="6"/>
  <c r="AV478" i="6"/>
  <c r="AT478" i="6"/>
  <c r="AS478" i="6"/>
  <c r="AR478" i="6"/>
  <c r="AQ478" i="6"/>
  <c r="AO478" i="6"/>
  <c r="AN478" i="6"/>
  <c r="AM478" i="6"/>
  <c r="AL478" i="6"/>
  <c r="AJ478" i="6"/>
  <c r="AI478" i="6"/>
  <c r="AH478" i="6"/>
  <c r="AG478" i="6"/>
  <c r="AE478" i="6"/>
  <c r="AD478" i="6"/>
  <c r="AC478" i="6"/>
  <c r="AB478" i="6"/>
  <c r="Z478" i="6"/>
  <c r="Y478" i="6"/>
  <c r="X478" i="6"/>
  <c r="W478" i="6"/>
  <c r="U478" i="6"/>
  <c r="T478" i="6"/>
  <c r="S478" i="6"/>
  <c r="R478" i="6"/>
  <c r="P478" i="6"/>
  <c r="O478" i="6"/>
  <c r="N478" i="6"/>
  <c r="M478" i="6"/>
  <c r="K478" i="6"/>
  <c r="J478" i="6"/>
  <c r="I478" i="6"/>
  <c r="H478" i="6"/>
  <c r="BZ477" i="6"/>
  <c r="BX477" i="6"/>
  <c r="BW477" i="6"/>
  <c r="BV477" i="6"/>
  <c r="BU477" i="6"/>
  <c r="BT477" i="6"/>
  <c r="BS477" i="6"/>
  <c r="BR477" i="6"/>
  <c r="BQ477" i="6"/>
  <c r="BP477" i="6"/>
  <c r="BO477" i="6"/>
  <c r="BN477" i="6"/>
  <c r="BM477" i="6"/>
  <c r="BL477" i="6"/>
  <c r="BK477" i="6"/>
  <c r="BJ477" i="6"/>
  <c r="BI477" i="6"/>
  <c r="BH477" i="6"/>
  <c r="BG477" i="6"/>
  <c r="BF477" i="6"/>
  <c r="BE477" i="6"/>
  <c r="BD477" i="6"/>
  <c r="BC477" i="6"/>
  <c r="BB477" i="6"/>
  <c r="BA477" i="6"/>
  <c r="AZ477" i="6"/>
  <c r="AY477" i="6"/>
  <c r="AX477" i="6"/>
  <c r="AW477" i="6"/>
  <c r="AV477" i="6"/>
  <c r="AU477" i="6"/>
  <c r="AT477" i="6"/>
  <c r="AS477" i="6"/>
  <c r="AR477" i="6"/>
  <c r="AQ477" i="6"/>
  <c r="AP477" i="6"/>
  <c r="AO477" i="6"/>
  <c r="AN477" i="6"/>
  <c r="AM477" i="6"/>
  <c r="AL477" i="6"/>
  <c r="AK477" i="6"/>
  <c r="AJ477" i="6"/>
  <c r="AI477" i="6"/>
  <c r="AH477" i="6"/>
  <c r="AG477" i="6"/>
  <c r="AF477" i="6"/>
  <c r="AE477" i="6"/>
  <c r="AD477" i="6"/>
  <c r="AC477" i="6"/>
  <c r="AB477" i="6"/>
  <c r="AA477" i="6"/>
  <c r="Z477" i="6"/>
  <c r="Y477" i="6"/>
  <c r="X477" i="6"/>
  <c r="W477" i="6"/>
  <c r="V477" i="6"/>
  <c r="U477" i="6"/>
  <c r="T477" i="6"/>
  <c r="S477" i="6"/>
  <c r="R477" i="6"/>
  <c r="Q477" i="6"/>
  <c r="P477" i="6"/>
  <c r="O477" i="6"/>
  <c r="N477" i="6"/>
  <c r="M477" i="6"/>
  <c r="L477" i="6"/>
  <c r="K477" i="6"/>
  <c r="J477" i="6"/>
  <c r="I477" i="6"/>
  <c r="H477" i="6"/>
  <c r="G477" i="6"/>
  <c r="BX476" i="6"/>
  <c r="BW476" i="6"/>
  <c r="BV476" i="6"/>
  <c r="BU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X475" i="6"/>
  <c r="BW475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X474" i="6"/>
  <c r="BW474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X473" i="6"/>
  <c r="BW473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X472" i="6"/>
  <c r="BW472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BZ471" i="6"/>
  <c r="BX471" i="6"/>
  <c r="BW471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X470" i="6"/>
  <c r="BW470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X469" i="6"/>
  <c r="BW469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X468" i="6"/>
  <c r="BW468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X467" i="6"/>
  <c r="BW467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CA466" i="6"/>
  <c r="BZ466" i="6"/>
  <c r="BX466" i="6"/>
  <c r="BW466" i="6"/>
  <c r="BV466" i="6"/>
  <c r="BU466" i="6"/>
  <c r="BT466" i="6"/>
  <c r="BS466" i="6"/>
  <c r="BR466" i="6"/>
  <c r="BQ466" i="6"/>
  <c r="BP466" i="6"/>
  <c r="BO466" i="6"/>
  <c r="BN466" i="6"/>
  <c r="BM466" i="6"/>
  <c r="BL466" i="6"/>
  <c r="BK466" i="6"/>
  <c r="BJ466" i="6"/>
  <c r="BI466" i="6"/>
  <c r="BH466" i="6"/>
  <c r="BG466" i="6"/>
  <c r="BF466" i="6"/>
  <c r="BE466" i="6"/>
  <c r="BD466" i="6"/>
  <c r="BC466" i="6"/>
  <c r="BB466" i="6"/>
  <c r="BA466" i="6"/>
  <c r="AZ466" i="6"/>
  <c r="AY466" i="6"/>
  <c r="AX466" i="6"/>
  <c r="AW466" i="6"/>
  <c r="AV466" i="6"/>
  <c r="AU466" i="6"/>
  <c r="AT466" i="6"/>
  <c r="AS466" i="6"/>
  <c r="AR466" i="6"/>
  <c r="AQ466" i="6"/>
  <c r="AP466" i="6"/>
  <c r="AO466" i="6"/>
  <c r="AN466" i="6"/>
  <c r="AM466" i="6"/>
  <c r="AL466" i="6"/>
  <c r="AK466" i="6"/>
  <c r="AJ466" i="6"/>
  <c r="AI466" i="6"/>
  <c r="AH466" i="6"/>
  <c r="AG466" i="6"/>
  <c r="AF466" i="6"/>
  <c r="AE466" i="6"/>
  <c r="AD466" i="6"/>
  <c r="AC466" i="6"/>
  <c r="AB466" i="6"/>
  <c r="AA466" i="6"/>
  <c r="Z46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BX465" i="6"/>
  <c r="BW465" i="6"/>
  <c r="BV465" i="6"/>
  <c r="BU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CA464" i="6"/>
  <c r="BX464" i="6"/>
  <c r="BW464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X463" i="6"/>
  <c r="BW463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X462" i="6"/>
  <c r="BW462" i="6"/>
  <c r="BV462" i="6"/>
  <c r="BU462" i="6"/>
  <c r="BS462" i="6"/>
  <c r="BR462" i="6"/>
  <c r="BQ462" i="6"/>
  <c r="BP462" i="6"/>
  <c r="BO462" i="6"/>
  <c r="BN462" i="6"/>
  <c r="BM462" i="6"/>
  <c r="BL462" i="6"/>
  <c r="BK462" i="6"/>
  <c r="BI462" i="6"/>
  <c r="BH462" i="6"/>
  <c r="BG462" i="6"/>
  <c r="BF462" i="6"/>
  <c r="BD462" i="6"/>
  <c r="BC462" i="6"/>
  <c r="BB462" i="6"/>
  <c r="BA462" i="6"/>
  <c r="AY462" i="6"/>
  <c r="AX462" i="6"/>
  <c r="AW462" i="6"/>
  <c r="AV462" i="6"/>
  <c r="AT462" i="6"/>
  <c r="AS462" i="6"/>
  <c r="AR462" i="6"/>
  <c r="AQ462" i="6"/>
  <c r="AO462" i="6"/>
  <c r="AN462" i="6"/>
  <c r="AM462" i="6"/>
  <c r="AL462" i="6"/>
  <c r="AJ462" i="6"/>
  <c r="AI462" i="6"/>
  <c r="AH462" i="6"/>
  <c r="AG462" i="6"/>
  <c r="AE462" i="6"/>
  <c r="AD462" i="6"/>
  <c r="AC462" i="6"/>
  <c r="AB462" i="6"/>
  <c r="Z462" i="6"/>
  <c r="Y462" i="6"/>
  <c r="X462" i="6"/>
  <c r="W462" i="6"/>
  <c r="U462" i="6"/>
  <c r="T462" i="6"/>
  <c r="S462" i="6"/>
  <c r="R462" i="6"/>
  <c r="P462" i="6"/>
  <c r="O462" i="6"/>
  <c r="N462" i="6"/>
  <c r="M462" i="6"/>
  <c r="K462" i="6"/>
  <c r="J462" i="6"/>
  <c r="I462" i="6"/>
  <c r="H462" i="6"/>
  <c r="G462" i="6"/>
  <c r="BX461" i="6"/>
  <c r="BW461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BX460" i="6"/>
  <c r="BW460" i="6"/>
  <c r="BV460" i="6"/>
  <c r="BU460" i="6"/>
  <c r="BT460" i="6"/>
  <c r="BS460" i="6"/>
  <c r="BR460" i="6"/>
  <c r="BQ460" i="6"/>
  <c r="BP460" i="6"/>
  <c r="BO460" i="6"/>
  <c r="BN460" i="6"/>
  <c r="BM460" i="6"/>
  <c r="BL460" i="6"/>
  <c r="BK460" i="6"/>
  <c r="BJ460" i="6"/>
  <c r="BI460" i="6"/>
  <c r="BH460" i="6"/>
  <c r="BG460" i="6"/>
  <c r="BF460" i="6"/>
  <c r="BE460" i="6"/>
  <c r="BD460" i="6"/>
  <c r="BC460" i="6"/>
  <c r="BB460" i="6"/>
  <c r="BA460" i="6"/>
  <c r="AZ460" i="6"/>
  <c r="AY460" i="6"/>
  <c r="AX460" i="6"/>
  <c r="AW460" i="6"/>
  <c r="AV460" i="6"/>
  <c r="AU460" i="6"/>
  <c r="AT460" i="6"/>
  <c r="AS460" i="6"/>
  <c r="AR460" i="6"/>
  <c r="AQ460" i="6"/>
  <c r="AP460" i="6"/>
  <c r="AO460" i="6"/>
  <c r="AN460" i="6"/>
  <c r="AM460" i="6"/>
  <c r="AL460" i="6"/>
  <c r="AK460" i="6"/>
  <c r="AJ460" i="6"/>
  <c r="AI460" i="6"/>
  <c r="AH460" i="6"/>
  <c r="AG460" i="6"/>
  <c r="AF460" i="6"/>
  <c r="AE460" i="6"/>
  <c r="AD460" i="6"/>
  <c r="AC460" i="6"/>
  <c r="AB460" i="6"/>
  <c r="AA460" i="6"/>
  <c r="Z460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BX459" i="6"/>
  <c r="BW459" i="6"/>
  <c r="BV459" i="6"/>
  <c r="BU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X458" i="6"/>
  <c r="BW458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X457" i="6"/>
  <c r="BW457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X456" i="6"/>
  <c r="BW456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X455" i="6"/>
  <c r="BW455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CA454" i="6"/>
  <c r="BZ454" i="6"/>
  <c r="BX454" i="6"/>
  <c r="BW454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X453" i="6"/>
  <c r="BW453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X452" i="6"/>
  <c r="BW452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X451" i="6"/>
  <c r="BW451" i="6"/>
  <c r="BV451" i="6"/>
  <c r="BU451" i="6"/>
  <c r="BS451" i="6"/>
  <c r="BR451" i="6"/>
  <c r="BQ451" i="6"/>
  <c r="BP451" i="6"/>
  <c r="BN451" i="6"/>
  <c r="BM451" i="6"/>
  <c r="BL451" i="6"/>
  <c r="BK451" i="6"/>
  <c r="BI451" i="6"/>
  <c r="BH451" i="6"/>
  <c r="BG451" i="6"/>
  <c r="BF451" i="6"/>
  <c r="BD451" i="6"/>
  <c r="BC451" i="6"/>
  <c r="BB451" i="6"/>
  <c r="BA451" i="6"/>
  <c r="AY451" i="6"/>
  <c r="AX451" i="6"/>
  <c r="AW451" i="6"/>
  <c r="AV451" i="6"/>
  <c r="AT451" i="6"/>
  <c r="AS451" i="6"/>
  <c r="AR451" i="6"/>
  <c r="AQ451" i="6"/>
  <c r="AO451" i="6"/>
  <c r="AN451" i="6"/>
  <c r="AM451" i="6"/>
  <c r="AL451" i="6"/>
  <c r="AJ451" i="6"/>
  <c r="AI451" i="6"/>
  <c r="AH451" i="6"/>
  <c r="AG451" i="6"/>
  <c r="AE451" i="6"/>
  <c r="AD451" i="6"/>
  <c r="AC451" i="6"/>
  <c r="AB451" i="6"/>
  <c r="Z451" i="6"/>
  <c r="Y451" i="6"/>
  <c r="X451" i="6"/>
  <c r="W451" i="6"/>
  <c r="U451" i="6"/>
  <c r="T451" i="6"/>
  <c r="S451" i="6"/>
  <c r="R451" i="6"/>
  <c r="P451" i="6"/>
  <c r="O451" i="6"/>
  <c r="N451" i="6"/>
  <c r="M451" i="6"/>
  <c r="K451" i="6"/>
  <c r="J451" i="6"/>
  <c r="I451" i="6"/>
  <c r="H451" i="6"/>
  <c r="G451" i="6"/>
  <c r="BX450" i="6"/>
  <c r="BW450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CA449" i="6"/>
  <c r="BZ449" i="6"/>
  <c r="BX449" i="6"/>
  <c r="BW449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X448" i="6"/>
  <c r="BW448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X447" i="6"/>
  <c r="BW447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X446" i="6"/>
  <c r="BW446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X445" i="6"/>
  <c r="BW445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CA444" i="6"/>
  <c r="BZ444" i="6"/>
  <c r="BX444" i="6"/>
  <c r="BW444" i="6"/>
  <c r="BV444" i="6"/>
  <c r="BU444" i="6"/>
  <c r="BT444" i="6"/>
  <c r="BS444" i="6"/>
  <c r="BR444" i="6"/>
  <c r="BQ444" i="6"/>
  <c r="BP444" i="6"/>
  <c r="BO444" i="6"/>
  <c r="BN444" i="6"/>
  <c r="BM444" i="6"/>
  <c r="BL444" i="6"/>
  <c r="BK444" i="6"/>
  <c r="BJ444" i="6"/>
  <c r="BI444" i="6"/>
  <c r="BH444" i="6"/>
  <c r="BG444" i="6"/>
  <c r="BF444" i="6"/>
  <c r="BE444" i="6"/>
  <c r="BD444" i="6"/>
  <c r="BC444" i="6"/>
  <c r="BB444" i="6"/>
  <c r="BA444" i="6"/>
  <c r="AZ444" i="6"/>
  <c r="AY444" i="6"/>
  <c r="AX444" i="6"/>
  <c r="AW444" i="6"/>
  <c r="AV444" i="6"/>
  <c r="AU444" i="6"/>
  <c r="AT444" i="6"/>
  <c r="AS444" i="6"/>
  <c r="AR444" i="6"/>
  <c r="AQ444" i="6"/>
  <c r="AP444" i="6"/>
  <c r="AO444" i="6"/>
  <c r="AN444" i="6"/>
  <c r="AM444" i="6"/>
  <c r="AL444" i="6"/>
  <c r="AK444" i="6"/>
  <c r="AJ444" i="6"/>
  <c r="AI444" i="6"/>
  <c r="AH444" i="6"/>
  <c r="AG444" i="6"/>
  <c r="AF444" i="6"/>
  <c r="AE444" i="6"/>
  <c r="AD444" i="6"/>
  <c r="AC444" i="6"/>
  <c r="AB444" i="6"/>
  <c r="AA444" i="6"/>
  <c r="Z444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BX443" i="6"/>
  <c r="BW443" i="6"/>
  <c r="BV443" i="6"/>
  <c r="BU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X442" i="6"/>
  <c r="BW442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X441" i="6"/>
  <c r="BW441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X440" i="6"/>
  <c r="BW440" i="6"/>
  <c r="BV440" i="6"/>
  <c r="BU440" i="6"/>
  <c r="BS440" i="6"/>
  <c r="BR440" i="6"/>
  <c r="BQ440" i="6"/>
  <c r="BP440" i="6"/>
  <c r="BN440" i="6"/>
  <c r="BM440" i="6"/>
  <c r="BL440" i="6"/>
  <c r="BK440" i="6"/>
  <c r="BI440" i="6"/>
  <c r="BH440" i="6"/>
  <c r="BG440" i="6"/>
  <c r="BF440" i="6"/>
  <c r="BD440" i="6"/>
  <c r="BC440" i="6"/>
  <c r="BB440" i="6"/>
  <c r="BA440" i="6"/>
  <c r="AY440" i="6"/>
  <c r="AX440" i="6"/>
  <c r="AW440" i="6"/>
  <c r="AV440" i="6"/>
  <c r="AT440" i="6"/>
  <c r="AS440" i="6"/>
  <c r="AR440" i="6"/>
  <c r="AQ440" i="6"/>
  <c r="AO440" i="6"/>
  <c r="AN440" i="6"/>
  <c r="AM440" i="6"/>
  <c r="AL440" i="6"/>
  <c r="AJ440" i="6"/>
  <c r="AI440" i="6"/>
  <c r="AH440" i="6"/>
  <c r="AG440" i="6"/>
  <c r="AE440" i="6"/>
  <c r="AD440" i="6"/>
  <c r="AC440" i="6"/>
  <c r="AB440" i="6"/>
  <c r="Z440" i="6"/>
  <c r="Y440" i="6"/>
  <c r="X440" i="6"/>
  <c r="W440" i="6"/>
  <c r="U440" i="6"/>
  <c r="T440" i="6"/>
  <c r="S440" i="6"/>
  <c r="R440" i="6"/>
  <c r="P440" i="6"/>
  <c r="O440" i="6"/>
  <c r="N440" i="6"/>
  <c r="M440" i="6"/>
  <c r="K440" i="6"/>
  <c r="J440" i="6"/>
  <c r="I440" i="6"/>
  <c r="H440" i="6"/>
  <c r="G440" i="6"/>
  <c r="BX439" i="6"/>
  <c r="BW439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CA438" i="6"/>
  <c r="BZ438" i="6"/>
  <c r="BX438" i="6"/>
  <c r="BW438" i="6"/>
  <c r="BV438" i="6"/>
  <c r="BU438" i="6"/>
  <c r="BT438" i="6"/>
  <c r="BS438" i="6"/>
  <c r="BR438" i="6"/>
  <c r="BQ438" i="6"/>
  <c r="BP438" i="6"/>
  <c r="BO438" i="6"/>
  <c r="BN438" i="6"/>
  <c r="BM438" i="6"/>
  <c r="BL438" i="6"/>
  <c r="BK438" i="6"/>
  <c r="BJ438" i="6"/>
  <c r="BI438" i="6"/>
  <c r="BH438" i="6"/>
  <c r="BG438" i="6"/>
  <c r="BF438" i="6"/>
  <c r="BE438" i="6"/>
  <c r="BD438" i="6"/>
  <c r="BC438" i="6"/>
  <c r="BB438" i="6"/>
  <c r="BA438" i="6"/>
  <c r="AZ438" i="6"/>
  <c r="AY438" i="6"/>
  <c r="AX438" i="6"/>
  <c r="AW438" i="6"/>
  <c r="AV438" i="6"/>
  <c r="AU438" i="6"/>
  <c r="AT438" i="6"/>
  <c r="AS438" i="6"/>
  <c r="AR438" i="6"/>
  <c r="AQ438" i="6"/>
  <c r="AP438" i="6"/>
  <c r="AO438" i="6"/>
  <c r="AN438" i="6"/>
  <c r="AM438" i="6"/>
  <c r="AL438" i="6"/>
  <c r="AK438" i="6"/>
  <c r="AJ438" i="6"/>
  <c r="AI438" i="6"/>
  <c r="AH438" i="6"/>
  <c r="AG438" i="6"/>
  <c r="AF438" i="6"/>
  <c r="AE438" i="6"/>
  <c r="AD438" i="6"/>
  <c r="AC438" i="6"/>
  <c r="AB438" i="6"/>
  <c r="AA438" i="6"/>
  <c r="Z438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BX437" i="6"/>
  <c r="BW437" i="6"/>
  <c r="BV437" i="6"/>
  <c r="BU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X436" i="6"/>
  <c r="BW436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X435" i="6"/>
  <c r="BW435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X434" i="6"/>
  <c r="BW434" i="6"/>
  <c r="BV434" i="6"/>
  <c r="BU434" i="6"/>
  <c r="BS434" i="6"/>
  <c r="BR434" i="6"/>
  <c r="BQ434" i="6"/>
  <c r="BP434" i="6"/>
  <c r="BO434" i="6"/>
  <c r="BN434" i="6"/>
  <c r="BM434" i="6"/>
  <c r="BL434" i="6"/>
  <c r="BK434" i="6"/>
  <c r="BI434" i="6"/>
  <c r="BH434" i="6"/>
  <c r="BG434" i="6"/>
  <c r="BF434" i="6"/>
  <c r="BE434" i="6"/>
  <c r="BD434" i="6"/>
  <c r="BC434" i="6"/>
  <c r="BB434" i="6"/>
  <c r="BA434" i="6"/>
  <c r="AY434" i="6"/>
  <c r="AX434" i="6"/>
  <c r="AW434" i="6"/>
  <c r="AV434" i="6"/>
  <c r="AT434" i="6"/>
  <c r="AS434" i="6"/>
  <c r="AR434" i="6"/>
  <c r="AQ434" i="6"/>
  <c r="AO434" i="6"/>
  <c r="AN434" i="6"/>
  <c r="AM434" i="6"/>
  <c r="AL434" i="6"/>
  <c r="AJ434" i="6"/>
  <c r="AI434" i="6"/>
  <c r="AH434" i="6"/>
  <c r="AG434" i="6"/>
  <c r="AE434" i="6"/>
  <c r="AD434" i="6"/>
  <c r="AC434" i="6"/>
  <c r="AB434" i="6"/>
  <c r="Z434" i="6"/>
  <c r="Y434" i="6"/>
  <c r="X434" i="6"/>
  <c r="W434" i="6"/>
  <c r="U434" i="6"/>
  <c r="T434" i="6"/>
  <c r="S434" i="6"/>
  <c r="R434" i="6"/>
  <c r="P434" i="6"/>
  <c r="O434" i="6"/>
  <c r="N434" i="6"/>
  <c r="M434" i="6"/>
  <c r="K434" i="6"/>
  <c r="J434" i="6"/>
  <c r="I434" i="6"/>
  <c r="H434" i="6"/>
  <c r="G434" i="6"/>
  <c r="BX433" i="6"/>
  <c r="BW433" i="6"/>
  <c r="BV433" i="6"/>
  <c r="BU433" i="6"/>
  <c r="BS433" i="6"/>
  <c r="BR433" i="6"/>
  <c r="BQ433" i="6"/>
  <c r="BP433" i="6"/>
  <c r="BN433" i="6"/>
  <c r="BM433" i="6"/>
  <c r="BL433" i="6"/>
  <c r="BK433" i="6"/>
  <c r="BI433" i="6"/>
  <c r="BH433" i="6"/>
  <c r="BG433" i="6"/>
  <c r="BF433" i="6"/>
  <c r="BD433" i="6"/>
  <c r="BC433" i="6"/>
  <c r="BB433" i="6"/>
  <c r="BA433" i="6"/>
  <c r="AY433" i="6"/>
  <c r="AX433" i="6"/>
  <c r="AW433" i="6"/>
  <c r="AV433" i="6"/>
  <c r="AT433" i="6"/>
  <c r="AS433" i="6"/>
  <c r="AR433" i="6"/>
  <c r="AQ433" i="6"/>
  <c r="AO433" i="6"/>
  <c r="AN433" i="6"/>
  <c r="AM433" i="6"/>
  <c r="AL433" i="6"/>
  <c r="AJ433" i="6"/>
  <c r="AI433" i="6"/>
  <c r="AH433" i="6"/>
  <c r="AG433" i="6"/>
  <c r="AE433" i="6"/>
  <c r="AD433" i="6"/>
  <c r="AC433" i="6"/>
  <c r="AB433" i="6"/>
  <c r="Z433" i="6"/>
  <c r="Y433" i="6"/>
  <c r="X433" i="6"/>
  <c r="W433" i="6"/>
  <c r="U433" i="6"/>
  <c r="T433" i="6"/>
  <c r="S433" i="6"/>
  <c r="R433" i="6"/>
  <c r="P433" i="6"/>
  <c r="O433" i="6"/>
  <c r="N433" i="6"/>
  <c r="M433" i="6"/>
  <c r="K433" i="6"/>
  <c r="J433" i="6"/>
  <c r="I433" i="6"/>
  <c r="H433" i="6"/>
  <c r="CA432" i="6"/>
  <c r="BZ432" i="6"/>
  <c r="BX432" i="6"/>
  <c r="BW432" i="6"/>
  <c r="BV432" i="6"/>
  <c r="BU432" i="6"/>
  <c r="BT432" i="6"/>
  <c r="BS432" i="6"/>
  <c r="BR432" i="6"/>
  <c r="BQ432" i="6"/>
  <c r="BP432" i="6"/>
  <c r="BO432" i="6"/>
  <c r="BN432" i="6"/>
  <c r="BM432" i="6"/>
  <c r="BL432" i="6"/>
  <c r="BK432" i="6"/>
  <c r="BJ432" i="6"/>
  <c r="BI432" i="6"/>
  <c r="BH432" i="6"/>
  <c r="BG432" i="6"/>
  <c r="BF432" i="6"/>
  <c r="BE432" i="6"/>
  <c r="BD432" i="6"/>
  <c r="BC432" i="6"/>
  <c r="BB432" i="6"/>
  <c r="BA432" i="6"/>
  <c r="AZ432" i="6"/>
  <c r="AY432" i="6"/>
  <c r="AX432" i="6"/>
  <c r="AW432" i="6"/>
  <c r="AV432" i="6"/>
  <c r="AU432" i="6"/>
  <c r="AT432" i="6"/>
  <c r="AS432" i="6"/>
  <c r="AR432" i="6"/>
  <c r="AQ432" i="6"/>
  <c r="AP432" i="6"/>
  <c r="AO432" i="6"/>
  <c r="AN432" i="6"/>
  <c r="AM432" i="6"/>
  <c r="AL432" i="6"/>
  <c r="AK432" i="6"/>
  <c r="AJ432" i="6"/>
  <c r="AI432" i="6"/>
  <c r="AH432" i="6"/>
  <c r="AG432" i="6"/>
  <c r="AF432" i="6"/>
  <c r="AE432" i="6"/>
  <c r="AD432" i="6"/>
  <c r="AC432" i="6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BX431" i="6"/>
  <c r="BW431" i="6"/>
  <c r="BV431" i="6"/>
  <c r="BU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X430" i="6"/>
  <c r="BW430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X429" i="6"/>
  <c r="BW429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X428" i="6"/>
  <c r="BW428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X427" i="6"/>
  <c r="BW427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D427" i="6"/>
  <c r="BC427" i="6"/>
  <c r="BB427" i="6"/>
  <c r="BA427" i="6"/>
  <c r="AY427" i="6"/>
  <c r="AX427" i="6"/>
  <c r="AW427" i="6"/>
  <c r="AV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CA426" i="6"/>
  <c r="BZ426" i="6"/>
  <c r="BX426" i="6"/>
  <c r="BW426" i="6"/>
  <c r="BV426" i="6"/>
  <c r="BU426" i="6"/>
  <c r="BT426" i="6"/>
  <c r="BS426" i="6"/>
  <c r="BR426" i="6"/>
  <c r="BQ426" i="6"/>
  <c r="BP426" i="6"/>
  <c r="BO426" i="6"/>
  <c r="BN426" i="6"/>
  <c r="BM426" i="6"/>
  <c r="BL426" i="6"/>
  <c r="BK426" i="6"/>
  <c r="BJ426" i="6"/>
  <c r="BI426" i="6"/>
  <c r="BH426" i="6"/>
  <c r="BG426" i="6"/>
  <c r="BF426" i="6"/>
  <c r="BE426" i="6"/>
  <c r="BD426" i="6"/>
  <c r="BC426" i="6"/>
  <c r="BB426" i="6"/>
  <c r="BA426" i="6"/>
  <c r="AZ426" i="6"/>
  <c r="AY426" i="6"/>
  <c r="AX426" i="6"/>
  <c r="AW426" i="6"/>
  <c r="AV426" i="6"/>
  <c r="AU426" i="6"/>
  <c r="AT426" i="6"/>
  <c r="AS426" i="6"/>
  <c r="AR426" i="6"/>
  <c r="AQ426" i="6"/>
  <c r="AP426" i="6"/>
  <c r="AO426" i="6"/>
  <c r="AN426" i="6"/>
  <c r="AM426" i="6"/>
  <c r="AL426" i="6"/>
  <c r="AK426" i="6"/>
  <c r="AJ426" i="6"/>
  <c r="AI426" i="6"/>
  <c r="AH426" i="6"/>
  <c r="AG426" i="6"/>
  <c r="AF426" i="6"/>
  <c r="AE426" i="6"/>
  <c r="AD426" i="6"/>
  <c r="AC426" i="6"/>
  <c r="AB426" i="6"/>
  <c r="AA426" i="6"/>
  <c r="Z426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BX425" i="6"/>
  <c r="BW425" i="6"/>
  <c r="BV425" i="6"/>
  <c r="BU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X424" i="6"/>
  <c r="BW424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X423" i="6"/>
  <c r="BW423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X422" i="6"/>
  <c r="BW422" i="6"/>
  <c r="BV422" i="6"/>
  <c r="BU422" i="6"/>
  <c r="BS422" i="6"/>
  <c r="BR422" i="6"/>
  <c r="BQ422" i="6"/>
  <c r="BP422" i="6"/>
  <c r="BN422" i="6"/>
  <c r="BM422" i="6"/>
  <c r="BL422" i="6"/>
  <c r="BK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O422" i="6"/>
  <c r="AN422" i="6"/>
  <c r="AM422" i="6"/>
  <c r="AL422" i="6"/>
  <c r="AJ422" i="6"/>
  <c r="AI422" i="6"/>
  <c r="AH422" i="6"/>
  <c r="AG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P422" i="6"/>
  <c r="O422" i="6"/>
  <c r="N422" i="6"/>
  <c r="M422" i="6"/>
  <c r="K422" i="6"/>
  <c r="J422" i="6"/>
  <c r="I422" i="6"/>
  <c r="H422" i="6"/>
  <c r="G422" i="6"/>
  <c r="BX421" i="6"/>
  <c r="BW421" i="6"/>
  <c r="BV421" i="6"/>
  <c r="BU421" i="6"/>
  <c r="BS421" i="6"/>
  <c r="BR421" i="6"/>
  <c r="BQ421" i="6"/>
  <c r="BP421" i="6"/>
  <c r="BN421" i="6"/>
  <c r="BM421" i="6"/>
  <c r="BL421" i="6"/>
  <c r="BK421" i="6"/>
  <c r="BI421" i="6"/>
  <c r="BH421" i="6"/>
  <c r="BG421" i="6"/>
  <c r="BF421" i="6"/>
  <c r="BD421" i="6"/>
  <c r="BC421" i="6"/>
  <c r="BB421" i="6"/>
  <c r="BA421" i="6"/>
  <c r="AY421" i="6"/>
  <c r="AX421" i="6"/>
  <c r="AW421" i="6"/>
  <c r="AV421" i="6"/>
  <c r="AT421" i="6"/>
  <c r="AS421" i="6"/>
  <c r="AR421" i="6"/>
  <c r="AQ421" i="6"/>
  <c r="AO421" i="6"/>
  <c r="AN421" i="6"/>
  <c r="AM421" i="6"/>
  <c r="AL421" i="6"/>
  <c r="AJ421" i="6"/>
  <c r="AI421" i="6"/>
  <c r="AH421" i="6"/>
  <c r="AG421" i="6"/>
  <c r="AE421" i="6"/>
  <c r="AD421" i="6"/>
  <c r="AC421" i="6"/>
  <c r="AB421" i="6"/>
  <c r="Z421" i="6"/>
  <c r="Y421" i="6"/>
  <c r="X421" i="6"/>
  <c r="W421" i="6"/>
  <c r="U421" i="6"/>
  <c r="T421" i="6"/>
  <c r="S421" i="6"/>
  <c r="R421" i="6"/>
  <c r="P421" i="6"/>
  <c r="O421" i="6"/>
  <c r="N421" i="6"/>
  <c r="M421" i="6"/>
  <c r="K421" i="6"/>
  <c r="J421" i="6"/>
  <c r="I421" i="6"/>
  <c r="H421" i="6"/>
  <c r="CA420" i="6"/>
  <c r="BZ420" i="6"/>
  <c r="BX420" i="6"/>
  <c r="BW420" i="6"/>
  <c r="BV420" i="6"/>
  <c r="BU420" i="6"/>
  <c r="BT420" i="6"/>
  <c r="BS420" i="6"/>
  <c r="BR420" i="6"/>
  <c r="BQ420" i="6"/>
  <c r="BP420" i="6"/>
  <c r="BO420" i="6"/>
  <c r="BN420" i="6"/>
  <c r="BM420" i="6"/>
  <c r="BL420" i="6"/>
  <c r="BK420" i="6"/>
  <c r="BJ420" i="6"/>
  <c r="BI420" i="6"/>
  <c r="BH420" i="6"/>
  <c r="BG420" i="6"/>
  <c r="BF420" i="6"/>
  <c r="BE420" i="6"/>
  <c r="BD420" i="6"/>
  <c r="BC420" i="6"/>
  <c r="BB420" i="6"/>
  <c r="BA420" i="6"/>
  <c r="AZ420" i="6"/>
  <c r="AY420" i="6"/>
  <c r="AX420" i="6"/>
  <c r="AW420" i="6"/>
  <c r="AV420" i="6"/>
  <c r="AU420" i="6"/>
  <c r="AT420" i="6"/>
  <c r="AS420" i="6"/>
  <c r="AR420" i="6"/>
  <c r="AQ420" i="6"/>
  <c r="AP420" i="6"/>
  <c r="AO420" i="6"/>
  <c r="AN420" i="6"/>
  <c r="AM420" i="6"/>
  <c r="AL420" i="6"/>
  <c r="AK420" i="6"/>
  <c r="AJ420" i="6"/>
  <c r="AI420" i="6"/>
  <c r="AH420" i="6"/>
  <c r="AG420" i="6"/>
  <c r="AF420" i="6"/>
  <c r="AE420" i="6"/>
  <c r="AD420" i="6"/>
  <c r="AC420" i="6"/>
  <c r="AB420" i="6"/>
  <c r="AA420" i="6"/>
  <c r="Z420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BX419" i="6"/>
  <c r="BW419" i="6"/>
  <c r="BV419" i="6"/>
  <c r="BU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X418" i="6"/>
  <c r="BW418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X417" i="6"/>
  <c r="BW417" i="6"/>
  <c r="BV417" i="6"/>
  <c r="BU417" i="6"/>
  <c r="BS417" i="6"/>
  <c r="BR417" i="6"/>
  <c r="BQ417" i="6"/>
  <c r="BP417" i="6"/>
  <c r="BO417" i="6"/>
  <c r="BN417" i="6"/>
  <c r="BM417" i="6"/>
  <c r="BL417" i="6"/>
  <c r="BK417" i="6"/>
  <c r="BJ417" i="6"/>
  <c r="BI417" i="6"/>
  <c r="BH417" i="6"/>
  <c r="BG417" i="6"/>
  <c r="BF417" i="6"/>
  <c r="BE417" i="6"/>
  <c r="BD417" i="6"/>
  <c r="BC417" i="6"/>
  <c r="BB417" i="6"/>
  <c r="BA417" i="6"/>
  <c r="AZ417" i="6"/>
  <c r="AY417" i="6"/>
  <c r="AX417" i="6"/>
  <c r="AW417" i="6"/>
  <c r="AV417" i="6"/>
  <c r="AU417" i="6"/>
  <c r="AT417" i="6"/>
  <c r="AS417" i="6"/>
  <c r="AR417" i="6"/>
  <c r="AQ417" i="6"/>
  <c r="AP417" i="6"/>
  <c r="AO417" i="6"/>
  <c r="AN417" i="6"/>
  <c r="AM417" i="6"/>
  <c r="AL417" i="6"/>
  <c r="AK417" i="6"/>
  <c r="AJ417" i="6"/>
  <c r="AI417" i="6"/>
  <c r="AH417" i="6"/>
  <c r="AG417" i="6"/>
  <c r="AF417" i="6"/>
  <c r="AE417" i="6"/>
  <c r="AD417" i="6"/>
  <c r="AC417" i="6"/>
  <c r="AB417" i="6"/>
  <c r="AA417" i="6"/>
  <c r="Z417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BX416" i="6"/>
  <c r="BW416" i="6"/>
  <c r="BV416" i="6"/>
  <c r="BU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X415" i="6"/>
  <c r="BW415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CA414" i="6"/>
  <c r="BZ414" i="6"/>
  <c r="BX414" i="6"/>
  <c r="BW414" i="6"/>
  <c r="BV414" i="6"/>
  <c r="BU414" i="6"/>
  <c r="BT414" i="6"/>
  <c r="BS414" i="6"/>
  <c r="BR414" i="6"/>
  <c r="BQ414" i="6"/>
  <c r="BP414" i="6"/>
  <c r="BO414" i="6"/>
  <c r="BN414" i="6"/>
  <c r="BM414" i="6"/>
  <c r="BL414" i="6"/>
  <c r="BK414" i="6"/>
  <c r="BJ414" i="6"/>
  <c r="BI414" i="6"/>
  <c r="BH414" i="6"/>
  <c r="BG414" i="6"/>
  <c r="BF414" i="6"/>
  <c r="BE414" i="6"/>
  <c r="BD414" i="6"/>
  <c r="BC414" i="6"/>
  <c r="BB414" i="6"/>
  <c r="BA414" i="6"/>
  <c r="AZ414" i="6"/>
  <c r="AY414" i="6"/>
  <c r="AX414" i="6"/>
  <c r="AW414" i="6"/>
  <c r="AV414" i="6"/>
  <c r="AU414" i="6"/>
  <c r="AT414" i="6"/>
  <c r="AS414" i="6"/>
  <c r="AR414" i="6"/>
  <c r="AQ414" i="6"/>
  <c r="AP414" i="6"/>
  <c r="AO414" i="6"/>
  <c r="AN414" i="6"/>
  <c r="AM414" i="6"/>
  <c r="AL414" i="6"/>
  <c r="AK414" i="6"/>
  <c r="AJ414" i="6"/>
  <c r="AI414" i="6"/>
  <c r="AH414" i="6"/>
  <c r="AG414" i="6"/>
  <c r="AF414" i="6"/>
  <c r="AE414" i="6"/>
  <c r="AD414" i="6"/>
  <c r="AC414" i="6"/>
  <c r="AB414" i="6"/>
  <c r="AA414" i="6"/>
  <c r="Z414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BX413" i="6"/>
  <c r="BW413" i="6"/>
  <c r="BV413" i="6"/>
  <c r="BU413" i="6"/>
  <c r="BS413" i="6"/>
  <c r="BR413" i="6"/>
  <c r="BQ413" i="6"/>
  <c r="BP413" i="6"/>
  <c r="BO413" i="6"/>
  <c r="BN413" i="6"/>
  <c r="BM413" i="6"/>
  <c r="BL413" i="6"/>
  <c r="BK413" i="6"/>
  <c r="BJ413" i="6"/>
  <c r="BI413" i="6"/>
  <c r="BH413" i="6"/>
  <c r="BG413" i="6"/>
  <c r="BF413" i="6"/>
  <c r="BE413" i="6"/>
  <c r="BD413" i="6"/>
  <c r="BC413" i="6"/>
  <c r="BB413" i="6"/>
  <c r="BA413" i="6"/>
  <c r="AZ413" i="6"/>
  <c r="AY413" i="6"/>
  <c r="AX413" i="6"/>
  <c r="AW413" i="6"/>
  <c r="AV413" i="6"/>
  <c r="AU413" i="6"/>
  <c r="AT413" i="6"/>
  <c r="AS413" i="6"/>
  <c r="AR413" i="6"/>
  <c r="AQ413" i="6"/>
  <c r="AP413" i="6"/>
  <c r="AO413" i="6"/>
  <c r="AN413" i="6"/>
  <c r="AM413" i="6"/>
  <c r="AL413" i="6"/>
  <c r="AK413" i="6"/>
  <c r="AJ413" i="6"/>
  <c r="AI413" i="6"/>
  <c r="AH413" i="6"/>
  <c r="AG413" i="6"/>
  <c r="AF413" i="6"/>
  <c r="AE413" i="6"/>
  <c r="AD413" i="6"/>
  <c r="AC413" i="6"/>
  <c r="AB413" i="6"/>
  <c r="AA413" i="6"/>
  <c r="Z413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BX412" i="6"/>
  <c r="BW412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CA411" i="6"/>
  <c r="BZ411" i="6"/>
  <c r="BX411" i="6"/>
  <c r="BW411" i="6"/>
  <c r="BV411" i="6"/>
  <c r="BU411" i="6"/>
  <c r="BT411" i="6"/>
  <c r="BS411" i="6"/>
  <c r="BR411" i="6"/>
  <c r="BQ411" i="6"/>
  <c r="BP411" i="6"/>
  <c r="BO411" i="6"/>
  <c r="BN411" i="6"/>
  <c r="BM411" i="6"/>
  <c r="BL411" i="6"/>
  <c r="BK411" i="6"/>
  <c r="BJ411" i="6"/>
  <c r="BI411" i="6"/>
  <c r="BH411" i="6"/>
  <c r="BG411" i="6"/>
  <c r="BF411" i="6"/>
  <c r="BE411" i="6"/>
  <c r="BD411" i="6"/>
  <c r="BC411" i="6"/>
  <c r="BB411" i="6"/>
  <c r="BA411" i="6"/>
  <c r="AZ411" i="6"/>
  <c r="AY411" i="6"/>
  <c r="AX411" i="6"/>
  <c r="AW411" i="6"/>
  <c r="AV411" i="6"/>
  <c r="AU411" i="6"/>
  <c r="AT411" i="6"/>
  <c r="AS411" i="6"/>
  <c r="AR411" i="6"/>
  <c r="AQ411" i="6"/>
  <c r="AP411" i="6"/>
  <c r="AO411" i="6"/>
  <c r="AN411" i="6"/>
  <c r="AM411" i="6"/>
  <c r="AL411" i="6"/>
  <c r="AK411" i="6"/>
  <c r="AJ411" i="6"/>
  <c r="AI411" i="6"/>
  <c r="AH411" i="6"/>
  <c r="AG411" i="6"/>
  <c r="AF411" i="6"/>
  <c r="AE411" i="6"/>
  <c r="AD411" i="6"/>
  <c r="AC411" i="6"/>
  <c r="AB411" i="6"/>
  <c r="AA411" i="6"/>
  <c r="Z411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BX410" i="6"/>
  <c r="BW410" i="6"/>
  <c r="BV410" i="6"/>
  <c r="BU410" i="6"/>
  <c r="BS410" i="6"/>
  <c r="BR410" i="6"/>
  <c r="BQ410" i="6"/>
  <c r="BP410" i="6"/>
  <c r="BN410" i="6"/>
  <c r="BM410" i="6"/>
  <c r="BL410" i="6"/>
  <c r="BK410" i="6"/>
  <c r="BI410" i="6"/>
  <c r="BH410" i="6"/>
  <c r="BG410" i="6"/>
  <c r="BF410" i="6"/>
  <c r="BD410" i="6"/>
  <c r="BC410" i="6"/>
  <c r="BB410" i="6"/>
  <c r="BA410" i="6"/>
  <c r="AY410" i="6"/>
  <c r="AX410" i="6"/>
  <c r="AW410" i="6"/>
  <c r="AV410" i="6"/>
  <c r="AT410" i="6"/>
  <c r="AS410" i="6"/>
  <c r="AR410" i="6"/>
  <c r="AQ410" i="6"/>
  <c r="AO410" i="6"/>
  <c r="AN410" i="6"/>
  <c r="AM410" i="6"/>
  <c r="AL410" i="6"/>
  <c r="AJ410" i="6"/>
  <c r="AI410" i="6"/>
  <c r="AH410" i="6"/>
  <c r="AG410" i="6"/>
  <c r="AE410" i="6"/>
  <c r="AD410" i="6"/>
  <c r="AC410" i="6"/>
  <c r="AB410" i="6"/>
  <c r="Z410" i="6"/>
  <c r="Y410" i="6"/>
  <c r="X410" i="6"/>
  <c r="W410" i="6"/>
  <c r="U410" i="6"/>
  <c r="T410" i="6"/>
  <c r="S410" i="6"/>
  <c r="R410" i="6"/>
  <c r="P410" i="6"/>
  <c r="O410" i="6"/>
  <c r="N410" i="6"/>
  <c r="M410" i="6"/>
  <c r="K410" i="6"/>
  <c r="J410" i="6"/>
  <c r="I410" i="6"/>
  <c r="H410" i="6"/>
  <c r="BX409" i="6"/>
  <c r="BW409" i="6"/>
  <c r="BV409" i="6"/>
  <c r="BU409" i="6"/>
  <c r="BS409" i="6"/>
  <c r="BR409" i="6"/>
  <c r="BQ409" i="6"/>
  <c r="BP409" i="6"/>
  <c r="BN409" i="6"/>
  <c r="BM409" i="6"/>
  <c r="BL409" i="6"/>
  <c r="BK409" i="6"/>
  <c r="BI409" i="6"/>
  <c r="BH409" i="6"/>
  <c r="BG409" i="6"/>
  <c r="BF409" i="6"/>
  <c r="BD409" i="6"/>
  <c r="BC409" i="6"/>
  <c r="BB409" i="6"/>
  <c r="BA409" i="6"/>
  <c r="AY409" i="6"/>
  <c r="AX409" i="6"/>
  <c r="AW409" i="6"/>
  <c r="AV409" i="6"/>
  <c r="AT409" i="6"/>
  <c r="AS409" i="6"/>
  <c r="AR409" i="6"/>
  <c r="AQ409" i="6"/>
  <c r="AO409" i="6"/>
  <c r="AN409" i="6"/>
  <c r="AM409" i="6"/>
  <c r="AL409" i="6"/>
  <c r="AJ409" i="6"/>
  <c r="AI409" i="6"/>
  <c r="AH409" i="6"/>
  <c r="AG409" i="6"/>
  <c r="AE409" i="6"/>
  <c r="AD409" i="6"/>
  <c r="AC409" i="6"/>
  <c r="AB409" i="6"/>
  <c r="Z409" i="6"/>
  <c r="Y409" i="6"/>
  <c r="X409" i="6"/>
  <c r="W409" i="6"/>
  <c r="U409" i="6"/>
  <c r="T409" i="6"/>
  <c r="S409" i="6"/>
  <c r="R409" i="6"/>
  <c r="P409" i="6"/>
  <c r="O409" i="6"/>
  <c r="N409" i="6"/>
  <c r="M409" i="6"/>
  <c r="K409" i="6"/>
  <c r="J409" i="6"/>
  <c r="I409" i="6"/>
  <c r="H409" i="6"/>
  <c r="BX408" i="6"/>
  <c r="BW408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X407" i="6"/>
  <c r="BW407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X406" i="6"/>
  <c r="BW406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CA405" i="6"/>
  <c r="BZ405" i="6"/>
  <c r="BX405" i="6"/>
  <c r="BW405" i="6"/>
  <c r="BV405" i="6"/>
  <c r="BU405" i="6"/>
  <c r="BT405" i="6"/>
  <c r="BS405" i="6"/>
  <c r="BR405" i="6"/>
  <c r="BQ405" i="6"/>
  <c r="BP405" i="6"/>
  <c r="BO405" i="6"/>
  <c r="BN405" i="6"/>
  <c r="BM405" i="6"/>
  <c r="BL405" i="6"/>
  <c r="BK405" i="6"/>
  <c r="BJ405" i="6"/>
  <c r="BI405" i="6"/>
  <c r="BH405" i="6"/>
  <c r="BG405" i="6"/>
  <c r="BF405" i="6"/>
  <c r="BE405" i="6"/>
  <c r="BD405" i="6"/>
  <c r="BC405" i="6"/>
  <c r="BB405" i="6"/>
  <c r="BA405" i="6"/>
  <c r="AZ405" i="6"/>
  <c r="AY405" i="6"/>
  <c r="AX405" i="6"/>
  <c r="AW405" i="6"/>
  <c r="AV405" i="6"/>
  <c r="AU405" i="6"/>
  <c r="AT405" i="6"/>
  <c r="AS405" i="6"/>
  <c r="AR405" i="6"/>
  <c r="AQ405" i="6"/>
  <c r="AP405" i="6"/>
  <c r="AO405" i="6"/>
  <c r="AN405" i="6"/>
  <c r="AM405" i="6"/>
  <c r="AL405" i="6"/>
  <c r="AK405" i="6"/>
  <c r="AJ405" i="6"/>
  <c r="AI405" i="6"/>
  <c r="AH405" i="6"/>
  <c r="AG405" i="6"/>
  <c r="AF405" i="6"/>
  <c r="AE405" i="6"/>
  <c r="AD405" i="6"/>
  <c r="AC405" i="6"/>
  <c r="AB405" i="6"/>
  <c r="AA405" i="6"/>
  <c r="Z405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CA404" i="6"/>
  <c r="BZ404" i="6"/>
  <c r="BX404" i="6"/>
  <c r="BW404" i="6"/>
  <c r="BV404" i="6"/>
  <c r="BU404" i="6"/>
  <c r="BT404" i="6"/>
  <c r="BS404" i="6"/>
  <c r="BR404" i="6"/>
  <c r="BQ404" i="6"/>
  <c r="BP404" i="6"/>
  <c r="BO404" i="6"/>
  <c r="BN404" i="6"/>
  <c r="BM404" i="6"/>
  <c r="BL404" i="6"/>
  <c r="BK404" i="6"/>
  <c r="BJ404" i="6"/>
  <c r="BI404" i="6"/>
  <c r="BH404" i="6"/>
  <c r="BG404" i="6"/>
  <c r="BF404" i="6"/>
  <c r="BE404" i="6"/>
  <c r="BD404" i="6"/>
  <c r="BC404" i="6"/>
  <c r="BB404" i="6"/>
  <c r="BA404" i="6"/>
  <c r="AZ404" i="6"/>
  <c r="AY404" i="6"/>
  <c r="AX404" i="6"/>
  <c r="AW404" i="6"/>
  <c r="AV404" i="6"/>
  <c r="AU404" i="6"/>
  <c r="AT404" i="6"/>
  <c r="AS404" i="6"/>
  <c r="AR404" i="6"/>
  <c r="AQ404" i="6"/>
  <c r="AP404" i="6"/>
  <c r="AO404" i="6"/>
  <c r="AN404" i="6"/>
  <c r="AM404" i="6"/>
  <c r="AL404" i="6"/>
  <c r="AK404" i="6"/>
  <c r="AJ404" i="6"/>
  <c r="AI404" i="6"/>
  <c r="AH404" i="6"/>
  <c r="AG404" i="6"/>
  <c r="AF404" i="6"/>
  <c r="AE404" i="6"/>
  <c r="AD404" i="6"/>
  <c r="AC404" i="6"/>
  <c r="AB404" i="6"/>
  <c r="AA404" i="6"/>
  <c r="Z404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BX403" i="6"/>
  <c r="BW403" i="6"/>
  <c r="BV403" i="6"/>
  <c r="BU403" i="6"/>
  <c r="BS403" i="6"/>
  <c r="BR403" i="6"/>
  <c r="BQ403" i="6"/>
  <c r="BP403" i="6"/>
  <c r="BN403" i="6"/>
  <c r="BM403" i="6"/>
  <c r="BL403" i="6"/>
  <c r="BK403" i="6"/>
  <c r="BI403" i="6"/>
  <c r="BH403" i="6"/>
  <c r="BG403" i="6"/>
  <c r="BF403" i="6"/>
  <c r="BD403" i="6"/>
  <c r="BC403" i="6"/>
  <c r="BB403" i="6"/>
  <c r="BA403" i="6"/>
  <c r="AY403" i="6"/>
  <c r="AX403" i="6"/>
  <c r="AW403" i="6"/>
  <c r="AV403" i="6"/>
  <c r="AT403" i="6"/>
  <c r="AS403" i="6"/>
  <c r="AR403" i="6"/>
  <c r="AQ403" i="6"/>
  <c r="AO403" i="6"/>
  <c r="AN403" i="6"/>
  <c r="AM403" i="6"/>
  <c r="AL403" i="6"/>
  <c r="AJ403" i="6"/>
  <c r="AI403" i="6"/>
  <c r="AH403" i="6"/>
  <c r="AG403" i="6"/>
  <c r="AE403" i="6"/>
  <c r="AD403" i="6"/>
  <c r="AC403" i="6"/>
  <c r="AB403" i="6"/>
  <c r="Z403" i="6"/>
  <c r="Y403" i="6"/>
  <c r="X403" i="6"/>
  <c r="W403" i="6"/>
  <c r="U403" i="6"/>
  <c r="T403" i="6"/>
  <c r="S403" i="6"/>
  <c r="R403" i="6"/>
  <c r="P403" i="6"/>
  <c r="O403" i="6"/>
  <c r="N403" i="6"/>
  <c r="M403" i="6"/>
  <c r="K403" i="6"/>
  <c r="J403" i="6"/>
  <c r="I403" i="6"/>
  <c r="H403" i="6"/>
  <c r="BX402" i="6"/>
  <c r="BW402" i="6"/>
  <c r="BV402" i="6"/>
  <c r="BU402" i="6"/>
  <c r="BS402" i="6"/>
  <c r="BR402" i="6"/>
  <c r="BQ402" i="6"/>
  <c r="BP402" i="6"/>
  <c r="BN402" i="6"/>
  <c r="BM402" i="6"/>
  <c r="BL402" i="6"/>
  <c r="BK402" i="6"/>
  <c r="BI402" i="6"/>
  <c r="BH402" i="6"/>
  <c r="BG402" i="6"/>
  <c r="BF402" i="6"/>
  <c r="BD402" i="6"/>
  <c r="BC402" i="6"/>
  <c r="BB402" i="6"/>
  <c r="BA402" i="6"/>
  <c r="AY402" i="6"/>
  <c r="AX402" i="6"/>
  <c r="AW402" i="6"/>
  <c r="AV402" i="6"/>
  <c r="AT402" i="6"/>
  <c r="AS402" i="6"/>
  <c r="AR402" i="6"/>
  <c r="AQ402" i="6"/>
  <c r="AO402" i="6"/>
  <c r="AN402" i="6"/>
  <c r="AM402" i="6"/>
  <c r="AL402" i="6"/>
  <c r="AJ402" i="6"/>
  <c r="AI402" i="6"/>
  <c r="AH402" i="6"/>
  <c r="AG402" i="6"/>
  <c r="AE402" i="6"/>
  <c r="AD402" i="6"/>
  <c r="AC402" i="6"/>
  <c r="AB402" i="6"/>
  <c r="Z402" i="6"/>
  <c r="Y402" i="6"/>
  <c r="X402" i="6"/>
  <c r="W402" i="6"/>
  <c r="U402" i="6"/>
  <c r="T402" i="6"/>
  <c r="S402" i="6"/>
  <c r="R402" i="6"/>
  <c r="P402" i="6"/>
  <c r="O402" i="6"/>
  <c r="N402" i="6"/>
  <c r="M402" i="6"/>
  <c r="K402" i="6"/>
  <c r="J402" i="6"/>
  <c r="I402" i="6"/>
  <c r="H402" i="6"/>
  <c r="BX401" i="6"/>
  <c r="BW401" i="6"/>
  <c r="BV401" i="6"/>
  <c r="BU401" i="6"/>
  <c r="BS401" i="6"/>
  <c r="BR401" i="6"/>
  <c r="BQ401" i="6"/>
  <c r="BP401" i="6"/>
  <c r="BN401" i="6"/>
  <c r="BM401" i="6"/>
  <c r="BL401" i="6"/>
  <c r="BK401" i="6"/>
  <c r="BI401" i="6"/>
  <c r="BH401" i="6"/>
  <c r="BG401" i="6"/>
  <c r="BF401" i="6"/>
  <c r="BD401" i="6"/>
  <c r="BC401" i="6"/>
  <c r="BB401" i="6"/>
  <c r="BA401" i="6"/>
  <c r="AY401" i="6"/>
  <c r="AX401" i="6"/>
  <c r="AW401" i="6"/>
  <c r="AV401" i="6"/>
  <c r="AT401" i="6"/>
  <c r="AS401" i="6"/>
  <c r="AR401" i="6"/>
  <c r="AQ401" i="6"/>
  <c r="AO401" i="6"/>
  <c r="AN401" i="6"/>
  <c r="AM401" i="6"/>
  <c r="AL401" i="6"/>
  <c r="AJ401" i="6"/>
  <c r="AI401" i="6"/>
  <c r="AH401" i="6"/>
  <c r="AG401" i="6"/>
  <c r="AE401" i="6"/>
  <c r="AD401" i="6"/>
  <c r="AC401" i="6"/>
  <c r="AB401" i="6"/>
  <c r="Z401" i="6"/>
  <c r="Y401" i="6"/>
  <c r="X401" i="6"/>
  <c r="W401" i="6"/>
  <c r="U401" i="6"/>
  <c r="T401" i="6"/>
  <c r="S401" i="6"/>
  <c r="R401" i="6"/>
  <c r="P401" i="6"/>
  <c r="O401" i="6"/>
  <c r="N401" i="6"/>
  <c r="M401" i="6"/>
  <c r="K401" i="6"/>
  <c r="J401" i="6"/>
  <c r="I401" i="6"/>
  <c r="H401" i="6"/>
  <c r="BX400" i="6"/>
  <c r="BW400" i="6"/>
  <c r="BV400" i="6"/>
  <c r="BU400" i="6"/>
  <c r="BS400" i="6"/>
  <c r="BR400" i="6"/>
  <c r="BQ400" i="6"/>
  <c r="BP400" i="6"/>
  <c r="BN400" i="6"/>
  <c r="BM400" i="6"/>
  <c r="BL400" i="6"/>
  <c r="BK400" i="6"/>
  <c r="BI400" i="6"/>
  <c r="BH400" i="6"/>
  <c r="BG400" i="6"/>
  <c r="BF400" i="6"/>
  <c r="BD400" i="6"/>
  <c r="BC400" i="6"/>
  <c r="BB400" i="6"/>
  <c r="BA400" i="6"/>
  <c r="AY400" i="6"/>
  <c r="AX400" i="6"/>
  <c r="AW400" i="6"/>
  <c r="AV400" i="6"/>
  <c r="AT400" i="6"/>
  <c r="AS400" i="6"/>
  <c r="AR400" i="6"/>
  <c r="AQ400" i="6"/>
  <c r="AO400" i="6"/>
  <c r="AN400" i="6"/>
  <c r="AM400" i="6"/>
  <c r="AL400" i="6"/>
  <c r="AJ400" i="6"/>
  <c r="AI400" i="6"/>
  <c r="AH400" i="6"/>
  <c r="AG400" i="6"/>
  <c r="AE400" i="6"/>
  <c r="AD400" i="6"/>
  <c r="AC400" i="6"/>
  <c r="AB400" i="6"/>
  <c r="Z400" i="6"/>
  <c r="Y400" i="6"/>
  <c r="X400" i="6"/>
  <c r="W400" i="6"/>
  <c r="U400" i="6"/>
  <c r="T400" i="6"/>
  <c r="S400" i="6"/>
  <c r="R400" i="6"/>
  <c r="P400" i="6"/>
  <c r="O400" i="6"/>
  <c r="N400" i="6"/>
  <c r="M400" i="6"/>
  <c r="K400" i="6"/>
  <c r="J400" i="6"/>
  <c r="I400" i="6"/>
  <c r="H400" i="6"/>
  <c r="EL392" i="6"/>
  <c r="BT392" i="6"/>
  <c r="BT391" i="6" s="1"/>
  <c r="EL391" i="6"/>
  <c r="EG391" i="6"/>
  <c r="EB391" i="6"/>
  <c r="DW391" i="6"/>
  <c r="DR391" i="6"/>
  <c r="DM391" i="6"/>
  <c r="DH391" i="6"/>
  <c r="DC391" i="6"/>
  <c r="CX391" i="6"/>
  <c r="CS391" i="6"/>
  <c r="CN391" i="6"/>
  <c r="CI391" i="6"/>
  <c r="CD391" i="6"/>
  <c r="BY391" i="6"/>
  <c r="BO391" i="6"/>
  <c r="BJ391" i="6"/>
  <c r="BE391" i="6"/>
  <c r="AZ391" i="6"/>
  <c r="AU391" i="6"/>
  <c r="AP391" i="6"/>
  <c r="AK391" i="6"/>
  <c r="AF391" i="6"/>
  <c r="AA391" i="6"/>
  <c r="V391" i="6"/>
  <c r="Q391" i="6"/>
  <c r="L391" i="6"/>
  <c r="G391" i="6"/>
  <c r="EL389" i="6"/>
  <c r="BT389" i="6"/>
  <c r="BT388" i="6" s="1"/>
  <c r="EG388" i="6"/>
  <c r="EB388" i="6"/>
  <c r="DW388" i="6"/>
  <c r="DR388" i="6"/>
  <c r="DM388" i="6"/>
  <c r="DH388" i="6"/>
  <c r="DC388" i="6"/>
  <c r="CX388" i="6"/>
  <c r="CS388" i="6"/>
  <c r="CN388" i="6"/>
  <c r="CI388" i="6"/>
  <c r="CD388" i="6"/>
  <c r="BY388" i="6"/>
  <c r="BO388" i="6"/>
  <c r="BJ388" i="6"/>
  <c r="BE388" i="6"/>
  <c r="AZ388" i="6"/>
  <c r="AU388" i="6"/>
  <c r="AP388" i="6"/>
  <c r="AK388" i="6"/>
  <c r="AF388" i="6"/>
  <c r="AA388" i="6"/>
  <c r="V388" i="6"/>
  <c r="Q388" i="6"/>
  <c r="L388" i="6"/>
  <c r="G388" i="6"/>
  <c r="EL386" i="6"/>
  <c r="BT386" i="6"/>
  <c r="BT385" i="6" s="1"/>
  <c r="EG385" i="6"/>
  <c r="EB385" i="6"/>
  <c r="DW385" i="6"/>
  <c r="DR385" i="6"/>
  <c r="DM385" i="6"/>
  <c r="DH385" i="6"/>
  <c r="DC385" i="6"/>
  <c r="CX385" i="6"/>
  <c r="CS385" i="6"/>
  <c r="CN385" i="6"/>
  <c r="CI385" i="6"/>
  <c r="CD385" i="6"/>
  <c r="BY385" i="6"/>
  <c r="BO385" i="6"/>
  <c r="BJ385" i="6"/>
  <c r="BE385" i="6"/>
  <c r="AZ385" i="6"/>
  <c r="AU385" i="6"/>
  <c r="AP385" i="6"/>
  <c r="AK385" i="6"/>
  <c r="AF385" i="6"/>
  <c r="AA385" i="6"/>
  <c r="V385" i="6"/>
  <c r="Q385" i="6"/>
  <c r="L385" i="6"/>
  <c r="G385" i="6"/>
  <c r="EL383" i="6"/>
  <c r="BT383" i="6"/>
  <c r="BT382" i="6" s="1"/>
  <c r="EG382" i="6"/>
  <c r="EB382" i="6"/>
  <c r="DW382" i="6"/>
  <c r="DR382" i="6"/>
  <c r="DM382" i="6"/>
  <c r="DH382" i="6"/>
  <c r="DC382" i="6"/>
  <c r="CX382" i="6"/>
  <c r="CS382" i="6"/>
  <c r="CN382" i="6"/>
  <c r="CI382" i="6"/>
  <c r="CD382" i="6"/>
  <c r="BY382" i="6"/>
  <c r="BO382" i="6"/>
  <c r="BJ382" i="6"/>
  <c r="BE382" i="6"/>
  <c r="AZ382" i="6"/>
  <c r="AU382" i="6"/>
  <c r="AP382" i="6"/>
  <c r="AK382" i="6"/>
  <c r="AF382" i="6"/>
  <c r="AA382" i="6"/>
  <c r="V382" i="6"/>
  <c r="Q382" i="6"/>
  <c r="L382" i="6"/>
  <c r="G382" i="6"/>
  <c r="EL380" i="6"/>
  <c r="EL379" i="6" s="1"/>
  <c r="BT380" i="6"/>
  <c r="BT379" i="6" s="1"/>
  <c r="EG379" i="6"/>
  <c r="EB379" i="6"/>
  <c r="DW379" i="6"/>
  <c r="DR379" i="6"/>
  <c r="DM379" i="6"/>
  <c r="DH379" i="6"/>
  <c r="DC379" i="6"/>
  <c r="CX379" i="6"/>
  <c r="CS379" i="6"/>
  <c r="CN379" i="6"/>
  <c r="CI379" i="6"/>
  <c r="CD379" i="6"/>
  <c r="BY379" i="6"/>
  <c r="BO379" i="6"/>
  <c r="BJ379" i="6"/>
  <c r="BE379" i="6"/>
  <c r="AZ379" i="6"/>
  <c r="AU379" i="6"/>
  <c r="AP379" i="6"/>
  <c r="AK379" i="6"/>
  <c r="AF379" i="6"/>
  <c r="AA379" i="6"/>
  <c r="V379" i="6"/>
  <c r="Q379" i="6"/>
  <c r="L379" i="6"/>
  <c r="G379" i="6"/>
  <c r="EL377" i="6"/>
  <c r="CA733" i="6" s="1"/>
  <c r="BT377" i="6"/>
  <c r="BT733" i="6" s="1"/>
  <c r="EL376" i="6"/>
  <c r="EG376" i="6"/>
  <c r="EB376" i="6"/>
  <c r="DW376" i="6"/>
  <c r="DR376" i="6"/>
  <c r="DM376" i="6"/>
  <c r="DH376" i="6"/>
  <c r="DC376" i="6"/>
  <c r="CX376" i="6"/>
  <c r="CS376" i="6"/>
  <c r="CN376" i="6"/>
  <c r="CI376" i="6"/>
  <c r="CD376" i="6"/>
  <c r="BY376" i="6"/>
  <c r="BO376" i="6"/>
  <c r="BJ376" i="6"/>
  <c r="BE376" i="6"/>
  <c r="AZ376" i="6"/>
  <c r="AU376" i="6"/>
  <c r="AP376" i="6"/>
  <c r="AK376" i="6"/>
  <c r="AF376" i="6"/>
  <c r="AA376" i="6"/>
  <c r="V376" i="6"/>
  <c r="Q376" i="6"/>
  <c r="L376" i="6"/>
  <c r="G376" i="6"/>
  <c r="EL374" i="6"/>
  <c r="EL373" i="6" s="1"/>
  <c r="BT374" i="6"/>
  <c r="EG373" i="6"/>
  <c r="EB373" i="6"/>
  <c r="DW373" i="6"/>
  <c r="DR373" i="6"/>
  <c r="DM373" i="6"/>
  <c r="DH373" i="6"/>
  <c r="DC373" i="6"/>
  <c r="CX373" i="6"/>
  <c r="CS373" i="6"/>
  <c r="CN373" i="6"/>
  <c r="CI373" i="6"/>
  <c r="CD373" i="6"/>
  <c r="BY373" i="6"/>
  <c r="BO373" i="6"/>
  <c r="BJ373" i="6"/>
  <c r="BE373" i="6"/>
  <c r="AZ373" i="6"/>
  <c r="AU373" i="6"/>
  <c r="AP373" i="6"/>
  <c r="AP729" i="6" s="1"/>
  <c r="AK373" i="6"/>
  <c r="AF373" i="6"/>
  <c r="AA373" i="6"/>
  <c r="V373" i="6"/>
  <c r="Q373" i="6"/>
  <c r="L373" i="6"/>
  <c r="G373" i="6"/>
  <c r="BZ727" i="6"/>
  <c r="EL371" i="6"/>
  <c r="BT371" i="6"/>
  <c r="BT370" i="6" s="1"/>
  <c r="EL370" i="6"/>
  <c r="CA726" i="6" s="1"/>
  <c r="EG370" i="6"/>
  <c r="EB370" i="6"/>
  <c r="DW370" i="6"/>
  <c r="DR370" i="6"/>
  <c r="DM370" i="6"/>
  <c r="DH370" i="6"/>
  <c r="DC370" i="6"/>
  <c r="CX370" i="6"/>
  <c r="CS370" i="6"/>
  <c r="CN370" i="6"/>
  <c r="CI370" i="6"/>
  <c r="CD370" i="6"/>
  <c r="BY370" i="6"/>
  <c r="BO370" i="6"/>
  <c r="BO726" i="6" s="1"/>
  <c r="BJ370" i="6"/>
  <c r="BJ726" i="6" s="1"/>
  <c r="BE370" i="6"/>
  <c r="AZ370" i="6"/>
  <c r="AU370" i="6"/>
  <c r="AP370" i="6"/>
  <c r="AK370" i="6"/>
  <c r="AF370" i="6"/>
  <c r="AF726" i="6" s="1"/>
  <c r="AA370" i="6"/>
  <c r="V370" i="6"/>
  <c r="Q370" i="6"/>
  <c r="L370" i="6"/>
  <c r="G370" i="6"/>
  <c r="EL368" i="6"/>
  <c r="BT368" i="6"/>
  <c r="EG367" i="6"/>
  <c r="EB367" i="6"/>
  <c r="DW367" i="6"/>
  <c r="DR367" i="6"/>
  <c r="DM367" i="6"/>
  <c r="DH367" i="6"/>
  <c r="DC367" i="6"/>
  <c r="CX367" i="6"/>
  <c r="CS367" i="6"/>
  <c r="CN367" i="6"/>
  <c r="CI367" i="6"/>
  <c r="CD367" i="6"/>
  <c r="BY367" i="6"/>
  <c r="BO367" i="6"/>
  <c r="BJ367" i="6"/>
  <c r="BE367" i="6"/>
  <c r="AZ367" i="6"/>
  <c r="AU367" i="6"/>
  <c r="AP367" i="6"/>
  <c r="AK367" i="6"/>
  <c r="AF367" i="6"/>
  <c r="AA367" i="6"/>
  <c r="V367" i="6"/>
  <c r="Q367" i="6"/>
  <c r="L367" i="6"/>
  <c r="G367" i="6"/>
  <c r="EL365" i="6"/>
  <c r="BZ721" i="6" s="1"/>
  <c r="BT365" i="6"/>
  <c r="BT364" i="6" s="1"/>
  <c r="EG364" i="6"/>
  <c r="EB364" i="6"/>
  <c r="DW364" i="6"/>
  <c r="DR364" i="6"/>
  <c r="DM364" i="6"/>
  <c r="DH364" i="6"/>
  <c r="DC364" i="6"/>
  <c r="CX364" i="6"/>
  <c r="CS364" i="6"/>
  <c r="CN364" i="6"/>
  <c r="CI364" i="6"/>
  <c r="CD364" i="6"/>
  <c r="BY364" i="6"/>
  <c r="BO364" i="6"/>
  <c r="BJ364" i="6"/>
  <c r="BE364" i="6"/>
  <c r="AZ364" i="6"/>
  <c r="AU364" i="6"/>
  <c r="AP364" i="6"/>
  <c r="AK364" i="6"/>
  <c r="AF364" i="6"/>
  <c r="AA364" i="6"/>
  <c r="V364" i="6"/>
  <c r="V720" i="6" s="1"/>
  <c r="Q364" i="6"/>
  <c r="Q720" i="6" s="1"/>
  <c r="L364" i="6"/>
  <c r="G364" i="6"/>
  <c r="EL362" i="6"/>
  <c r="BZ718" i="6" s="1"/>
  <c r="BT362" i="6"/>
  <c r="EG361" i="6"/>
  <c r="EB361" i="6"/>
  <c r="DW361" i="6"/>
  <c r="DR361" i="6"/>
  <c r="DM361" i="6"/>
  <c r="DH361" i="6"/>
  <c r="DC361" i="6"/>
  <c r="CX361" i="6"/>
  <c r="CS361" i="6"/>
  <c r="CN361" i="6"/>
  <c r="CI361" i="6"/>
  <c r="CD361" i="6"/>
  <c r="BY361" i="6"/>
  <c r="BO361" i="6"/>
  <c r="BJ361" i="6"/>
  <c r="BE361" i="6"/>
  <c r="AZ361" i="6"/>
  <c r="AZ717" i="6" s="1"/>
  <c r="AU361" i="6"/>
  <c r="AP361" i="6"/>
  <c r="AK361" i="6"/>
  <c r="AF361" i="6"/>
  <c r="AF717" i="6" s="1"/>
  <c r="AA361" i="6"/>
  <c r="V361" i="6"/>
  <c r="Q361" i="6"/>
  <c r="L361" i="6"/>
  <c r="G361" i="6"/>
  <c r="EL359" i="6"/>
  <c r="BT359" i="6"/>
  <c r="BT358" i="6" s="1"/>
  <c r="EG358" i="6"/>
  <c r="EB358" i="6"/>
  <c r="DW358" i="6"/>
  <c r="DR358" i="6"/>
  <c r="DM358" i="6"/>
  <c r="DH358" i="6"/>
  <c r="DC358" i="6"/>
  <c r="CX358" i="6"/>
  <c r="CS358" i="6"/>
  <c r="CN358" i="6"/>
  <c r="CI358" i="6"/>
  <c r="CD358" i="6"/>
  <c r="BY358" i="6"/>
  <c r="BO358" i="6"/>
  <c r="BO714" i="6" s="1"/>
  <c r="BJ358" i="6"/>
  <c r="BE358" i="6"/>
  <c r="AZ358" i="6"/>
  <c r="AU358" i="6"/>
  <c r="AP358" i="6"/>
  <c r="AK358" i="6"/>
  <c r="AF358" i="6"/>
  <c r="AA358" i="6"/>
  <c r="V358" i="6"/>
  <c r="V714" i="6" s="1"/>
  <c r="Q358" i="6"/>
  <c r="Q714" i="6" s="1"/>
  <c r="L358" i="6"/>
  <c r="G358" i="6"/>
  <c r="EL356" i="6"/>
  <c r="BZ712" i="6" s="1"/>
  <c r="BT356" i="6"/>
  <c r="EG355" i="6"/>
  <c r="EB355" i="6"/>
  <c r="DW355" i="6"/>
  <c r="DR355" i="6"/>
  <c r="DM355" i="6"/>
  <c r="DH355" i="6"/>
  <c r="DC355" i="6"/>
  <c r="CX355" i="6"/>
  <c r="CS355" i="6"/>
  <c r="CN355" i="6"/>
  <c r="CI355" i="6"/>
  <c r="CD355" i="6"/>
  <c r="BY355" i="6"/>
  <c r="BO355" i="6"/>
  <c r="BJ355" i="6"/>
  <c r="BE355" i="6"/>
  <c r="AZ355" i="6"/>
  <c r="AU355" i="6"/>
  <c r="AP355" i="6"/>
  <c r="AK355" i="6"/>
  <c r="AF355" i="6"/>
  <c r="AA355" i="6"/>
  <c r="V355" i="6"/>
  <c r="Q355" i="6"/>
  <c r="L355" i="6"/>
  <c r="G355" i="6"/>
  <c r="G711" i="6" s="1"/>
  <c r="EL353" i="6"/>
  <c r="BT353" i="6"/>
  <c r="BT352" i="6" s="1"/>
  <c r="EG352" i="6"/>
  <c r="EB352" i="6"/>
  <c r="DW352" i="6"/>
  <c r="DR352" i="6"/>
  <c r="DM352" i="6"/>
  <c r="DH352" i="6"/>
  <c r="DC352" i="6"/>
  <c r="CX352" i="6"/>
  <c r="CS352" i="6"/>
  <c r="CN352" i="6"/>
  <c r="CI352" i="6"/>
  <c r="CD352" i="6"/>
  <c r="BY352" i="6"/>
  <c r="BO352" i="6"/>
  <c r="BJ352" i="6"/>
  <c r="BE352" i="6"/>
  <c r="AZ352" i="6"/>
  <c r="AU352" i="6"/>
  <c r="AP352" i="6"/>
  <c r="AK352" i="6"/>
  <c r="AF352" i="6"/>
  <c r="AA352" i="6"/>
  <c r="V352" i="6"/>
  <c r="Q352" i="6"/>
  <c r="L352" i="6"/>
  <c r="G352" i="6"/>
  <c r="CA709" i="6"/>
  <c r="EL350" i="6"/>
  <c r="BZ709" i="6" s="1"/>
  <c r="BT350" i="6"/>
  <c r="BT709" i="6" s="1"/>
  <c r="EI349" i="6"/>
  <c r="EH349" i="6"/>
  <c r="EG349" i="6"/>
  <c r="EB349" i="6"/>
  <c r="DW349" i="6"/>
  <c r="DR349" i="6"/>
  <c r="DM349" i="6"/>
  <c r="DH349" i="6"/>
  <c r="DC349" i="6"/>
  <c r="CX349" i="6"/>
  <c r="CS349" i="6"/>
  <c r="CN349" i="6"/>
  <c r="CI349" i="6"/>
  <c r="CE349" i="6"/>
  <c r="M708" i="6" s="1"/>
  <c r="CD349" i="6"/>
  <c r="BY349" i="6"/>
  <c r="BQ349" i="6"/>
  <c r="BP349" i="6"/>
  <c r="BO349" i="6"/>
  <c r="BN349" i="6"/>
  <c r="BN708" i="6" s="1"/>
  <c r="BM349" i="6"/>
  <c r="BM708" i="6" s="1"/>
  <c r="BL349" i="6"/>
  <c r="BL708" i="6" s="1"/>
  <c r="BK349" i="6"/>
  <c r="BK708" i="6" s="1"/>
  <c r="BJ349" i="6"/>
  <c r="BI349" i="6"/>
  <c r="BI708" i="6" s="1"/>
  <c r="BH349" i="6"/>
  <c r="BH708" i="6" s="1"/>
  <c r="BG349" i="6"/>
  <c r="BG708" i="6" s="1"/>
  <c r="BF349" i="6"/>
  <c r="BF708" i="6" s="1"/>
  <c r="BE349" i="6"/>
  <c r="BD349" i="6"/>
  <c r="BD708" i="6" s="1"/>
  <c r="BC349" i="6"/>
  <c r="BC708" i="6" s="1"/>
  <c r="BB349" i="6"/>
  <c r="BB708" i="6" s="1"/>
  <c r="BA349" i="6"/>
  <c r="BA708" i="6" s="1"/>
  <c r="AZ349" i="6"/>
  <c r="AY349" i="6"/>
  <c r="AY708" i="6" s="1"/>
  <c r="AX349" i="6"/>
  <c r="AX708" i="6" s="1"/>
  <c r="AW349" i="6"/>
  <c r="AW708" i="6" s="1"/>
  <c r="AV349" i="6"/>
  <c r="AV708" i="6" s="1"/>
  <c r="AU349" i="6"/>
  <c r="AT349" i="6"/>
  <c r="AT708" i="6" s="1"/>
  <c r="AS349" i="6"/>
  <c r="AS708" i="6" s="1"/>
  <c r="AR349" i="6"/>
  <c r="AR708" i="6" s="1"/>
  <c r="AQ349" i="6"/>
  <c r="AQ708" i="6" s="1"/>
  <c r="AP349" i="6"/>
  <c r="AO349" i="6"/>
  <c r="AO708" i="6" s="1"/>
  <c r="AN349" i="6"/>
  <c r="AN708" i="6" s="1"/>
  <c r="AM349" i="6"/>
  <c r="AM708" i="6" s="1"/>
  <c r="AL349" i="6"/>
  <c r="AL708" i="6" s="1"/>
  <c r="AK349" i="6"/>
  <c r="AJ349" i="6"/>
  <c r="AJ708" i="6" s="1"/>
  <c r="AI349" i="6"/>
  <c r="AI708" i="6" s="1"/>
  <c r="AH349" i="6"/>
  <c r="AH708" i="6" s="1"/>
  <c r="AG349" i="6"/>
  <c r="AG708" i="6" s="1"/>
  <c r="AF349" i="6"/>
  <c r="AF708" i="6" s="1"/>
  <c r="AE349" i="6"/>
  <c r="AE708" i="6" s="1"/>
  <c r="AD349" i="6"/>
  <c r="AD708" i="6" s="1"/>
  <c r="AC349" i="6"/>
  <c r="AC708" i="6" s="1"/>
  <c r="AB349" i="6"/>
  <c r="AB708" i="6" s="1"/>
  <c r="AA349" i="6"/>
  <c r="AA708" i="6" s="1"/>
  <c r="Z349" i="6"/>
  <c r="Z708" i="6" s="1"/>
  <c r="V349" i="6"/>
  <c r="Q349" i="6"/>
  <c r="L349" i="6"/>
  <c r="G349" i="6"/>
  <c r="G708" i="6" s="1"/>
  <c r="CA706" i="6"/>
  <c r="BZ706" i="6"/>
  <c r="EL347" i="6"/>
  <c r="BZ705" i="6" s="1"/>
  <c r="BT347" i="6"/>
  <c r="BT346" i="6" s="1"/>
  <c r="EG346" i="6"/>
  <c r="EB346" i="6"/>
  <c r="DW346" i="6"/>
  <c r="DR346" i="6"/>
  <c r="DM346" i="6"/>
  <c r="DH346" i="6"/>
  <c r="DC346" i="6"/>
  <c r="CX346" i="6"/>
  <c r="CS346" i="6"/>
  <c r="CN346" i="6"/>
  <c r="CI346" i="6"/>
  <c r="CD346" i="6"/>
  <c r="BY346" i="6"/>
  <c r="BO346" i="6"/>
  <c r="BJ346" i="6"/>
  <c r="BE346" i="6"/>
  <c r="AZ346" i="6"/>
  <c r="AU346" i="6"/>
  <c r="AP346" i="6"/>
  <c r="AK346" i="6"/>
  <c r="AK704" i="6" s="1"/>
  <c r="AF346" i="6"/>
  <c r="AA346" i="6"/>
  <c r="V346" i="6"/>
  <c r="Q346" i="6"/>
  <c r="Q704" i="6" s="1"/>
  <c r="L346" i="6"/>
  <c r="G346" i="6"/>
  <c r="G704" i="6" s="1"/>
  <c r="CA702" i="6"/>
  <c r="BZ702" i="6"/>
  <c r="EL344" i="6"/>
  <c r="BY344" i="6"/>
  <c r="BZ701" i="6" s="1"/>
  <c r="BO344" i="6"/>
  <c r="BO701" i="6" s="1"/>
  <c r="BJ344" i="6"/>
  <c r="BE344" i="6"/>
  <c r="AZ344" i="6"/>
  <c r="AU344" i="6"/>
  <c r="AP344" i="6"/>
  <c r="AK344" i="6"/>
  <c r="AK701" i="6" s="1"/>
  <c r="AF344" i="6"/>
  <c r="AF701" i="6" s="1"/>
  <c r="AA344" i="6"/>
  <c r="AA343" i="6" s="1"/>
  <c r="V344" i="6"/>
  <c r="Q344" i="6"/>
  <c r="L344" i="6"/>
  <c r="G344" i="6"/>
  <c r="G701" i="6" s="1"/>
  <c r="EG343" i="6"/>
  <c r="EB343" i="6"/>
  <c r="DW343" i="6"/>
  <c r="DR343" i="6"/>
  <c r="DM343" i="6"/>
  <c r="DH343" i="6"/>
  <c r="DC343" i="6"/>
  <c r="CX343" i="6"/>
  <c r="CS343" i="6"/>
  <c r="CN343" i="6"/>
  <c r="CI343" i="6"/>
  <c r="CD343" i="6"/>
  <c r="BO343" i="6"/>
  <c r="BO700" i="6" s="1"/>
  <c r="BJ343" i="6"/>
  <c r="BJ700" i="6" s="1"/>
  <c r="AK343" i="6"/>
  <c r="G343" i="6"/>
  <c r="EL341" i="6"/>
  <c r="CA698" i="6" s="1"/>
  <c r="BT341" i="6"/>
  <c r="BT698" i="6" s="1"/>
  <c r="EG340" i="6"/>
  <c r="EB340" i="6"/>
  <c r="DW340" i="6"/>
  <c r="DR340" i="6"/>
  <c r="DM340" i="6"/>
  <c r="DH340" i="6"/>
  <c r="DC340" i="6"/>
  <c r="CX340" i="6"/>
  <c r="CS340" i="6"/>
  <c r="CN340" i="6"/>
  <c r="CI340" i="6"/>
  <c r="CD340" i="6"/>
  <c r="BY340" i="6"/>
  <c r="BO340" i="6"/>
  <c r="BJ340" i="6"/>
  <c r="BE340" i="6"/>
  <c r="AZ340" i="6"/>
  <c r="AU340" i="6"/>
  <c r="AP340" i="6"/>
  <c r="AK340" i="6"/>
  <c r="AF340" i="6"/>
  <c r="AF697" i="6" s="1"/>
  <c r="AA340" i="6"/>
  <c r="V340" i="6"/>
  <c r="Q340" i="6"/>
  <c r="L340" i="6"/>
  <c r="G340" i="6"/>
  <c r="EL338" i="6"/>
  <c r="BT338" i="6"/>
  <c r="BT337" i="6" s="1"/>
  <c r="EG337" i="6"/>
  <c r="EB337" i="6"/>
  <c r="DW337" i="6"/>
  <c r="DR337" i="6"/>
  <c r="DM337" i="6"/>
  <c r="DH337" i="6"/>
  <c r="DC337" i="6"/>
  <c r="CX337" i="6"/>
  <c r="CS337" i="6"/>
  <c r="CN337" i="6"/>
  <c r="CI337" i="6"/>
  <c r="CE337" i="6"/>
  <c r="M694" i="6" s="1"/>
  <c r="CD337" i="6"/>
  <c r="BY337" i="6"/>
  <c r="BO337" i="6"/>
  <c r="BJ337" i="6"/>
  <c r="BE337" i="6"/>
  <c r="AZ337" i="6"/>
  <c r="AZ694" i="6" s="1"/>
  <c r="AU337" i="6"/>
  <c r="AU694" i="6" s="1"/>
  <c r="AP337" i="6"/>
  <c r="AK337" i="6"/>
  <c r="AF337" i="6"/>
  <c r="AA337" i="6"/>
  <c r="V337" i="6"/>
  <c r="Q337" i="6"/>
  <c r="L337" i="6"/>
  <c r="G337" i="6"/>
  <c r="EL335" i="6"/>
  <c r="BZ692" i="6" s="1"/>
  <c r="BT335" i="6"/>
  <c r="BT334" i="6" s="1"/>
  <c r="EG334" i="6"/>
  <c r="EB334" i="6"/>
  <c r="DW334" i="6"/>
  <c r="DR334" i="6"/>
  <c r="DM334" i="6"/>
  <c r="DH334" i="6"/>
  <c r="DC334" i="6"/>
  <c r="CX334" i="6"/>
  <c r="CS334" i="6"/>
  <c r="CN334" i="6"/>
  <c r="CI334" i="6"/>
  <c r="CE334" i="6"/>
  <c r="M691" i="6" s="1"/>
  <c r="CD334" i="6"/>
  <c r="BY334" i="6"/>
  <c r="BO334" i="6"/>
  <c r="BJ334" i="6"/>
  <c r="BJ691" i="6" s="1"/>
  <c r="BE334" i="6"/>
  <c r="AZ334" i="6"/>
  <c r="AZ691" i="6" s="1"/>
  <c r="AU334" i="6"/>
  <c r="AP334" i="6"/>
  <c r="AP691" i="6" s="1"/>
  <c r="AK334" i="6"/>
  <c r="AK691" i="6" s="1"/>
  <c r="AF334" i="6"/>
  <c r="AA334" i="6"/>
  <c r="V334" i="6"/>
  <c r="Q334" i="6"/>
  <c r="L334" i="6"/>
  <c r="G334" i="6"/>
  <c r="CA689" i="6"/>
  <c r="BZ689" i="6"/>
  <c r="EL332" i="6"/>
  <c r="BT332" i="6"/>
  <c r="BT689" i="6" s="1"/>
  <c r="EL331" i="6"/>
  <c r="EG331" i="6"/>
  <c r="EB331" i="6"/>
  <c r="DW331" i="6"/>
  <c r="DR331" i="6"/>
  <c r="DM331" i="6"/>
  <c r="DH331" i="6"/>
  <c r="DC331" i="6"/>
  <c r="CX331" i="6"/>
  <c r="CS331" i="6"/>
  <c r="CN331" i="6"/>
  <c r="CI331" i="6"/>
  <c r="CD331" i="6"/>
  <c r="BY331" i="6"/>
  <c r="BO331" i="6"/>
  <c r="BJ331" i="6"/>
  <c r="BE331" i="6"/>
  <c r="BE688" i="6" s="1"/>
  <c r="AZ331" i="6"/>
  <c r="AU331" i="6"/>
  <c r="AP331" i="6"/>
  <c r="AK331" i="6"/>
  <c r="AF331" i="6"/>
  <c r="AF688" i="6" s="1"/>
  <c r="AA331" i="6"/>
  <c r="V331" i="6"/>
  <c r="Q331" i="6"/>
  <c r="L331" i="6"/>
  <c r="G331" i="6"/>
  <c r="EL329" i="6"/>
  <c r="BT329" i="6"/>
  <c r="EG328" i="6"/>
  <c r="EB328" i="6"/>
  <c r="DW328" i="6"/>
  <c r="DR328" i="6"/>
  <c r="DM328" i="6"/>
  <c r="DH328" i="6"/>
  <c r="DC328" i="6"/>
  <c r="CX328" i="6"/>
  <c r="CS328" i="6"/>
  <c r="CN328" i="6"/>
  <c r="CI328" i="6"/>
  <c r="CD328" i="6"/>
  <c r="BY328" i="6"/>
  <c r="BO328" i="6"/>
  <c r="BJ328" i="6"/>
  <c r="BE328" i="6"/>
  <c r="AZ328" i="6"/>
  <c r="AU328" i="6"/>
  <c r="AP328" i="6"/>
  <c r="AK328" i="6"/>
  <c r="AK685" i="6" s="1"/>
  <c r="AF328" i="6"/>
  <c r="AF685" i="6" s="1"/>
  <c r="AA328" i="6"/>
  <c r="V328" i="6"/>
  <c r="Q328" i="6"/>
  <c r="L328" i="6"/>
  <c r="G328" i="6"/>
  <c r="EL326" i="6"/>
  <c r="BT326" i="6"/>
  <c r="EG325" i="6"/>
  <c r="EB325" i="6"/>
  <c r="DW325" i="6"/>
  <c r="DR325" i="6"/>
  <c r="DM325" i="6"/>
  <c r="DH325" i="6"/>
  <c r="DC325" i="6"/>
  <c r="CX325" i="6"/>
  <c r="CS325" i="6"/>
  <c r="CN325" i="6"/>
  <c r="CI325" i="6"/>
  <c r="CD325" i="6"/>
  <c r="BY325" i="6"/>
  <c r="BO325" i="6"/>
  <c r="BJ325" i="6"/>
  <c r="BE325" i="6"/>
  <c r="AZ325" i="6"/>
  <c r="AU325" i="6"/>
  <c r="AU682" i="6" s="1"/>
  <c r="AP325" i="6"/>
  <c r="AK325" i="6"/>
  <c r="AF325" i="6"/>
  <c r="AA325" i="6"/>
  <c r="V325" i="6"/>
  <c r="Q325" i="6"/>
  <c r="Q682" i="6" s="1"/>
  <c r="L325" i="6"/>
  <c r="G325" i="6"/>
  <c r="EL323" i="6"/>
  <c r="CA680" i="6" s="1"/>
  <c r="BT323" i="6"/>
  <c r="EG322" i="6"/>
  <c r="EB322" i="6"/>
  <c r="DW322" i="6"/>
  <c r="DR322" i="6"/>
  <c r="DM322" i="6"/>
  <c r="DH322" i="6"/>
  <c r="DC322" i="6"/>
  <c r="CX322" i="6"/>
  <c r="CS322" i="6"/>
  <c r="CN322" i="6"/>
  <c r="CI322" i="6"/>
  <c r="CD322" i="6"/>
  <c r="BY322" i="6"/>
  <c r="BT322" i="6"/>
  <c r="BO322" i="6"/>
  <c r="BJ322" i="6"/>
  <c r="BE322" i="6"/>
  <c r="AZ322" i="6"/>
  <c r="AU322" i="6"/>
  <c r="AU679" i="6" s="1"/>
  <c r="AP322" i="6"/>
  <c r="AK322" i="6"/>
  <c r="AF322" i="6"/>
  <c r="AA322" i="6"/>
  <c r="V322" i="6"/>
  <c r="V679" i="6" s="1"/>
  <c r="Q322" i="6"/>
  <c r="L322" i="6"/>
  <c r="G322" i="6"/>
  <c r="EL321" i="6"/>
  <c r="BT678" i="6" s="1"/>
  <c r="CA677" i="6"/>
  <c r="BZ677" i="6"/>
  <c r="EL320" i="6"/>
  <c r="BT320" i="6"/>
  <c r="BT677" i="6" s="1"/>
  <c r="EL319" i="6"/>
  <c r="CA676" i="6" s="1"/>
  <c r="EG319" i="6"/>
  <c r="EB319" i="6"/>
  <c r="DW319" i="6"/>
  <c r="DR319" i="6"/>
  <c r="DM319" i="6"/>
  <c r="DH319" i="6"/>
  <c r="DC319" i="6"/>
  <c r="CX319" i="6"/>
  <c r="CS319" i="6"/>
  <c r="CN319" i="6"/>
  <c r="CI319" i="6"/>
  <c r="CD319" i="6"/>
  <c r="BY319" i="6"/>
  <c r="BO319" i="6"/>
  <c r="BJ319" i="6"/>
  <c r="BJ676" i="6" s="1"/>
  <c r="BE319" i="6"/>
  <c r="AZ319" i="6"/>
  <c r="AU319" i="6"/>
  <c r="AP319" i="6"/>
  <c r="AK319" i="6"/>
  <c r="AF319" i="6"/>
  <c r="AA319" i="6"/>
  <c r="V319" i="6"/>
  <c r="Q319" i="6"/>
  <c r="L319" i="6"/>
  <c r="G319" i="6"/>
  <c r="CA675" i="6"/>
  <c r="BZ675" i="6"/>
  <c r="CA674" i="6"/>
  <c r="BZ674" i="6"/>
  <c r="EL317" i="6"/>
  <c r="EL316" i="6" s="1"/>
  <c r="BT317" i="6"/>
  <c r="BT316" i="6" s="1"/>
  <c r="EG316" i="6"/>
  <c r="EB316" i="6"/>
  <c r="DW316" i="6"/>
  <c r="DR316" i="6"/>
  <c r="DM316" i="6"/>
  <c r="DH316" i="6"/>
  <c r="DC316" i="6"/>
  <c r="CX316" i="6"/>
  <c r="CS316" i="6"/>
  <c r="CN316" i="6"/>
  <c r="CI316" i="6"/>
  <c r="CD316" i="6"/>
  <c r="BY316" i="6"/>
  <c r="CA673" i="6" s="1"/>
  <c r="BO316" i="6"/>
  <c r="BJ316" i="6"/>
  <c r="BE316" i="6"/>
  <c r="AZ316" i="6"/>
  <c r="AU316" i="6"/>
  <c r="AP316" i="6"/>
  <c r="AK316" i="6"/>
  <c r="AF316" i="6"/>
  <c r="AA316" i="6"/>
  <c r="V316" i="6"/>
  <c r="Q316" i="6"/>
  <c r="L316" i="6"/>
  <c r="G316" i="6"/>
  <c r="G673" i="6" s="1"/>
  <c r="EG314" i="6"/>
  <c r="EG313" i="6" s="1"/>
  <c r="EG10" i="6" s="1"/>
  <c r="EB314" i="6"/>
  <c r="EB313" i="6" s="1"/>
  <c r="EB10" i="6" s="1"/>
  <c r="DW314" i="6"/>
  <c r="DW313" i="6" s="1"/>
  <c r="DR314" i="6"/>
  <c r="DM314" i="6"/>
  <c r="DH314" i="6"/>
  <c r="DH313" i="6" s="1"/>
  <c r="DH10" i="6" s="1"/>
  <c r="DC314" i="6"/>
  <c r="CX314" i="6"/>
  <c r="CX313" i="6" s="1"/>
  <c r="CX10" i="6" s="1"/>
  <c r="CS314" i="6"/>
  <c r="CS313" i="6" s="1"/>
  <c r="CS10" i="6" s="1"/>
  <c r="CN314" i="6"/>
  <c r="CN313" i="6" s="1"/>
  <c r="CN10" i="6" s="1"/>
  <c r="CI314" i="6"/>
  <c r="CI313" i="6" s="1"/>
  <c r="CI10" i="6" s="1"/>
  <c r="CD314" i="6"/>
  <c r="CD313" i="6" s="1"/>
  <c r="CD10" i="6" s="1"/>
  <c r="BO314" i="6"/>
  <c r="AZ314" i="6"/>
  <c r="AU314" i="6"/>
  <c r="AP314" i="6"/>
  <c r="AP671" i="6" s="1"/>
  <c r="AF314" i="6"/>
  <c r="G314" i="6"/>
  <c r="DR313" i="6"/>
  <c r="DR10" i="6" s="1"/>
  <c r="DM313" i="6"/>
  <c r="DM10" i="6" s="1"/>
  <c r="DC313" i="6"/>
  <c r="DC10" i="6" s="1"/>
  <c r="EL311" i="6"/>
  <c r="BT311" i="6"/>
  <c r="EL310" i="6"/>
  <c r="BT310" i="6"/>
  <c r="EL309" i="6"/>
  <c r="BT309" i="6"/>
  <c r="EG308" i="6"/>
  <c r="EB308" i="6"/>
  <c r="DW308" i="6"/>
  <c r="DR308" i="6"/>
  <c r="DM308" i="6"/>
  <c r="DH308" i="6"/>
  <c r="DC308" i="6"/>
  <c r="CX308" i="6"/>
  <c r="CS308" i="6"/>
  <c r="CN308" i="6"/>
  <c r="CI308" i="6"/>
  <c r="CD308" i="6"/>
  <c r="BY308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EL306" i="6"/>
  <c r="BT306" i="6"/>
  <c r="EL305" i="6"/>
  <c r="BT305" i="6"/>
  <c r="EL304" i="6"/>
  <c r="BT304" i="6"/>
  <c r="BT303" i="6" s="1"/>
  <c r="EL303" i="6"/>
  <c r="EG303" i="6"/>
  <c r="EB303" i="6"/>
  <c r="DW303" i="6"/>
  <c r="DR303" i="6"/>
  <c r="DM303" i="6"/>
  <c r="DH303" i="6"/>
  <c r="DC303" i="6"/>
  <c r="CX303" i="6"/>
  <c r="CS303" i="6"/>
  <c r="CN303" i="6"/>
  <c r="CI303" i="6"/>
  <c r="CD303" i="6"/>
  <c r="BY303" i="6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G303" i="6"/>
  <c r="EL301" i="6"/>
  <c r="BT301" i="6"/>
  <c r="EL300" i="6"/>
  <c r="BT300" i="6"/>
  <c r="DW299" i="6"/>
  <c r="DW298" i="6" s="1"/>
  <c r="DR299" i="6"/>
  <c r="DR298" i="6" s="1"/>
  <c r="DC299" i="6"/>
  <c r="DC298" i="6" s="1"/>
  <c r="CX299" i="6"/>
  <c r="CX298" i="6" s="1"/>
  <c r="CS299" i="6"/>
  <c r="CN299" i="6"/>
  <c r="CI299" i="6"/>
  <c r="CD299" i="6"/>
  <c r="BT299" i="6"/>
  <c r="L299" i="6"/>
  <c r="EG298" i="6"/>
  <c r="EB298" i="6"/>
  <c r="DM298" i="6"/>
  <c r="DH298" i="6"/>
  <c r="CS298" i="6"/>
  <c r="CN298" i="6"/>
  <c r="CI298" i="6"/>
  <c r="BY298" i="6"/>
  <c r="BO298" i="6"/>
  <c r="BJ298" i="6"/>
  <c r="BE298" i="6"/>
  <c r="AZ298" i="6"/>
  <c r="AU298" i="6"/>
  <c r="AP298" i="6"/>
  <c r="AK298" i="6"/>
  <c r="AF298" i="6"/>
  <c r="AA298" i="6"/>
  <c r="V298" i="6"/>
  <c r="Q298" i="6"/>
  <c r="L298" i="6"/>
  <c r="G298" i="6"/>
  <c r="EL296" i="6"/>
  <c r="BT296" i="6"/>
  <c r="EL295" i="6"/>
  <c r="BT295" i="6"/>
  <c r="DR294" i="6"/>
  <c r="DM294" i="6"/>
  <c r="EL294" i="6" s="1"/>
  <c r="EL293" i="6" s="1"/>
  <c r="Q294" i="6"/>
  <c r="Q293" i="6" s="1"/>
  <c r="L294" i="6"/>
  <c r="BT294" i="6" s="1"/>
  <c r="EG293" i="6"/>
  <c r="EB293" i="6"/>
  <c r="DW293" i="6"/>
  <c r="DR293" i="6"/>
  <c r="DM293" i="6"/>
  <c r="DH293" i="6"/>
  <c r="DC293" i="6"/>
  <c r="CX293" i="6"/>
  <c r="CS293" i="6"/>
  <c r="CN293" i="6"/>
  <c r="CI293" i="6"/>
  <c r="CD293" i="6"/>
  <c r="BY293" i="6"/>
  <c r="BO293" i="6"/>
  <c r="BJ293" i="6"/>
  <c r="BE293" i="6"/>
  <c r="AZ293" i="6"/>
  <c r="AU293" i="6"/>
  <c r="AP293" i="6"/>
  <c r="AK293" i="6"/>
  <c r="AF293" i="6"/>
  <c r="AA293" i="6"/>
  <c r="V293" i="6"/>
  <c r="L293" i="6"/>
  <c r="G293" i="6"/>
  <c r="EL291" i="6"/>
  <c r="BT291" i="6"/>
  <c r="EL290" i="6"/>
  <c r="BT290" i="6"/>
  <c r="EL289" i="6"/>
  <c r="BT289" i="6"/>
  <c r="EG288" i="6"/>
  <c r="EB288" i="6"/>
  <c r="DW288" i="6"/>
  <c r="DR288" i="6"/>
  <c r="DM288" i="6"/>
  <c r="DH288" i="6"/>
  <c r="DC288" i="6"/>
  <c r="CX288" i="6"/>
  <c r="CS288" i="6"/>
  <c r="CN288" i="6"/>
  <c r="CI288" i="6"/>
  <c r="CD288" i="6"/>
  <c r="BY288" i="6"/>
  <c r="BO288" i="6"/>
  <c r="BJ288" i="6"/>
  <c r="BE288" i="6"/>
  <c r="AZ288" i="6"/>
  <c r="AU288" i="6"/>
  <c r="AP288" i="6"/>
  <c r="AK288" i="6"/>
  <c r="AF288" i="6"/>
  <c r="AA288" i="6"/>
  <c r="V288" i="6"/>
  <c r="Q288" i="6"/>
  <c r="L288" i="6"/>
  <c r="G288" i="6"/>
  <c r="EL286" i="6"/>
  <c r="BT286" i="6"/>
  <c r="EL285" i="6"/>
  <c r="BT285" i="6"/>
  <c r="EG284" i="6"/>
  <c r="EB284" i="6"/>
  <c r="EB283" i="6" s="1"/>
  <c r="DH284" i="6"/>
  <c r="DH283" i="6" s="1"/>
  <c r="CD284" i="6"/>
  <c r="Q284" i="6"/>
  <c r="Q283" i="6" s="1"/>
  <c r="L284" i="6"/>
  <c r="EG283" i="6"/>
  <c r="DW283" i="6"/>
  <c r="DR283" i="6"/>
  <c r="DM283" i="6"/>
  <c r="DC283" i="6"/>
  <c r="CX283" i="6"/>
  <c r="CS283" i="6"/>
  <c r="CN283" i="6"/>
  <c r="CI283" i="6"/>
  <c r="BY283" i="6"/>
  <c r="BO283" i="6"/>
  <c r="BJ283" i="6"/>
  <c r="BE283" i="6"/>
  <c r="AZ283" i="6"/>
  <c r="AU283" i="6"/>
  <c r="AP283" i="6"/>
  <c r="AK283" i="6"/>
  <c r="AF283" i="6"/>
  <c r="AA283" i="6"/>
  <c r="V283" i="6"/>
  <c r="G283" i="6"/>
  <c r="EL281" i="6"/>
  <c r="BT281" i="6"/>
  <c r="EL280" i="6"/>
  <c r="BT280" i="6"/>
  <c r="EG279" i="6"/>
  <c r="EB279" i="6"/>
  <c r="DW279" i="6"/>
  <c r="DW278" i="6" s="1"/>
  <c r="DM279" i="6"/>
  <c r="DH279" i="6"/>
  <c r="DC279" i="6"/>
  <c r="DC278" i="6" s="1"/>
  <c r="CI279" i="6"/>
  <c r="CI278" i="6" s="1"/>
  <c r="CD279" i="6"/>
  <c r="BT279" i="6"/>
  <c r="EG278" i="6"/>
  <c r="EB278" i="6"/>
  <c r="DR278" i="6"/>
  <c r="DM278" i="6"/>
  <c r="DH278" i="6"/>
  <c r="CX278" i="6"/>
  <c r="CS278" i="6"/>
  <c r="CN278" i="6"/>
  <c r="BY278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EL276" i="6"/>
  <c r="BT276" i="6"/>
  <c r="EL275" i="6"/>
  <c r="BT275" i="6"/>
  <c r="EL274" i="6"/>
  <c r="BT274" i="6"/>
  <c r="EG273" i="6"/>
  <c r="EB273" i="6"/>
  <c r="DW273" i="6"/>
  <c r="DR273" i="6"/>
  <c r="DM273" i="6"/>
  <c r="DH273" i="6"/>
  <c r="DC273" i="6"/>
  <c r="CX273" i="6"/>
  <c r="CS273" i="6"/>
  <c r="CN273" i="6"/>
  <c r="CI273" i="6"/>
  <c r="CD273" i="6"/>
  <c r="BY273" i="6"/>
  <c r="BO273" i="6"/>
  <c r="BJ273" i="6"/>
  <c r="BE273" i="6"/>
  <c r="AZ273" i="6"/>
  <c r="AU273" i="6"/>
  <c r="AP273" i="6"/>
  <c r="AK273" i="6"/>
  <c r="AF273" i="6"/>
  <c r="AA273" i="6"/>
  <c r="V273" i="6"/>
  <c r="Q273" i="6"/>
  <c r="L273" i="6"/>
  <c r="G273" i="6"/>
  <c r="EL271" i="6"/>
  <c r="BT271" i="6"/>
  <c r="EL270" i="6"/>
  <c r="BT270" i="6"/>
  <c r="CX269" i="6"/>
  <c r="CS269" i="6"/>
  <c r="CS268" i="6" s="1"/>
  <c r="V269" i="6"/>
  <c r="V268" i="6" s="1"/>
  <c r="Q269" i="6"/>
  <c r="Q268" i="6" s="1"/>
  <c r="L269" i="6"/>
  <c r="L268" i="6" s="1"/>
  <c r="EG268" i="6"/>
  <c r="EB268" i="6"/>
  <c r="DW268" i="6"/>
  <c r="DR268" i="6"/>
  <c r="DM268" i="6"/>
  <c r="DH268" i="6"/>
  <c r="DC268" i="6"/>
  <c r="CX268" i="6"/>
  <c r="CN268" i="6"/>
  <c r="CI268" i="6"/>
  <c r="CD268" i="6"/>
  <c r="BY268" i="6"/>
  <c r="BO268" i="6"/>
  <c r="BJ268" i="6"/>
  <c r="BE268" i="6"/>
  <c r="AZ268" i="6"/>
  <c r="AU268" i="6"/>
  <c r="AP268" i="6"/>
  <c r="AK268" i="6"/>
  <c r="AF268" i="6"/>
  <c r="AA268" i="6"/>
  <c r="G268" i="6"/>
  <c r="EL266" i="6"/>
  <c r="BT266" i="6"/>
  <c r="EL265" i="6"/>
  <c r="BT265" i="6"/>
  <c r="EG264" i="6"/>
  <c r="DR264" i="6"/>
  <c r="DC264" i="6"/>
  <c r="DC263" i="6" s="1"/>
  <c r="CX264" i="6"/>
  <c r="CS264" i="6"/>
  <c r="CS263" i="6" s="1"/>
  <c r="CN264" i="6"/>
  <c r="CI264" i="6"/>
  <c r="CI263" i="6" s="1"/>
  <c r="CD264" i="6"/>
  <c r="V264" i="6"/>
  <c r="Q264" i="6"/>
  <c r="BT264" i="6" s="1"/>
  <c r="EB263" i="6"/>
  <c r="DW263" i="6"/>
  <c r="DM263" i="6"/>
  <c r="DH263" i="6"/>
  <c r="CN263" i="6"/>
  <c r="CD263" i="6"/>
  <c r="BY263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EL261" i="6"/>
  <c r="BT261" i="6"/>
  <c r="EL260" i="6"/>
  <c r="BT260" i="6"/>
  <c r="CD259" i="6"/>
  <c r="CD258" i="6" s="1"/>
  <c r="BT259" i="6"/>
  <c r="EG258" i="6"/>
  <c r="EB258" i="6"/>
  <c r="DW258" i="6"/>
  <c r="DR258" i="6"/>
  <c r="DM258" i="6"/>
  <c r="DH258" i="6"/>
  <c r="DC258" i="6"/>
  <c r="CX258" i="6"/>
  <c r="CS258" i="6"/>
  <c r="CN258" i="6"/>
  <c r="CI258" i="6"/>
  <c r="BY258" i="6"/>
  <c r="BO258" i="6"/>
  <c r="BJ258" i="6"/>
  <c r="BE258" i="6"/>
  <c r="AZ258" i="6"/>
  <c r="AU258" i="6"/>
  <c r="AP258" i="6"/>
  <c r="AK258" i="6"/>
  <c r="AF258" i="6"/>
  <c r="AA258" i="6"/>
  <c r="V258" i="6"/>
  <c r="Q258" i="6"/>
  <c r="L258" i="6"/>
  <c r="G258" i="6"/>
  <c r="EL256" i="6"/>
  <c r="BT256" i="6"/>
  <c r="CA667" i="6"/>
  <c r="BZ667" i="6"/>
  <c r="EL255" i="6"/>
  <c r="BT255" i="6"/>
  <c r="BT667" i="6" s="1"/>
  <c r="EB254" i="6"/>
  <c r="BJ666" i="6" s="1"/>
  <c r="DW254" i="6"/>
  <c r="BE666" i="6" s="1"/>
  <c r="DM254" i="6"/>
  <c r="DH254" i="6"/>
  <c r="AP666" i="6" s="1"/>
  <c r="CX254" i="6"/>
  <c r="AF666" i="6" s="1"/>
  <c r="CN254" i="6"/>
  <c r="CD254" i="6"/>
  <c r="CD253" i="6" s="1"/>
  <c r="V254" i="6"/>
  <c r="V177" i="6" s="1"/>
  <c r="L254" i="6"/>
  <c r="EG253" i="6"/>
  <c r="EB253" i="6"/>
  <c r="DW253" i="6"/>
  <c r="DR253" i="6"/>
  <c r="DM253" i="6"/>
  <c r="DH253" i="6"/>
  <c r="DC253" i="6"/>
  <c r="CX253" i="6"/>
  <c r="CS253" i="6"/>
  <c r="CI253" i="6"/>
  <c r="BY253" i="6"/>
  <c r="BO253" i="6"/>
  <c r="BJ253" i="6"/>
  <c r="BE253" i="6"/>
  <c r="AZ253" i="6"/>
  <c r="AU253" i="6"/>
  <c r="AP253" i="6"/>
  <c r="AP665" i="6" s="1"/>
  <c r="AK253" i="6"/>
  <c r="AF253" i="6"/>
  <c r="AA253" i="6"/>
  <c r="Q253" i="6"/>
  <c r="G253" i="6"/>
  <c r="G665" i="6" s="1"/>
  <c r="CA663" i="6"/>
  <c r="EL251" i="6"/>
  <c r="BZ663" i="6" s="1"/>
  <c r="BT251" i="6"/>
  <c r="EL250" i="6"/>
  <c r="BT250" i="6"/>
  <c r="EG249" i="6"/>
  <c r="BO661" i="6" s="1"/>
  <c r="EB249" i="6"/>
  <c r="BJ661" i="6" s="1"/>
  <c r="DW249" i="6"/>
  <c r="BE661" i="6" s="1"/>
  <c r="DR249" i="6"/>
  <c r="DM249" i="6"/>
  <c r="AU661" i="6" s="1"/>
  <c r="DH249" i="6"/>
  <c r="DC249" i="6"/>
  <c r="AK661" i="6" s="1"/>
  <c r="CX249" i="6"/>
  <c r="AF661" i="6" s="1"/>
  <c r="CS249" i="6"/>
  <c r="CN249" i="6"/>
  <c r="V661" i="6" s="1"/>
  <c r="CI249" i="6"/>
  <c r="CD249" i="6"/>
  <c r="L661" i="6" s="1"/>
  <c r="BT249" i="6"/>
  <c r="DW248" i="6"/>
  <c r="CD248" i="6"/>
  <c r="BY248" i="6"/>
  <c r="BT248" i="6"/>
  <c r="BO248" i="6"/>
  <c r="BJ248" i="6"/>
  <c r="BE248" i="6"/>
  <c r="AZ248" i="6"/>
  <c r="AU248" i="6"/>
  <c r="AP248" i="6"/>
  <c r="AK248" i="6"/>
  <c r="AF248" i="6"/>
  <c r="AA248" i="6"/>
  <c r="V248" i="6"/>
  <c r="Q248" i="6"/>
  <c r="L248" i="6"/>
  <c r="G248" i="6"/>
  <c r="EL246" i="6"/>
  <c r="BT246" i="6"/>
  <c r="EL245" i="6"/>
  <c r="BT245" i="6"/>
  <c r="EL244" i="6"/>
  <c r="BT244" i="6"/>
  <c r="EL243" i="6"/>
  <c r="BT243" i="6"/>
  <c r="EG242" i="6"/>
  <c r="EB242" i="6"/>
  <c r="DW242" i="6"/>
  <c r="DR242" i="6"/>
  <c r="DM242" i="6"/>
  <c r="DH242" i="6"/>
  <c r="DC242" i="6"/>
  <c r="CX242" i="6"/>
  <c r="CS242" i="6"/>
  <c r="CN242" i="6"/>
  <c r="CI242" i="6"/>
  <c r="CD242" i="6"/>
  <c r="BY242" i="6"/>
  <c r="BO242" i="6"/>
  <c r="BJ242" i="6"/>
  <c r="BE242" i="6"/>
  <c r="AZ242" i="6"/>
  <c r="AU242" i="6"/>
  <c r="AP242" i="6"/>
  <c r="AK242" i="6"/>
  <c r="AF242" i="6"/>
  <c r="AA242" i="6"/>
  <c r="V242" i="6"/>
  <c r="Q242" i="6"/>
  <c r="L242" i="6"/>
  <c r="G242" i="6"/>
  <c r="EL240" i="6"/>
  <c r="BT240" i="6"/>
  <c r="EL239" i="6"/>
  <c r="BT239" i="6"/>
  <c r="BZ657" i="6"/>
  <c r="EL238" i="6"/>
  <c r="CA657" i="6" s="1"/>
  <c r="BT238" i="6"/>
  <c r="EL237" i="6"/>
  <c r="BT237" i="6"/>
  <c r="EG236" i="6"/>
  <c r="EB236" i="6"/>
  <c r="DW236" i="6"/>
  <c r="DR236" i="6"/>
  <c r="DM236" i="6"/>
  <c r="DH236" i="6"/>
  <c r="DC236" i="6"/>
  <c r="CX236" i="6"/>
  <c r="CS236" i="6"/>
  <c r="CN236" i="6"/>
  <c r="CI236" i="6"/>
  <c r="CD236" i="6"/>
  <c r="BY236" i="6"/>
  <c r="BO236" i="6"/>
  <c r="BJ236" i="6"/>
  <c r="BE236" i="6"/>
  <c r="AZ236" i="6"/>
  <c r="AU236" i="6"/>
  <c r="AP236" i="6"/>
  <c r="AK236" i="6"/>
  <c r="AK655" i="6" s="1"/>
  <c r="AF236" i="6"/>
  <c r="AA236" i="6"/>
  <c r="V236" i="6"/>
  <c r="Q236" i="6"/>
  <c r="L236" i="6"/>
  <c r="G236" i="6"/>
  <c r="EL234" i="6"/>
  <c r="BT234" i="6"/>
  <c r="EL233" i="6"/>
  <c r="BT233" i="6"/>
  <c r="EL232" i="6"/>
  <c r="BT232" i="6"/>
  <c r="EL231" i="6"/>
  <c r="BT231" i="6"/>
  <c r="EG230" i="6"/>
  <c r="EB230" i="6"/>
  <c r="DW230" i="6"/>
  <c r="DR230" i="6"/>
  <c r="DM230" i="6"/>
  <c r="DH230" i="6"/>
  <c r="DC230" i="6"/>
  <c r="CX230" i="6"/>
  <c r="CS230" i="6"/>
  <c r="CN230" i="6"/>
  <c r="CI230" i="6"/>
  <c r="CD230" i="6"/>
  <c r="BY230" i="6"/>
  <c r="BO230" i="6"/>
  <c r="BJ230" i="6"/>
  <c r="BE230" i="6"/>
  <c r="BE649" i="6" s="1"/>
  <c r="AZ230" i="6"/>
  <c r="AU230" i="6"/>
  <c r="AP230" i="6"/>
  <c r="AK230" i="6"/>
  <c r="AF230" i="6"/>
  <c r="AA230" i="6"/>
  <c r="V230" i="6"/>
  <c r="V649" i="6" s="1"/>
  <c r="Q230" i="6"/>
  <c r="L230" i="6"/>
  <c r="L649" i="6" s="1"/>
  <c r="G230" i="6"/>
  <c r="G649" i="6" s="1"/>
  <c r="CA648" i="6"/>
  <c r="EL228" i="6"/>
  <c r="BT228" i="6"/>
  <c r="BZ646" i="6"/>
  <c r="EL227" i="6"/>
  <c r="CA646" i="6" s="1"/>
  <c r="BT227" i="6"/>
  <c r="EL226" i="6"/>
  <c r="BT226" i="6"/>
  <c r="EL225" i="6"/>
  <c r="CA644" i="6" s="1"/>
  <c r="BT225" i="6"/>
  <c r="EG224" i="6"/>
  <c r="EB224" i="6"/>
  <c r="DW224" i="6"/>
  <c r="DR224" i="6"/>
  <c r="DM224" i="6"/>
  <c r="DH224" i="6"/>
  <c r="DC224" i="6"/>
  <c r="CX224" i="6"/>
  <c r="CS224" i="6"/>
  <c r="CN224" i="6"/>
  <c r="CI224" i="6"/>
  <c r="CD224" i="6"/>
  <c r="BY224" i="6"/>
  <c r="BO224" i="6"/>
  <c r="BJ224" i="6"/>
  <c r="BE224" i="6"/>
  <c r="AZ224" i="6"/>
  <c r="AU224" i="6"/>
  <c r="AU643" i="6" s="1"/>
  <c r="AP224" i="6"/>
  <c r="AK224" i="6"/>
  <c r="AF224" i="6"/>
  <c r="AA224" i="6"/>
  <c r="V224" i="6"/>
  <c r="Q224" i="6"/>
  <c r="L224" i="6"/>
  <c r="G224" i="6"/>
  <c r="CA642" i="6"/>
  <c r="EL222" i="6"/>
  <c r="BT222" i="6"/>
  <c r="EL221" i="6"/>
  <c r="BT221" i="6"/>
  <c r="EL220" i="6"/>
  <c r="BT220" i="6"/>
  <c r="CA638" i="6"/>
  <c r="BZ638" i="6"/>
  <c r="EL219" i="6"/>
  <c r="BT219" i="6"/>
  <c r="EL216" i="6"/>
  <c r="BT216" i="6"/>
  <c r="EL215" i="6"/>
  <c r="BT215" i="6"/>
  <c r="EL214" i="6"/>
  <c r="CA634" i="6" s="1"/>
  <c r="BT214" i="6"/>
  <c r="CA633" i="6"/>
  <c r="EL213" i="6"/>
  <c r="BT213" i="6"/>
  <c r="BT633" i="6" s="1"/>
  <c r="EG212" i="6"/>
  <c r="EB212" i="6"/>
  <c r="DW212" i="6"/>
  <c r="DR212" i="6"/>
  <c r="DM212" i="6"/>
  <c r="DH212" i="6"/>
  <c r="DC212" i="6"/>
  <c r="CX212" i="6"/>
  <c r="CS212" i="6"/>
  <c r="CN212" i="6"/>
  <c r="CI212" i="6"/>
  <c r="CD212" i="6"/>
  <c r="BY212" i="6"/>
  <c r="BO212" i="6"/>
  <c r="BJ212" i="6"/>
  <c r="BE212" i="6"/>
  <c r="AZ212" i="6"/>
  <c r="AU212" i="6"/>
  <c r="AP212" i="6"/>
  <c r="AK212" i="6"/>
  <c r="AK632" i="6" s="1"/>
  <c r="AF212" i="6"/>
  <c r="AF632" i="6" s="1"/>
  <c r="AA212" i="6"/>
  <c r="V212" i="6"/>
  <c r="Q212" i="6"/>
  <c r="Q632" i="6" s="1"/>
  <c r="L212" i="6"/>
  <c r="G212" i="6"/>
  <c r="EL210" i="6"/>
  <c r="BT210" i="6"/>
  <c r="EL209" i="6"/>
  <c r="BT209" i="6"/>
  <c r="EL208" i="6"/>
  <c r="BT208" i="6"/>
  <c r="EL207" i="6"/>
  <c r="BT207" i="6"/>
  <c r="EG206" i="6"/>
  <c r="EB206" i="6"/>
  <c r="DW206" i="6"/>
  <c r="DR206" i="6"/>
  <c r="DM206" i="6"/>
  <c r="DH206" i="6"/>
  <c r="DC206" i="6"/>
  <c r="CX206" i="6"/>
  <c r="CS206" i="6"/>
  <c r="CN206" i="6"/>
  <c r="CI206" i="6"/>
  <c r="CD206" i="6"/>
  <c r="L627" i="6" s="1"/>
  <c r="BY206" i="6"/>
  <c r="BO206" i="6"/>
  <c r="BJ206" i="6"/>
  <c r="BE206" i="6"/>
  <c r="AZ206" i="6"/>
  <c r="AU206" i="6"/>
  <c r="AU627" i="6" s="1"/>
  <c r="AP206" i="6"/>
  <c r="AK206" i="6"/>
  <c r="AK627" i="6" s="1"/>
  <c r="AF206" i="6"/>
  <c r="AA206" i="6"/>
  <c r="V206" i="6"/>
  <c r="Q206" i="6"/>
  <c r="L206" i="6"/>
  <c r="G206" i="6"/>
  <c r="CA625" i="6"/>
  <c r="BZ625" i="6"/>
  <c r="EL204" i="6"/>
  <c r="BT204" i="6"/>
  <c r="EL203" i="6"/>
  <c r="BT203" i="6"/>
  <c r="EL202" i="6"/>
  <c r="BT202" i="6"/>
  <c r="EL201" i="6"/>
  <c r="BT201" i="6"/>
  <c r="EG200" i="6"/>
  <c r="EB200" i="6"/>
  <c r="DW200" i="6"/>
  <c r="DR200" i="6"/>
  <c r="DM200" i="6"/>
  <c r="DH200" i="6"/>
  <c r="DC200" i="6"/>
  <c r="CX200" i="6"/>
  <c r="CS200" i="6"/>
  <c r="CN200" i="6"/>
  <c r="CI200" i="6"/>
  <c r="CD200" i="6"/>
  <c r="BY200" i="6"/>
  <c r="BO200" i="6"/>
  <c r="BJ200" i="6"/>
  <c r="BE200" i="6"/>
  <c r="AZ200" i="6"/>
  <c r="AU200" i="6"/>
  <c r="AU622" i="6" s="1"/>
  <c r="AP200" i="6"/>
  <c r="AP622" i="6" s="1"/>
  <c r="AK200" i="6"/>
  <c r="AF200" i="6"/>
  <c r="AA200" i="6"/>
  <c r="V200" i="6"/>
  <c r="V622" i="6" s="1"/>
  <c r="Q200" i="6"/>
  <c r="L200" i="6"/>
  <c r="G200" i="6"/>
  <c r="EL198" i="6"/>
  <c r="BT198" i="6"/>
  <c r="EL197" i="6"/>
  <c r="BZ619" i="6" s="1"/>
  <c r="BT197" i="6"/>
  <c r="BT619" i="6" s="1"/>
  <c r="EL196" i="6"/>
  <c r="BT196" i="6"/>
  <c r="EL195" i="6"/>
  <c r="BT195" i="6"/>
  <c r="EG194" i="6"/>
  <c r="EB194" i="6"/>
  <c r="DW194" i="6"/>
  <c r="DR194" i="6"/>
  <c r="DM194" i="6"/>
  <c r="DH194" i="6"/>
  <c r="DC194" i="6"/>
  <c r="CX194" i="6"/>
  <c r="CS194" i="6"/>
  <c r="CN194" i="6"/>
  <c r="CI194" i="6"/>
  <c r="CD194" i="6"/>
  <c r="BY194" i="6"/>
  <c r="BO194" i="6"/>
  <c r="BJ194" i="6"/>
  <c r="BE194" i="6"/>
  <c r="AZ194" i="6"/>
  <c r="AU194" i="6"/>
  <c r="AP194" i="6"/>
  <c r="AK194" i="6"/>
  <c r="AF194" i="6"/>
  <c r="AF616" i="6" s="1"/>
  <c r="AA194" i="6"/>
  <c r="V194" i="6"/>
  <c r="Q194" i="6"/>
  <c r="L194" i="6"/>
  <c r="G194" i="6"/>
  <c r="EL192" i="6"/>
  <c r="CA614" i="6" s="1"/>
  <c r="BT192" i="6"/>
  <c r="BT614" i="6" s="1"/>
  <c r="EL191" i="6"/>
  <c r="BT191" i="6"/>
  <c r="EL190" i="6"/>
  <c r="BT190" i="6"/>
  <c r="BT613" i="6" s="1"/>
  <c r="CA612" i="6"/>
  <c r="EL189" i="6"/>
  <c r="BZ612" i="6" s="1"/>
  <c r="BT189" i="6"/>
  <c r="BT188" i="6" s="1"/>
  <c r="EG188" i="6"/>
  <c r="EB188" i="6"/>
  <c r="DW188" i="6"/>
  <c r="DR188" i="6"/>
  <c r="DM188" i="6"/>
  <c r="DH188" i="6"/>
  <c r="DC188" i="6"/>
  <c r="CX188" i="6"/>
  <c r="CS188" i="6"/>
  <c r="CN188" i="6"/>
  <c r="CI188" i="6"/>
  <c r="CD188" i="6"/>
  <c r="BY188" i="6"/>
  <c r="BO188" i="6"/>
  <c r="BJ188" i="6"/>
  <c r="BE188" i="6"/>
  <c r="AZ188" i="6"/>
  <c r="AU188" i="6"/>
  <c r="AP188" i="6"/>
  <c r="AK188" i="6"/>
  <c r="AF188" i="6"/>
  <c r="AA188" i="6"/>
  <c r="V188" i="6"/>
  <c r="Q188" i="6"/>
  <c r="L188" i="6"/>
  <c r="G188" i="6"/>
  <c r="CA610" i="6"/>
  <c r="CA609" i="6"/>
  <c r="BZ609" i="6"/>
  <c r="EL186" i="6"/>
  <c r="BT186" i="6"/>
  <c r="BT609" i="6" s="1"/>
  <c r="EL185" i="6"/>
  <c r="BT185" i="6"/>
  <c r="EL184" i="6"/>
  <c r="CA608" i="6" s="1"/>
  <c r="BT184" i="6"/>
  <c r="EL183" i="6"/>
  <c r="BT183" i="6"/>
  <c r="EG182" i="6"/>
  <c r="EB182" i="6"/>
  <c r="DW182" i="6"/>
  <c r="DR182" i="6"/>
  <c r="DM182" i="6"/>
  <c r="DH182" i="6"/>
  <c r="DC182" i="6"/>
  <c r="CX182" i="6"/>
  <c r="CS182" i="6"/>
  <c r="CN182" i="6"/>
  <c r="CI182" i="6"/>
  <c r="Q606" i="6" s="1"/>
  <c r="CD182" i="6"/>
  <c r="BY182" i="6"/>
  <c r="BO182" i="6"/>
  <c r="BO606" i="6" s="1"/>
  <c r="BJ182" i="6"/>
  <c r="BE182" i="6"/>
  <c r="AZ182" i="6"/>
  <c r="AU182" i="6"/>
  <c r="AP182" i="6"/>
  <c r="AK182" i="6"/>
  <c r="AK606" i="6" s="1"/>
  <c r="AF182" i="6"/>
  <c r="AF606" i="6" s="1"/>
  <c r="AA182" i="6"/>
  <c r="AA606" i="6" s="1"/>
  <c r="V182" i="6"/>
  <c r="Q182" i="6"/>
  <c r="L182" i="6"/>
  <c r="G182" i="6"/>
  <c r="CA605" i="6"/>
  <c r="EG180" i="6"/>
  <c r="EB180" i="6"/>
  <c r="DW180" i="6"/>
  <c r="DR180" i="6"/>
  <c r="DM180" i="6"/>
  <c r="DH180" i="6"/>
  <c r="DC180" i="6"/>
  <c r="CX180" i="6"/>
  <c r="CS180" i="6"/>
  <c r="CN180" i="6"/>
  <c r="CI180" i="6"/>
  <c r="CD180" i="6"/>
  <c r="BY180" i="6"/>
  <c r="BO180" i="6"/>
  <c r="BJ180" i="6"/>
  <c r="BE180" i="6"/>
  <c r="AZ180" i="6"/>
  <c r="AU180" i="6"/>
  <c r="AP180" i="6"/>
  <c r="AK180" i="6"/>
  <c r="AF180" i="6"/>
  <c r="AA180" i="6"/>
  <c r="V180" i="6"/>
  <c r="Q180" i="6"/>
  <c r="L180" i="6"/>
  <c r="L604" i="6" s="1"/>
  <c r="G180" i="6"/>
  <c r="G604" i="6" s="1"/>
  <c r="EG179" i="6"/>
  <c r="EB179" i="6"/>
  <c r="DW179" i="6"/>
  <c r="DR179" i="6"/>
  <c r="DM179" i="6"/>
  <c r="DH179" i="6"/>
  <c r="DC179" i="6"/>
  <c r="CX179" i="6"/>
  <c r="CS179" i="6"/>
  <c r="CN179" i="6"/>
  <c r="CI179" i="6"/>
  <c r="CD179" i="6"/>
  <c r="BY179" i="6"/>
  <c r="BO179" i="6"/>
  <c r="BJ179" i="6"/>
  <c r="BJ603" i="6" s="1"/>
  <c r="BE179" i="6"/>
  <c r="BE603" i="6" s="1"/>
  <c r="AZ179" i="6"/>
  <c r="AZ603" i="6" s="1"/>
  <c r="AU179" i="6"/>
  <c r="AP179" i="6"/>
  <c r="AK179" i="6"/>
  <c r="AF179" i="6"/>
  <c r="AA179" i="6"/>
  <c r="V179" i="6"/>
  <c r="Q179" i="6"/>
  <c r="L179" i="6"/>
  <c r="L603" i="6" s="1"/>
  <c r="G179" i="6"/>
  <c r="EG178" i="6"/>
  <c r="EB178" i="6"/>
  <c r="DW178" i="6"/>
  <c r="DR178" i="6"/>
  <c r="DM178" i="6"/>
  <c r="DH178" i="6"/>
  <c r="DC178" i="6"/>
  <c r="CX178" i="6"/>
  <c r="CS178" i="6"/>
  <c r="CN178" i="6"/>
  <c r="CI178" i="6"/>
  <c r="CD178" i="6"/>
  <c r="BY178" i="6"/>
  <c r="BO178" i="6"/>
  <c r="BJ178" i="6"/>
  <c r="BE178" i="6"/>
  <c r="AZ178" i="6"/>
  <c r="AU178" i="6"/>
  <c r="AP178" i="6"/>
  <c r="AK178" i="6"/>
  <c r="AF178" i="6"/>
  <c r="AA178" i="6"/>
  <c r="AA602" i="6" s="1"/>
  <c r="V178" i="6"/>
  <c r="V602" i="6" s="1"/>
  <c r="Q178" i="6"/>
  <c r="L178" i="6"/>
  <c r="G178" i="6"/>
  <c r="CN177" i="6"/>
  <c r="BY177" i="6"/>
  <c r="BO177" i="6"/>
  <c r="BJ177" i="6"/>
  <c r="BE177" i="6"/>
  <c r="AZ177" i="6"/>
  <c r="AU177" i="6"/>
  <c r="AU176" i="6" s="1"/>
  <c r="AP177" i="6"/>
  <c r="AK177" i="6"/>
  <c r="AF177" i="6"/>
  <c r="AA177" i="6"/>
  <c r="G177" i="6"/>
  <c r="G176" i="6" s="1"/>
  <c r="CA599" i="6"/>
  <c r="EL174" i="6"/>
  <c r="BT174" i="6"/>
  <c r="EL173" i="6"/>
  <c r="BT173" i="6"/>
  <c r="EL172" i="6"/>
  <c r="BT172" i="6"/>
  <c r="EL171" i="6"/>
  <c r="BT171" i="6"/>
  <c r="EL170" i="6"/>
  <c r="BT170" i="6"/>
  <c r="EL169" i="6"/>
  <c r="BT169" i="6"/>
  <c r="BT596" i="6" s="1"/>
  <c r="CA595" i="6"/>
  <c r="EL168" i="6"/>
  <c r="BZ595" i="6" s="1"/>
  <c r="BT168" i="6"/>
  <c r="EG167" i="6"/>
  <c r="EB167" i="6"/>
  <c r="DW167" i="6"/>
  <c r="DR167" i="6"/>
  <c r="DM167" i="6"/>
  <c r="DH167" i="6"/>
  <c r="DC167" i="6"/>
  <c r="CX167" i="6"/>
  <c r="CS167" i="6"/>
  <c r="CN167" i="6"/>
  <c r="CI167" i="6"/>
  <c r="CD167" i="6"/>
  <c r="BY167" i="6"/>
  <c r="BO167" i="6"/>
  <c r="BJ167" i="6"/>
  <c r="BE167" i="6"/>
  <c r="AZ167" i="6"/>
  <c r="AU167" i="6"/>
  <c r="AP167" i="6"/>
  <c r="AK167" i="6"/>
  <c r="AF167" i="6"/>
  <c r="AA167" i="6"/>
  <c r="V167" i="6"/>
  <c r="Q167" i="6"/>
  <c r="L167" i="6"/>
  <c r="G167" i="6"/>
  <c r="G594" i="6" s="1"/>
  <c r="CA593" i="6"/>
  <c r="EL165" i="6"/>
  <c r="CA590" i="6" s="1"/>
  <c r="BT165" i="6"/>
  <c r="EL164" i="6"/>
  <c r="BY164" i="6"/>
  <c r="G581" i="6" s="1"/>
  <c r="BT164" i="6"/>
  <c r="EG163" i="6"/>
  <c r="EB163" i="6"/>
  <c r="DW163" i="6"/>
  <c r="DR163" i="6"/>
  <c r="DM163" i="6"/>
  <c r="DH163" i="6"/>
  <c r="DC163" i="6"/>
  <c r="CX163" i="6"/>
  <c r="CS163" i="6"/>
  <c r="CN163" i="6"/>
  <c r="CI163" i="6"/>
  <c r="CD163" i="6"/>
  <c r="BO163" i="6"/>
  <c r="BJ163" i="6"/>
  <c r="BE163" i="6"/>
  <c r="AZ163" i="6"/>
  <c r="AU163" i="6"/>
  <c r="AP163" i="6"/>
  <c r="AK163" i="6"/>
  <c r="AF163" i="6"/>
  <c r="AA163" i="6"/>
  <c r="V163" i="6"/>
  <c r="Q163" i="6"/>
  <c r="L163" i="6"/>
  <c r="L580" i="6" s="1"/>
  <c r="BY160" i="6"/>
  <c r="G160" i="6"/>
  <c r="EL152" i="6"/>
  <c r="CA554" i="6" s="1"/>
  <c r="BT152" i="6"/>
  <c r="EL151" i="6"/>
  <c r="BT151" i="6"/>
  <c r="EL150" i="6"/>
  <c r="BT150" i="6"/>
  <c r="EG149" i="6"/>
  <c r="EB149" i="6"/>
  <c r="DW149" i="6"/>
  <c r="DR149" i="6"/>
  <c r="DM149" i="6"/>
  <c r="DH149" i="6"/>
  <c r="DC149" i="6"/>
  <c r="CX149" i="6"/>
  <c r="AF551" i="6" s="1"/>
  <c r="CS149" i="6"/>
  <c r="CN149" i="6"/>
  <c r="CI149" i="6"/>
  <c r="CD149" i="6"/>
  <c r="BY149" i="6"/>
  <c r="BO149" i="6"/>
  <c r="BJ149" i="6"/>
  <c r="BE149" i="6"/>
  <c r="AZ149" i="6"/>
  <c r="AU149" i="6"/>
  <c r="AU551" i="6" s="1"/>
  <c r="AP149" i="6"/>
  <c r="AP551" i="6" s="1"/>
  <c r="AK149" i="6"/>
  <c r="AF149" i="6"/>
  <c r="AA149" i="6"/>
  <c r="V149" i="6"/>
  <c r="Q149" i="6"/>
  <c r="L149" i="6"/>
  <c r="G149" i="6"/>
  <c r="EL147" i="6"/>
  <c r="BT147" i="6"/>
  <c r="EL146" i="6"/>
  <c r="BT146" i="6"/>
  <c r="EL145" i="6"/>
  <c r="AU145" i="6"/>
  <c r="AU547" i="6" s="1"/>
  <c r="AP145" i="6"/>
  <c r="AK145" i="6"/>
  <c r="AK547" i="6" s="1"/>
  <c r="AF145" i="6"/>
  <c r="EG144" i="6"/>
  <c r="EB144" i="6"/>
  <c r="DW144" i="6"/>
  <c r="DR144" i="6"/>
  <c r="DM144" i="6"/>
  <c r="DH144" i="6"/>
  <c r="DC144" i="6"/>
  <c r="CX144" i="6"/>
  <c r="CS144" i="6"/>
  <c r="CN144" i="6"/>
  <c r="CI144" i="6"/>
  <c r="CD144" i="6"/>
  <c r="BY144" i="6"/>
  <c r="BO144" i="6"/>
  <c r="BJ144" i="6"/>
  <c r="BE144" i="6"/>
  <c r="AZ144" i="6"/>
  <c r="AU144" i="6"/>
  <c r="AK144" i="6"/>
  <c r="AF144" i="6"/>
  <c r="AA144" i="6"/>
  <c r="V144" i="6"/>
  <c r="V546" i="6" s="1"/>
  <c r="Q144" i="6"/>
  <c r="Q546" i="6" s="1"/>
  <c r="L144" i="6"/>
  <c r="G144" i="6"/>
  <c r="EL142" i="6"/>
  <c r="CA544" i="6" s="1"/>
  <c r="BT142" i="6"/>
  <c r="BT544" i="6" s="1"/>
  <c r="CA543" i="6"/>
  <c r="BZ543" i="6"/>
  <c r="EL141" i="6"/>
  <c r="BT141" i="6"/>
  <c r="BT543" i="6" s="1"/>
  <c r="EG140" i="6"/>
  <c r="EB140" i="6"/>
  <c r="DW140" i="6"/>
  <c r="BE542" i="6" s="1"/>
  <c r="DR140" i="6"/>
  <c r="DR139" i="6" s="1"/>
  <c r="DM140" i="6"/>
  <c r="DM139" i="6" s="1"/>
  <c r="DH140" i="6"/>
  <c r="AP542" i="6" s="1"/>
  <c r="DC140" i="6"/>
  <c r="DC139" i="6" s="1"/>
  <c r="CX140" i="6"/>
  <c r="CS140" i="6"/>
  <c r="CN140" i="6"/>
  <c r="CN139" i="6" s="1"/>
  <c r="CI140" i="6"/>
  <c r="CI139" i="6" s="1"/>
  <c r="CD140" i="6"/>
  <c r="CD139" i="6" s="1"/>
  <c r="AZ140" i="6"/>
  <c r="AU140" i="6"/>
  <c r="AK140" i="6"/>
  <c r="AF140" i="6"/>
  <c r="AF542" i="6" s="1"/>
  <c r="AA140" i="6"/>
  <c r="V140" i="6"/>
  <c r="Q140" i="6"/>
  <c r="L140" i="6"/>
  <c r="EG139" i="6"/>
  <c r="DH139" i="6"/>
  <c r="CX139" i="6"/>
  <c r="CS139" i="6"/>
  <c r="BY139" i="6"/>
  <c r="BO139" i="6"/>
  <c r="BJ139" i="6"/>
  <c r="BE139" i="6"/>
  <c r="AP139" i="6"/>
  <c r="AA139" i="6"/>
  <c r="G139" i="6"/>
  <c r="CA540" i="6"/>
  <c r="EL137" i="6"/>
  <c r="CA539" i="6" s="1"/>
  <c r="BT137" i="6"/>
  <c r="BT539" i="6" s="1"/>
  <c r="BZ538" i="6"/>
  <c r="EL136" i="6"/>
  <c r="CA538" i="6" s="1"/>
  <c r="BT136" i="6"/>
  <c r="EG135" i="6"/>
  <c r="DW135" i="6"/>
  <c r="BE537" i="6" s="1"/>
  <c r="DM135" i="6"/>
  <c r="DH135" i="6"/>
  <c r="DH134" i="6" s="1"/>
  <c r="DC135" i="6"/>
  <c r="CX135" i="6"/>
  <c r="AF537" i="6" s="1"/>
  <c r="CS135" i="6"/>
  <c r="CI135" i="6"/>
  <c r="CI134" i="6" s="1"/>
  <c r="CD135" i="6"/>
  <c r="AU135" i="6"/>
  <c r="AP135" i="6"/>
  <c r="AK135" i="6"/>
  <c r="AA135" i="6"/>
  <c r="AA537" i="6" s="1"/>
  <c r="V135" i="6"/>
  <c r="V537" i="6" s="1"/>
  <c r="Q135" i="6"/>
  <c r="Q134" i="6" s="1"/>
  <c r="L135" i="6"/>
  <c r="EB134" i="6"/>
  <c r="DW134" i="6"/>
  <c r="DR134" i="6"/>
  <c r="DM134" i="6"/>
  <c r="DC134" i="6"/>
  <c r="CX134" i="6"/>
  <c r="CS134" i="6"/>
  <c r="CN134" i="6"/>
  <c r="BY134" i="6"/>
  <c r="BO134" i="6"/>
  <c r="BJ134" i="6"/>
  <c r="BJ536" i="6" s="1"/>
  <c r="BE134" i="6"/>
  <c r="AZ134" i="6"/>
  <c r="AK134" i="6"/>
  <c r="AF134" i="6"/>
  <c r="L134" i="6"/>
  <c r="G134" i="6"/>
  <c r="CA535" i="6"/>
  <c r="CA534" i="6"/>
  <c r="BZ534" i="6"/>
  <c r="EL132" i="6"/>
  <c r="BT132" i="6"/>
  <c r="BZ533" i="6"/>
  <c r="EL131" i="6"/>
  <c r="CA533" i="6" s="1"/>
  <c r="BT131" i="6"/>
  <c r="EL130" i="6"/>
  <c r="BT130" i="6"/>
  <c r="EG129" i="6"/>
  <c r="EB129" i="6"/>
  <c r="DW129" i="6"/>
  <c r="DR129" i="6"/>
  <c r="DM129" i="6"/>
  <c r="DH129" i="6"/>
  <c r="DC129" i="6"/>
  <c r="CX129" i="6"/>
  <c r="CS129" i="6"/>
  <c r="CN129" i="6"/>
  <c r="CI129" i="6"/>
  <c r="CD129" i="6"/>
  <c r="BY129" i="6"/>
  <c r="BO129" i="6"/>
  <c r="BO531" i="6" s="1"/>
  <c r="BJ129" i="6"/>
  <c r="BE129" i="6"/>
  <c r="AZ129" i="6"/>
  <c r="AU129" i="6"/>
  <c r="AP129" i="6"/>
  <c r="AK129" i="6"/>
  <c r="AF129" i="6"/>
  <c r="AA129" i="6"/>
  <c r="V129" i="6"/>
  <c r="Q129" i="6"/>
  <c r="L129" i="6"/>
  <c r="G129" i="6"/>
  <c r="EL127" i="6"/>
  <c r="BT127" i="6"/>
  <c r="EL126" i="6"/>
  <c r="BT126" i="6"/>
  <c r="EB125" i="6"/>
  <c r="DW125" i="6"/>
  <c r="DW124" i="6" s="1"/>
  <c r="DR125" i="6"/>
  <c r="DR124" i="6" s="1"/>
  <c r="DM125" i="6"/>
  <c r="DH125" i="6"/>
  <c r="CX125" i="6"/>
  <c r="CS125" i="6"/>
  <c r="CS124" i="6" s="1"/>
  <c r="CN125" i="6"/>
  <c r="CN124" i="6" s="1"/>
  <c r="CI125" i="6"/>
  <c r="CD125" i="6"/>
  <c r="L526" i="6" s="1"/>
  <c r="BE125" i="6"/>
  <c r="AZ125" i="6"/>
  <c r="AU125" i="6"/>
  <c r="AP125" i="6"/>
  <c r="AP526" i="6" s="1"/>
  <c r="AK125" i="6"/>
  <c r="AK526" i="6" s="1"/>
  <c r="AF125" i="6"/>
  <c r="AF526" i="6" s="1"/>
  <c r="AA125" i="6"/>
  <c r="BT125" i="6" s="1"/>
  <c r="V125" i="6"/>
  <c r="Q125" i="6"/>
  <c r="L125" i="6"/>
  <c r="EG124" i="6"/>
  <c r="DM124" i="6"/>
  <c r="DH124" i="6"/>
  <c r="DC124" i="6"/>
  <c r="CX124" i="6"/>
  <c r="CI124" i="6"/>
  <c r="BY124" i="6"/>
  <c r="BO124" i="6"/>
  <c r="BO525" i="6" s="1"/>
  <c r="BJ124" i="6"/>
  <c r="AZ124" i="6"/>
  <c r="AP124" i="6"/>
  <c r="V124" i="6"/>
  <c r="L124" i="6"/>
  <c r="G124" i="6"/>
  <c r="CA511" i="6"/>
  <c r="EL122" i="6"/>
  <c r="BT122" i="6"/>
  <c r="EL121" i="6"/>
  <c r="BT121" i="6"/>
  <c r="EG120" i="6"/>
  <c r="EB120" i="6"/>
  <c r="BJ509" i="6" s="1"/>
  <c r="DW120" i="6"/>
  <c r="DR120" i="6"/>
  <c r="AZ509" i="6" s="1"/>
  <c r="DM120" i="6"/>
  <c r="DM119" i="6" s="1"/>
  <c r="DC120" i="6"/>
  <c r="DC119" i="6" s="1"/>
  <c r="CX120" i="6"/>
  <c r="CS120" i="6"/>
  <c r="CN120" i="6"/>
  <c r="CN119" i="6" s="1"/>
  <c r="CI120" i="6"/>
  <c r="Q509" i="6" s="1"/>
  <c r="CD120" i="6"/>
  <c r="CD119" i="6" s="1"/>
  <c r="AU120" i="6"/>
  <c r="AP120" i="6"/>
  <c r="AP509" i="6" s="1"/>
  <c r="AK120" i="6"/>
  <c r="AF120" i="6"/>
  <c r="AF509" i="6" s="1"/>
  <c r="AA120" i="6"/>
  <c r="V120" i="6"/>
  <c r="V509" i="6" s="1"/>
  <c r="L120" i="6"/>
  <c r="L119" i="6" s="1"/>
  <c r="EB119" i="6"/>
  <c r="DR119" i="6"/>
  <c r="DH119" i="6"/>
  <c r="CX119" i="6"/>
  <c r="CS119" i="6"/>
  <c r="BY119" i="6"/>
  <c r="BO119" i="6"/>
  <c r="BJ119" i="6"/>
  <c r="BE119" i="6"/>
  <c r="AZ119" i="6"/>
  <c r="AP119" i="6"/>
  <c r="AK119" i="6"/>
  <c r="Q119" i="6"/>
  <c r="G119" i="6"/>
  <c r="CA507" i="6"/>
  <c r="BZ507" i="6"/>
  <c r="EL117" i="6"/>
  <c r="BT117" i="6"/>
  <c r="EL116" i="6"/>
  <c r="BT116" i="6"/>
  <c r="BT505" i="6" s="1"/>
  <c r="BZ504" i="6"/>
  <c r="EL115" i="6"/>
  <c r="BT115" i="6"/>
  <c r="EG114" i="6"/>
  <c r="EB114" i="6"/>
  <c r="DW114" i="6"/>
  <c r="BE503" i="6" s="1"/>
  <c r="DR114" i="6"/>
  <c r="DM114" i="6"/>
  <c r="DH114" i="6"/>
  <c r="DC114" i="6"/>
  <c r="CX114" i="6"/>
  <c r="CS114" i="6"/>
  <c r="CN114" i="6"/>
  <c r="CI114" i="6"/>
  <c r="CD114" i="6"/>
  <c r="BY114" i="6"/>
  <c r="BO114" i="6"/>
  <c r="BJ114" i="6"/>
  <c r="BE114" i="6"/>
  <c r="AZ114" i="6"/>
  <c r="AU114" i="6"/>
  <c r="AP114" i="6"/>
  <c r="AP503" i="6" s="1"/>
  <c r="AK114" i="6"/>
  <c r="AF114" i="6"/>
  <c r="AA114" i="6"/>
  <c r="V114" i="6"/>
  <c r="Q114" i="6"/>
  <c r="L114" i="6"/>
  <c r="G114" i="6"/>
  <c r="CA502" i="6"/>
  <c r="BZ502" i="6"/>
  <c r="CA501" i="6"/>
  <c r="EL112" i="6"/>
  <c r="BZ501" i="6" s="1"/>
  <c r="BT112" i="6"/>
  <c r="CA500" i="6"/>
  <c r="EL111" i="6"/>
  <c r="BT111" i="6"/>
  <c r="EG110" i="6"/>
  <c r="EB110" i="6"/>
  <c r="DW110" i="6"/>
  <c r="DM110" i="6"/>
  <c r="DH110" i="6"/>
  <c r="DC110" i="6"/>
  <c r="CX110" i="6"/>
  <c r="CX109" i="6" s="1"/>
  <c r="CS110" i="6"/>
  <c r="CS109" i="6" s="1"/>
  <c r="CN110" i="6"/>
  <c r="CN109" i="6" s="1"/>
  <c r="CI110" i="6"/>
  <c r="CD110" i="6"/>
  <c r="BE110" i="6"/>
  <c r="AZ110" i="6"/>
  <c r="AZ499" i="6" s="1"/>
  <c r="AU110" i="6"/>
  <c r="AP110" i="6"/>
  <c r="AK110" i="6"/>
  <c r="AF110" i="6"/>
  <c r="AA110" i="6"/>
  <c r="V110" i="6"/>
  <c r="Q110" i="6"/>
  <c r="Q109" i="6" s="1"/>
  <c r="L110" i="6"/>
  <c r="L109" i="6" s="1"/>
  <c r="DR109" i="6"/>
  <c r="DM109" i="6"/>
  <c r="DH109" i="6"/>
  <c r="DC109" i="6"/>
  <c r="CI109" i="6"/>
  <c r="CD109" i="6"/>
  <c r="BY109" i="6"/>
  <c r="BO109" i="6"/>
  <c r="BJ109" i="6"/>
  <c r="AZ109" i="6"/>
  <c r="G109" i="6"/>
  <c r="CA497" i="6"/>
  <c r="BZ497" i="6"/>
  <c r="CA496" i="6"/>
  <c r="BZ496" i="6"/>
  <c r="EL107" i="6"/>
  <c r="BT107" i="6"/>
  <c r="BT496" i="6" s="1"/>
  <c r="EL106" i="6"/>
  <c r="CA495" i="6" s="1"/>
  <c r="BT106" i="6"/>
  <c r="EG105" i="6"/>
  <c r="EB105" i="6"/>
  <c r="BJ494" i="6" s="1"/>
  <c r="DR105" i="6"/>
  <c r="DM105" i="6"/>
  <c r="DH105" i="6"/>
  <c r="DH104" i="6" s="1"/>
  <c r="DC105" i="6"/>
  <c r="DC104" i="6" s="1"/>
  <c r="CX105" i="6"/>
  <c r="CX104" i="6" s="1"/>
  <c r="CS105" i="6"/>
  <c r="CS104" i="6" s="1"/>
  <c r="CN105" i="6"/>
  <c r="CN104" i="6" s="1"/>
  <c r="CI105" i="6"/>
  <c r="CD105" i="6"/>
  <c r="BE105" i="6"/>
  <c r="BE494" i="6" s="1"/>
  <c r="AZ105" i="6"/>
  <c r="AZ104" i="6" s="1"/>
  <c r="AU105" i="6"/>
  <c r="AP105" i="6"/>
  <c r="AK105" i="6"/>
  <c r="AF105" i="6"/>
  <c r="AA105" i="6"/>
  <c r="V105" i="6"/>
  <c r="Q105" i="6"/>
  <c r="L105" i="6"/>
  <c r="EB104" i="6"/>
  <c r="DW104" i="6"/>
  <c r="DM104" i="6"/>
  <c r="CD104" i="6"/>
  <c r="BY104" i="6"/>
  <c r="BO104" i="6"/>
  <c r="BJ104" i="6"/>
  <c r="AK104" i="6"/>
  <c r="AF104" i="6"/>
  <c r="AA104" i="6"/>
  <c r="V104" i="6"/>
  <c r="G104" i="6"/>
  <c r="CA492" i="6"/>
  <c r="BZ492" i="6"/>
  <c r="EL102" i="6"/>
  <c r="BZ491" i="6" s="1"/>
  <c r="BT102" i="6"/>
  <c r="EL101" i="6"/>
  <c r="BT101" i="6"/>
  <c r="BT490" i="6" s="1"/>
  <c r="EB100" i="6"/>
  <c r="BJ489" i="6" s="1"/>
  <c r="DM100" i="6"/>
  <c r="AU489" i="6" s="1"/>
  <c r="DC100" i="6"/>
  <c r="DC99" i="6" s="1"/>
  <c r="CX100" i="6"/>
  <c r="CX99" i="6" s="1"/>
  <c r="CN100" i="6"/>
  <c r="CN99" i="6" s="1"/>
  <c r="CI100" i="6"/>
  <c r="CD100" i="6"/>
  <c r="L489" i="6" s="1"/>
  <c r="BE100" i="6"/>
  <c r="AZ100" i="6"/>
  <c r="AZ489" i="6" s="1"/>
  <c r="AP100" i="6"/>
  <c r="AK100" i="6"/>
  <c r="AF100" i="6"/>
  <c r="AF99" i="6" s="1"/>
  <c r="AA100" i="6"/>
  <c r="AA489" i="6" s="1"/>
  <c r="V100" i="6"/>
  <c r="Q100" i="6"/>
  <c r="EG99" i="6"/>
  <c r="EB99" i="6"/>
  <c r="DW99" i="6"/>
  <c r="DR99" i="6"/>
  <c r="DH99" i="6"/>
  <c r="CS99" i="6"/>
  <c r="CI99" i="6"/>
  <c r="CD99" i="6"/>
  <c r="BY99" i="6"/>
  <c r="BO99" i="6"/>
  <c r="BJ99" i="6"/>
  <c r="AZ99" i="6"/>
  <c r="AU99" i="6"/>
  <c r="V99" i="6"/>
  <c r="L99" i="6"/>
  <c r="L488" i="6" s="1"/>
  <c r="G99" i="6"/>
  <c r="G488" i="6" s="1"/>
  <c r="CA487" i="6"/>
  <c r="BZ487" i="6"/>
  <c r="CA486" i="6"/>
  <c r="BZ486" i="6"/>
  <c r="EL97" i="6"/>
  <c r="BT97" i="6"/>
  <c r="EL96" i="6"/>
  <c r="BT96" i="6"/>
  <c r="BT485" i="6" s="1"/>
  <c r="EG95" i="6"/>
  <c r="EB95" i="6"/>
  <c r="DW95" i="6"/>
  <c r="DW94" i="6" s="1"/>
  <c r="DR95" i="6"/>
  <c r="DM95" i="6"/>
  <c r="DM94" i="6" s="1"/>
  <c r="DH95" i="6"/>
  <c r="DH94" i="6" s="1"/>
  <c r="DC95" i="6"/>
  <c r="DC94" i="6" s="1"/>
  <c r="CX95" i="6"/>
  <c r="CX94" i="6" s="1"/>
  <c r="CS95" i="6"/>
  <c r="AA484" i="6" s="1"/>
  <c r="CI95" i="6"/>
  <c r="CD95" i="6"/>
  <c r="CD94" i="6" s="1"/>
  <c r="BE95" i="6"/>
  <c r="AZ95" i="6"/>
  <c r="AZ94" i="6" s="1"/>
  <c r="AU95" i="6"/>
  <c r="AP95" i="6"/>
  <c r="AP94" i="6" s="1"/>
  <c r="AK95" i="6"/>
  <c r="AF95" i="6"/>
  <c r="Q95" i="6"/>
  <c r="Q94" i="6" s="1"/>
  <c r="L95" i="6"/>
  <c r="CN94" i="6"/>
  <c r="CI94" i="6"/>
  <c r="BY94" i="6"/>
  <c r="BO94" i="6"/>
  <c r="BJ94" i="6"/>
  <c r="BE94" i="6"/>
  <c r="AA94" i="6"/>
  <c r="V94" i="6"/>
  <c r="G94" i="6"/>
  <c r="CA482" i="6"/>
  <c r="BZ482" i="6"/>
  <c r="EL92" i="6"/>
  <c r="BZ481" i="6" s="1"/>
  <c r="BT92" i="6"/>
  <c r="EL91" i="6"/>
  <c r="BT91" i="6"/>
  <c r="EG90" i="6"/>
  <c r="BO479" i="6" s="1"/>
  <c r="EB90" i="6"/>
  <c r="DW90" i="6"/>
  <c r="DM90" i="6"/>
  <c r="CS90" i="6"/>
  <c r="AA479" i="6" s="1"/>
  <c r="CI90" i="6"/>
  <c r="Q479" i="6" s="1"/>
  <c r="CD90" i="6"/>
  <c r="BT90" i="6"/>
  <c r="DR89" i="6"/>
  <c r="DM89" i="6"/>
  <c r="DH89" i="6"/>
  <c r="DC89" i="6"/>
  <c r="CX89" i="6"/>
  <c r="CS89" i="6"/>
  <c r="CN89" i="6"/>
  <c r="BY89" i="6"/>
  <c r="BO89" i="6"/>
  <c r="BJ89" i="6"/>
  <c r="BE89" i="6"/>
  <c r="AZ89" i="6"/>
  <c r="AU89" i="6"/>
  <c r="AP89" i="6"/>
  <c r="AK89" i="6"/>
  <c r="AF89" i="6"/>
  <c r="AA89" i="6"/>
  <c r="V89" i="6"/>
  <c r="Q89" i="6"/>
  <c r="L89" i="6"/>
  <c r="G89" i="6"/>
  <c r="CA477" i="6"/>
  <c r="BZ476" i="6"/>
  <c r="EL86" i="6"/>
  <c r="CA476" i="6" s="1"/>
  <c r="BT86" i="6"/>
  <c r="EL85" i="6"/>
  <c r="BZ475" i="6" s="1"/>
  <c r="BT85" i="6"/>
  <c r="BZ474" i="6"/>
  <c r="EL84" i="6"/>
  <c r="CA474" i="6" s="1"/>
  <c r="BT84" i="6"/>
  <c r="BT474" i="6" s="1"/>
  <c r="CA473" i="6"/>
  <c r="EL83" i="6"/>
  <c r="BT83" i="6"/>
  <c r="EG82" i="6"/>
  <c r="EB82" i="6"/>
  <c r="DW82" i="6"/>
  <c r="DR82" i="6"/>
  <c r="DM82" i="6"/>
  <c r="DH82" i="6"/>
  <c r="DC82" i="6"/>
  <c r="CX82" i="6"/>
  <c r="CS82" i="6"/>
  <c r="CN82" i="6"/>
  <c r="CI82" i="6"/>
  <c r="CD82" i="6"/>
  <c r="BY82" i="6"/>
  <c r="BO82" i="6"/>
  <c r="BJ82" i="6"/>
  <c r="BJ472" i="6" s="1"/>
  <c r="BE82" i="6"/>
  <c r="BE472" i="6" s="1"/>
  <c r="AZ82" i="6"/>
  <c r="AU82" i="6"/>
  <c r="AP82" i="6"/>
  <c r="AK82" i="6"/>
  <c r="AF82" i="6"/>
  <c r="AA82" i="6"/>
  <c r="V82" i="6"/>
  <c r="Q82" i="6"/>
  <c r="L82" i="6"/>
  <c r="G82" i="6"/>
  <c r="CA471" i="6"/>
  <c r="CA470" i="6"/>
  <c r="EL80" i="6"/>
  <c r="BZ470" i="6" s="1"/>
  <c r="BT80" i="6"/>
  <c r="EL79" i="6"/>
  <c r="BT79" i="6"/>
  <c r="EL78" i="6"/>
  <c r="CA469" i="6" s="1"/>
  <c r="BT78" i="6"/>
  <c r="EL77" i="6"/>
  <c r="BT77" i="6"/>
  <c r="EG76" i="6"/>
  <c r="EB76" i="6"/>
  <c r="DW76" i="6"/>
  <c r="BE467" i="6" s="1"/>
  <c r="DR76" i="6"/>
  <c r="DM76" i="6"/>
  <c r="DH76" i="6"/>
  <c r="DC76" i="6"/>
  <c r="CX76" i="6"/>
  <c r="CS76" i="6"/>
  <c r="CN76" i="6"/>
  <c r="CI76" i="6"/>
  <c r="CD76" i="6"/>
  <c r="BY76" i="6"/>
  <c r="BO76" i="6"/>
  <c r="BJ76" i="6"/>
  <c r="BE76" i="6"/>
  <c r="AZ76" i="6"/>
  <c r="AU76" i="6"/>
  <c r="AP76" i="6"/>
  <c r="AK76" i="6"/>
  <c r="AF76" i="6"/>
  <c r="AA76" i="6"/>
  <c r="V76" i="6"/>
  <c r="V467" i="6" s="1"/>
  <c r="Q76" i="6"/>
  <c r="L76" i="6"/>
  <c r="G76" i="6"/>
  <c r="EL74" i="6"/>
  <c r="BT74" i="6"/>
  <c r="BT465" i="6" s="1"/>
  <c r="EL73" i="6"/>
  <c r="BT73" i="6"/>
  <c r="EL72" i="6"/>
  <c r="BT72" i="6"/>
  <c r="EG71" i="6"/>
  <c r="EG70" i="6" s="1"/>
  <c r="EB71" i="6"/>
  <c r="BJ462" i="6" s="1"/>
  <c r="DW71" i="6"/>
  <c r="DW70" i="6" s="1"/>
  <c r="DR71" i="6"/>
  <c r="DM71" i="6"/>
  <c r="DH71" i="6"/>
  <c r="DC71" i="6"/>
  <c r="DC70" i="6" s="1"/>
  <c r="CX71" i="6"/>
  <c r="CX70" i="6" s="1"/>
  <c r="CS71" i="6"/>
  <c r="CS70" i="6" s="1"/>
  <c r="CN71" i="6"/>
  <c r="CN70" i="6" s="1"/>
  <c r="CI71" i="6"/>
  <c r="CD71" i="6"/>
  <c r="L462" i="6" s="1"/>
  <c r="BE71" i="6"/>
  <c r="AZ71" i="6"/>
  <c r="AZ462" i="6" s="1"/>
  <c r="AU71" i="6"/>
  <c r="AU70" i="6" s="1"/>
  <c r="AP71" i="6"/>
  <c r="AP462" i="6" s="1"/>
  <c r="AK71" i="6"/>
  <c r="AF71" i="6"/>
  <c r="AF70" i="6" s="1"/>
  <c r="AA71" i="6"/>
  <c r="V71" i="6"/>
  <c r="Q71" i="6"/>
  <c r="Q70" i="6" s="1"/>
  <c r="L71" i="6"/>
  <c r="DR70" i="6"/>
  <c r="DH70" i="6"/>
  <c r="CD70" i="6"/>
  <c r="BY70" i="6"/>
  <c r="BO70" i="6"/>
  <c r="BJ70" i="6"/>
  <c r="BE70" i="6"/>
  <c r="AZ70" i="6"/>
  <c r="AZ461" i="6" s="1"/>
  <c r="AP70" i="6"/>
  <c r="AK70" i="6"/>
  <c r="L70" i="6"/>
  <c r="G70" i="6"/>
  <c r="CA460" i="6"/>
  <c r="BZ460" i="6"/>
  <c r="CA459" i="6"/>
  <c r="EL68" i="6"/>
  <c r="BT68" i="6"/>
  <c r="EL67" i="6"/>
  <c r="BT67" i="6"/>
  <c r="EL66" i="6"/>
  <c r="BT66" i="6"/>
  <c r="BT457" i="6" s="1"/>
  <c r="EG65" i="6"/>
  <c r="EB65" i="6"/>
  <c r="BJ456" i="6" s="1"/>
  <c r="DW65" i="6"/>
  <c r="BE456" i="6" s="1"/>
  <c r="DR65" i="6"/>
  <c r="DR64" i="6" s="1"/>
  <c r="DM65" i="6"/>
  <c r="DH65" i="6"/>
  <c r="DC65" i="6"/>
  <c r="CX65" i="6"/>
  <c r="CS65" i="6"/>
  <c r="CN65" i="6"/>
  <c r="CN64" i="6" s="1"/>
  <c r="CI65" i="6"/>
  <c r="CI64" i="6" s="1"/>
  <c r="CD65" i="6"/>
  <c r="AZ65" i="6"/>
  <c r="AU65" i="6"/>
  <c r="AU456" i="6" s="1"/>
  <c r="AP65" i="6"/>
  <c r="AP456" i="6" s="1"/>
  <c r="AK65" i="6"/>
  <c r="AK456" i="6" s="1"/>
  <c r="AF65" i="6"/>
  <c r="AF456" i="6" s="1"/>
  <c r="AA65" i="6"/>
  <c r="AA456" i="6" s="1"/>
  <c r="V65" i="6"/>
  <c r="V64" i="6" s="1"/>
  <c r="Q65" i="6"/>
  <c r="Q64" i="6" s="1"/>
  <c r="L65" i="6"/>
  <c r="DM64" i="6"/>
  <c r="DH64" i="6"/>
  <c r="DC64" i="6"/>
  <c r="CX64" i="6"/>
  <c r="CS64" i="6"/>
  <c r="BY64" i="6"/>
  <c r="BO64" i="6"/>
  <c r="BJ64" i="6"/>
  <c r="BE64" i="6"/>
  <c r="AU64" i="6"/>
  <c r="AP64" i="6"/>
  <c r="AK64" i="6"/>
  <c r="L64" i="6"/>
  <c r="G64" i="6"/>
  <c r="EL62" i="6"/>
  <c r="BT62" i="6"/>
  <c r="EL61" i="6"/>
  <c r="BT61" i="6"/>
  <c r="EL60" i="6"/>
  <c r="BT60" i="6"/>
  <c r="EG59" i="6"/>
  <c r="EG58" i="6" s="1"/>
  <c r="EB59" i="6"/>
  <c r="EB58" i="6" s="1"/>
  <c r="DW59" i="6"/>
  <c r="DW58" i="6" s="1"/>
  <c r="DM59" i="6"/>
  <c r="DM58" i="6" s="1"/>
  <c r="DH59" i="6"/>
  <c r="DC59" i="6"/>
  <c r="CX59" i="6"/>
  <c r="CS59" i="6"/>
  <c r="CN59" i="6"/>
  <c r="CI59" i="6"/>
  <c r="CD59" i="6"/>
  <c r="BE59" i="6"/>
  <c r="AZ59" i="6"/>
  <c r="AZ451" i="6" s="1"/>
  <c r="AU59" i="6"/>
  <c r="AP59" i="6"/>
  <c r="AK59" i="6"/>
  <c r="AF59" i="6"/>
  <c r="AF58" i="6" s="1"/>
  <c r="AA59" i="6"/>
  <c r="AA58" i="6" s="1"/>
  <c r="AA450" i="6" s="1"/>
  <c r="V59" i="6"/>
  <c r="Q59" i="6"/>
  <c r="Q58" i="6" s="1"/>
  <c r="L59" i="6"/>
  <c r="DR58" i="6"/>
  <c r="DH58" i="6"/>
  <c r="DC58" i="6"/>
  <c r="CS58" i="6"/>
  <c r="BY58" i="6"/>
  <c r="BO58" i="6"/>
  <c r="BJ58" i="6"/>
  <c r="L58" i="6"/>
  <c r="G58" i="6"/>
  <c r="EL56" i="6"/>
  <c r="BT56" i="6"/>
  <c r="BT448" i="6" s="1"/>
  <c r="EL55" i="6"/>
  <c r="BT55" i="6"/>
  <c r="CA447" i="6"/>
  <c r="BZ447" i="6"/>
  <c r="EL54" i="6"/>
  <c r="BT54" i="6"/>
  <c r="EL53" i="6"/>
  <c r="BZ446" i="6" s="1"/>
  <c r="BT53" i="6"/>
  <c r="EG52" i="6"/>
  <c r="EB52" i="6"/>
  <c r="DW52" i="6"/>
  <c r="DR52" i="6"/>
  <c r="DM52" i="6"/>
  <c r="DH52" i="6"/>
  <c r="DC52" i="6"/>
  <c r="CX52" i="6"/>
  <c r="CS52" i="6"/>
  <c r="CN52" i="6"/>
  <c r="CI52" i="6"/>
  <c r="CD52" i="6"/>
  <c r="BY52" i="6"/>
  <c r="BO52" i="6"/>
  <c r="BJ52" i="6"/>
  <c r="BE52" i="6"/>
  <c r="AZ52" i="6"/>
  <c r="AU52" i="6"/>
  <c r="AP52" i="6"/>
  <c r="AK52" i="6"/>
  <c r="AF52" i="6"/>
  <c r="AA52" i="6"/>
  <c r="V52" i="6"/>
  <c r="Q52" i="6"/>
  <c r="L52" i="6"/>
  <c r="G52" i="6"/>
  <c r="EL50" i="6"/>
  <c r="BZ443" i="6" s="1"/>
  <c r="BT50" i="6"/>
  <c r="BT443" i="6" s="1"/>
  <c r="EL49" i="6"/>
  <c r="BT49" i="6"/>
  <c r="EL48" i="6"/>
  <c r="BT48" i="6"/>
  <c r="EG47" i="6"/>
  <c r="BO440" i="6" s="1"/>
  <c r="EB47" i="6"/>
  <c r="BJ440" i="6" s="1"/>
  <c r="DW47" i="6"/>
  <c r="DW46" i="6" s="1"/>
  <c r="DR47" i="6"/>
  <c r="DR46" i="6" s="1"/>
  <c r="DM47" i="6"/>
  <c r="DM46" i="6" s="1"/>
  <c r="DH47" i="6"/>
  <c r="DH46" i="6" s="1"/>
  <c r="DC47" i="6"/>
  <c r="DC46" i="6" s="1"/>
  <c r="CX47" i="6"/>
  <c r="CS47" i="6"/>
  <c r="CS46" i="6" s="1"/>
  <c r="CN47" i="6"/>
  <c r="CI47" i="6"/>
  <c r="CI46" i="6" s="1"/>
  <c r="CD47" i="6"/>
  <c r="CD46" i="6" s="1"/>
  <c r="BE47" i="6"/>
  <c r="AZ47" i="6"/>
  <c r="AZ46" i="6" s="1"/>
  <c r="AU47" i="6"/>
  <c r="AP47" i="6"/>
  <c r="AK47" i="6"/>
  <c r="AF47" i="6"/>
  <c r="AA47" i="6"/>
  <c r="V47" i="6"/>
  <c r="V440" i="6" s="1"/>
  <c r="Q47" i="6"/>
  <c r="Q46" i="6" s="1"/>
  <c r="L47" i="6"/>
  <c r="CX46" i="6"/>
  <c r="CN46" i="6"/>
  <c r="BY46" i="6"/>
  <c r="BO46" i="6"/>
  <c r="BJ46" i="6"/>
  <c r="BE46" i="6"/>
  <c r="AP46" i="6"/>
  <c r="AK46" i="6"/>
  <c r="G46" i="6"/>
  <c r="EL44" i="6"/>
  <c r="CA437" i="6" s="1"/>
  <c r="BT44" i="6"/>
  <c r="EL43" i="6"/>
  <c r="BT43" i="6"/>
  <c r="CA435" i="6"/>
  <c r="EL42" i="6"/>
  <c r="BZ435" i="6" s="1"/>
  <c r="BT42" i="6"/>
  <c r="EG41" i="6"/>
  <c r="EB41" i="6"/>
  <c r="DR41" i="6"/>
  <c r="DM41" i="6"/>
  <c r="DC41" i="6"/>
  <c r="AK434" i="6" s="1"/>
  <c r="CX41" i="6"/>
  <c r="CS41" i="6"/>
  <c r="CS40" i="6" s="1"/>
  <c r="CN41" i="6"/>
  <c r="CI41" i="6"/>
  <c r="Q434" i="6" s="1"/>
  <c r="CD41" i="6"/>
  <c r="AU41" i="6"/>
  <c r="AP41" i="6"/>
  <c r="BT41" i="6" s="1"/>
  <c r="AF41" i="6"/>
  <c r="AA41" i="6"/>
  <c r="AA40" i="6" s="1"/>
  <c r="V41" i="6"/>
  <c r="Q41" i="6"/>
  <c r="EG40" i="6"/>
  <c r="DW40" i="6"/>
  <c r="DM40" i="6"/>
  <c r="DH40" i="6"/>
  <c r="DC40" i="6"/>
  <c r="CX40" i="6"/>
  <c r="CN40" i="6"/>
  <c r="CI40" i="6"/>
  <c r="BY40" i="6"/>
  <c r="BO40" i="6"/>
  <c r="BJ40" i="6"/>
  <c r="BE40" i="6"/>
  <c r="AZ40" i="6"/>
  <c r="AK40" i="6"/>
  <c r="AF40" i="6"/>
  <c r="V40" i="6"/>
  <c r="Q40" i="6"/>
  <c r="L40" i="6"/>
  <c r="G40" i="6"/>
  <c r="EL38" i="6"/>
  <c r="BT38" i="6"/>
  <c r="BZ430" i="6"/>
  <c r="EL37" i="6"/>
  <c r="CA430" i="6" s="1"/>
  <c r="BT37" i="6"/>
  <c r="EL36" i="6"/>
  <c r="BT36" i="6"/>
  <c r="CA428" i="6"/>
  <c r="EL35" i="6"/>
  <c r="BZ428" i="6" s="1"/>
  <c r="AU35" i="6"/>
  <c r="EG34" i="6"/>
  <c r="EB34" i="6"/>
  <c r="DW34" i="6"/>
  <c r="DR34" i="6"/>
  <c r="DM34" i="6"/>
  <c r="DH34" i="6"/>
  <c r="DC34" i="6"/>
  <c r="CX34" i="6"/>
  <c r="CS34" i="6"/>
  <c r="CN34" i="6"/>
  <c r="V427" i="6" s="1"/>
  <c r="CI34" i="6"/>
  <c r="CD34" i="6"/>
  <c r="BY34" i="6"/>
  <c r="BO34" i="6"/>
  <c r="BJ34" i="6"/>
  <c r="BE34" i="6"/>
  <c r="AZ34" i="6"/>
  <c r="AP34" i="6"/>
  <c r="AK34" i="6"/>
  <c r="AF34" i="6"/>
  <c r="AA34" i="6"/>
  <c r="V34" i="6"/>
  <c r="Q34" i="6"/>
  <c r="L34" i="6"/>
  <c r="G34" i="6"/>
  <c r="EL32" i="6"/>
  <c r="BT32" i="6"/>
  <c r="EL31" i="6"/>
  <c r="BT31" i="6"/>
  <c r="EL30" i="6"/>
  <c r="BT30" i="6"/>
  <c r="BT423" i="6" s="1"/>
  <c r="EG29" i="6"/>
  <c r="EB29" i="6"/>
  <c r="BJ422" i="6" s="1"/>
  <c r="DH29" i="6"/>
  <c r="DC29" i="6"/>
  <c r="AK422" i="6" s="1"/>
  <c r="CX29" i="6"/>
  <c r="CN29" i="6"/>
  <c r="CN28" i="6" s="1"/>
  <c r="CI29" i="6"/>
  <c r="Q422" i="6" s="1"/>
  <c r="CD29" i="6"/>
  <c r="CD28" i="6" s="1"/>
  <c r="L421" i="6" s="1"/>
  <c r="BT29" i="6"/>
  <c r="DW28" i="6"/>
  <c r="DR28" i="6"/>
  <c r="DM28" i="6"/>
  <c r="DC28" i="6"/>
  <c r="CS28" i="6"/>
  <c r="BY28" i="6"/>
  <c r="BO28" i="6"/>
  <c r="BJ28" i="6"/>
  <c r="BE28" i="6"/>
  <c r="AZ28" i="6"/>
  <c r="AU28" i="6"/>
  <c r="AP28" i="6"/>
  <c r="AK28" i="6"/>
  <c r="AF28" i="6"/>
  <c r="AA28" i="6"/>
  <c r="V28" i="6"/>
  <c r="Q28" i="6"/>
  <c r="L28" i="6"/>
  <c r="G28" i="6"/>
  <c r="EL26" i="6"/>
  <c r="BZ419" i="6" s="1"/>
  <c r="BT26" i="6"/>
  <c r="EL25" i="6"/>
  <c r="CA418" i="6" s="1"/>
  <c r="BT25" i="6"/>
  <c r="EL24" i="6"/>
  <c r="CA417" i="6" s="1"/>
  <c r="BT24" i="6"/>
  <c r="BT417" i="6" s="1"/>
  <c r="EL23" i="6"/>
  <c r="BT23" i="6"/>
  <c r="EG22" i="6"/>
  <c r="EB22" i="6"/>
  <c r="DW22" i="6"/>
  <c r="DR22" i="6"/>
  <c r="DM22" i="6"/>
  <c r="DH22" i="6"/>
  <c r="DC22" i="6"/>
  <c r="CX22" i="6"/>
  <c r="CS22" i="6"/>
  <c r="CN22" i="6"/>
  <c r="CI22" i="6"/>
  <c r="CD22" i="6"/>
  <c r="BY22" i="6"/>
  <c r="BO22" i="6"/>
  <c r="BJ22" i="6"/>
  <c r="BE22" i="6"/>
  <c r="AZ22" i="6"/>
  <c r="AZ415" i="6" s="1"/>
  <c r="AU22" i="6"/>
  <c r="AP22" i="6"/>
  <c r="AK22" i="6"/>
  <c r="AF22" i="6"/>
  <c r="AA22" i="6"/>
  <c r="V22" i="6"/>
  <c r="V415" i="6" s="1"/>
  <c r="Q22" i="6"/>
  <c r="L22" i="6"/>
  <c r="G22" i="6"/>
  <c r="EL19" i="6"/>
  <c r="BT19" i="6"/>
  <c r="BT18" i="6" s="1"/>
  <c r="EG18" i="6"/>
  <c r="EB18" i="6"/>
  <c r="DW18" i="6"/>
  <c r="DR18" i="6"/>
  <c r="DM18" i="6"/>
  <c r="DH18" i="6"/>
  <c r="DC18" i="6"/>
  <c r="CX18" i="6"/>
  <c r="CS18" i="6"/>
  <c r="CN18" i="6"/>
  <c r="CI18" i="6"/>
  <c r="CD18" i="6"/>
  <c r="BY18" i="6"/>
  <c r="BO18" i="6"/>
  <c r="BJ18" i="6"/>
  <c r="BE18" i="6"/>
  <c r="AZ18" i="6"/>
  <c r="AU18" i="6"/>
  <c r="AP18" i="6"/>
  <c r="AK18" i="6"/>
  <c r="AF18" i="6"/>
  <c r="AA18" i="6"/>
  <c r="V18" i="6"/>
  <c r="Q18" i="6"/>
  <c r="L18" i="6"/>
  <c r="G18" i="6"/>
  <c r="EG16" i="6"/>
  <c r="EB16" i="6"/>
  <c r="DW16" i="6"/>
  <c r="DR16" i="6"/>
  <c r="DM16" i="6"/>
  <c r="DH16" i="6"/>
  <c r="DC16" i="6"/>
  <c r="CX16" i="6"/>
  <c r="CS16" i="6"/>
  <c r="CN16" i="6"/>
  <c r="CI16" i="6"/>
  <c r="CD16" i="6"/>
  <c r="BY16" i="6"/>
  <c r="BO16" i="6"/>
  <c r="BJ16" i="6"/>
  <c r="BJ410" i="6" s="1"/>
  <c r="BE16" i="6"/>
  <c r="AZ16" i="6"/>
  <c r="AU16" i="6"/>
  <c r="AP16" i="6"/>
  <c r="AP410" i="6" s="1"/>
  <c r="AK16" i="6"/>
  <c r="AF16" i="6"/>
  <c r="AA16" i="6"/>
  <c r="V16" i="6"/>
  <c r="Q16" i="6"/>
  <c r="L16" i="6"/>
  <c r="G16" i="6"/>
  <c r="EG15" i="6"/>
  <c r="EB15" i="6"/>
  <c r="DW15" i="6"/>
  <c r="DR15" i="6"/>
  <c r="DM15" i="6"/>
  <c r="DH15" i="6"/>
  <c r="DC15" i="6"/>
  <c r="CX15" i="6"/>
  <c r="CS15" i="6"/>
  <c r="CN15" i="6"/>
  <c r="CI15" i="6"/>
  <c r="CD15" i="6"/>
  <c r="BY15" i="6"/>
  <c r="BO15" i="6"/>
  <c r="BJ15" i="6"/>
  <c r="BE15" i="6"/>
  <c r="AZ15" i="6"/>
  <c r="AU15" i="6"/>
  <c r="AP15" i="6"/>
  <c r="AK15" i="6"/>
  <c r="AF15" i="6"/>
  <c r="AA15" i="6"/>
  <c r="V15" i="6"/>
  <c r="Q15" i="6"/>
  <c r="L15" i="6"/>
  <c r="G15" i="6"/>
  <c r="EG14" i="6"/>
  <c r="EB14" i="6"/>
  <c r="DW14" i="6"/>
  <c r="DR14" i="6"/>
  <c r="DM14" i="6"/>
  <c r="DH14" i="6"/>
  <c r="DC14" i="6"/>
  <c r="CX14" i="6"/>
  <c r="CS14" i="6"/>
  <c r="CN14" i="6"/>
  <c r="CI14" i="6"/>
  <c r="Q408" i="6" s="1"/>
  <c r="CD14" i="6"/>
  <c r="BY14" i="6"/>
  <c r="G408" i="6" s="1"/>
  <c r="BO14" i="6"/>
  <c r="BJ14" i="6"/>
  <c r="BE14" i="6"/>
  <c r="BE408" i="6" s="1"/>
  <c r="AZ14" i="6"/>
  <c r="AZ408" i="6" s="1"/>
  <c r="AU14" i="6"/>
  <c r="AP14" i="6"/>
  <c r="AK14" i="6"/>
  <c r="AF14" i="6"/>
  <c r="AA14" i="6"/>
  <c r="V14" i="6"/>
  <c r="Q14" i="6"/>
  <c r="L14" i="6"/>
  <c r="G13" i="6"/>
  <c r="G12" i="6"/>
  <c r="DW10" i="6"/>
  <c r="BY4" i="6"/>
  <c r="G4" i="6"/>
  <c r="BY3" i="6"/>
  <c r="BY159" i="6" s="1"/>
  <c r="G3" i="6"/>
  <c r="E159" i="6" s="1"/>
  <c r="M1" i="6"/>
  <c r="DS13" i="9" l="1"/>
  <c r="DS12" i="9" s="1"/>
  <c r="DS37" i="9" s="1"/>
  <c r="DX13" i="9"/>
  <c r="BU18" i="9"/>
  <c r="BU32" i="9"/>
  <c r="M12" i="9"/>
  <c r="EC13" i="9"/>
  <c r="EC12" i="9" s="1"/>
  <c r="EC37" i="9" s="1"/>
  <c r="CO12" i="9"/>
  <c r="CO37" i="9" s="1"/>
  <c r="AG13" i="9"/>
  <c r="AG51" i="9" s="1"/>
  <c r="AL13" i="9"/>
  <c r="AL51" i="9" s="1"/>
  <c r="BF53" i="9"/>
  <c r="BU57" i="9"/>
  <c r="BK13" i="9"/>
  <c r="BK12" i="9" s="1"/>
  <c r="BK37" i="9" s="1"/>
  <c r="BK78" i="9" s="1"/>
  <c r="BP13" i="9"/>
  <c r="BP12" i="9" s="1"/>
  <c r="BU13" i="9"/>
  <c r="AB70" i="9"/>
  <c r="CY12" i="9"/>
  <c r="CY37" i="9" s="1"/>
  <c r="AG70" i="9"/>
  <c r="AL55" i="9"/>
  <c r="R13" i="9"/>
  <c r="M51" i="9"/>
  <c r="W53" i="9"/>
  <c r="BA55" i="9"/>
  <c r="BK65" i="9"/>
  <c r="BF70" i="9"/>
  <c r="BU66" i="9"/>
  <c r="R51" i="9"/>
  <c r="R12" i="9"/>
  <c r="M37" i="9"/>
  <c r="AG12" i="9"/>
  <c r="AQ52" i="9"/>
  <c r="AQ13" i="9"/>
  <c r="AV13" i="9"/>
  <c r="EH13" i="9"/>
  <c r="EH12" i="9" s="1"/>
  <c r="EH37" i="9" s="1"/>
  <c r="BP52" i="9"/>
  <c r="BA13" i="9"/>
  <c r="BA52" i="9"/>
  <c r="EM13" i="9"/>
  <c r="BF52" i="9"/>
  <c r="BF13" i="9"/>
  <c r="M65" i="9"/>
  <c r="CE12" i="9"/>
  <c r="CE37" i="9" s="1"/>
  <c r="R65" i="9"/>
  <c r="M70" i="9"/>
  <c r="AB65" i="9"/>
  <c r="AG65" i="9"/>
  <c r="DI37" i="9"/>
  <c r="AQ65" i="9"/>
  <c r="DN12" i="9"/>
  <c r="DN37" i="9" s="1"/>
  <c r="AV55" i="9"/>
  <c r="BK52" i="9"/>
  <c r="BK55" i="9"/>
  <c r="AV52" i="9"/>
  <c r="W13" i="9"/>
  <c r="AL53" i="9"/>
  <c r="BP55" i="9"/>
  <c r="EM32" i="9"/>
  <c r="BU70" i="9" s="1"/>
  <c r="EM35" i="9"/>
  <c r="BU76" i="9" s="1"/>
  <c r="AB13" i="9"/>
  <c r="DX12" i="9"/>
  <c r="DX37" i="9" s="1"/>
  <c r="AQ53" i="9"/>
  <c r="BU55" i="9"/>
  <c r="BU52" i="9"/>
  <c r="BO342" i="8"/>
  <c r="L257" i="8"/>
  <c r="L265" i="8"/>
  <c r="AF340" i="8"/>
  <c r="EL102" i="8"/>
  <c r="L210" i="8"/>
  <c r="AU211" i="8"/>
  <c r="BJ248" i="8"/>
  <c r="BT167" i="8"/>
  <c r="BE250" i="8"/>
  <c r="AA306" i="8"/>
  <c r="AP310" i="8"/>
  <c r="BO177" i="8"/>
  <c r="BO115" i="8" s="1"/>
  <c r="AU340" i="8"/>
  <c r="BJ340" i="8"/>
  <c r="AF354" i="8"/>
  <c r="Q298" i="8"/>
  <c r="AZ291" i="8"/>
  <c r="CD165" i="8"/>
  <c r="CD114" i="8" s="1"/>
  <c r="Q17" i="8"/>
  <c r="Q13" i="8" s="1"/>
  <c r="DC17" i="8"/>
  <c r="DC13" i="8" s="1"/>
  <c r="AK117" i="8"/>
  <c r="AK113" i="8" s="1"/>
  <c r="DW165" i="8"/>
  <c r="DW114" i="8" s="1"/>
  <c r="AA351" i="8"/>
  <c r="L339" i="8"/>
  <c r="EG177" i="8"/>
  <c r="EG115" i="8" s="1"/>
  <c r="AF211" i="8"/>
  <c r="DR165" i="8"/>
  <c r="DR114" i="8" s="1"/>
  <c r="AZ287" i="8" s="1"/>
  <c r="CX177" i="8"/>
  <c r="CX115" i="8" s="1"/>
  <c r="L258" i="8"/>
  <c r="BO306" i="8"/>
  <c r="EB165" i="8"/>
  <c r="EB114" i="8" s="1"/>
  <c r="EL181" i="8"/>
  <c r="BZ346" i="8" s="1"/>
  <c r="AZ340" i="8"/>
  <c r="EG17" i="8"/>
  <c r="EG13" i="8" s="1"/>
  <c r="AF117" i="8"/>
  <c r="AF113" i="8" s="1"/>
  <c r="DC82" i="8"/>
  <c r="DC15" i="8" s="1"/>
  <c r="BT92" i="8"/>
  <c r="EL97" i="8"/>
  <c r="EG117" i="8"/>
  <c r="EG113" i="8" s="1"/>
  <c r="AA322" i="8"/>
  <c r="BT173" i="8"/>
  <c r="AA346" i="8"/>
  <c r="AZ366" i="8"/>
  <c r="BO340" i="8"/>
  <c r="BJ257" i="8"/>
  <c r="AF306" i="8"/>
  <c r="BJ260" i="8"/>
  <c r="L352" i="8"/>
  <c r="BE358" i="8"/>
  <c r="AA339" i="8"/>
  <c r="CI165" i="8"/>
  <c r="CI114" i="8" s="1"/>
  <c r="AP247" i="8"/>
  <c r="AK302" i="8"/>
  <c r="BJ310" i="8"/>
  <c r="L322" i="8"/>
  <c r="CS72" i="8"/>
  <c r="CS14" i="8" s="1"/>
  <c r="BY118" i="8"/>
  <c r="BY117" i="8" s="1"/>
  <c r="BY113" i="8" s="1"/>
  <c r="BY112" i="8" s="1"/>
  <c r="BE257" i="8"/>
  <c r="V342" i="8"/>
  <c r="Q339" i="8"/>
  <c r="AA342" i="8"/>
  <c r="BO270" i="8"/>
  <c r="AF250" i="8"/>
  <c r="AU306" i="8"/>
  <c r="CN165" i="8"/>
  <c r="CN114" i="8" s="1"/>
  <c r="AK250" i="8"/>
  <c r="AP302" i="8"/>
  <c r="BO310" i="8"/>
  <c r="EG165" i="8"/>
  <c r="EG114" i="8" s="1"/>
  <c r="AZ247" i="8"/>
  <c r="L292" i="8"/>
  <c r="AP294" i="8"/>
  <c r="AU165" i="8"/>
  <c r="AU114" i="8" s="1"/>
  <c r="DC72" i="8"/>
  <c r="DC14" i="8" s="1"/>
  <c r="AF210" i="8"/>
  <c r="BO211" i="8"/>
  <c r="DH72" i="8"/>
  <c r="DH14" i="8" s="1"/>
  <c r="BO117" i="8"/>
  <c r="BO113" i="8" s="1"/>
  <c r="AF322" i="8"/>
  <c r="AK210" i="8"/>
  <c r="BO72" i="8"/>
  <c r="BO14" i="8" s="1"/>
  <c r="CD117" i="8"/>
  <c r="L346" i="8"/>
  <c r="AP17" i="8"/>
  <c r="AP13" i="8" s="1"/>
  <c r="DW17" i="8"/>
  <c r="DW13" i="8" s="1"/>
  <c r="CI17" i="8"/>
  <c r="CI13" i="8" s="1"/>
  <c r="AK212" i="8"/>
  <c r="V224" i="8"/>
  <c r="BO82" i="8"/>
  <c r="BO15" i="8" s="1"/>
  <c r="CI117" i="8"/>
  <c r="CI113" i="8" s="1"/>
  <c r="BT121" i="8"/>
  <c r="EL125" i="8"/>
  <c r="BZ290" i="8" s="1"/>
  <c r="AP318" i="8"/>
  <c r="Q258" i="8"/>
  <c r="CS165" i="8"/>
  <c r="CS114" i="8" s="1"/>
  <c r="CX72" i="8"/>
  <c r="CX14" i="8" s="1"/>
  <c r="BE291" i="8"/>
  <c r="AZ82" i="8"/>
  <c r="AZ15" i="8" s="1"/>
  <c r="AZ165" i="8"/>
  <c r="AZ114" i="8" s="1"/>
  <c r="DM17" i="8"/>
  <c r="DM13" i="8" s="1"/>
  <c r="AA17" i="8"/>
  <c r="AA13" i="8" s="1"/>
  <c r="BT19" i="8"/>
  <c r="V292" i="8"/>
  <c r="Q354" i="8"/>
  <c r="AF212" i="8"/>
  <c r="AP270" i="8"/>
  <c r="BJ210" i="8"/>
  <c r="CN17" i="8"/>
  <c r="CN13" i="8" s="1"/>
  <c r="CD82" i="8"/>
  <c r="CD15" i="8" s="1"/>
  <c r="CN117" i="8"/>
  <c r="CN113" i="8" s="1"/>
  <c r="EL121" i="8"/>
  <c r="BZ286" i="8" s="1"/>
  <c r="AK310" i="8"/>
  <c r="AK339" i="8"/>
  <c r="BJ366" i="8"/>
  <c r="AA234" i="8"/>
  <c r="CI72" i="8"/>
  <c r="CI14" i="8" s="1"/>
  <c r="AF318" i="8"/>
  <c r="BJ351" i="8"/>
  <c r="BJ358" i="8"/>
  <c r="AF224" i="8"/>
  <c r="AP72" i="8"/>
  <c r="AP14" i="8" s="1"/>
  <c r="AF314" i="8"/>
  <c r="AK318" i="8"/>
  <c r="Q340" i="8"/>
  <c r="BE342" i="8"/>
  <c r="AK224" i="8"/>
  <c r="AP248" i="8"/>
  <c r="AZ326" i="8"/>
  <c r="G12" i="8"/>
  <c r="AP234" i="8"/>
  <c r="AF310" i="8"/>
  <c r="BE214" i="8"/>
  <c r="EL32" i="8"/>
  <c r="BZ216" i="8" s="1"/>
  <c r="BT37" i="8"/>
  <c r="EL47" i="8"/>
  <c r="EL52" i="8"/>
  <c r="BT57" i="8"/>
  <c r="BO246" i="8"/>
  <c r="AA247" i="8"/>
  <c r="AP257" i="8"/>
  <c r="CI82" i="8"/>
  <c r="CI15" i="8" s="1"/>
  <c r="AF260" i="8"/>
  <c r="AZ260" i="8"/>
  <c r="AK265" i="8"/>
  <c r="AK275" i="8"/>
  <c r="AP287" i="8"/>
  <c r="V302" i="8"/>
  <c r="BE314" i="8"/>
  <c r="BJ318" i="8"/>
  <c r="EL145" i="8"/>
  <c r="BZ310" i="8" s="1"/>
  <c r="L334" i="8"/>
  <c r="Q165" i="8"/>
  <c r="Q114" i="8" s="1"/>
  <c r="Q287" i="8" s="1"/>
  <c r="L177" i="8"/>
  <c r="L115" i="8" s="1"/>
  <c r="L362" i="8"/>
  <c r="BZ273" i="8"/>
  <c r="AZ302" i="8"/>
  <c r="AP346" i="8"/>
  <c r="L219" i="8"/>
  <c r="AF258" i="8"/>
  <c r="BE117" i="8"/>
  <c r="BE113" i="8" s="1"/>
  <c r="Q224" i="8"/>
  <c r="AZ351" i="8"/>
  <c r="BE362" i="8"/>
  <c r="BZ275" i="8"/>
  <c r="BO366" i="8"/>
  <c r="AF229" i="8"/>
  <c r="CN72" i="8"/>
  <c r="CN14" i="8" s="1"/>
  <c r="BT189" i="8"/>
  <c r="AK219" i="8"/>
  <c r="AU322" i="8"/>
  <c r="AF352" i="8"/>
  <c r="AP219" i="8"/>
  <c r="AP224" i="8"/>
  <c r="Q280" i="8"/>
  <c r="AU318" i="8"/>
  <c r="BO330" i="8"/>
  <c r="AU219" i="8"/>
  <c r="AU234" i="8"/>
  <c r="V260" i="8"/>
  <c r="AZ318" i="8"/>
  <c r="BE322" i="8"/>
  <c r="BE248" i="8"/>
  <c r="AA260" i="8"/>
  <c r="AF265" i="8"/>
  <c r="AZ270" i="8"/>
  <c r="V294" i="8"/>
  <c r="BE318" i="8"/>
  <c r="CS177" i="8"/>
  <c r="CS115" i="8" s="1"/>
  <c r="Q212" i="8"/>
  <c r="BT27" i="8"/>
  <c r="BT32" i="8"/>
  <c r="BJ219" i="8"/>
  <c r="CS82" i="8"/>
  <c r="CS15" i="8" s="1"/>
  <c r="AU82" i="8"/>
  <c r="AP265" i="8"/>
  <c r="BJ265" i="8"/>
  <c r="BE280" i="8"/>
  <c r="AA298" i="8"/>
  <c r="AK306" i="8"/>
  <c r="AZ310" i="8"/>
  <c r="BJ314" i="8"/>
  <c r="BO318" i="8"/>
  <c r="AK334" i="8"/>
  <c r="AP338" i="8"/>
  <c r="Q177" i="8"/>
  <c r="Q115" i="8" s="1"/>
  <c r="BE177" i="8"/>
  <c r="BE115" i="8" s="1"/>
  <c r="AA354" i="8"/>
  <c r="AF362" i="8"/>
  <c r="Q322" i="8"/>
  <c r="AF342" i="8"/>
  <c r="AP358" i="8"/>
  <c r="AP362" i="8"/>
  <c r="BJ247" i="8"/>
  <c r="L314" i="8"/>
  <c r="AK342" i="8"/>
  <c r="AZ212" i="8"/>
  <c r="Q229" i="8"/>
  <c r="Q234" i="8"/>
  <c r="V318" i="8"/>
  <c r="AF326" i="8"/>
  <c r="AF339" i="8"/>
  <c r="AU354" i="8"/>
  <c r="BE366" i="8"/>
  <c r="AA314" i="8"/>
  <c r="BJ346" i="8"/>
  <c r="AF234" i="8"/>
  <c r="BJ250" i="8"/>
  <c r="L275" i="8"/>
  <c r="AP322" i="8"/>
  <c r="BT166" i="8"/>
  <c r="BT193" i="8"/>
  <c r="L280" i="8"/>
  <c r="BT179" i="8"/>
  <c r="EL189" i="8"/>
  <c r="BZ354" i="8" s="1"/>
  <c r="AP214" i="8"/>
  <c r="AP229" i="8"/>
  <c r="AP314" i="8"/>
  <c r="AZ322" i="8"/>
  <c r="AU229" i="8"/>
  <c r="AA265" i="8"/>
  <c r="V280" i="8"/>
  <c r="V306" i="8"/>
  <c r="BJ326" i="8"/>
  <c r="AZ214" i="8"/>
  <c r="AZ229" i="8"/>
  <c r="EL67" i="8"/>
  <c r="V247" i="8"/>
  <c r="AK257" i="8"/>
  <c r="AF270" i="8"/>
  <c r="AF275" i="8"/>
  <c r="BJ322" i="8"/>
  <c r="BO326" i="8"/>
  <c r="Q330" i="8"/>
  <c r="L165" i="8"/>
  <c r="L114" i="8" s="1"/>
  <c r="L287" i="8" s="1"/>
  <c r="AA210" i="8"/>
  <c r="DH17" i="8"/>
  <c r="DH13" i="8" s="1"/>
  <c r="BJ211" i="8"/>
  <c r="BT75" i="8"/>
  <c r="L82" i="8"/>
  <c r="CS117" i="8"/>
  <c r="CS113" i="8" s="1"/>
  <c r="AK294" i="8"/>
  <c r="AF298" i="8"/>
  <c r="AP306" i="8"/>
  <c r="BE310" i="8"/>
  <c r="EL141" i="8"/>
  <c r="BZ306" i="8" s="1"/>
  <c r="L330" i="8"/>
  <c r="V346" i="8"/>
  <c r="BJ177" i="8"/>
  <c r="BJ115" i="8" s="1"/>
  <c r="AZ234" i="8"/>
  <c r="AU260" i="8"/>
  <c r="BT42" i="8"/>
  <c r="AK280" i="8"/>
  <c r="AA165" i="8"/>
  <c r="Q358" i="8"/>
  <c r="V354" i="8"/>
  <c r="BE270" i="8"/>
  <c r="AF334" i="8"/>
  <c r="AK351" i="8"/>
  <c r="V362" i="8"/>
  <c r="BO212" i="8"/>
  <c r="L214" i="8"/>
  <c r="V214" i="8"/>
  <c r="BO250" i="8"/>
  <c r="AP256" i="8"/>
  <c r="EB82" i="8"/>
  <c r="EB15" i="8" s="1"/>
  <c r="AK258" i="8"/>
  <c r="BO260" i="8"/>
  <c r="BJ270" i="8"/>
  <c r="BJ275" i="8"/>
  <c r="AZ280" i="8"/>
  <c r="CX117" i="8"/>
  <c r="CX113" i="8" s="1"/>
  <c r="AU292" i="8"/>
  <c r="Q310" i="8"/>
  <c r="Q314" i="8"/>
  <c r="V322" i="8"/>
  <c r="AF330" i="8"/>
  <c r="BO165" i="8"/>
  <c r="AA340" i="8"/>
  <c r="EB177" i="8"/>
  <c r="EB115" i="8" s="1"/>
  <c r="AF358" i="8"/>
  <c r="AA362" i="8"/>
  <c r="AP366" i="8"/>
  <c r="BZ356" i="8"/>
  <c r="BO219" i="8"/>
  <c r="BJ306" i="8"/>
  <c r="BO229" i="8"/>
  <c r="AU270" i="8"/>
  <c r="BE302" i="8"/>
  <c r="V334" i="8"/>
  <c r="Q366" i="8"/>
  <c r="BJ212" i="8"/>
  <c r="Q326" i="8"/>
  <c r="CD17" i="8"/>
  <c r="CD13" i="8" s="1"/>
  <c r="DR17" i="8"/>
  <c r="DR13" i="8" s="1"/>
  <c r="BT47" i="8"/>
  <c r="BT62" i="8"/>
  <c r="BE246" i="8"/>
  <c r="L247" i="8"/>
  <c r="AU248" i="8"/>
  <c r="AU256" i="8"/>
  <c r="BZ259" i="8"/>
  <c r="BO275" i="8"/>
  <c r="BT102" i="8"/>
  <c r="AA291" i="8"/>
  <c r="V310" i="8"/>
  <c r="V314" i="8"/>
  <c r="AA326" i="8"/>
  <c r="AK330" i="8"/>
  <c r="BT169" i="8"/>
  <c r="AK354" i="8"/>
  <c r="AK358" i="8"/>
  <c r="AF366" i="8"/>
  <c r="BO214" i="8"/>
  <c r="BJ229" i="8"/>
  <c r="V248" i="8"/>
  <c r="AP275" i="8"/>
  <c r="BY119" i="8"/>
  <c r="Q334" i="8"/>
  <c r="BO257" i="8"/>
  <c r="AU275" i="8"/>
  <c r="AA258" i="8"/>
  <c r="AZ275" i="8"/>
  <c r="V330" i="8"/>
  <c r="Q362" i="8"/>
  <c r="AP292" i="8"/>
  <c r="L310" i="8"/>
  <c r="AA330" i="8"/>
  <c r="BO346" i="8"/>
  <c r="AK211" i="8"/>
  <c r="Q219" i="8"/>
  <c r="L229" i="8"/>
  <c r="BT52" i="8"/>
  <c r="Q247" i="8"/>
  <c r="AZ248" i="8"/>
  <c r="AU258" i="8"/>
  <c r="BJ280" i="8"/>
  <c r="DH117" i="8"/>
  <c r="DH113" i="8" s="1"/>
  <c r="L306" i="8"/>
  <c r="AA310" i="8"/>
  <c r="BO334" i="8"/>
  <c r="AP354" i="8"/>
  <c r="AK366" i="8"/>
  <c r="BZ303" i="8"/>
  <c r="BT22" i="8"/>
  <c r="AZ294" i="8"/>
  <c r="EL27" i="8"/>
  <c r="BE234" i="8"/>
  <c r="EL137" i="8"/>
  <c r="BO224" i="8"/>
  <c r="BE346" i="8"/>
  <c r="BO234" i="8"/>
  <c r="BE352" i="8"/>
  <c r="AU246" i="8"/>
  <c r="BE275" i="8"/>
  <c r="BT125" i="8"/>
  <c r="EB17" i="8"/>
  <c r="EB13" i="8" s="1"/>
  <c r="AP211" i="8"/>
  <c r="V219" i="8"/>
  <c r="BZ240" i="8"/>
  <c r="Q257" i="8"/>
  <c r="AZ258" i="8"/>
  <c r="BY107" i="8"/>
  <c r="DM117" i="8"/>
  <c r="DM113" i="8" s="1"/>
  <c r="BJ117" i="8"/>
  <c r="BJ290" i="8" s="1"/>
  <c r="L294" i="8"/>
  <c r="V298" i="8"/>
  <c r="Q306" i="8"/>
  <c r="AK322" i="8"/>
  <c r="AK326" i="8"/>
  <c r="AZ334" i="8"/>
  <c r="EL161" i="8"/>
  <c r="BZ326" i="8" s="1"/>
  <c r="Q346" i="8"/>
  <c r="Q352" i="8"/>
  <c r="DC177" i="8"/>
  <c r="DC115" i="8" s="1"/>
  <c r="BJ352" i="8"/>
  <c r="AZ298" i="8"/>
  <c r="AP280" i="8"/>
  <c r="L326" i="8"/>
  <c r="BJ342" i="8"/>
  <c r="BE72" i="8"/>
  <c r="BT73" i="8"/>
  <c r="DM72" i="8"/>
  <c r="DM14" i="8" s="1"/>
  <c r="AA250" i="8"/>
  <c r="DH82" i="8"/>
  <c r="DH15" i="8" s="1"/>
  <c r="BE258" i="8"/>
  <c r="Q294" i="8"/>
  <c r="L298" i="8"/>
  <c r="L302" i="8"/>
  <c r="AK314" i="8"/>
  <c r="AP326" i="8"/>
  <c r="EL157" i="8"/>
  <c r="BZ322" i="8" s="1"/>
  <c r="BT161" i="8"/>
  <c r="V177" i="8"/>
  <c r="V115" i="8" s="1"/>
  <c r="AZ354" i="8"/>
  <c r="BJ362" i="8"/>
  <c r="AU366" i="8"/>
  <c r="BJ292" i="8"/>
  <c r="BO314" i="8"/>
  <c r="EL179" i="8"/>
  <c r="BZ344" i="8" s="1"/>
  <c r="BT137" i="8"/>
  <c r="AU212" i="8"/>
  <c r="BJ224" i="8"/>
  <c r="BT18" i="8"/>
  <c r="AA292" i="8"/>
  <c r="AZ342" i="8"/>
  <c r="BJ302" i="8"/>
  <c r="AU280" i="8"/>
  <c r="V340" i="8"/>
  <c r="AA358" i="8"/>
  <c r="AZ211" i="8"/>
  <c r="L212" i="8"/>
  <c r="CS17" i="8"/>
  <c r="CS13" i="8" s="1"/>
  <c r="AK214" i="8"/>
  <c r="AF219" i="8"/>
  <c r="AA224" i="8"/>
  <c r="AF247" i="8"/>
  <c r="BO248" i="8"/>
  <c r="BO256" i="8"/>
  <c r="AA257" i="8"/>
  <c r="DM82" i="8"/>
  <c r="DM15" i="8" s="1"/>
  <c r="BJ258" i="8"/>
  <c r="Q265" i="8"/>
  <c r="Q302" i="8"/>
  <c r="BE326" i="8"/>
  <c r="BT157" i="8"/>
  <c r="BJ334" i="8"/>
  <c r="BE340" i="8"/>
  <c r="BO351" i="8"/>
  <c r="AA352" i="8"/>
  <c r="BE354" i="8"/>
  <c r="AZ362" i="8"/>
  <c r="BO291" i="8"/>
  <c r="AU302" i="8"/>
  <c r="BE294" i="8"/>
  <c r="AZ346" i="8"/>
  <c r="L358" i="8"/>
  <c r="BJ234" i="8"/>
  <c r="L318" i="8"/>
  <c r="BT129" i="8"/>
  <c r="V366" i="8"/>
  <c r="BE211" i="8"/>
  <c r="AZ219" i="8"/>
  <c r="DW72" i="8"/>
  <c r="DW14" i="8" s="1"/>
  <c r="Q250" i="8"/>
  <c r="AZ257" i="8"/>
  <c r="Q260" i="8"/>
  <c r="V265" i="8"/>
  <c r="L270" i="8"/>
  <c r="BZ270" i="8"/>
  <c r="V117" i="8"/>
  <c r="EB117" i="8"/>
  <c r="EB113" i="8" s="1"/>
  <c r="CX165" i="8"/>
  <c r="CX114" i="8" s="1"/>
  <c r="CD177" i="8"/>
  <c r="CD115" i="8" s="1"/>
  <c r="CD112" i="8" s="1"/>
  <c r="EL185" i="8"/>
  <c r="BZ350" i="8" s="1"/>
  <c r="BT118" i="8"/>
  <c r="Q248" i="8"/>
  <c r="BZ299" i="8"/>
  <c r="AZ265" i="8"/>
  <c r="L211" i="8"/>
  <c r="G117" i="8"/>
  <c r="G113" i="8" s="1"/>
  <c r="G112" i="8" s="1"/>
  <c r="BE298" i="8"/>
  <c r="BE260" i="8"/>
  <c r="AA334" i="8"/>
  <c r="BO265" i="8"/>
  <c r="BO302" i="8"/>
  <c r="AP210" i="8"/>
  <c r="EB72" i="8"/>
  <c r="EB14" i="8" s="1"/>
  <c r="L248" i="8"/>
  <c r="AP250" i="8"/>
  <c r="AK270" i="8"/>
  <c r="AA117" i="8"/>
  <c r="AA113" i="8" s="1"/>
  <c r="DC165" i="8"/>
  <c r="DC114" i="8" s="1"/>
  <c r="CI177" i="8"/>
  <c r="CI115" i="8" s="1"/>
  <c r="EL178" i="8"/>
  <c r="BZ343" i="8" s="1"/>
  <c r="BT178" i="8"/>
  <c r="EL193" i="8"/>
  <c r="BZ358" i="8" s="1"/>
  <c r="DW82" i="8"/>
  <c r="DW15" i="8" s="1"/>
  <c r="BE256" i="8"/>
  <c r="BZ265" i="8"/>
  <c r="V246" i="8"/>
  <c r="V72" i="8"/>
  <c r="V270" i="8"/>
  <c r="AA270" i="8"/>
  <c r="AK165" i="8"/>
  <c r="EL87" i="8"/>
  <c r="EL83" i="8"/>
  <c r="AP352" i="8"/>
  <c r="AA302" i="8"/>
  <c r="AP330" i="8"/>
  <c r="AU330" i="8"/>
  <c r="EG72" i="8"/>
  <c r="EG14" i="8" s="1"/>
  <c r="BO258" i="8"/>
  <c r="AU294" i="8"/>
  <c r="AK298" i="8"/>
  <c r="AU326" i="8"/>
  <c r="Q351" i="8"/>
  <c r="L256" i="8"/>
  <c r="L351" i="8"/>
  <c r="DM165" i="8"/>
  <c r="DM114" i="8" s="1"/>
  <c r="AU339" i="8"/>
  <c r="AA72" i="8"/>
  <c r="AA246" i="8"/>
  <c r="EL20" i="8"/>
  <c r="BZ214" i="8" s="1"/>
  <c r="EL22" i="8"/>
  <c r="AU265" i="8"/>
  <c r="AK246" i="8"/>
  <c r="L17" i="8"/>
  <c r="AF17" i="8"/>
  <c r="AZ72" i="8"/>
  <c r="CN82" i="8"/>
  <c r="CN15" i="8" s="1"/>
  <c r="L260" i="8"/>
  <c r="AA280" i="8"/>
  <c r="AP298" i="8"/>
  <c r="BY133" i="8"/>
  <c r="BE330" i="8"/>
  <c r="BE334" i="8"/>
  <c r="EL173" i="8"/>
  <c r="BZ338" i="8" s="1"/>
  <c r="EL166" i="8"/>
  <c r="L354" i="8"/>
  <c r="AU247" i="8"/>
  <c r="AU72" i="8"/>
  <c r="BZ269" i="8"/>
  <c r="BZ274" i="8"/>
  <c r="AF346" i="8"/>
  <c r="AP82" i="8"/>
  <c r="AU362" i="8"/>
  <c r="BY29" i="8"/>
  <c r="BY88" i="8"/>
  <c r="BZ253" i="8" s="1"/>
  <c r="DR72" i="8"/>
  <c r="DR14" i="8" s="1"/>
  <c r="AZ246" i="8"/>
  <c r="BE265" i="8"/>
  <c r="BZ347" i="8"/>
  <c r="AF302" i="8"/>
  <c r="AU334" i="8"/>
  <c r="BT20" i="8"/>
  <c r="EL77" i="8"/>
  <c r="EL73" i="8"/>
  <c r="AU257" i="8"/>
  <c r="BT85" i="8"/>
  <c r="BT82" i="8" s="1"/>
  <c r="BT15" i="8" s="1"/>
  <c r="BY90" i="8"/>
  <c r="BY85" i="8" s="1"/>
  <c r="BZ250" i="8" s="1"/>
  <c r="AF280" i="8"/>
  <c r="BJ330" i="8"/>
  <c r="BT67" i="8"/>
  <c r="AF165" i="8"/>
  <c r="BZ243" i="8"/>
  <c r="AF256" i="8"/>
  <c r="CX82" i="8"/>
  <c r="CX15" i="8" s="1"/>
  <c r="AA114" i="8"/>
  <c r="L291" i="8"/>
  <c r="L117" i="8"/>
  <c r="AK292" i="8"/>
  <c r="EL167" i="8"/>
  <c r="BZ332" i="8" s="1"/>
  <c r="EL169" i="8"/>
  <c r="BZ334" i="8" s="1"/>
  <c r="AP246" i="8"/>
  <c r="BO210" i="8"/>
  <c r="BO17" i="8"/>
  <c r="AK256" i="8"/>
  <c r="AK82" i="8"/>
  <c r="BJ214" i="8"/>
  <c r="AF72" i="8"/>
  <c r="AF246" i="8"/>
  <c r="AK17" i="8"/>
  <c r="AU210" i="8"/>
  <c r="AU17" i="8"/>
  <c r="BT74" i="8"/>
  <c r="BT77" i="8"/>
  <c r="Q256" i="8"/>
  <c r="Q82" i="8"/>
  <c r="BZ263" i="8"/>
  <c r="BO294" i="8"/>
  <c r="BZ307" i="8"/>
  <c r="EL153" i="8"/>
  <c r="BZ318" i="8" s="1"/>
  <c r="BZ319" i="8"/>
  <c r="BZ336" i="8"/>
  <c r="L246" i="8"/>
  <c r="L72" i="8"/>
  <c r="Q246" i="8"/>
  <c r="Q72" i="8"/>
  <c r="L234" i="8"/>
  <c r="BT87" i="8"/>
  <c r="AP334" i="8"/>
  <c r="BO358" i="8"/>
  <c r="V352" i="8"/>
  <c r="BY89" i="8"/>
  <c r="AZ352" i="8"/>
  <c r="AZ177" i="8"/>
  <c r="AZ210" i="8"/>
  <c r="AZ17" i="8"/>
  <c r="V212" i="8"/>
  <c r="BY79" i="8"/>
  <c r="BZ244" i="8" s="1"/>
  <c r="V82" i="8"/>
  <c r="V256" i="8"/>
  <c r="BT97" i="8"/>
  <c r="BY102" i="8"/>
  <c r="BZ267" i="8" s="1"/>
  <c r="BZ268" i="8"/>
  <c r="V291" i="8"/>
  <c r="BZ300" i="8"/>
  <c r="BZ304" i="8"/>
  <c r="AF291" i="8"/>
  <c r="BJ339" i="8"/>
  <c r="BZ245" i="8"/>
  <c r="V229" i="8"/>
  <c r="BO247" i="8"/>
  <c r="AK352" i="8"/>
  <c r="BE219" i="8"/>
  <c r="CD72" i="8"/>
  <c r="CD14" i="8" s="1"/>
  <c r="CN177" i="8"/>
  <c r="CN115" i="8" s="1"/>
  <c r="V351" i="8"/>
  <c r="BE210" i="8"/>
  <c r="BE17" i="8"/>
  <c r="AK72" i="8"/>
  <c r="AK247" i="8"/>
  <c r="AA256" i="8"/>
  <c r="AA82" i="8"/>
  <c r="AK260" i="8"/>
  <c r="DC117" i="8"/>
  <c r="DC113" i="8" s="1"/>
  <c r="AZ292" i="8"/>
  <c r="EL119" i="8"/>
  <c r="L342" i="8"/>
  <c r="V339" i="8"/>
  <c r="V165" i="8"/>
  <c r="BJ354" i="8"/>
  <c r="AF82" i="8"/>
  <c r="AF257" i="8"/>
  <c r="Q117" i="8"/>
  <c r="Q292" i="8"/>
  <c r="EL18" i="8"/>
  <c r="L250" i="8"/>
  <c r="DR82" i="8"/>
  <c r="DR15" i="8" s="1"/>
  <c r="BZ264" i="8"/>
  <c r="AA366" i="8"/>
  <c r="AU358" i="8"/>
  <c r="AK362" i="8"/>
  <c r="AA212" i="8"/>
  <c r="EL37" i="8"/>
  <c r="BZ221" i="8" s="1"/>
  <c r="BE247" i="8"/>
  <c r="V250" i="8"/>
  <c r="Q270" i="8"/>
  <c r="Q291" i="8"/>
  <c r="BJ294" i="8"/>
  <c r="AU298" i="8"/>
  <c r="BO322" i="8"/>
  <c r="AZ330" i="8"/>
  <c r="Q342" i="8"/>
  <c r="AU352" i="8"/>
  <c r="BO354" i="8"/>
  <c r="Q211" i="8"/>
  <c r="EL118" i="8"/>
  <c r="BZ287" i="8"/>
  <c r="V211" i="8"/>
  <c r="Q214" i="8"/>
  <c r="AZ224" i="8"/>
  <c r="AA229" i="8"/>
  <c r="AA248" i="8"/>
  <c r="AZ256" i="8"/>
  <c r="EG82" i="8"/>
  <c r="EG15" i="8" s="1"/>
  <c r="BY93" i="8"/>
  <c r="BY92" i="8" s="1"/>
  <c r="BZ257" i="8" s="1"/>
  <c r="EL107" i="8"/>
  <c r="AK291" i="8"/>
  <c r="BO298" i="8"/>
  <c r="BZ291" i="8"/>
  <c r="EL129" i="8"/>
  <c r="BZ294" i="8" s="1"/>
  <c r="AZ306" i="8"/>
  <c r="Q318" i="8"/>
  <c r="AK346" i="8"/>
  <c r="AA177" i="8"/>
  <c r="DM177" i="8"/>
  <c r="DM115" i="8" s="1"/>
  <c r="BO352" i="8"/>
  <c r="AU224" i="8"/>
  <c r="AA211" i="8"/>
  <c r="EL57" i="8"/>
  <c r="BJ246" i="8"/>
  <c r="BJ72" i="8"/>
  <c r="AF248" i="8"/>
  <c r="AU250" i="8"/>
  <c r="BE82" i="8"/>
  <c r="V258" i="8"/>
  <c r="AP260" i="8"/>
  <c r="BZ258" i="8"/>
  <c r="Q275" i="8"/>
  <c r="BO280" i="8"/>
  <c r="AP291" i="8"/>
  <c r="AP117" i="8"/>
  <c r="DR117" i="8"/>
  <c r="DR113" i="8" s="1"/>
  <c r="BO292" i="8"/>
  <c r="BE306" i="8"/>
  <c r="BE339" i="8"/>
  <c r="BE165" i="8"/>
  <c r="AF351" i="8"/>
  <c r="AF177" i="8"/>
  <c r="DR177" i="8"/>
  <c r="DR115" i="8" s="1"/>
  <c r="BO362" i="8"/>
  <c r="BE292" i="8"/>
  <c r="BJ17" i="8"/>
  <c r="BE212" i="8"/>
  <c r="AA214" i="8"/>
  <c r="EL42" i="8"/>
  <c r="BZ226" i="8" s="1"/>
  <c r="AK229" i="8"/>
  <c r="V234" i="8"/>
  <c r="EL62" i="8"/>
  <c r="AK248" i="8"/>
  <c r="AZ250" i="8"/>
  <c r="BJ82" i="8"/>
  <c r="V275" i="8"/>
  <c r="BT107" i="8"/>
  <c r="AU117" i="8"/>
  <c r="DW117" i="8"/>
  <c r="DW113" i="8" s="1"/>
  <c r="EL133" i="8"/>
  <c r="AU310" i="8"/>
  <c r="AA318" i="8"/>
  <c r="BJ165" i="8"/>
  <c r="L340" i="8"/>
  <c r="AU342" i="8"/>
  <c r="AU346" i="8"/>
  <c r="AK177" i="8"/>
  <c r="DW177" i="8"/>
  <c r="DW115" i="8" s="1"/>
  <c r="BJ291" i="8"/>
  <c r="AA275" i="8"/>
  <c r="AZ117" i="8"/>
  <c r="AP177" i="8"/>
  <c r="BO339" i="8"/>
  <c r="V210" i="8"/>
  <c r="V17" i="8"/>
  <c r="CX17" i="8"/>
  <c r="CX13" i="8" s="1"/>
  <c r="BT119" i="8"/>
  <c r="BT133" i="8"/>
  <c r="AU177" i="8"/>
  <c r="AU351" i="8"/>
  <c r="BJ256" i="8"/>
  <c r="AU291" i="8"/>
  <c r="AP212" i="8"/>
  <c r="EL19" i="8"/>
  <c r="AA219" i="8"/>
  <c r="AK234" i="8"/>
  <c r="V257" i="8"/>
  <c r="AA294" i="8"/>
  <c r="AU314" i="8"/>
  <c r="AZ339" i="8"/>
  <c r="AP351" i="8"/>
  <c r="DH177" i="8"/>
  <c r="DH115" i="8" s="1"/>
  <c r="AU214" i="8"/>
  <c r="BE229" i="8"/>
  <c r="BY97" i="8"/>
  <c r="AF294" i="8"/>
  <c r="BY137" i="8"/>
  <c r="AZ314" i="8"/>
  <c r="BE351" i="8"/>
  <c r="L366" i="8"/>
  <c r="BE24" i="7"/>
  <c r="BE19" i="7" s="1"/>
  <c r="BJ24" i="7"/>
  <c r="BJ19" i="7" s="1"/>
  <c r="Q272" i="7"/>
  <c r="BY57" i="7"/>
  <c r="BT320" i="7"/>
  <c r="BX321" i="7"/>
  <c r="Q326" i="7"/>
  <c r="AK329" i="7"/>
  <c r="V326" i="7"/>
  <c r="BY49" i="7"/>
  <c r="BT48" i="7"/>
  <c r="BX315" i="7"/>
  <c r="DR190" i="7"/>
  <c r="DR16" i="7" s="1"/>
  <c r="BT348" i="7"/>
  <c r="AP16" i="7"/>
  <c r="AZ351" i="7"/>
  <c r="BT267" i="7"/>
  <c r="BT40" i="7"/>
  <c r="EL160" i="7"/>
  <c r="BX311" i="7" s="1"/>
  <c r="BO314" i="7"/>
  <c r="AF343" i="7"/>
  <c r="AF190" i="7"/>
  <c r="BX348" i="7"/>
  <c r="EL40" i="7"/>
  <c r="AU286" i="7"/>
  <c r="BX312" i="7"/>
  <c r="AK16" i="7"/>
  <c r="BO344" i="7"/>
  <c r="BJ366" i="7"/>
  <c r="BX282" i="7"/>
  <c r="BO308" i="7"/>
  <c r="AZ284" i="7"/>
  <c r="AZ15" i="7"/>
  <c r="AZ234" i="7" s="1"/>
  <c r="BT291" i="7"/>
  <c r="AK302" i="7"/>
  <c r="BT157" i="7"/>
  <c r="BT308" i="7" s="1"/>
  <c r="BX309" i="7"/>
  <c r="Q264" i="7"/>
  <c r="BJ287" i="7"/>
  <c r="AF286" i="7"/>
  <c r="BT315" i="7"/>
  <c r="BT163" i="7"/>
  <c r="BT314" i="7" s="1"/>
  <c r="AU24" i="7"/>
  <c r="AU249" i="7" s="1"/>
  <c r="AU250" i="7"/>
  <c r="V264" i="7"/>
  <c r="AA335" i="7"/>
  <c r="AA356" i="7"/>
  <c r="G19" i="7"/>
  <c r="G18" i="7" s="1"/>
  <c r="G13" i="7" s="1"/>
  <c r="AU271" i="7"/>
  <c r="AU97" i="7"/>
  <c r="AA299" i="7"/>
  <c r="V371" i="7"/>
  <c r="AP234" i="7"/>
  <c r="AF259" i="7"/>
  <c r="CN97" i="7"/>
  <c r="CN14" i="7" s="1"/>
  <c r="AK274" i="7"/>
  <c r="AA279" i="7"/>
  <c r="AK286" i="7"/>
  <c r="L290" i="7"/>
  <c r="AP302" i="7"/>
  <c r="L320" i="7"/>
  <c r="L323" i="7"/>
  <c r="AK335" i="7"/>
  <c r="AU335" i="7"/>
  <c r="AU338" i="7"/>
  <c r="L342" i="7"/>
  <c r="AP343" i="7"/>
  <c r="BE351" i="7"/>
  <c r="AF356" i="7"/>
  <c r="BE366" i="7"/>
  <c r="EL28" i="7"/>
  <c r="AU254" i="7"/>
  <c r="AK259" i="7"/>
  <c r="BE259" i="7"/>
  <c r="AF264" i="7"/>
  <c r="EL60" i="7"/>
  <c r="BO271" i="7"/>
  <c r="AP274" i="7"/>
  <c r="AF279" i="7"/>
  <c r="V296" i="7"/>
  <c r="AK296" i="7"/>
  <c r="AF299" i="7"/>
  <c r="BO305" i="7"/>
  <c r="Q320" i="7"/>
  <c r="AF326" i="7"/>
  <c r="AP332" i="7"/>
  <c r="AZ338" i="7"/>
  <c r="Q342" i="7"/>
  <c r="AU343" i="7"/>
  <c r="BJ351" i="7"/>
  <c r="AF371" i="7"/>
  <c r="AZ285" i="7"/>
  <c r="AA252" i="7"/>
  <c r="BJ234" i="7"/>
  <c r="DW97" i="7"/>
  <c r="DW14" i="7" s="1"/>
  <c r="AZ332" i="7"/>
  <c r="DH190" i="7"/>
  <c r="DH16" i="7" s="1"/>
  <c r="AP235" i="7" s="1"/>
  <c r="BJ254" i="7"/>
  <c r="EL25" i="7"/>
  <c r="BT250" i="7" s="1"/>
  <c r="BT64" i="7"/>
  <c r="EB97" i="7"/>
  <c r="EB14" i="7" s="1"/>
  <c r="EB12" i="7" s="1"/>
  <c r="BJ279" i="7"/>
  <c r="V287" i="7"/>
  <c r="V290" i="7"/>
  <c r="AU299" i="7"/>
  <c r="Q308" i="7"/>
  <c r="V314" i="7"/>
  <c r="V317" i="7"/>
  <c r="AU326" i="7"/>
  <c r="BE326" i="7"/>
  <c r="EL178" i="7"/>
  <c r="EL181" i="7"/>
  <c r="BX332" i="7" s="1"/>
  <c r="BE335" i="7"/>
  <c r="CS190" i="7"/>
  <c r="CS16" i="7" s="1"/>
  <c r="BT200" i="7"/>
  <c r="BT351" i="7" s="1"/>
  <c r="BX368" i="7"/>
  <c r="BO351" i="7"/>
  <c r="AZ286" i="7"/>
  <c r="CS24" i="7"/>
  <c r="CS19" i="7" s="1"/>
  <c r="CS18" i="7" s="1"/>
  <c r="CS13" i="7" s="1"/>
  <c r="BT28" i="7"/>
  <c r="AZ270" i="7"/>
  <c r="AF272" i="7"/>
  <c r="BJ274" i="7"/>
  <c r="AZ279" i="7"/>
  <c r="AZ299" i="7"/>
  <c r="V311" i="7"/>
  <c r="Q314" i="7"/>
  <c r="AA317" i="7"/>
  <c r="BO329" i="7"/>
  <c r="BJ332" i="7"/>
  <c r="BO343" i="7"/>
  <c r="Q344" i="7"/>
  <c r="AK346" i="7"/>
  <c r="BT52" i="7"/>
  <c r="AP279" i="7"/>
  <c r="AA323" i="7"/>
  <c r="AA190" i="7"/>
  <c r="AA16" i="7" s="1"/>
  <c r="L24" i="7"/>
  <c r="L19" i="7" s="1"/>
  <c r="BJ259" i="7"/>
  <c r="EL72" i="7"/>
  <c r="BX275" i="7"/>
  <c r="BE279" i="7"/>
  <c r="AF285" i="7"/>
  <c r="Q287" i="7"/>
  <c r="AU296" i="7"/>
  <c r="AP323" i="7"/>
  <c r="BT330" i="7"/>
  <c r="AP346" i="7"/>
  <c r="BE346" i="7"/>
  <c r="BT354" i="7"/>
  <c r="BT215" i="7"/>
  <c r="V323" i="7"/>
  <c r="BE254" i="7"/>
  <c r="Q285" i="7"/>
  <c r="CN190" i="7"/>
  <c r="CN16" i="7" s="1"/>
  <c r="AZ252" i="7"/>
  <c r="BJ264" i="7"/>
  <c r="AK290" i="7"/>
  <c r="BJ299" i="7"/>
  <c r="AF308" i="7"/>
  <c r="AK317" i="7"/>
  <c r="AU320" i="7"/>
  <c r="BJ326" i="7"/>
  <c r="BT184" i="7"/>
  <c r="CD190" i="7"/>
  <c r="CD16" i="7" s="1"/>
  <c r="BJ371" i="7"/>
  <c r="EL220" i="7"/>
  <c r="BT294" i="7"/>
  <c r="AZ254" i="7"/>
  <c r="AK279" i="7"/>
  <c r="AU332" i="7"/>
  <c r="BJ338" i="7"/>
  <c r="AU356" i="7"/>
  <c r="DH19" i="7"/>
  <c r="DH18" i="7" s="1"/>
  <c r="DH13" i="7" s="1"/>
  <c r="EL36" i="7"/>
  <c r="BX259" i="7" s="1"/>
  <c r="AZ97" i="7"/>
  <c r="AZ14" i="7" s="1"/>
  <c r="AZ233" i="7" s="1"/>
  <c r="V271" i="7"/>
  <c r="AU272" i="7"/>
  <c r="BO279" i="7"/>
  <c r="BJ284" i="7"/>
  <c r="AA287" i="7"/>
  <c r="BE296" i="7"/>
  <c r="BX330" i="7"/>
  <c r="Q190" i="7"/>
  <c r="EG190" i="7"/>
  <c r="EG16" i="7" s="1"/>
  <c r="CI190" i="7"/>
  <c r="CI16" i="7" s="1"/>
  <c r="CI12" i="7" s="1"/>
  <c r="AZ346" i="7"/>
  <c r="Q351" i="7"/>
  <c r="Q366" i="7"/>
  <c r="BX369" i="7"/>
  <c r="AP285" i="7"/>
  <c r="AZ302" i="7"/>
  <c r="BE343" i="7"/>
  <c r="Q361" i="7"/>
  <c r="BX262" i="7"/>
  <c r="Q286" i="7"/>
  <c r="AU290" i="7"/>
  <c r="BJ293" i="7"/>
  <c r="AA305" i="7"/>
  <c r="AP308" i="7"/>
  <c r="AK314" i="7"/>
  <c r="AU317" i="7"/>
  <c r="BT175" i="7"/>
  <c r="AU274" i="7"/>
  <c r="DC190" i="7"/>
  <c r="DC16" i="7" s="1"/>
  <c r="BO366" i="7"/>
  <c r="Q112" i="7"/>
  <c r="Q284" i="7" s="1"/>
  <c r="AP24" i="7"/>
  <c r="BO252" i="7"/>
  <c r="L254" i="7"/>
  <c r="AF254" i="7"/>
  <c r="BY45" i="7"/>
  <c r="AF97" i="7"/>
  <c r="AF14" i="7" s="1"/>
  <c r="AF233" i="7" s="1"/>
  <c r="BE272" i="7"/>
  <c r="L299" i="7"/>
  <c r="BX300" i="7"/>
  <c r="AF305" i="7"/>
  <c r="AP314" i="7"/>
  <c r="AZ317" i="7"/>
  <c r="BJ320" i="7"/>
  <c r="Q338" i="7"/>
  <c r="AP344" i="7"/>
  <c r="AP351" i="7"/>
  <c r="BX358" i="7"/>
  <c r="AZ361" i="7"/>
  <c r="AA366" i="7"/>
  <c r="V190" i="7"/>
  <c r="V16" i="7" s="1"/>
  <c r="V235" i="7" s="1"/>
  <c r="V346" i="7"/>
  <c r="AP356" i="7"/>
  <c r="AF252" i="7"/>
  <c r="CD24" i="7"/>
  <c r="Q254" i="7"/>
  <c r="AK271" i="7"/>
  <c r="BJ272" i="7"/>
  <c r="L274" i="7"/>
  <c r="AA274" i="7"/>
  <c r="BT282" i="7"/>
  <c r="BJ285" i="7"/>
  <c r="L286" i="7"/>
  <c r="AP287" i="7"/>
  <c r="BE290" i="7"/>
  <c r="Q302" i="7"/>
  <c r="AK305" i="7"/>
  <c r="AZ311" i="7"/>
  <c r="AU314" i="7"/>
  <c r="BE314" i="7"/>
  <c r="BE317" i="7"/>
  <c r="BT321" i="7"/>
  <c r="Q329" i="7"/>
  <c r="L332" i="7"/>
  <c r="AK338" i="7"/>
  <c r="AU344" i="7"/>
  <c r="BO346" i="7"/>
  <c r="EL195" i="7"/>
  <c r="BX346" i="7" s="1"/>
  <c r="AU351" i="7"/>
  <c r="BT362" i="7"/>
  <c r="BE18" i="7"/>
  <c r="AP249" i="7"/>
  <c r="AP19" i="7"/>
  <c r="AK252" i="7"/>
  <c r="EL56" i="7"/>
  <c r="L270" i="7"/>
  <c r="L97" i="7"/>
  <c r="BO293" i="7"/>
  <c r="BX293" i="7"/>
  <c r="BX303" i="7"/>
  <c r="EL151" i="7"/>
  <c r="BX302" i="7" s="1"/>
  <c r="AA320" i="7"/>
  <c r="BT339" i="7"/>
  <c r="BT187" i="7"/>
  <c r="BT338" i="7" s="1"/>
  <c r="BX351" i="7"/>
  <c r="BO233" i="7"/>
  <c r="AU19" i="7"/>
  <c r="Q97" i="7"/>
  <c r="Q270" i="7"/>
  <c r="V274" i="7"/>
  <c r="BT293" i="7"/>
  <c r="BJ296" i="7"/>
  <c r="BT142" i="7"/>
  <c r="BT296" i="7" s="1"/>
  <c r="BT297" i="7"/>
  <c r="BO299" i="7"/>
  <c r="AK148" i="7"/>
  <c r="BT149" i="7"/>
  <c r="BT148" i="7" s="1"/>
  <c r="AK113" i="7"/>
  <c r="AF320" i="7"/>
  <c r="BE332" i="7"/>
  <c r="BX353" i="7"/>
  <c r="AF270" i="7"/>
  <c r="BT255" i="7"/>
  <c r="V270" i="7"/>
  <c r="V97" i="7"/>
  <c r="EL118" i="7"/>
  <c r="BE287" i="7"/>
  <c r="BT133" i="7"/>
  <c r="BT288" i="7"/>
  <c r="BT300" i="7"/>
  <c r="BT145" i="7"/>
  <c r="BT299" i="7" s="1"/>
  <c r="AK323" i="7"/>
  <c r="BX338" i="7"/>
  <c r="BE356" i="7"/>
  <c r="BT205" i="7"/>
  <c r="BT357" i="7"/>
  <c r="CX12" i="7"/>
  <c r="BJ249" i="7"/>
  <c r="AA270" i="7"/>
  <c r="AA97" i="7"/>
  <c r="DW15" i="7"/>
  <c r="BE234" i="7" s="1"/>
  <c r="BE284" i="7"/>
  <c r="EL113" i="7"/>
  <c r="EL115" i="7"/>
  <c r="BX286" i="7" s="1"/>
  <c r="EL133" i="7"/>
  <c r="BX287" i="7" s="1"/>
  <c r="BX288" i="7"/>
  <c r="AF317" i="7"/>
  <c r="EL184" i="7"/>
  <c r="BT335" i="7" s="1"/>
  <c r="EL205" i="7"/>
  <c r="BX356" i="7" s="1"/>
  <c r="BX357" i="7"/>
  <c r="BE249" i="7"/>
  <c r="AA250" i="7"/>
  <c r="BT369" i="7"/>
  <c r="Q250" i="7"/>
  <c r="Q24" i="7"/>
  <c r="AU285" i="7"/>
  <c r="AU112" i="7"/>
  <c r="BX244" i="7"/>
  <c r="DM12" i="7"/>
  <c r="BX260" i="7"/>
  <c r="AK269" i="7"/>
  <c r="BE285" i="7"/>
  <c r="BE320" i="7"/>
  <c r="AF341" i="7"/>
  <c r="AF16" i="7"/>
  <c r="AF235" i="7" s="1"/>
  <c r="BT195" i="7"/>
  <c r="BT346" i="7" s="1"/>
  <c r="AF351" i="7"/>
  <c r="V249" i="7"/>
  <c r="CN19" i="7"/>
  <c r="CN18" i="7" s="1"/>
  <c r="CN13" i="7" s="1"/>
  <c r="BT99" i="7"/>
  <c r="BT271" i="7" s="1"/>
  <c r="AZ323" i="7"/>
  <c r="AA351" i="7"/>
  <c r="BT245" i="7"/>
  <c r="DW19" i="7"/>
  <c r="DW18" i="7" s="1"/>
  <c r="DW13" i="7" s="1"/>
  <c r="BT26" i="7"/>
  <c r="BT24" i="7" s="1"/>
  <c r="AU269" i="7"/>
  <c r="AU14" i="7"/>
  <c r="AU233" i="7" s="1"/>
  <c r="AZ274" i="7"/>
  <c r="AZ308" i="7"/>
  <c r="AU342" i="7"/>
  <c r="AU190" i="7"/>
  <c r="EL192" i="7"/>
  <c r="BT193" i="7"/>
  <c r="AK351" i="7"/>
  <c r="BO371" i="7"/>
  <c r="BT98" i="7"/>
  <c r="BT280" i="7"/>
  <c r="G12" i="7"/>
  <c r="BY36" i="7"/>
  <c r="L272" i="7"/>
  <c r="BX245" i="7"/>
  <c r="BO250" i="7"/>
  <c r="BO24" i="7"/>
  <c r="BY26" i="7"/>
  <c r="BO285" i="7"/>
  <c r="BO112" i="7"/>
  <c r="Q296" i="7"/>
  <c r="AZ342" i="7"/>
  <c r="AZ190" i="7"/>
  <c r="BT353" i="7"/>
  <c r="BT100" i="7"/>
  <c r="BT277" i="7"/>
  <c r="EL100" i="7"/>
  <c r="BX272" i="7" s="1"/>
  <c r="EL32" i="7"/>
  <c r="BX254" i="7" s="1"/>
  <c r="BX255" i="7"/>
  <c r="EL26" i="7"/>
  <c r="BX252" i="7" s="1"/>
  <c r="EL68" i="7"/>
  <c r="BT76" i="7"/>
  <c r="AU305" i="7"/>
  <c r="BX308" i="7"/>
  <c r="AZ314" i="7"/>
  <c r="Q335" i="7"/>
  <c r="BE190" i="7"/>
  <c r="BE342" i="7"/>
  <c r="BT192" i="7"/>
  <c r="AF19" i="7"/>
  <c r="AF249" i="7"/>
  <c r="BT305" i="7"/>
  <c r="AP97" i="7"/>
  <c r="AP271" i="7"/>
  <c r="AU259" i="7"/>
  <c r="AU323" i="7"/>
  <c r="AZ305" i="7"/>
  <c r="BJ311" i="7"/>
  <c r="AA329" i="7"/>
  <c r="V332" i="7"/>
  <c r="BJ342" i="7"/>
  <c r="BJ190" i="7"/>
  <c r="EL191" i="7"/>
  <c r="BT107" i="7"/>
  <c r="EL107" i="7"/>
  <c r="BX279" i="7" s="1"/>
  <c r="EL98" i="7"/>
  <c r="BX280" i="7"/>
  <c r="L252" i="7"/>
  <c r="BT264" i="7"/>
  <c r="BY56" i="7"/>
  <c r="BY97" i="7"/>
  <c r="L284" i="7"/>
  <c r="BO311" i="7"/>
  <c r="AF329" i="7"/>
  <c r="AA332" i="7"/>
  <c r="L344" i="7"/>
  <c r="L190" i="7"/>
  <c r="Q346" i="7"/>
  <c r="BT210" i="7"/>
  <c r="BT363" i="7"/>
  <c r="AZ271" i="7"/>
  <c r="DR97" i="7"/>
  <c r="DR14" i="7" s="1"/>
  <c r="DR12" i="7" s="1"/>
  <c r="L234" i="7"/>
  <c r="BJ238" i="7"/>
  <c r="BJ18" i="7"/>
  <c r="EL52" i="7"/>
  <c r="BT102" i="7"/>
  <c r="BT274" i="7" s="1"/>
  <c r="BT276" i="7"/>
  <c r="BT191" i="7"/>
  <c r="EL210" i="7"/>
  <c r="BT262" i="7"/>
  <c r="BJ270" i="7"/>
  <c r="AK19" i="7"/>
  <c r="V13" i="7"/>
  <c r="V238" i="7"/>
  <c r="CD97" i="7"/>
  <c r="CD14" i="7" s="1"/>
  <c r="AF269" i="7"/>
  <c r="BX276" i="7"/>
  <c r="EL102" i="7"/>
  <c r="BX274" i="7" s="1"/>
  <c r="V284" i="7"/>
  <c r="V15" i="7"/>
  <c r="V234" i="7" s="1"/>
  <c r="AU302" i="7"/>
  <c r="EL154" i="7"/>
  <c r="BX305" i="7" s="1"/>
  <c r="BX306" i="7"/>
  <c r="AA326" i="7"/>
  <c r="BX363" i="7"/>
  <c r="Q371" i="7"/>
  <c r="AZ24" i="7"/>
  <c r="Q252" i="7"/>
  <c r="AK270" i="7"/>
  <c r="AF274" i="7"/>
  <c r="AF112" i="7"/>
  <c r="BO287" i="7"/>
  <c r="BX291" i="7"/>
  <c r="EL136" i="7"/>
  <c r="BE302" i="7"/>
  <c r="AK320" i="7"/>
  <c r="AP329" i="7"/>
  <c r="AF332" i="7"/>
  <c r="BO342" i="7"/>
  <c r="BO190" i="7"/>
  <c r="BO356" i="7"/>
  <c r="AA361" i="7"/>
  <c r="AZ366" i="7"/>
  <c r="BT60" i="7"/>
  <c r="BY60" i="7"/>
  <c r="EG97" i="7"/>
  <c r="EG14" i="7" s="1"/>
  <c r="EG12" i="7" s="1"/>
  <c r="Q279" i="7"/>
  <c r="Q293" i="7"/>
  <c r="EL163" i="7"/>
  <c r="AZ320" i="7"/>
  <c r="AZ326" i="7"/>
  <c r="L343" i="7"/>
  <c r="V344" i="7"/>
  <c r="BT349" i="7"/>
  <c r="AP361" i="7"/>
  <c r="AA24" i="7"/>
  <c r="DC24" i="7"/>
  <c r="DC19" i="7" s="1"/>
  <c r="DC18" i="7" s="1"/>
  <c r="DC13" i="7" s="1"/>
  <c r="BE97" i="7"/>
  <c r="V272" i="7"/>
  <c r="L285" i="7"/>
  <c r="V293" i="7"/>
  <c r="L296" i="7"/>
  <c r="AP338" i="7"/>
  <c r="Q343" i="7"/>
  <c r="AA344" i="7"/>
  <c r="EL193" i="7"/>
  <c r="BX344" i="7" s="1"/>
  <c r="BT367" i="7"/>
  <c r="V342" i="7"/>
  <c r="AK233" i="7"/>
  <c r="AA254" i="7"/>
  <c r="BJ97" i="7"/>
  <c r="BE274" i="7"/>
  <c r="EL215" i="7"/>
  <c r="BX366" i="7" s="1"/>
  <c r="BT260" i="7"/>
  <c r="BX257" i="7"/>
  <c r="BT36" i="7"/>
  <c r="BX267" i="7"/>
  <c r="EL44" i="7"/>
  <c r="AA290" i="7"/>
  <c r="AF293" i="7"/>
  <c r="L305" i="7"/>
  <c r="BX317" i="7"/>
  <c r="BO320" i="7"/>
  <c r="BX320" i="7"/>
  <c r="BT324" i="7"/>
  <c r="BT172" i="7"/>
  <c r="BT323" i="7" s="1"/>
  <c r="BT329" i="7"/>
  <c r="BT181" i="7"/>
  <c r="BT333" i="7"/>
  <c r="BE361" i="7"/>
  <c r="BX367" i="7"/>
  <c r="AA371" i="7"/>
  <c r="BX373" i="7"/>
  <c r="BE270" i="7"/>
  <c r="AK272" i="7"/>
  <c r="AA285" i="7"/>
  <c r="AF290" i="7"/>
  <c r="AK293" i="7"/>
  <c r="AA296" i="7"/>
  <c r="L302" i="7"/>
  <c r="Q305" i="7"/>
  <c r="V308" i="7"/>
  <c r="L311" i="7"/>
  <c r="BT317" i="7"/>
  <c r="BX323" i="7"/>
  <c r="BE338" i="7"/>
  <c r="V341" i="7"/>
  <c r="V356" i="7"/>
  <c r="AK250" i="7"/>
  <c r="AP342" i="7"/>
  <c r="Q311" i="7"/>
  <c r="BT318" i="7"/>
  <c r="BX324" i="7"/>
  <c r="BX327" i="7"/>
  <c r="EL175" i="7"/>
  <c r="BX326" i="7" s="1"/>
  <c r="DH97" i="7"/>
  <c r="DH14" i="7" s="1"/>
  <c r="BX318" i="7"/>
  <c r="AA342" i="7"/>
  <c r="EL64" i="7"/>
  <c r="AP284" i="7"/>
  <c r="BE286" i="7"/>
  <c r="BT286" i="7"/>
  <c r="AK287" i="7"/>
  <c r="AA302" i="7"/>
  <c r="AA311" i="7"/>
  <c r="AK356" i="7"/>
  <c r="BT32" i="7"/>
  <c r="BT254" i="7" s="1"/>
  <c r="BT151" i="7"/>
  <c r="BT302" i="7" s="1"/>
  <c r="BT312" i="7"/>
  <c r="CS94" i="6"/>
  <c r="BT105" i="6"/>
  <c r="V611" i="6"/>
  <c r="BJ451" i="6"/>
  <c r="AK409" i="6"/>
  <c r="AF412" i="6"/>
  <c r="G478" i="6"/>
  <c r="AA551" i="6"/>
  <c r="Q13" i="6"/>
  <c r="Q12" i="6" s="1"/>
  <c r="Q8" i="6" s="1"/>
  <c r="V13" i="6"/>
  <c r="V12" i="6" s="1"/>
  <c r="AA611" i="6"/>
  <c r="BE627" i="6"/>
  <c r="DR177" i="6"/>
  <c r="AZ601" i="6" s="1"/>
  <c r="L676" i="6"/>
  <c r="AP685" i="6"/>
  <c r="AA700" i="6"/>
  <c r="AU714" i="6"/>
  <c r="AA99" i="6"/>
  <c r="AA488" i="6" s="1"/>
  <c r="DH13" i="6"/>
  <c r="DH12" i="6" s="1"/>
  <c r="DH8" i="6" s="1"/>
  <c r="AA594" i="6"/>
  <c r="BJ627" i="6"/>
  <c r="AU665" i="6"/>
  <c r="EG177" i="6"/>
  <c r="EG176" i="6" s="1"/>
  <c r="EG9" i="6" s="1"/>
  <c r="AF711" i="6"/>
  <c r="AU711" i="6"/>
  <c r="AZ714" i="6"/>
  <c r="BJ415" i="6"/>
  <c r="AZ445" i="6"/>
  <c r="AP13" i="6"/>
  <c r="AP407" i="6" s="1"/>
  <c r="BE462" i="6"/>
  <c r="BT464" i="6"/>
  <c r="BO467" i="6"/>
  <c r="BT469" i="6"/>
  <c r="AA503" i="6"/>
  <c r="CD124" i="6"/>
  <c r="BT534" i="6"/>
  <c r="AZ546" i="6"/>
  <c r="AF594" i="6"/>
  <c r="BE602" i="6"/>
  <c r="G603" i="6"/>
  <c r="AK604" i="6"/>
  <c r="BT625" i="6"/>
  <c r="BJ643" i="6"/>
  <c r="CX248" i="6"/>
  <c r="AF660" i="6" s="1"/>
  <c r="L666" i="6"/>
  <c r="EL264" i="6"/>
  <c r="BT278" i="6"/>
  <c r="AA673" i="6"/>
  <c r="Q679" i="6"/>
  <c r="AU421" i="6"/>
  <c r="BT269" i="6"/>
  <c r="AF478" i="6"/>
  <c r="AK408" i="6"/>
  <c r="BO415" i="6"/>
  <c r="AF427" i="6"/>
  <c r="BO472" i="6"/>
  <c r="AK484" i="6"/>
  <c r="AU503" i="6"/>
  <c r="DM177" i="6"/>
  <c r="AU601" i="6" s="1"/>
  <c r="BE611" i="6"/>
  <c r="AK616" i="6"/>
  <c r="BJ649" i="6"/>
  <c r="EB248" i="6"/>
  <c r="BJ660" i="6" s="1"/>
  <c r="BT273" i="6"/>
  <c r="AP676" i="6"/>
  <c r="AK679" i="6"/>
  <c r="AZ682" i="6"/>
  <c r="AF580" i="6"/>
  <c r="G433" i="6"/>
  <c r="AK508" i="6"/>
  <c r="BE451" i="6"/>
  <c r="V410" i="6"/>
  <c r="AZ412" i="6"/>
  <c r="AK427" i="6"/>
  <c r="AP478" i="6"/>
  <c r="AP499" i="6"/>
  <c r="EB177" i="6"/>
  <c r="EB176" i="6" s="1"/>
  <c r="EB9" i="6" s="1"/>
  <c r="AP616" i="6"/>
  <c r="EG248" i="6"/>
  <c r="BO660" i="6" s="1"/>
  <c r="EG263" i="6"/>
  <c r="EL269" i="6"/>
  <c r="BT683" i="6"/>
  <c r="BJ711" i="6"/>
  <c r="V732" i="6"/>
  <c r="AK580" i="6"/>
  <c r="AZ421" i="6"/>
  <c r="AP508" i="6"/>
  <c r="BT212" i="6"/>
  <c r="AU408" i="6"/>
  <c r="BE412" i="6"/>
  <c r="L415" i="6"/>
  <c r="BT22" i="6"/>
  <c r="BT415" i="6" s="1"/>
  <c r="EB70" i="6"/>
  <c r="BO541" i="6"/>
  <c r="BJ594" i="6"/>
  <c r="AK603" i="6"/>
  <c r="BJ655" i="6"/>
  <c r="BO711" i="6"/>
  <c r="AA732" i="6"/>
  <c r="EL140" i="6"/>
  <c r="AZ488" i="6"/>
  <c r="AK509" i="6"/>
  <c r="V694" i="6"/>
  <c r="AF494" i="6"/>
  <c r="BT501" i="6"/>
  <c r="Q177" i="6"/>
  <c r="Q176" i="6" s="1"/>
  <c r="Q9" i="6" s="1"/>
  <c r="Q643" i="6"/>
  <c r="EL299" i="6"/>
  <c r="EL298" i="6" s="1"/>
  <c r="BT673" i="6"/>
  <c r="BO704" i="6"/>
  <c r="BP708" i="6"/>
  <c r="BO723" i="6"/>
  <c r="G726" i="6"/>
  <c r="AF732" i="6"/>
  <c r="BT218" i="6"/>
  <c r="AU542" i="6"/>
  <c r="V409" i="6"/>
  <c r="AK410" i="6"/>
  <c r="V434" i="6"/>
  <c r="DW64" i="6"/>
  <c r="BE484" i="6"/>
  <c r="V134" i="6"/>
  <c r="V536" i="6" s="1"/>
  <c r="BT242" i="6"/>
  <c r="AU660" i="6"/>
  <c r="AF665" i="6"/>
  <c r="AK708" i="6"/>
  <c r="AZ720" i="6"/>
  <c r="V499" i="6"/>
  <c r="DC248" i="6"/>
  <c r="AF139" i="6"/>
  <c r="DM248" i="6"/>
  <c r="DR263" i="6"/>
  <c r="CI28" i="6"/>
  <c r="AA434" i="6"/>
  <c r="AF445" i="6"/>
  <c r="AA64" i="6"/>
  <c r="AA455" i="6" s="1"/>
  <c r="EB64" i="6"/>
  <c r="BJ455" i="6" s="1"/>
  <c r="L461" i="6"/>
  <c r="AF124" i="6"/>
  <c r="AF525" i="6" s="1"/>
  <c r="AA134" i="6"/>
  <c r="EL242" i="6"/>
  <c r="L253" i="6"/>
  <c r="L665" i="6" s="1"/>
  <c r="BT349" i="6"/>
  <c r="BT71" i="6"/>
  <c r="DR13" i="6"/>
  <c r="DR12" i="6" s="1"/>
  <c r="DR8" i="6" s="1"/>
  <c r="V109" i="6"/>
  <c r="BY176" i="6"/>
  <c r="BY9" i="6" s="1"/>
  <c r="EL263" i="6"/>
  <c r="EG89" i="6"/>
  <c r="BO478" i="6" s="1"/>
  <c r="BE433" i="6"/>
  <c r="EG46" i="6"/>
  <c r="AF64" i="6"/>
  <c r="AF455" i="6" s="1"/>
  <c r="BT476" i="6"/>
  <c r="DM99" i="6"/>
  <c r="AU488" i="6" s="1"/>
  <c r="BE104" i="6"/>
  <c r="BE493" i="6" s="1"/>
  <c r="AK124" i="6"/>
  <c r="BT200" i="6"/>
  <c r="BT638" i="6"/>
  <c r="EL259" i="6"/>
  <c r="BT319" i="6"/>
  <c r="BT676" i="6" s="1"/>
  <c r="BO679" i="6"/>
  <c r="L708" i="6"/>
  <c r="EL349" i="6"/>
  <c r="AA580" i="6"/>
  <c r="BZ644" i="6"/>
  <c r="EL15" i="6"/>
  <c r="BZ409" i="6" s="1"/>
  <c r="AK649" i="6"/>
  <c r="BZ547" i="6"/>
  <c r="EL273" i="6"/>
  <c r="AZ701" i="6"/>
  <c r="AZ343" i="6"/>
  <c r="AZ700" i="6" s="1"/>
  <c r="BT718" i="6"/>
  <c r="BT361" i="6"/>
  <c r="AF671" i="6"/>
  <c r="AF313" i="6"/>
  <c r="AF10" i="6" s="1"/>
  <c r="AF403" i="6" s="1"/>
  <c r="CA419" i="6"/>
  <c r="AP701" i="6"/>
  <c r="AP343" i="6"/>
  <c r="AP700" i="6" s="1"/>
  <c r="Q412" i="6"/>
  <c r="Q604" i="6"/>
  <c r="BZ680" i="6"/>
  <c r="CA635" i="6"/>
  <c r="BT258" i="6"/>
  <c r="G9" i="6"/>
  <c r="G402" i="6" s="1"/>
  <c r="BT425" i="6"/>
  <c r="BT430" i="6"/>
  <c r="CA465" i="6"/>
  <c r="BZ465" i="6"/>
  <c r="BO551" i="6"/>
  <c r="BT553" i="6"/>
  <c r="AP697" i="6"/>
  <c r="AK729" i="6"/>
  <c r="AZ732" i="6"/>
  <c r="L701" i="6"/>
  <c r="L314" i="6"/>
  <c r="L343" i="6"/>
  <c r="L700" i="6" s="1"/>
  <c r="BZ676" i="6"/>
  <c r="CA692" i="6"/>
  <c r="V701" i="6"/>
  <c r="V314" i="6"/>
  <c r="V313" i="6" s="1"/>
  <c r="V10" i="6" s="1"/>
  <c r="V403" i="6" s="1"/>
  <c r="V343" i="6"/>
  <c r="V700" i="6" s="1"/>
  <c r="BO461" i="6"/>
  <c r="AZ551" i="6"/>
  <c r="CA443" i="6"/>
  <c r="AK602" i="6"/>
  <c r="BT436" i="6"/>
  <c r="G455" i="6"/>
  <c r="CA553" i="6"/>
  <c r="BZ553" i="6"/>
  <c r="AF604" i="6"/>
  <c r="BE606" i="6"/>
  <c r="EL200" i="6"/>
  <c r="BT622" i="6" s="1"/>
  <c r="L643" i="6"/>
  <c r="AU697" i="6"/>
  <c r="L723" i="6"/>
  <c r="CA732" i="6"/>
  <c r="BZ732" i="6"/>
  <c r="AU616" i="6"/>
  <c r="AA415" i="6"/>
  <c r="BZ613" i="6"/>
  <c r="CA613" i="6"/>
  <c r="EL364" i="6"/>
  <c r="CA720" i="6" s="1"/>
  <c r="CA721" i="6"/>
  <c r="AK732" i="6"/>
  <c r="BZ635" i="6"/>
  <c r="Q676" i="6"/>
  <c r="CA436" i="6"/>
  <c r="BZ436" i="6"/>
  <c r="G467" i="6"/>
  <c r="BZ500" i="6"/>
  <c r="CA510" i="6"/>
  <c r="BZ510" i="6"/>
  <c r="BT712" i="6"/>
  <c r="G472" i="6"/>
  <c r="CA683" i="6"/>
  <c r="BZ683" i="6"/>
  <c r="EL325" i="6"/>
  <c r="AZ622" i="6"/>
  <c r="BZ650" i="6"/>
  <c r="CA650" i="6"/>
  <c r="EL358" i="6"/>
  <c r="BT714" i="6" s="1"/>
  <c r="BZ715" i="6"/>
  <c r="AP606" i="6"/>
  <c r="EL82" i="6"/>
  <c r="BZ472" i="6" s="1"/>
  <c r="CA688" i="6"/>
  <c r="BE694" i="6"/>
  <c r="CA715" i="6"/>
  <c r="CA695" i="6"/>
  <c r="BZ695" i="6"/>
  <c r="EL337" i="6"/>
  <c r="BZ694" i="6" s="1"/>
  <c r="L412" i="6"/>
  <c r="BJ467" i="6"/>
  <c r="Q531" i="6"/>
  <c r="BJ688" i="6"/>
  <c r="AZ679" i="6"/>
  <c r="L673" i="6"/>
  <c r="CA446" i="6"/>
  <c r="EL52" i="6"/>
  <c r="BT325" i="6"/>
  <c r="BT682" i="6" s="1"/>
  <c r="AF409" i="6"/>
  <c r="AP704" i="6"/>
  <c r="Q439" i="6"/>
  <c r="BZ437" i="6"/>
  <c r="BO503" i="6"/>
  <c r="BZ511" i="6"/>
  <c r="BZ539" i="6"/>
  <c r="CA596" i="6"/>
  <c r="BZ596" i="6"/>
  <c r="BT340" i="6"/>
  <c r="EL352" i="6"/>
  <c r="G415" i="6"/>
  <c r="Q415" i="6"/>
  <c r="Q427" i="6"/>
  <c r="BT114" i="6"/>
  <c r="V604" i="6"/>
  <c r="AU606" i="6"/>
  <c r="L611" i="6"/>
  <c r="AZ616" i="6"/>
  <c r="BO627" i="6"/>
  <c r="AZ632" i="6"/>
  <c r="AP649" i="6"/>
  <c r="BO671" i="6"/>
  <c r="BE682" i="6"/>
  <c r="V704" i="6"/>
  <c r="Q708" i="6"/>
  <c r="G720" i="6"/>
  <c r="V726" i="6"/>
  <c r="AA729" i="6"/>
  <c r="AU410" i="6"/>
  <c r="BT419" i="6"/>
  <c r="BT431" i="6"/>
  <c r="BT437" i="6"/>
  <c r="BO439" i="6"/>
  <c r="V445" i="6"/>
  <c r="BZ464" i="6"/>
  <c r="L13" i="6"/>
  <c r="L12" i="6" s="1"/>
  <c r="L531" i="6"/>
  <c r="AU602" i="6"/>
  <c r="AA604" i="6"/>
  <c r="AK622" i="6"/>
  <c r="BE632" i="6"/>
  <c r="AA665" i="6"/>
  <c r="BO313" i="6"/>
  <c r="BY314" i="6"/>
  <c r="BY313" i="6" s="1"/>
  <c r="BY10" i="6" s="1"/>
  <c r="V673" i="6"/>
  <c r="AF673" i="6"/>
  <c r="BT680" i="6"/>
  <c r="BJ682" i="6"/>
  <c r="BE685" i="6"/>
  <c r="BT331" i="6"/>
  <c r="BT688" i="6" s="1"/>
  <c r="BT692" i="6"/>
  <c r="BO694" i="6"/>
  <c r="BE697" i="6"/>
  <c r="V708" i="6"/>
  <c r="L714" i="6"/>
  <c r="L720" i="6"/>
  <c r="AF729" i="6"/>
  <c r="G421" i="6"/>
  <c r="AA445" i="6"/>
  <c r="CS13" i="6"/>
  <c r="CS12" i="6" s="1"/>
  <c r="CS8" i="6" s="1"/>
  <c r="V472" i="6"/>
  <c r="AU478" i="6"/>
  <c r="AP483" i="6"/>
  <c r="G525" i="6"/>
  <c r="AK594" i="6"/>
  <c r="BO602" i="6"/>
  <c r="AK611" i="6"/>
  <c r="AA643" i="6"/>
  <c r="AP655" i="6"/>
  <c r="AP673" i="6"/>
  <c r="V676" i="6"/>
  <c r="L688" i="6"/>
  <c r="AU704" i="6"/>
  <c r="AU726" i="6"/>
  <c r="BO732" i="6"/>
  <c r="BO410" i="6"/>
  <c r="AK415" i="6"/>
  <c r="BZ423" i="6"/>
  <c r="AA472" i="6"/>
  <c r="G503" i="6"/>
  <c r="L525" i="6"/>
  <c r="AA546" i="6"/>
  <c r="AU580" i="6"/>
  <c r="CN176" i="6"/>
  <c r="CN9" i="6" s="1"/>
  <c r="V603" i="6"/>
  <c r="BZ608" i="6"/>
  <c r="AP611" i="6"/>
  <c r="AF643" i="6"/>
  <c r="AU655" i="6"/>
  <c r="AZ665" i="6"/>
  <c r="AU673" i="6"/>
  <c r="Q688" i="6"/>
  <c r="L691" i="6"/>
  <c r="AZ704" i="6"/>
  <c r="V717" i="6"/>
  <c r="AZ726" i="6"/>
  <c r="BE729" i="6"/>
  <c r="AU409" i="6"/>
  <c r="Q433" i="6"/>
  <c r="AZ409" i="6"/>
  <c r="AA412" i="6"/>
  <c r="AP415" i="6"/>
  <c r="CA423" i="6"/>
  <c r="BE427" i="6"/>
  <c r="G461" i="6"/>
  <c r="BZ469" i="6"/>
  <c r="AF472" i="6"/>
  <c r="AU472" i="6"/>
  <c r="BE483" i="6"/>
  <c r="Q498" i="6"/>
  <c r="L503" i="6"/>
  <c r="AP531" i="6"/>
  <c r="G536" i="6"/>
  <c r="BT554" i="6"/>
  <c r="AZ580" i="6"/>
  <c r="AA603" i="6"/>
  <c r="BE604" i="6"/>
  <c r="AU611" i="6"/>
  <c r="G616" i="6"/>
  <c r="CA619" i="6"/>
  <c r="BO622" i="6"/>
  <c r="V627" i="6"/>
  <c r="BZ639" i="6"/>
  <c r="BE665" i="6"/>
  <c r="BT293" i="6"/>
  <c r="AZ673" i="6"/>
  <c r="L682" i="6"/>
  <c r="G685" i="6"/>
  <c r="V688" i="6"/>
  <c r="Q694" i="6"/>
  <c r="AA711" i="6"/>
  <c r="AP714" i="6"/>
  <c r="AA717" i="6"/>
  <c r="AP720" i="6"/>
  <c r="AK723" i="6"/>
  <c r="BE726" i="6"/>
  <c r="BE409" i="6"/>
  <c r="V421" i="6"/>
  <c r="BT424" i="6"/>
  <c r="BJ427" i="6"/>
  <c r="BT441" i="6"/>
  <c r="AK472" i="6"/>
  <c r="G498" i="6"/>
  <c r="AU531" i="6"/>
  <c r="Q551" i="6"/>
  <c r="AZ594" i="6"/>
  <c r="G606" i="6"/>
  <c r="EL179" i="6"/>
  <c r="BZ603" i="6" s="1"/>
  <c r="AZ611" i="6"/>
  <c r="BT620" i="6"/>
  <c r="BZ634" i="6"/>
  <c r="CA639" i="6"/>
  <c r="L685" i="6"/>
  <c r="AF343" i="6"/>
  <c r="AF700" i="6" s="1"/>
  <c r="AP723" i="6"/>
  <c r="AF408" i="6"/>
  <c r="G410" i="6"/>
  <c r="BO427" i="6"/>
  <c r="G450" i="6"/>
  <c r="AF461" i="6"/>
  <c r="BT76" i="6"/>
  <c r="V493" i="6"/>
  <c r="V498" i="6"/>
  <c r="AK525" i="6"/>
  <c r="AZ531" i="6"/>
  <c r="Q536" i="6"/>
  <c r="AZ536" i="6"/>
  <c r="BJ580" i="6"/>
  <c r="BE594" i="6"/>
  <c r="G601" i="6"/>
  <c r="BO604" i="6"/>
  <c r="L606" i="6"/>
  <c r="Q616" i="6"/>
  <c r="AA694" i="6"/>
  <c r="AK700" i="6"/>
  <c r="G732" i="6"/>
  <c r="AF415" i="6"/>
  <c r="AA410" i="6"/>
  <c r="AP412" i="6"/>
  <c r="BE415" i="6"/>
  <c r="BZ424" i="6"/>
  <c r="BT429" i="6"/>
  <c r="CA441" i="6"/>
  <c r="AK461" i="6"/>
  <c r="AZ498" i="6"/>
  <c r="AP525" i="6"/>
  <c r="BZ554" i="6"/>
  <c r="BT612" i="6"/>
  <c r="V632" i="6"/>
  <c r="BT308" i="6"/>
  <c r="AU676" i="6"/>
  <c r="AA682" i="6"/>
  <c r="AK688" i="6"/>
  <c r="V697" i="6"/>
  <c r="EL343" i="6"/>
  <c r="CA701" i="6"/>
  <c r="BE714" i="6"/>
  <c r="AP717" i="6"/>
  <c r="BE720" i="6"/>
  <c r="AZ723" i="6"/>
  <c r="AA408" i="6"/>
  <c r="BJ409" i="6"/>
  <c r="AP408" i="6"/>
  <c r="Q410" i="6"/>
  <c r="AU412" i="6"/>
  <c r="BT416" i="6"/>
  <c r="CA424" i="6"/>
  <c r="BE445" i="6"/>
  <c r="AP461" i="6"/>
  <c r="AA467" i="6"/>
  <c r="BT470" i="6"/>
  <c r="AF493" i="6"/>
  <c r="BT500" i="6"/>
  <c r="G508" i="6"/>
  <c r="AZ525" i="6"/>
  <c r="BJ531" i="6"/>
  <c r="BE546" i="6"/>
  <c r="BY163" i="6"/>
  <c r="G580" i="6" s="1"/>
  <c r="Q602" i="6"/>
  <c r="AA616" i="6"/>
  <c r="G622" i="6"/>
  <c r="AP627" i="6"/>
  <c r="BE643" i="6"/>
  <c r="BT644" i="6"/>
  <c r="AF679" i="6"/>
  <c r="AA697" i="6"/>
  <c r="BJ714" i="6"/>
  <c r="AU717" i="6"/>
  <c r="Q732" i="6"/>
  <c r="BZ658" i="6"/>
  <c r="EL236" i="6"/>
  <c r="AU451" i="6"/>
  <c r="AU13" i="6"/>
  <c r="AU58" i="6"/>
  <c r="AU450" i="6" s="1"/>
  <c r="AU537" i="6"/>
  <c r="AU134" i="6"/>
  <c r="AU536" i="6" s="1"/>
  <c r="CA694" i="6"/>
  <c r="L440" i="6"/>
  <c r="BT47" i="6"/>
  <c r="L46" i="6"/>
  <c r="L439" i="6" s="1"/>
  <c r="CA452" i="6"/>
  <c r="BZ452" i="6"/>
  <c r="EL14" i="6"/>
  <c r="BT135" i="6"/>
  <c r="CD58" i="6"/>
  <c r="L450" i="6" s="1"/>
  <c r="CD13" i="6"/>
  <c r="CD12" i="6" s="1"/>
  <c r="CD8" i="6" s="1"/>
  <c r="DW109" i="6"/>
  <c r="DW13" i="6"/>
  <c r="DW12" i="6" s="1"/>
  <c r="DW8" i="6" s="1"/>
  <c r="EL110" i="6"/>
  <c r="EL167" i="6"/>
  <c r="CA597" i="6"/>
  <c r="BZ598" i="6"/>
  <c r="CA598" i="6"/>
  <c r="BZ640" i="6"/>
  <c r="CA640" i="6"/>
  <c r="BT640" i="6"/>
  <c r="CA662" i="6"/>
  <c r="BZ662" i="6"/>
  <c r="EL18" i="6"/>
  <c r="CA413" i="6"/>
  <c r="BZ413" i="6"/>
  <c r="AZ456" i="6"/>
  <c r="AZ64" i="6"/>
  <c r="AZ455" i="6" s="1"/>
  <c r="AA499" i="6"/>
  <c r="AA109" i="6"/>
  <c r="AA498" i="6" s="1"/>
  <c r="BJ499" i="6"/>
  <c r="EB109" i="6"/>
  <c r="BJ498" i="6" s="1"/>
  <c r="BZ597" i="6"/>
  <c r="AU428" i="6"/>
  <c r="AU34" i="6"/>
  <c r="AU427" i="6" s="1"/>
  <c r="BT35" i="6"/>
  <c r="AK439" i="6"/>
  <c r="AF440" i="6"/>
  <c r="AF46" i="6"/>
  <c r="AF439" i="6" s="1"/>
  <c r="BT65" i="6"/>
  <c r="AF467" i="6"/>
  <c r="BZ480" i="6"/>
  <c r="AF499" i="6"/>
  <c r="AF109" i="6"/>
  <c r="AF498" i="6" s="1"/>
  <c r="BO499" i="6"/>
  <c r="EG109" i="6"/>
  <c r="BO498" i="6" s="1"/>
  <c r="BZ629" i="6"/>
  <c r="BT629" i="6"/>
  <c r="CA629" i="6"/>
  <c r="AP439" i="6"/>
  <c r="CD64" i="6"/>
  <c r="EL65" i="6"/>
  <c r="CA463" i="6"/>
  <c r="BZ463" i="6"/>
  <c r="CA480" i="6"/>
  <c r="BE176" i="6"/>
  <c r="BE601" i="6"/>
  <c r="AZ660" i="6"/>
  <c r="BT16" i="6"/>
  <c r="G412" i="6"/>
  <c r="AF422" i="6"/>
  <c r="CX28" i="6"/>
  <c r="AF421" i="6" s="1"/>
  <c r="AF433" i="6"/>
  <c r="BE439" i="6"/>
  <c r="BT458" i="6"/>
  <c r="BZ458" i="6"/>
  <c r="CA458" i="6"/>
  <c r="BT481" i="6"/>
  <c r="BT89" i="6"/>
  <c r="EL129" i="6"/>
  <c r="CA532" i="6"/>
  <c r="Q455" i="6"/>
  <c r="BT70" i="6"/>
  <c r="BO601" i="6"/>
  <c r="BO176" i="6"/>
  <c r="BZ618" i="6"/>
  <c r="CA618" i="6"/>
  <c r="EL194" i="6"/>
  <c r="EL178" i="6"/>
  <c r="BO409" i="6"/>
  <c r="CA409" i="6"/>
  <c r="AP422" i="6"/>
  <c r="DH28" i="6"/>
  <c r="AP421" i="6" s="1"/>
  <c r="L427" i="6"/>
  <c r="V455" i="6"/>
  <c r="V488" i="6"/>
  <c r="BZ527" i="6"/>
  <c r="CA527" i="6"/>
  <c r="BZ532" i="6"/>
  <c r="BZ542" i="6"/>
  <c r="EL139" i="6"/>
  <c r="CA542" i="6"/>
  <c r="BT581" i="6"/>
  <c r="BT163" i="6"/>
  <c r="CA658" i="6"/>
  <c r="EL71" i="6"/>
  <c r="CI70" i="6"/>
  <c r="Q462" i="6"/>
  <c r="DR94" i="6"/>
  <c r="AZ483" i="6" s="1"/>
  <c r="EL95" i="6"/>
  <c r="AK542" i="6"/>
  <c r="AK139" i="6"/>
  <c r="AK541" i="6" s="1"/>
  <c r="BT140" i="6"/>
  <c r="BO580" i="6"/>
  <c r="BO13" i="6"/>
  <c r="EL47" i="6"/>
  <c r="CA442" i="6"/>
  <c r="BZ442" i="6"/>
  <c r="BZ445" i="6"/>
  <c r="CA445" i="6"/>
  <c r="L484" i="6"/>
  <c r="L94" i="6"/>
  <c r="L483" i="6" s="1"/>
  <c r="BT95" i="6"/>
  <c r="BT104" i="6"/>
  <c r="AZ508" i="6"/>
  <c r="CA529" i="6"/>
  <c r="BZ529" i="6"/>
  <c r="BT179" i="6"/>
  <c r="BT603" i="6" s="1"/>
  <c r="AU434" i="6"/>
  <c r="AU40" i="6"/>
  <c r="AU433" i="6" s="1"/>
  <c r="BT475" i="6"/>
  <c r="BJ484" i="6"/>
  <c r="EB94" i="6"/>
  <c r="BJ483" i="6" s="1"/>
  <c r="EB13" i="6"/>
  <c r="EB12" i="6" s="1"/>
  <c r="EB8" i="6" s="1"/>
  <c r="EB7" i="6" s="1"/>
  <c r="EL114" i="6"/>
  <c r="CA504" i="6"/>
  <c r="EL258" i="6"/>
  <c r="CA425" i="6"/>
  <c r="EL16" i="6"/>
  <c r="BZ425" i="6"/>
  <c r="AA13" i="6"/>
  <c r="DC13" i="6"/>
  <c r="DC12" i="6" s="1"/>
  <c r="DC8" i="6" s="1"/>
  <c r="BT40" i="6"/>
  <c r="BO451" i="6"/>
  <c r="EG13" i="6"/>
  <c r="EG12" i="6" s="1"/>
  <c r="EG8" i="6" s="1"/>
  <c r="CA475" i="6"/>
  <c r="L479" i="6"/>
  <c r="EL90" i="6"/>
  <c r="CD89" i="6"/>
  <c r="L478" i="6" s="1"/>
  <c r="AF484" i="6"/>
  <c r="AF94" i="6"/>
  <c r="AF483" i="6" s="1"/>
  <c r="AF13" i="6"/>
  <c r="CI104" i="6"/>
  <c r="EL105" i="6"/>
  <c r="BT494" i="6" s="1"/>
  <c r="BT124" i="6"/>
  <c r="BZ651" i="6"/>
  <c r="EL230" i="6"/>
  <c r="EL59" i="6"/>
  <c r="AU455" i="6"/>
  <c r="BT14" i="6"/>
  <c r="CD40" i="6"/>
  <c r="L433" i="6" s="1"/>
  <c r="L434" i="6"/>
  <c r="EL41" i="6"/>
  <c r="BT434" i="6" s="1"/>
  <c r="AK451" i="6"/>
  <c r="AK58" i="6"/>
  <c r="AK450" i="6" s="1"/>
  <c r="BT59" i="6"/>
  <c r="AK13" i="6"/>
  <c r="DM13" i="6"/>
  <c r="DM12" i="6" s="1"/>
  <c r="DM8" i="6" s="1"/>
  <c r="AP451" i="6"/>
  <c r="AP58" i="6"/>
  <c r="AP450" i="6" s="1"/>
  <c r="AP537" i="6"/>
  <c r="AP134" i="6"/>
  <c r="AP536" i="6" s="1"/>
  <c r="CA651" i="6"/>
  <c r="CA686" i="6"/>
  <c r="BZ686" i="6"/>
  <c r="EL328" i="6"/>
  <c r="CA457" i="6"/>
  <c r="BZ457" i="6"/>
  <c r="AK467" i="6"/>
  <c r="AP472" i="6"/>
  <c r="BO484" i="6"/>
  <c r="EG94" i="6"/>
  <c r="BO483" i="6" s="1"/>
  <c r="AK499" i="6"/>
  <c r="AK109" i="6"/>
  <c r="AK498" i="6" s="1"/>
  <c r="V525" i="6"/>
  <c r="EL135" i="6"/>
  <c r="CD134" i="6"/>
  <c r="L536" i="6" s="1"/>
  <c r="CA548" i="6"/>
  <c r="BZ548" i="6"/>
  <c r="CA581" i="6"/>
  <c r="EL163" i="6"/>
  <c r="AU594" i="6"/>
  <c r="AP602" i="6"/>
  <c r="CA603" i="6"/>
  <c r="G627" i="6"/>
  <c r="BO632" i="6"/>
  <c r="BE655" i="6"/>
  <c r="Q661" i="6"/>
  <c r="CI248" i="6"/>
  <c r="BJ408" i="6"/>
  <c r="CA416" i="6"/>
  <c r="EL22" i="6"/>
  <c r="V433" i="6"/>
  <c r="BO445" i="6"/>
  <c r="BT446" i="6"/>
  <c r="BT52" i="6"/>
  <c r="AK455" i="6"/>
  <c r="AP467" i="6"/>
  <c r="AF488" i="6"/>
  <c r="V503" i="6"/>
  <c r="BZ505" i="6"/>
  <c r="CA505" i="6"/>
  <c r="G531" i="6"/>
  <c r="BT533" i="6"/>
  <c r="BT129" i="6"/>
  <c r="AA536" i="6"/>
  <c r="AF546" i="6"/>
  <c r="BZ581" i="6"/>
  <c r="BE622" i="6"/>
  <c r="BJ665" i="6"/>
  <c r="AP484" i="6"/>
  <c r="BO408" i="6"/>
  <c r="L410" i="6"/>
  <c r="V412" i="6"/>
  <c r="BZ416" i="6"/>
  <c r="Q421" i="6"/>
  <c r="BO422" i="6"/>
  <c r="EG28" i="6"/>
  <c r="BO421" i="6" s="1"/>
  <c r="G427" i="6"/>
  <c r="AA433" i="6"/>
  <c r="BT452" i="6"/>
  <c r="AP455" i="6"/>
  <c r="BE461" i="6"/>
  <c r="CA481" i="6"/>
  <c r="AU484" i="6"/>
  <c r="AU94" i="6"/>
  <c r="AU483" i="6" s="1"/>
  <c r="AK493" i="6"/>
  <c r="AU499" i="6"/>
  <c r="AU109" i="6"/>
  <c r="AU498" i="6" s="1"/>
  <c r="BO509" i="6"/>
  <c r="EG119" i="6"/>
  <c r="BO508" i="6" s="1"/>
  <c r="AF536" i="6"/>
  <c r="AK546" i="6"/>
  <c r="BT552" i="6"/>
  <c r="BT149" i="6"/>
  <c r="CI177" i="6"/>
  <c r="BJ622" i="6"/>
  <c r="CA630" i="6"/>
  <c r="BZ630" i="6"/>
  <c r="BT652" i="6"/>
  <c r="BT230" i="6"/>
  <c r="BO655" i="6"/>
  <c r="AA661" i="6"/>
  <c r="CS248" i="6"/>
  <c r="AA660" i="6" s="1"/>
  <c r="CS177" i="6"/>
  <c r="CS176" i="6" s="1"/>
  <c r="CS9" i="6" s="1"/>
  <c r="CS7" i="6" s="1"/>
  <c r="CA668" i="6"/>
  <c r="BZ668" i="6"/>
  <c r="CD177" i="6"/>
  <c r="CD176" i="6" s="1"/>
  <c r="CD9" i="6" s="1"/>
  <c r="BT298" i="6"/>
  <c r="EL254" i="6"/>
  <c r="CN253" i="6"/>
  <c r="AK440" i="6"/>
  <c r="Q494" i="6"/>
  <c r="Q104" i="6"/>
  <c r="Q493" i="6" s="1"/>
  <c r="V531" i="6"/>
  <c r="BZ656" i="6"/>
  <c r="CA656" i="6"/>
  <c r="CN248" i="6"/>
  <c r="V660" i="6" s="1"/>
  <c r="EL268" i="6"/>
  <c r="BE13" i="6"/>
  <c r="L409" i="6"/>
  <c r="CA429" i="6"/>
  <c r="G445" i="6"/>
  <c r="BT447" i="6"/>
  <c r="CN13" i="6"/>
  <c r="CN12" i="6" s="1"/>
  <c r="CN8" i="6" s="1"/>
  <c r="CN7" i="6" s="1"/>
  <c r="CN58" i="6"/>
  <c r="BE455" i="6"/>
  <c r="V462" i="6"/>
  <c r="V70" i="6"/>
  <c r="V461" i="6" s="1"/>
  <c r="DM70" i="6"/>
  <c r="AU462" i="6"/>
  <c r="BT473" i="6"/>
  <c r="BT82" i="6"/>
  <c r="CA485" i="6"/>
  <c r="BZ485" i="6"/>
  <c r="BO488" i="6"/>
  <c r="CA490" i="6"/>
  <c r="BZ490" i="6"/>
  <c r="BJ493" i="6"/>
  <c r="V494" i="6"/>
  <c r="Q526" i="6"/>
  <c r="Q124" i="6"/>
  <c r="Q525" i="6" s="1"/>
  <c r="AA531" i="6"/>
  <c r="DW139" i="6"/>
  <c r="BE541" i="6" s="1"/>
  <c r="CA549" i="6"/>
  <c r="BZ552" i="6"/>
  <c r="BZ590" i="6"/>
  <c r="AP604" i="6"/>
  <c r="AZ606" i="6"/>
  <c r="CA620" i="6"/>
  <c r="EL180" i="6"/>
  <c r="BZ620" i="6"/>
  <c r="BT623" i="6"/>
  <c r="AU649" i="6"/>
  <c r="CA652" i="6"/>
  <c r="CD298" i="6"/>
  <c r="AZ440" i="6"/>
  <c r="G409" i="6"/>
  <c r="AA421" i="6"/>
  <c r="V489" i="6"/>
  <c r="BZ549" i="6"/>
  <c r="BT595" i="6"/>
  <c r="BT167" i="6"/>
  <c r="Q409" i="6"/>
  <c r="BZ417" i="6"/>
  <c r="AZ434" i="6"/>
  <c r="DR40" i="6"/>
  <c r="AZ433" i="6" s="1"/>
  <c r="AF489" i="6"/>
  <c r="V526" i="6"/>
  <c r="AF531" i="6"/>
  <c r="G551" i="6"/>
  <c r="V601" i="6"/>
  <c r="AU604" i="6"/>
  <c r="BZ623" i="6"/>
  <c r="CA623" i="6"/>
  <c r="AZ649" i="6"/>
  <c r="CX263" i="6"/>
  <c r="CX177" i="6"/>
  <c r="CX176" i="6" s="1"/>
  <c r="CX9" i="6" s="1"/>
  <c r="BT459" i="6"/>
  <c r="BZ645" i="6"/>
  <c r="CA645" i="6"/>
  <c r="G8" i="6"/>
  <c r="CI13" i="6"/>
  <c r="CI12" i="6" s="1"/>
  <c r="CI8" i="6" s="1"/>
  <c r="CI58" i="6"/>
  <c r="Q450" i="6" s="1"/>
  <c r="BZ506" i="6"/>
  <c r="CA506" i="6"/>
  <c r="BO594" i="6"/>
  <c r="BZ652" i="6"/>
  <c r="BJ13" i="6"/>
  <c r="AF410" i="6"/>
  <c r="AK421" i="6"/>
  <c r="AU440" i="6"/>
  <c r="AU46" i="6"/>
  <c r="AU439" i="6" s="1"/>
  <c r="L445" i="6"/>
  <c r="G483" i="6"/>
  <c r="AA494" i="6"/>
  <c r="CI119" i="6"/>
  <c r="Q508" i="6" s="1"/>
  <c r="V176" i="6"/>
  <c r="L408" i="6"/>
  <c r="BJ434" i="6"/>
  <c r="EB40" i="6"/>
  <c r="BJ433" i="6" s="1"/>
  <c r="AZ439" i="6"/>
  <c r="Q445" i="6"/>
  <c r="AZ58" i="6"/>
  <c r="AZ450" i="6" s="1"/>
  <c r="CX58" i="6"/>
  <c r="AF450" i="6" s="1"/>
  <c r="AF451" i="6"/>
  <c r="V456" i="6"/>
  <c r="BZ459" i="6"/>
  <c r="AF462" i="6"/>
  <c r="BZ473" i="6"/>
  <c r="CI89" i="6"/>
  <c r="BE479" i="6"/>
  <c r="DW89" i="6"/>
  <c r="BE478" i="6" s="1"/>
  <c r="AK489" i="6"/>
  <c r="AK99" i="6"/>
  <c r="AK488" i="6" s="1"/>
  <c r="BT491" i="6"/>
  <c r="AZ503" i="6"/>
  <c r="AU119" i="6"/>
  <c r="AU508" i="6" s="1"/>
  <c r="AU509" i="6"/>
  <c r="AA526" i="6"/>
  <c r="AA124" i="6"/>
  <c r="AA525" i="6" s="1"/>
  <c r="AK531" i="6"/>
  <c r="AA541" i="6"/>
  <c r="BO546" i="6"/>
  <c r="L551" i="6"/>
  <c r="AU9" i="6"/>
  <c r="AZ604" i="6"/>
  <c r="DC177" i="6"/>
  <c r="EL346" i="6"/>
  <c r="BT704" i="6" s="1"/>
  <c r="CA705" i="6"/>
  <c r="L494" i="6"/>
  <c r="L104" i="6"/>
  <c r="L493" i="6" s="1"/>
  <c r="BT418" i="6"/>
  <c r="EB28" i="6"/>
  <c r="BJ421" i="6" s="1"/>
  <c r="G439" i="6"/>
  <c r="BE440" i="6"/>
  <c r="BE58" i="6"/>
  <c r="BE450" i="6" s="1"/>
  <c r="CA468" i="6"/>
  <c r="EL76" i="6"/>
  <c r="BJ479" i="6"/>
  <c r="EB89" i="6"/>
  <c r="BJ478" i="6" s="1"/>
  <c r="Q483" i="6"/>
  <c r="AK494" i="6"/>
  <c r="BO494" i="6"/>
  <c r="EG104" i="6"/>
  <c r="BO493" i="6" s="1"/>
  <c r="EL120" i="6"/>
  <c r="BJ526" i="6"/>
  <c r="EB124" i="6"/>
  <c r="BJ525" i="6" s="1"/>
  <c r="AF547" i="6"/>
  <c r="BT145" i="6"/>
  <c r="CA624" i="6"/>
  <c r="BZ624" i="6"/>
  <c r="CD278" i="6"/>
  <c r="EL288" i="6"/>
  <c r="Q440" i="6"/>
  <c r="BT656" i="6"/>
  <c r="BT236" i="6"/>
  <c r="AZ13" i="6"/>
  <c r="BO433" i="6"/>
  <c r="BJ450" i="6"/>
  <c r="Q478" i="6"/>
  <c r="AP104" i="6"/>
  <c r="AP493" i="6" s="1"/>
  <c r="AP494" i="6"/>
  <c r="AP109" i="6"/>
  <c r="AP498" i="6" s="1"/>
  <c r="L508" i="6"/>
  <c r="EL125" i="6"/>
  <c r="BT526" i="6" s="1"/>
  <c r="AK176" i="6"/>
  <c r="AF603" i="6"/>
  <c r="AF176" i="6"/>
  <c r="BT182" i="6"/>
  <c r="BT647" i="6"/>
  <c r="BT224" i="6"/>
  <c r="AU671" i="6"/>
  <c r="AU313" i="6"/>
  <c r="CA552" i="6"/>
  <c r="EL149" i="6"/>
  <c r="BT28" i="6"/>
  <c r="AZ427" i="6"/>
  <c r="BT15" i="6"/>
  <c r="BO456" i="6"/>
  <c r="EG64" i="6"/>
  <c r="BO455" i="6" s="1"/>
  <c r="BZ468" i="6"/>
  <c r="BE489" i="6"/>
  <c r="BE99" i="6"/>
  <c r="BE488" i="6" s="1"/>
  <c r="BZ607" i="6"/>
  <c r="EL182" i="6"/>
  <c r="BZ647" i="6"/>
  <c r="CA647" i="6"/>
  <c r="EL279" i="6"/>
  <c r="AZ410" i="6"/>
  <c r="BJ412" i="6"/>
  <c r="V451" i="6"/>
  <c r="V58" i="6"/>
  <c r="BZ453" i="6"/>
  <c r="CA453" i="6"/>
  <c r="AU461" i="6"/>
  <c r="CA491" i="6"/>
  <c r="AU494" i="6"/>
  <c r="AU104" i="6"/>
  <c r="AU493" i="6" s="1"/>
  <c r="AP541" i="6"/>
  <c r="L542" i="6"/>
  <c r="L139" i="6"/>
  <c r="L541" i="6" s="1"/>
  <c r="BZ544" i="6"/>
  <c r="AP547" i="6"/>
  <c r="AP144" i="6"/>
  <c r="AP546" i="6" s="1"/>
  <c r="AP176" i="6"/>
  <c r="AP409" i="6"/>
  <c r="BE410" i="6"/>
  <c r="BO412" i="6"/>
  <c r="AU415" i="6"/>
  <c r="BZ418" i="6"/>
  <c r="L422" i="6"/>
  <c r="EL29" i="6"/>
  <c r="BT422" i="6" s="1"/>
  <c r="AF434" i="6"/>
  <c r="V46" i="6"/>
  <c r="V439" i="6" s="1"/>
  <c r="L467" i="6"/>
  <c r="Q472" i="6"/>
  <c r="AA478" i="6"/>
  <c r="AK94" i="6"/>
  <c r="AK483" i="6" s="1"/>
  <c r="EL100" i="6"/>
  <c r="V119" i="6"/>
  <c r="V508" i="6" s="1"/>
  <c r="AU526" i="6"/>
  <c r="AU124" i="6"/>
  <c r="AU525" i="6" s="1"/>
  <c r="AU139" i="6"/>
  <c r="AU541" i="6" s="1"/>
  <c r="Q139" i="6"/>
  <c r="Q541" i="6" s="1"/>
  <c r="Q542" i="6"/>
  <c r="V594" i="6"/>
  <c r="AP603" i="6"/>
  <c r="BT180" i="6"/>
  <c r="CA607" i="6"/>
  <c r="BT628" i="6"/>
  <c r="BT206" i="6"/>
  <c r="BT627" i="6" s="1"/>
  <c r="BT635" i="6"/>
  <c r="EL249" i="6"/>
  <c r="BT661" i="6" s="1"/>
  <c r="Q701" i="6"/>
  <c r="Q343" i="6"/>
  <c r="Q700" i="6" s="1"/>
  <c r="Q314" i="6"/>
  <c r="BT344" i="6"/>
  <c r="EL367" i="6"/>
  <c r="CA724" i="6"/>
  <c r="BZ724" i="6"/>
  <c r="EL388" i="6"/>
  <c r="AK536" i="6"/>
  <c r="CX13" i="6"/>
  <c r="CX12" i="6" s="1"/>
  <c r="CX8" i="6" s="1"/>
  <c r="CX7" i="6" s="1"/>
  <c r="EL34" i="6"/>
  <c r="CA431" i="6"/>
  <c r="BZ431" i="6"/>
  <c r="AP434" i="6"/>
  <c r="AP40" i="6"/>
  <c r="AP433" i="6" s="1"/>
  <c r="BT435" i="6"/>
  <c r="EB46" i="6"/>
  <c r="BJ439" i="6" s="1"/>
  <c r="AP445" i="6"/>
  <c r="L455" i="6"/>
  <c r="BZ495" i="6"/>
  <c r="Q499" i="6"/>
  <c r="BT110" i="6"/>
  <c r="BT504" i="6"/>
  <c r="AF119" i="6"/>
  <c r="AF508" i="6" s="1"/>
  <c r="AK537" i="6"/>
  <c r="V542" i="6"/>
  <c r="V139" i="6"/>
  <c r="V541" i="6" s="1"/>
  <c r="CA547" i="6"/>
  <c r="EL144" i="6"/>
  <c r="AK551" i="6"/>
  <c r="AZ176" i="6"/>
  <c r="CA628" i="6"/>
  <c r="BZ628" i="6"/>
  <c r="EL206" i="6"/>
  <c r="EL224" i="6"/>
  <c r="BT178" i="6"/>
  <c r="BE616" i="6"/>
  <c r="G655" i="6"/>
  <c r="EL385" i="6"/>
  <c r="BE421" i="6"/>
  <c r="AA427" i="6"/>
  <c r="BO450" i="6"/>
  <c r="L451" i="6"/>
  <c r="L456" i="6"/>
  <c r="BJ461" i="6"/>
  <c r="AU467" i="6"/>
  <c r="AA483" i="6"/>
  <c r="BE499" i="6"/>
  <c r="BE109" i="6"/>
  <c r="AF503" i="6"/>
  <c r="BE509" i="6"/>
  <c r="DW119" i="6"/>
  <c r="BE508" i="6" s="1"/>
  <c r="AZ526" i="6"/>
  <c r="L537" i="6"/>
  <c r="BO537" i="6"/>
  <c r="EG134" i="6"/>
  <c r="BO536" i="6" s="1"/>
  <c r="AU546" i="6"/>
  <c r="BE580" i="6"/>
  <c r="L594" i="6"/>
  <c r="AF611" i="6"/>
  <c r="BJ616" i="6"/>
  <c r="AZ627" i="6"/>
  <c r="EL212" i="6"/>
  <c r="BT263" i="6"/>
  <c r="AU732" i="6"/>
  <c r="BT413" i="6"/>
  <c r="BZ441" i="6"/>
  <c r="AK445" i="6"/>
  <c r="Q461" i="6"/>
  <c r="AZ467" i="6"/>
  <c r="AZ472" i="6"/>
  <c r="AZ478" i="6"/>
  <c r="BT480" i="6"/>
  <c r="BT486" i="6"/>
  <c r="BJ488" i="6"/>
  <c r="BT495" i="6"/>
  <c r="BT506" i="6"/>
  <c r="L509" i="6"/>
  <c r="BT120" i="6"/>
  <c r="BE526" i="6"/>
  <c r="BE124" i="6"/>
  <c r="BE525" i="6" s="1"/>
  <c r="BT527" i="6"/>
  <c r="BT549" i="6"/>
  <c r="BJ551" i="6"/>
  <c r="Q594" i="6"/>
  <c r="EL188" i="6"/>
  <c r="BO616" i="6"/>
  <c r="BT617" i="6"/>
  <c r="BT194" i="6"/>
  <c r="G632" i="6"/>
  <c r="BZ633" i="6"/>
  <c r="CD283" i="6"/>
  <c r="EL284" i="6"/>
  <c r="EL308" i="6"/>
  <c r="AP427" i="6"/>
  <c r="BT442" i="6"/>
  <c r="AU445" i="6"/>
  <c r="BZ448" i="6"/>
  <c r="CA448" i="6"/>
  <c r="AA462" i="6"/>
  <c r="AA70" i="6"/>
  <c r="AA461" i="6" s="1"/>
  <c r="Q489" i="6"/>
  <c r="BT100" i="6"/>
  <c r="Q99" i="6"/>
  <c r="Q488" i="6" s="1"/>
  <c r="AA493" i="6"/>
  <c r="AA509" i="6"/>
  <c r="AA119" i="6"/>
  <c r="AA508" i="6" s="1"/>
  <c r="BT529" i="6"/>
  <c r="BT538" i="6"/>
  <c r="AF541" i="6"/>
  <c r="AA176" i="6"/>
  <c r="DW177" i="6"/>
  <c r="DW176" i="6" s="1"/>
  <c r="DW9" i="6" s="1"/>
  <c r="BJ602" i="6"/>
  <c r="BJ176" i="6"/>
  <c r="BZ614" i="6"/>
  <c r="BT618" i="6"/>
  <c r="BT268" i="6"/>
  <c r="BT674" i="6"/>
  <c r="BT314" i="6"/>
  <c r="BT468" i="6"/>
  <c r="V483" i="6"/>
  <c r="AZ484" i="6"/>
  <c r="AP489" i="6"/>
  <c r="AP99" i="6"/>
  <c r="AP488" i="6" s="1"/>
  <c r="Q503" i="6"/>
  <c r="BT510" i="6"/>
  <c r="AA542" i="6"/>
  <c r="BJ542" i="6"/>
  <c r="EB139" i="6"/>
  <c r="BJ541" i="6" s="1"/>
  <c r="G546" i="6"/>
  <c r="V580" i="6"/>
  <c r="BT590" i="6"/>
  <c r="L177" i="6"/>
  <c r="AF602" i="6"/>
  <c r="AU603" i="6"/>
  <c r="BJ611" i="6"/>
  <c r="BT650" i="6"/>
  <c r="L655" i="6"/>
  <c r="L660" i="6"/>
  <c r="BT663" i="6"/>
  <c r="BO665" i="6"/>
  <c r="EL334" i="6"/>
  <c r="AZ697" i="6"/>
  <c r="AU729" i="6"/>
  <c r="BJ604" i="6"/>
  <c r="BJ606" i="6"/>
  <c r="BO611" i="6"/>
  <c r="Q660" i="6"/>
  <c r="AZ729" i="6"/>
  <c r="V655" i="6"/>
  <c r="AP661" i="6"/>
  <c r="DH177" i="6"/>
  <c r="DH176" i="6" s="1"/>
  <c r="DH9" i="6" s="1"/>
  <c r="DH7" i="6" s="1"/>
  <c r="AU723" i="6"/>
  <c r="BZ729" i="6"/>
  <c r="CA729" i="6"/>
  <c r="CA617" i="6"/>
  <c r="BZ617" i="6"/>
  <c r="DH248" i="6"/>
  <c r="AP660" i="6" s="1"/>
  <c r="V666" i="6"/>
  <c r="Q691" i="6"/>
  <c r="BT355" i="6"/>
  <c r="EL355" i="6"/>
  <c r="CA712" i="6"/>
  <c r="AA440" i="6"/>
  <c r="AA46" i="6"/>
  <c r="AA439" i="6" s="1"/>
  <c r="BJ445" i="6"/>
  <c r="AA451" i="6"/>
  <c r="Q456" i="6"/>
  <c r="BT463" i="6"/>
  <c r="Q467" i="6"/>
  <c r="L472" i="6"/>
  <c r="AK503" i="6"/>
  <c r="BT511" i="6"/>
  <c r="AZ139" i="6"/>
  <c r="AZ541" i="6" s="1"/>
  <c r="AZ542" i="6"/>
  <c r="BT548" i="6"/>
  <c r="AP580" i="6"/>
  <c r="AZ602" i="6"/>
  <c r="BO603" i="6"/>
  <c r="L616" i="6"/>
  <c r="Q622" i="6"/>
  <c r="BT624" i="6"/>
  <c r="AF627" i="6"/>
  <c r="AU632" i="6"/>
  <c r="V643" i="6"/>
  <c r="BT645" i="6"/>
  <c r="AF655" i="6"/>
  <c r="AZ661" i="6"/>
  <c r="DR248" i="6"/>
  <c r="BT254" i="6"/>
  <c r="V682" i="6"/>
  <c r="V691" i="6"/>
  <c r="BE717" i="6"/>
  <c r="BJ720" i="6"/>
  <c r="BZ720" i="6"/>
  <c r="BT367" i="6"/>
  <c r="BT724" i="6"/>
  <c r="BT726" i="6"/>
  <c r="BZ726" i="6"/>
  <c r="AZ671" i="6"/>
  <c r="AZ313" i="6"/>
  <c r="BE701" i="6"/>
  <c r="BE343" i="6"/>
  <c r="BE700" i="6" s="1"/>
  <c r="BT630" i="6"/>
  <c r="BJ632" i="6"/>
  <c r="AK643" i="6"/>
  <c r="AF649" i="6"/>
  <c r="BT658" i="6"/>
  <c r="V253" i="6"/>
  <c r="BT288" i="6"/>
  <c r="BE314" i="6"/>
  <c r="BE676" i="6"/>
  <c r="BJ701" i="6"/>
  <c r="BJ314" i="6"/>
  <c r="L711" i="6"/>
  <c r="V408" i="6"/>
  <c r="AA409" i="6"/>
  <c r="AK412" i="6"/>
  <c r="AK433" i="6"/>
  <c r="AP440" i="6"/>
  <c r="Q451" i="6"/>
  <c r="BT453" i="6"/>
  <c r="AK462" i="6"/>
  <c r="AK478" i="6"/>
  <c r="Q484" i="6"/>
  <c r="G493" i="6"/>
  <c r="AZ494" i="6"/>
  <c r="DR104" i="6"/>
  <c r="AZ493" i="6" s="1"/>
  <c r="L498" i="6"/>
  <c r="BJ508" i="6"/>
  <c r="BT532" i="6"/>
  <c r="Q537" i="6"/>
  <c r="G541" i="6"/>
  <c r="L546" i="6"/>
  <c r="V551" i="6"/>
  <c r="Q580" i="6"/>
  <c r="AP594" i="6"/>
  <c r="BT597" i="6"/>
  <c r="BJ601" i="6"/>
  <c r="BT607" i="6"/>
  <c r="G611" i="6"/>
  <c r="Q627" i="6"/>
  <c r="EL218" i="6"/>
  <c r="BT637" i="6" s="1"/>
  <c r="BO643" i="6"/>
  <c r="AZ655" i="6"/>
  <c r="AK660" i="6"/>
  <c r="Q673" i="6"/>
  <c r="BO676" i="6"/>
  <c r="AP679" i="6"/>
  <c r="AF682" i="6"/>
  <c r="G691" i="6"/>
  <c r="BT694" i="6"/>
  <c r="BT705" i="6"/>
  <c r="AU708" i="6"/>
  <c r="Q711" i="6"/>
  <c r="G714" i="6"/>
  <c r="BO717" i="6"/>
  <c r="BO720" i="6"/>
  <c r="AP732" i="6"/>
  <c r="BT598" i="6"/>
  <c r="L602" i="6"/>
  <c r="Q603" i="6"/>
  <c r="V606" i="6"/>
  <c r="BT608" i="6"/>
  <c r="AF622" i="6"/>
  <c r="AP632" i="6"/>
  <c r="BT639" i="6"/>
  <c r="G643" i="6"/>
  <c r="BO649" i="6"/>
  <c r="BE660" i="6"/>
  <c r="Q665" i="6"/>
  <c r="BT668" i="6"/>
  <c r="AP313" i="6"/>
  <c r="AP688" i="6"/>
  <c r="AA691" i="6"/>
  <c r="L694" i="6"/>
  <c r="BO697" i="6"/>
  <c r="BO708" i="6"/>
  <c r="AK711" i="6"/>
  <c r="BJ729" i="6"/>
  <c r="BJ732" i="6"/>
  <c r="G313" i="6"/>
  <c r="AU688" i="6"/>
  <c r="AA701" i="6"/>
  <c r="AA314" i="6"/>
  <c r="L704" i="6"/>
  <c r="AZ708" i="6"/>
  <c r="AP711" i="6"/>
  <c r="BT727" i="6"/>
  <c r="BO729" i="6"/>
  <c r="L671" i="6"/>
  <c r="L313" i="6"/>
  <c r="AZ685" i="6"/>
  <c r="G723" i="6"/>
  <c r="BT730" i="6"/>
  <c r="BT373" i="6"/>
  <c r="BT729" i="6" s="1"/>
  <c r="BT376" i="6"/>
  <c r="BT732" i="6" s="1"/>
  <c r="L499" i="6"/>
  <c r="BZ730" i="6"/>
  <c r="CA730" i="6"/>
  <c r="BE673" i="6"/>
  <c r="AA676" i="6"/>
  <c r="EL322" i="6"/>
  <c r="BT679" i="6" s="1"/>
  <c r="CA682" i="6"/>
  <c r="BJ685" i="6"/>
  <c r="AU691" i="6"/>
  <c r="CA708" i="6"/>
  <c r="AA720" i="6"/>
  <c r="Q723" i="6"/>
  <c r="Q726" i="6"/>
  <c r="CA727" i="6"/>
  <c r="EL382" i="6"/>
  <c r="AK314" i="6"/>
  <c r="BJ673" i="6"/>
  <c r="BO685" i="6"/>
  <c r="BO688" i="6"/>
  <c r="AU701" i="6"/>
  <c r="AU343" i="6"/>
  <c r="AU700" i="6" s="1"/>
  <c r="AF704" i="6"/>
  <c r="AF720" i="6"/>
  <c r="V723" i="6"/>
  <c r="G729" i="6"/>
  <c r="BT284" i="6"/>
  <c r="BT283" i="6" s="1"/>
  <c r="L283" i="6"/>
  <c r="BZ673" i="6"/>
  <c r="AK676" i="6"/>
  <c r="L679" i="6"/>
  <c r="BT686" i="6"/>
  <c r="BT328" i="6"/>
  <c r="BZ688" i="6"/>
  <c r="BE708" i="6"/>
  <c r="BZ708" i="6"/>
  <c r="AK717" i="6"/>
  <c r="AK720" i="6"/>
  <c r="AA723" i="6"/>
  <c r="AA726" i="6"/>
  <c r="L729" i="6"/>
  <c r="V478" i="6"/>
  <c r="BJ503" i="6"/>
  <c r="BE531" i="6"/>
  <c r="BE536" i="6"/>
  <c r="BJ546" i="6"/>
  <c r="BE551" i="6"/>
  <c r="G602" i="6"/>
  <c r="Q611" i="6"/>
  <c r="V616" i="6"/>
  <c r="L622" i="6"/>
  <c r="L632" i="6"/>
  <c r="AP643" i="6"/>
  <c r="Q649" i="6"/>
  <c r="Q655" i="6"/>
  <c r="EL314" i="6"/>
  <c r="AZ676" i="6"/>
  <c r="AA679" i="6"/>
  <c r="G682" i="6"/>
  <c r="AZ688" i="6"/>
  <c r="AF691" i="6"/>
  <c r="G694" i="6"/>
  <c r="BT695" i="6"/>
  <c r="BJ697" i="6"/>
  <c r="EL340" i="6"/>
  <c r="AA704" i="6"/>
  <c r="BQ708" i="6"/>
  <c r="V711" i="6"/>
  <c r="BT715" i="6"/>
  <c r="BJ717" i="6"/>
  <c r="EL361" i="6"/>
  <c r="AU720" i="6"/>
  <c r="AF723" i="6"/>
  <c r="L726" i="6"/>
  <c r="BE732" i="6"/>
  <c r="Q685" i="6"/>
  <c r="BE691" i="6"/>
  <c r="AF694" i="6"/>
  <c r="G697" i="6"/>
  <c r="AP708" i="6"/>
  <c r="AA714" i="6"/>
  <c r="G717" i="6"/>
  <c r="BT720" i="6"/>
  <c r="BE679" i="6"/>
  <c r="AK682" i="6"/>
  <c r="V685" i="6"/>
  <c r="AK694" i="6"/>
  <c r="L697" i="6"/>
  <c r="BY343" i="6"/>
  <c r="BE704" i="6"/>
  <c r="AZ711" i="6"/>
  <c r="AF714" i="6"/>
  <c r="L717" i="6"/>
  <c r="BT721" i="6"/>
  <c r="BJ723" i="6"/>
  <c r="AP726" i="6"/>
  <c r="V729" i="6"/>
  <c r="AK673" i="6"/>
  <c r="G676" i="6"/>
  <c r="BJ679" i="6"/>
  <c r="AP682" i="6"/>
  <c r="AA685" i="6"/>
  <c r="G688" i="6"/>
  <c r="BO691" i="6"/>
  <c r="AP694" i="6"/>
  <c r="Q697" i="6"/>
  <c r="BZ698" i="6"/>
  <c r="BJ704" i="6"/>
  <c r="CA718" i="6"/>
  <c r="L732" i="6"/>
  <c r="BZ733" i="6"/>
  <c r="AA622" i="6"/>
  <c r="AA627" i="6"/>
  <c r="AA632" i="6"/>
  <c r="BT634" i="6"/>
  <c r="AZ643" i="6"/>
  <c r="BT646" i="6"/>
  <c r="AA649" i="6"/>
  <c r="BT651" i="6"/>
  <c r="AA655" i="6"/>
  <c r="BT657" i="6"/>
  <c r="G660" i="6"/>
  <c r="BT662" i="6"/>
  <c r="AK665" i="6"/>
  <c r="BO673" i="6"/>
  <c r="AF676" i="6"/>
  <c r="G679" i="6"/>
  <c r="BO682" i="6"/>
  <c r="AU685" i="6"/>
  <c r="AA688" i="6"/>
  <c r="BJ694" i="6"/>
  <c r="AK697" i="6"/>
  <c r="BJ708" i="6"/>
  <c r="BE711" i="6"/>
  <c r="AK714" i="6"/>
  <c r="Q717" i="6"/>
  <c r="BE723" i="6"/>
  <c r="AK726" i="6"/>
  <c r="Q729" i="6"/>
  <c r="AL12" i="9" l="1"/>
  <c r="AL50" i="9" s="1"/>
  <c r="BK50" i="9"/>
  <c r="BP51" i="9"/>
  <c r="BK51" i="9"/>
  <c r="BU12" i="9"/>
  <c r="BU37" i="9" s="1"/>
  <c r="BF12" i="9"/>
  <c r="BF51" i="9"/>
  <c r="M50" i="9"/>
  <c r="M78" i="9"/>
  <c r="BP50" i="9"/>
  <c r="BP37" i="9"/>
  <c r="BP78" i="9" s="1"/>
  <c r="AB51" i="9"/>
  <c r="AB12" i="9"/>
  <c r="EM12" i="9"/>
  <c r="W51" i="9"/>
  <c r="W12" i="9"/>
  <c r="BU51" i="9"/>
  <c r="R50" i="9"/>
  <c r="R37" i="9"/>
  <c r="R78" i="9" s="1"/>
  <c r="AV12" i="9"/>
  <c r="AV51" i="9"/>
  <c r="AQ12" i="9"/>
  <c r="AQ51" i="9"/>
  <c r="AG50" i="9"/>
  <c r="AG37" i="9"/>
  <c r="AG78" i="9" s="1"/>
  <c r="BA12" i="9"/>
  <c r="BA51" i="9"/>
  <c r="BO288" i="8"/>
  <c r="L255" i="8"/>
  <c r="AP205" i="8"/>
  <c r="DC12" i="8"/>
  <c r="AA287" i="8"/>
  <c r="CN112" i="8"/>
  <c r="BT165" i="8"/>
  <c r="BT114" i="8" s="1"/>
  <c r="DM12" i="8"/>
  <c r="AU255" i="8"/>
  <c r="BJ113" i="8"/>
  <c r="AP206" i="8"/>
  <c r="V290" i="8"/>
  <c r="BE288" i="8"/>
  <c r="CS112" i="8"/>
  <c r="AA338" i="8"/>
  <c r="BO290" i="8"/>
  <c r="AZ338" i="8"/>
  <c r="L338" i="8"/>
  <c r="CX112" i="8"/>
  <c r="EG112" i="8"/>
  <c r="BZ262" i="8"/>
  <c r="CI112" i="8"/>
  <c r="BO350" i="8"/>
  <c r="BZ284" i="8"/>
  <c r="BZ255" i="8"/>
  <c r="V350" i="8"/>
  <c r="L15" i="8"/>
  <c r="L207" i="8" s="1"/>
  <c r="AU15" i="8"/>
  <c r="AU207" i="8" s="1"/>
  <c r="Q288" i="8"/>
  <c r="EB12" i="8"/>
  <c r="Q338" i="8"/>
  <c r="L350" i="8"/>
  <c r="DH12" i="8"/>
  <c r="BZ302" i="8"/>
  <c r="AA290" i="8"/>
  <c r="BT117" i="8"/>
  <c r="BT113" i="8" s="1"/>
  <c r="Q205" i="8"/>
  <c r="Q209" i="8"/>
  <c r="BJ288" i="8"/>
  <c r="BZ272" i="8"/>
  <c r="AP209" i="8"/>
  <c r="AP245" i="8"/>
  <c r="BO338" i="8"/>
  <c r="CI12" i="8"/>
  <c r="BO207" i="8"/>
  <c r="CS12" i="8"/>
  <c r="BJ350" i="8"/>
  <c r="DW112" i="8"/>
  <c r="AA209" i="8"/>
  <c r="CN12" i="8"/>
  <c r="DC112" i="8"/>
  <c r="DM112" i="8"/>
  <c r="BT17" i="8"/>
  <c r="BT13" i="8" s="1"/>
  <c r="CX12" i="8"/>
  <c r="V113" i="8"/>
  <c r="V286" i="8" s="1"/>
  <c r="BT177" i="8"/>
  <c r="BT115" i="8" s="1"/>
  <c r="BE286" i="8"/>
  <c r="AA286" i="8"/>
  <c r="DW12" i="8"/>
  <c r="BT72" i="8"/>
  <c r="BT14" i="8" s="1"/>
  <c r="EB112" i="8"/>
  <c r="BE245" i="8"/>
  <c r="BE14" i="8"/>
  <c r="BE206" i="8" s="1"/>
  <c r="BO114" i="8"/>
  <c r="BO287" i="8" s="1"/>
  <c r="AK290" i="8"/>
  <c r="Q350" i="8"/>
  <c r="AF290" i="8"/>
  <c r="DR112" i="8"/>
  <c r="EL177" i="8"/>
  <c r="EL115" i="8" s="1"/>
  <c r="BZ280" i="8" s="1"/>
  <c r="EG12" i="8"/>
  <c r="CD12" i="8"/>
  <c r="DR12" i="8"/>
  <c r="AU287" i="8"/>
  <c r="DH112" i="8"/>
  <c r="AZ255" i="8"/>
  <c r="AU338" i="8"/>
  <c r="L288" i="8"/>
  <c r="AF114" i="8"/>
  <c r="AF287" i="8" s="1"/>
  <c r="AF338" i="8"/>
  <c r="V209" i="8"/>
  <c r="V13" i="8"/>
  <c r="AF286" i="8"/>
  <c r="BZ298" i="8"/>
  <c r="Q255" i="8"/>
  <c r="Q15" i="8"/>
  <c r="Q207" i="8" s="1"/>
  <c r="AK15" i="8"/>
  <c r="AK207" i="8" s="1"/>
  <c r="AK255" i="8"/>
  <c r="AF209" i="8"/>
  <c r="AF13" i="8"/>
  <c r="AP115" i="8"/>
  <c r="AP288" i="8" s="1"/>
  <c r="AP350" i="8"/>
  <c r="AU290" i="8"/>
  <c r="AU113" i="8"/>
  <c r="V15" i="8"/>
  <c r="V207" i="8" s="1"/>
  <c r="V255" i="8"/>
  <c r="AZ207" i="8"/>
  <c r="BE350" i="8"/>
  <c r="L209" i="8"/>
  <c r="L13" i="8"/>
  <c r="EL82" i="8"/>
  <c r="AA245" i="8"/>
  <c r="AA14" i="8"/>
  <c r="AA206" i="8" s="1"/>
  <c r="AK286" i="8"/>
  <c r="V288" i="8"/>
  <c r="BE255" i="8"/>
  <c r="BE15" i="8"/>
  <c r="BE207" i="8" s="1"/>
  <c r="AF350" i="8"/>
  <c r="AF115" i="8"/>
  <c r="AF288" i="8" s="1"/>
  <c r="AA15" i="8"/>
  <c r="AA207" i="8" s="1"/>
  <c r="AA255" i="8"/>
  <c r="BY74" i="8"/>
  <c r="BY77" i="8"/>
  <c r="BZ242" i="8" s="1"/>
  <c r="BE290" i="8"/>
  <c r="BO209" i="8"/>
  <c r="BO13" i="8"/>
  <c r="BO206" i="8"/>
  <c r="BO255" i="8"/>
  <c r="L113" i="8"/>
  <c r="L290" i="8"/>
  <c r="AP15" i="8"/>
  <c r="AP255" i="8"/>
  <c r="AZ290" i="8"/>
  <c r="AZ113" i="8"/>
  <c r="BJ245" i="8"/>
  <c r="BJ14" i="8"/>
  <c r="BJ206" i="8" s="1"/>
  <c r="BO245" i="8"/>
  <c r="AP290" i="8"/>
  <c r="AP113" i="8"/>
  <c r="AF14" i="8"/>
  <c r="AF206" i="8" s="1"/>
  <c r="AF245" i="8"/>
  <c r="AA115" i="8"/>
  <c r="AA288" i="8" s="1"/>
  <c r="AA350" i="8"/>
  <c r="BY84" i="8"/>
  <c r="BZ249" i="8" s="1"/>
  <c r="BZ254" i="8"/>
  <c r="BE338" i="8"/>
  <c r="BE114" i="8"/>
  <c r="EL17" i="8"/>
  <c r="BZ212" i="8"/>
  <c r="AZ209" i="8"/>
  <c r="AZ13" i="8"/>
  <c r="Q14" i="8"/>
  <c r="Q245" i="8"/>
  <c r="AU209" i="8"/>
  <c r="AU13" i="8"/>
  <c r="AA205" i="8"/>
  <c r="AK115" i="8"/>
  <c r="AK288" i="8" s="1"/>
  <c r="AK350" i="8"/>
  <c r="AZ350" i="8"/>
  <c r="AZ115" i="8"/>
  <c r="AZ288" i="8" s="1"/>
  <c r="AU350" i="8"/>
  <c r="AU115" i="8"/>
  <c r="AU288" i="8" s="1"/>
  <c r="V338" i="8"/>
  <c r="V114" i="8"/>
  <c r="V287" i="8" s="1"/>
  <c r="AU245" i="8"/>
  <c r="AU14" i="8"/>
  <c r="AU206" i="8" s="1"/>
  <c r="BJ15" i="8"/>
  <c r="BJ207" i="8" s="1"/>
  <c r="BJ255" i="8"/>
  <c r="AK245" i="8"/>
  <c r="AK14" i="8"/>
  <c r="AK206" i="8" s="1"/>
  <c r="EL72" i="8"/>
  <c r="BZ238" i="8"/>
  <c r="BY83" i="8"/>
  <c r="BY87" i="8"/>
  <c r="BZ252" i="8" s="1"/>
  <c r="AK338" i="8"/>
  <c r="AK114" i="8"/>
  <c r="AK287" i="8" s="1"/>
  <c r="AF255" i="8"/>
  <c r="AF15" i="8"/>
  <c r="AF207" i="8" s="1"/>
  <c r="V14" i="8"/>
  <c r="V206" i="8" s="1"/>
  <c r="V245" i="8"/>
  <c r="BJ114" i="8"/>
  <c r="BJ287" i="8" s="1"/>
  <c r="BJ338" i="8"/>
  <c r="AZ14" i="8"/>
  <c r="AZ206" i="8" s="1"/>
  <c r="AZ245" i="8"/>
  <c r="Q290" i="8"/>
  <c r="Q113" i="8"/>
  <c r="L245" i="8"/>
  <c r="L14" i="8"/>
  <c r="L206" i="8" s="1"/>
  <c r="AK209" i="8"/>
  <c r="AK13" i="8"/>
  <c r="BY27" i="8"/>
  <c r="BY19" i="8"/>
  <c r="BY17" i="8" s="1"/>
  <c r="BY13" i="8" s="1"/>
  <c r="EL165" i="8"/>
  <c r="BZ331" i="8"/>
  <c r="BZ283" i="8"/>
  <c r="EL117" i="8"/>
  <c r="BJ13" i="8"/>
  <c r="BJ209" i="8"/>
  <c r="BO286" i="8"/>
  <c r="BE13" i="8"/>
  <c r="BE209" i="8"/>
  <c r="BJ286" i="8"/>
  <c r="L18" i="7"/>
  <c r="L237" i="7" s="1"/>
  <c r="CS12" i="7"/>
  <c r="AA235" i="7"/>
  <c r="AK235" i="7"/>
  <c r="BY25" i="7"/>
  <c r="Q15" i="7"/>
  <c r="Q234" i="7" s="1"/>
  <c r="BT272" i="7"/>
  <c r="DW12" i="7"/>
  <c r="BX329" i="7"/>
  <c r="L249" i="7"/>
  <c r="CD19" i="7"/>
  <c r="CD18" i="7" s="1"/>
  <c r="CD13" i="7" s="1"/>
  <c r="CD12" i="7" s="1"/>
  <c r="BX264" i="7"/>
  <c r="AP341" i="7"/>
  <c r="AK341" i="7"/>
  <c r="AA341" i="7"/>
  <c r="BT259" i="7"/>
  <c r="BY44" i="7"/>
  <c r="Q341" i="7"/>
  <c r="Q16" i="7"/>
  <c r="Q235" i="7" s="1"/>
  <c r="DH12" i="7"/>
  <c r="BT279" i="7"/>
  <c r="BT344" i="7"/>
  <c r="CN12" i="7"/>
  <c r="BT366" i="7"/>
  <c r="BX371" i="7"/>
  <c r="AZ269" i="7"/>
  <c r="BT113" i="7"/>
  <c r="BY48" i="7"/>
  <c r="BT371" i="7"/>
  <c r="BT311" i="7"/>
  <c r="BT332" i="7"/>
  <c r="DC12" i="7"/>
  <c r="BT343" i="7"/>
  <c r="V232" i="7"/>
  <c r="V237" i="7"/>
  <c r="BJ237" i="7"/>
  <c r="BJ13" i="7"/>
  <c r="BE341" i="7"/>
  <c r="BE16" i="7"/>
  <c r="BE235" i="7" s="1"/>
  <c r="BO249" i="7"/>
  <c r="BO19" i="7"/>
  <c r="AU341" i="7"/>
  <c r="AU16" i="7"/>
  <c r="AU235" i="7" s="1"/>
  <c r="BX314" i="7"/>
  <c r="AU284" i="7"/>
  <c r="AU15" i="7"/>
  <c r="AU234" i="7" s="1"/>
  <c r="EL112" i="7"/>
  <c r="BX285" i="7"/>
  <c r="BY24" i="7"/>
  <c r="BE237" i="7"/>
  <c r="BE13" i="7"/>
  <c r="BX290" i="7"/>
  <c r="Q249" i="7"/>
  <c r="Q19" i="7"/>
  <c r="Q269" i="7"/>
  <c r="Q14" i="7"/>
  <c r="Q233" i="7" s="1"/>
  <c r="BE238" i="7"/>
  <c r="BT270" i="7"/>
  <c r="BT97" i="7"/>
  <c r="V269" i="7"/>
  <c r="V14" i="7"/>
  <c r="V233" i="7" s="1"/>
  <c r="AK238" i="7"/>
  <c r="AK18" i="7"/>
  <c r="BO269" i="7"/>
  <c r="AA14" i="7"/>
  <c r="AA233" i="7" s="1"/>
  <c r="AA269" i="7"/>
  <c r="AK249" i="7"/>
  <c r="BT361" i="7"/>
  <c r="BT326" i="7"/>
  <c r="BT290" i="7"/>
  <c r="BT252" i="7"/>
  <c r="L14" i="7"/>
  <c r="L233" i="7" s="1"/>
  <c r="L269" i="7"/>
  <c r="BX250" i="7"/>
  <c r="BX343" i="7"/>
  <c r="L341" i="7"/>
  <c r="L16" i="7"/>
  <c r="L235" i="7" s="1"/>
  <c r="EL97" i="7"/>
  <c r="BX270" i="7"/>
  <c r="AP14" i="7"/>
  <c r="AP233" i="7" s="1"/>
  <c r="AP269" i="7"/>
  <c r="AZ341" i="7"/>
  <c r="AZ16" i="7"/>
  <c r="AZ235" i="7" s="1"/>
  <c r="BT287" i="7"/>
  <c r="AK285" i="7"/>
  <c r="AK112" i="7"/>
  <c r="EL24" i="7"/>
  <c r="BT249" i="7" s="1"/>
  <c r="AF284" i="7"/>
  <c r="AF15" i="7"/>
  <c r="AF234" i="7" s="1"/>
  <c r="BX361" i="7"/>
  <c r="AA249" i="7"/>
  <c r="AA19" i="7"/>
  <c r="BT190" i="7"/>
  <c r="BT342" i="7"/>
  <c r="BO15" i="7"/>
  <c r="BO234" i="7" s="1"/>
  <c r="BO284" i="7"/>
  <c r="BX335" i="7"/>
  <c r="BJ269" i="7"/>
  <c r="BJ14" i="7"/>
  <c r="BJ233" i="7" s="1"/>
  <c r="BX342" i="7"/>
  <c r="EL190" i="7"/>
  <c r="AP238" i="7"/>
  <c r="AP18" i="7"/>
  <c r="BO341" i="7"/>
  <c r="BO16" i="7"/>
  <c r="BO235" i="7" s="1"/>
  <c r="BJ16" i="7"/>
  <c r="BJ235" i="7" s="1"/>
  <c r="BJ341" i="7"/>
  <c r="AF238" i="7"/>
  <c r="AF18" i="7"/>
  <c r="AZ249" i="7"/>
  <c r="AZ19" i="7"/>
  <c r="BY14" i="7"/>
  <c r="BT19" i="7"/>
  <c r="BT356" i="7"/>
  <c r="BE269" i="7"/>
  <c r="BE14" i="7"/>
  <c r="BE233" i="7" s="1"/>
  <c r="BT285" i="7"/>
  <c r="BT112" i="7"/>
  <c r="L13" i="7"/>
  <c r="AU238" i="7"/>
  <c r="AU18" i="7"/>
  <c r="BT409" i="6"/>
  <c r="EG7" i="6"/>
  <c r="V450" i="6"/>
  <c r="AP12" i="6"/>
  <c r="BY13" i="6"/>
  <c r="BY12" i="6" s="1"/>
  <c r="DM176" i="6"/>
  <c r="V671" i="6"/>
  <c r="AA601" i="6"/>
  <c r="BT655" i="6"/>
  <c r="BT708" i="6"/>
  <c r="G671" i="6"/>
  <c r="BT594" i="6"/>
  <c r="BT177" i="6"/>
  <c r="BT717" i="6"/>
  <c r="DR176" i="6"/>
  <c r="DR9" i="6" s="1"/>
  <c r="DR7" i="6" s="1"/>
  <c r="BT632" i="6"/>
  <c r="G600" i="6"/>
  <c r="BT472" i="6"/>
  <c r="BT580" i="6"/>
  <c r="CA472" i="6"/>
  <c r="AP601" i="6"/>
  <c r="BE498" i="6"/>
  <c r="BT445" i="6"/>
  <c r="BT13" i="6"/>
  <c r="BT407" i="6" s="1"/>
  <c r="Q407" i="6"/>
  <c r="BO670" i="6"/>
  <c r="BO10" i="6"/>
  <c r="BO403" i="6" s="1"/>
  <c r="CA714" i="6"/>
  <c r="BZ714" i="6"/>
  <c r="V670" i="6"/>
  <c r="AF670" i="6"/>
  <c r="BT723" i="6"/>
  <c r="BT606" i="6"/>
  <c r="CA622" i="6"/>
  <c r="BZ622" i="6"/>
  <c r="CA700" i="6"/>
  <c r="BT711" i="6"/>
  <c r="BT408" i="6"/>
  <c r="BZ682" i="6"/>
  <c r="BT12" i="6"/>
  <c r="CA531" i="6"/>
  <c r="BZ531" i="6"/>
  <c r="EL283" i="6"/>
  <c r="BZ537" i="6"/>
  <c r="CA537" i="6"/>
  <c r="EL134" i="6"/>
  <c r="AU670" i="6"/>
  <c r="AU10" i="6"/>
  <c r="AU403" i="6" s="1"/>
  <c r="BT433" i="6"/>
  <c r="BT484" i="6"/>
  <c r="BT94" i="6"/>
  <c r="CA594" i="6"/>
  <c r="BZ594" i="6"/>
  <c r="CA467" i="6"/>
  <c r="BZ467" i="6"/>
  <c r="V600" i="6"/>
  <c r="V9" i="6"/>
  <c r="V402" i="6" s="1"/>
  <c r="CI176" i="6"/>
  <c r="Q601" i="6"/>
  <c r="BZ551" i="6"/>
  <c r="CA551" i="6"/>
  <c r="BT537" i="6"/>
  <c r="BT134" i="6"/>
  <c r="BZ408" i="6"/>
  <c r="CA408" i="6"/>
  <c r="BT666" i="6"/>
  <c r="BT253" i="6"/>
  <c r="BJ600" i="6"/>
  <c r="BJ9" i="6"/>
  <c r="BJ402" i="6" s="1"/>
  <c r="BT509" i="6"/>
  <c r="BT119" i="6"/>
  <c r="BT701" i="6"/>
  <c r="BT343" i="6"/>
  <c r="BT700" i="6" s="1"/>
  <c r="CA606" i="6"/>
  <c r="BZ606" i="6"/>
  <c r="BZ509" i="6"/>
  <c r="CA509" i="6"/>
  <c r="EL119" i="6"/>
  <c r="EL94" i="6"/>
  <c r="BZ484" i="6"/>
  <c r="CA484" i="6"/>
  <c r="BO600" i="6"/>
  <c r="BO9" i="6"/>
  <c r="BO402" i="6" s="1"/>
  <c r="BT64" i="6"/>
  <c r="BT456" i="6"/>
  <c r="BZ655" i="6"/>
  <c r="CA655" i="6"/>
  <c r="CA604" i="6"/>
  <c r="BZ604" i="6"/>
  <c r="BZ580" i="6"/>
  <c r="CA580" i="6"/>
  <c r="CA479" i="6"/>
  <c r="EL89" i="6"/>
  <c r="BT478" i="6" s="1"/>
  <c r="BZ479" i="6"/>
  <c r="G670" i="6"/>
  <c r="G10" i="6"/>
  <c r="G403" i="6" s="1"/>
  <c r="BZ429" i="6"/>
  <c r="BZ427" i="6"/>
  <c r="AZ9" i="6"/>
  <c r="CA666" i="6"/>
  <c r="BZ666" i="6"/>
  <c r="EL253" i="6"/>
  <c r="BT479" i="6"/>
  <c r="BZ685" i="6"/>
  <c r="CA685" i="6"/>
  <c r="CA691" i="6"/>
  <c r="BZ691" i="6"/>
  <c r="BT176" i="6"/>
  <c r="CA503" i="6"/>
  <c r="BZ503" i="6"/>
  <c r="BO407" i="6"/>
  <c r="BO12" i="6"/>
  <c r="BT489" i="6"/>
  <c r="BT99" i="6"/>
  <c r="BT503" i="6"/>
  <c r="CA546" i="6"/>
  <c r="BZ546" i="6"/>
  <c r="BT551" i="6"/>
  <c r="EL58" i="6"/>
  <c r="CA451" i="6"/>
  <c r="BZ451" i="6"/>
  <c r="EL13" i="6"/>
  <c r="BT542" i="6"/>
  <c r="BT139" i="6"/>
  <c r="BT541" i="6" s="1"/>
  <c r="AU407" i="6"/>
  <c r="AU12" i="6"/>
  <c r="L670" i="6"/>
  <c r="L10" i="6"/>
  <c r="L403" i="6" s="1"/>
  <c r="AZ670" i="6"/>
  <c r="AZ10" i="6"/>
  <c r="AZ403" i="6" s="1"/>
  <c r="EL28" i="6"/>
  <c r="BT421" i="6" s="1"/>
  <c r="BZ422" i="6"/>
  <c r="CA422" i="6"/>
  <c r="BE407" i="6"/>
  <c r="BE12" i="6"/>
  <c r="CA649" i="6"/>
  <c r="BZ649" i="6"/>
  <c r="BZ456" i="6"/>
  <c r="EL64" i="6"/>
  <c r="CA456" i="6"/>
  <c r="CA671" i="6"/>
  <c r="EL313" i="6"/>
  <c r="BZ671" i="6"/>
  <c r="BT685" i="6"/>
  <c r="AF601" i="6"/>
  <c r="BZ723" i="6"/>
  <c r="CA723" i="6"/>
  <c r="AZ407" i="6"/>
  <c r="AZ12" i="6"/>
  <c r="BZ717" i="6"/>
  <c r="CA717" i="6"/>
  <c r="BJ671" i="6"/>
  <c r="BJ313" i="6"/>
  <c r="BZ711" i="6"/>
  <c r="CA711" i="6"/>
  <c r="Q671" i="6"/>
  <c r="Q313" i="6"/>
  <c r="BT643" i="6"/>
  <c r="EL109" i="6"/>
  <c r="BZ499" i="6"/>
  <c r="CA499" i="6"/>
  <c r="CA679" i="6"/>
  <c r="BZ679" i="6"/>
  <c r="CA637" i="6"/>
  <c r="BZ637" i="6"/>
  <c r="BZ494" i="6"/>
  <c r="CA494" i="6"/>
  <c r="EL104" i="6"/>
  <c r="BT493" i="6" s="1"/>
  <c r="AA407" i="6"/>
  <c r="AA12" i="6"/>
  <c r="BZ412" i="6"/>
  <c r="BT412" i="6"/>
  <c r="CA412" i="6"/>
  <c r="DW7" i="6"/>
  <c r="BT671" i="6"/>
  <c r="BT313" i="6"/>
  <c r="BE600" i="6"/>
  <c r="BE9" i="6"/>
  <c r="BE402" i="6" s="1"/>
  <c r="EL278" i="6"/>
  <c r="BT467" i="6"/>
  <c r="BT691" i="6"/>
  <c r="AK671" i="6"/>
  <c r="AK313" i="6"/>
  <c r="AP670" i="6"/>
  <c r="AP10" i="6"/>
  <c r="AP403" i="6" s="1"/>
  <c r="BE671" i="6"/>
  <c r="BE313" i="6"/>
  <c r="AA600" i="6"/>
  <c r="AA9" i="6"/>
  <c r="AA402" i="6" s="1"/>
  <c r="CA427" i="6"/>
  <c r="AK407" i="6"/>
  <c r="AK12" i="6"/>
  <c r="BT440" i="6"/>
  <c r="BT46" i="6"/>
  <c r="L406" i="6"/>
  <c r="L8" i="6"/>
  <c r="BT547" i="6"/>
  <c r="BT144" i="6"/>
  <c r="BT546" i="6" s="1"/>
  <c r="CA541" i="6"/>
  <c r="BZ541" i="6"/>
  <c r="BT616" i="6"/>
  <c r="G700" i="6"/>
  <c r="BT602" i="6"/>
  <c r="AF600" i="6"/>
  <c r="AF9" i="6"/>
  <c r="AF402" i="6" s="1"/>
  <c r="CA704" i="6"/>
  <c r="BZ704" i="6"/>
  <c r="BJ407" i="6"/>
  <c r="BJ12" i="6"/>
  <c r="BT451" i="6"/>
  <c r="BT58" i="6"/>
  <c r="AF407" i="6"/>
  <c r="AF12" i="6"/>
  <c r="CA410" i="6"/>
  <c r="BZ410" i="6"/>
  <c r="CA462" i="6"/>
  <c r="BZ462" i="6"/>
  <c r="EL70" i="6"/>
  <c r="BT461" i="6" s="1"/>
  <c r="BT462" i="6"/>
  <c r="BT428" i="6"/>
  <c r="BT34" i="6"/>
  <c r="BT427" i="6" s="1"/>
  <c r="L407" i="6"/>
  <c r="BT604" i="6"/>
  <c r="AA671" i="6"/>
  <c r="AA313" i="6"/>
  <c r="V665" i="6"/>
  <c r="CA643" i="6"/>
  <c r="BZ643" i="6"/>
  <c r="BT499" i="6"/>
  <c r="BT109" i="6"/>
  <c r="V406" i="6"/>
  <c r="V8" i="6"/>
  <c r="CD7" i="6"/>
  <c r="Q401" i="6"/>
  <c r="AP406" i="6"/>
  <c r="AP8" i="6"/>
  <c r="BZ602" i="6"/>
  <c r="CA602" i="6"/>
  <c r="CA616" i="6"/>
  <c r="BZ616" i="6"/>
  <c r="CA697" i="6"/>
  <c r="BZ697" i="6"/>
  <c r="L601" i="6"/>
  <c r="L176" i="6"/>
  <c r="BZ700" i="6"/>
  <c r="CA632" i="6"/>
  <c r="BZ632" i="6"/>
  <c r="BZ627" i="6"/>
  <c r="CA627" i="6"/>
  <c r="CA661" i="6"/>
  <c r="EL248" i="6"/>
  <c r="BZ661" i="6"/>
  <c r="BZ489" i="6"/>
  <c r="EL99" i="6"/>
  <c r="CA489" i="6"/>
  <c r="AP600" i="6"/>
  <c r="AP9" i="6"/>
  <c r="AP402" i="6" s="1"/>
  <c r="AK9" i="6"/>
  <c r="BT531" i="6"/>
  <c r="BZ415" i="6"/>
  <c r="CA415" i="6"/>
  <c r="V407" i="6"/>
  <c r="BT410" i="6"/>
  <c r="Q406" i="6"/>
  <c r="BT697" i="6"/>
  <c r="CA611" i="6"/>
  <c r="BZ611" i="6"/>
  <c r="EL124" i="6"/>
  <c r="CA526" i="6"/>
  <c r="BZ526" i="6"/>
  <c r="DC176" i="6"/>
  <c r="DC9" i="6" s="1"/>
  <c r="DC7" i="6" s="1"/>
  <c r="AK601" i="6"/>
  <c r="BT611" i="6"/>
  <c r="BT649" i="6"/>
  <c r="EL40" i="6"/>
  <c r="CA434" i="6"/>
  <c r="BZ434" i="6"/>
  <c r="EL46" i="6"/>
  <c r="CA440" i="6"/>
  <c r="BZ440" i="6"/>
  <c r="EL177" i="6"/>
  <c r="AL37" i="9" l="1"/>
  <c r="AL78" i="9" s="1"/>
  <c r="BA50" i="9"/>
  <c r="BA37" i="9"/>
  <c r="BA78" i="9" s="1"/>
  <c r="EM37" i="9"/>
  <c r="BU50" i="9"/>
  <c r="AB37" i="9"/>
  <c r="AB78" i="9" s="1"/>
  <c r="AB50" i="9"/>
  <c r="AQ37" i="9"/>
  <c r="AQ78" i="9" s="1"/>
  <c r="AQ50" i="9"/>
  <c r="W37" i="9"/>
  <c r="W78" i="9" s="1"/>
  <c r="W50" i="9"/>
  <c r="AV50" i="9"/>
  <c r="AV37" i="9"/>
  <c r="AV78" i="9" s="1"/>
  <c r="BF37" i="9"/>
  <c r="BF78" i="9" s="1"/>
  <c r="BF50" i="9"/>
  <c r="AF112" i="8"/>
  <c r="AF285" i="8" s="1"/>
  <c r="BJ112" i="8"/>
  <c r="BT112" i="8"/>
  <c r="BO112" i="8"/>
  <c r="BO285" i="8" s="1"/>
  <c r="AK112" i="8"/>
  <c r="AK285" i="8" s="1"/>
  <c r="BJ285" i="8"/>
  <c r="BZ342" i="8"/>
  <c r="BT12" i="8"/>
  <c r="BY82" i="8"/>
  <c r="BY15" i="8" s="1"/>
  <c r="BE205" i="8"/>
  <c r="BE12" i="8"/>
  <c r="BE204" i="8" s="1"/>
  <c r="L286" i="8"/>
  <c r="L112" i="8"/>
  <c r="L285" i="8" s="1"/>
  <c r="AF12" i="8"/>
  <c r="AF204" i="8" s="1"/>
  <c r="AF205" i="8"/>
  <c r="Q286" i="8"/>
  <c r="Q112" i="8"/>
  <c r="Q285" i="8" s="1"/>
  <c r="EL14" i="8"/>
  <c r="V112" i="8"/>
  <c r="V285" i="8" s="1"/>
  <c r="BJ205" i="8"/>
  <c r="BJ12" i="8"/>
  <c r="BJ204" i="8" s="1"/>
  <c r="AA12" i="8"/>
  <c r="AA204" i="8" s="1"/>
  <c r="AU205" i="8"/>
  <c r="AU12" i="8"/>
  <c r="AU204" i="8" s="1"/>
  <c r="BO205" i="8"/>
  <c r="BO12" i="8"/>
  <c r="BO204" i="8" s="1"/>
  <c r="BZ248" i="8"/>
  <c r="AA112" i="8"/>
  <c r="AA285" i="8" s="1"/>
  <c r="AP286" i="8"/>
  <c r="AP112" i="8"/>
  <c r="AP285" i="8" s="1"/>
  <c r="EL15" i="8"/>
  <c r="AK205" i="8"/>
  <c r="AK12" i="8"/>
  <c r="AK204" i="8" s="1"/>
  <c r="AP207" i="8"/>
  <c r="AP12" i="8"/>
  <c r="AP204" i="8" s="1"/>
  <c r="BZ282" i="8"/>
  <c r="EL113" i="8"/>
  <c r="L205" i="8"/>
  <c r="L12" i="8"/>
  <c r="L204" i="8" s="1"/>
  <c r="Q206" i="8"/>
  <c r="Q12" i="8"/>
  <c r="Q204" i="8" s="1"/>
  <c r="AZ12" i="8"/>
  <c r="AZ204" i="8" s="1"/>
  <c r="AZ205" i="8"/>
  <c r="BY72" i="8"/>
  <c r="BY14" i="8" s="1"/>
  <c r="BY12" i="8" s="1"/>
  <c r="BZ239" i="8"/>
  <c r="BZ330" i="8"/>
  <c r="EL114" i="8"/>
  <c r="BZ279" i="8" s="1"/>
  <c r="V205" i="8"/>
  <c r="V12" i="8"/>
  <c r="V204" i="8" s="1"/>
  <c r="AZ112" i="8"/>
  <c r="AZ285" i="8" s="1"/>
  <c r="AZ286" i="8"/>
  <c r="BZ211" i="8"/>
  <c r="EL13" i="8"/>
  <c r="BE287" i="8"/>
  <c r="BE112" i="8"/>
  <c r="BE285" i="8" s="1"/>
  <c r="BZ213" i="8"/>
  <c r="AU286" i="8"/>
  <c r="AU112" i="8"/>
  <c r="AU285" i="8" s="1"/>
  <c r="L238" i="7"/>
  <c r="BT248" i="7"/>
  <c r="L232" i="7"/>
  <c r="L12" i="7"/>
  <c r="L231" i="7" s="1"/>
  <c r="AF13" i="7"/>
  <c r="AF237" i="7"/>
  <c r="BT15" i="7"/>
  <c r="BT284" i="7"/>
  <c r="BT16" i="7"/>
  <c r="BT341" i="7"/>
  <c r="Q18" i="7"/>
  <c r="Q238" i="7"/>
  <c r="AA238" i="7"/>
  <c r="AA18" i="7"/>
  <c r="EL14" i="7"/>
  <c r="BX233" i="7" s="1"/>
  <c r="BX269" i="7"/>
  <c r="AP237" i="7"/>
  <c r="AP13" i="7"/>
  <c r="BE232" i="7"/>
  <c r="BE12" i="7"/>
  <c r="BE231" i="7" s="1"/>
  <c r="BO18" i="7"/>
  <c r="BO238" i="7"/>
  <c r="BT18" i="7"/>
  <c r="EL16" i="7"/>
  <c r="BX341" i="7"/>
  <c r="AK13" i="7"/>
  <c r="AK237" i="7"/>
  <c r="EL19" i="7"/>
  <c r="BT238" i="7" s="1"/>
  <c r="BX249" i="7"/>
  <c r="BY19" i="7"/>
  <c r="AK15" i="7"/>
  <c r="AK234" i="7" s="1"/>
  <c r="AK284" i="7"/>
  <c r="BJ232" i="7"/>
  <c r="BJ12" i="7"/>
  <c r="BJ231" i="7" s="1"/>
  <c r="AU237" i="7"/>
  <c r="AU13" i="7"/>
  <c r="AZ238" i="7"/>
  <c r="AZ18" i="7"/>
  <c r="EL15" i="7"/>
  <c r="BX284" i="7"/>
  <c r="V12" i="7"/>
  <c r="V231" i="7" s="1"/>
  <c r="BT269" i="7"/>
  <c r="BT14" i="7"/>
  <c r="BT233" i="7" s="1"/>
  <c r="G407" i="6"/>
  <c r="BT498" i="6"/>
  <c r="BT450" i="6"/>
  <c r="AZ402" i="6"/>
  <c r="BT455" i="6"/>
  <c r="AZ600" i="6"/>
  <c r="BT483" i="6"/>
  <c r="DM9" i="6"/>
  <c r="AU600" i="6"/>
  <c r="BT488" i="6"/>
  <c r="BT508" i="6"/>
  <c r="G7" i="6"/>
  <c r="BT670" i="6"/>
  <c r="BT10" i="6"/>
  <c r="AK600" i="6"/>
  <c r="AP401" i="6"/>
  <c r="AP7" i="6"/>
  <c r="AP400" i="6" s="1"/>
  <c r="CI9" i="6"/>
  <c r="Q600" i="6"/>
  <c r="AA670" i="6"/>
  <c r="AA10" i="6"/>
  <c r="AA403" i="6" s="1"/>
  <c r="CA450" i="6"/>
  <c r="BZ450" i="6"/>
  <c r="CA461" i="6"/>
  <c r="BZ461" i="6"/>
  <c r="CA670" i="6"/>
  <c r="BZ670" i="6"/>
  <c r="EL10" i="6"/>
  <c r="BE670" i="6"/>
  <c r="BE10" i="6"/>
  <c r="BE403" i="6" s="1"/>
  <c r="BO8" i="6"/>
  <c r="BO406" i="6"/>
  <c r="CA601" i="6"/>
  <c r="BZ601" i="6"/>
  <c r="EL176" i="6"/>
  <c r="BT600" i="6" s="1"/>
  <c r="CA525" i="6"/>
  <c r="BZ525" i="6"/>
  <c r="BZ536" i="6"/>
  <c r="CA536" i="6"/>
  <c r="AK402" i="6"/>
  <c r="AF406" i="6"/>
  <c r="AF8" i="6"/>
  <c r="AZ406" i="6"/>
  <c r="AZ8" i="6"/>
  <c r="EL12" i="6"/>
  <c r="CA407" i="6"/>
  <c r="CA483" i="6"/>
  <c r="BZ483" i="6"/>
  <c r="AK670" i="6"/>
  <c r="AK10" i="6"/>
  <c r="AK403" i="6" s="1"/>
  <c r="BE406" i="6"/>
  <c r="BE8" i="6"/>
  <c r="BT525" i="6"/>
  <c r="CA439" i="6"/>
  <c r="BZ439" i="6"/>
  <c r="L600" i="6"/>
  <c r="L9" i="6"/>
  <c r="L402" i="6" s="1"/>
  <c r="L401" i="6"/>
  <c r="L7" i="6"/>
  <c r="L400" i="6" s="1"/>
  <c r="CA498" i="6"/>
  <c r="BZ498" i="6"/>
  <c r="BT9" i="6"/>
  <c r="BJ406" i="6"/>
  <c r="BJ8" i="6"/>
  <c r="AA406" i="6"/>
  <c r="AA8" i="6"/>
  <c r="BT601" i="6"/>
  <c r="BT439" i="6"/>
  <c r="CA433" i="6"/>
  <c r="BZ433" i="6"/>
  <c r="CA488" i="6"/>
  <c r="BZ488" i="6"/>
  <c r="V7" i="6"/>
  <c r="V400" i="6" s="1"/>
  <c r="V401" i="6"/>
  <c r="CA493" i="6"/>
  <c r="BZ493" i="6"/>
  <c r="Q670" i="6"/>
  <c r="Q10" i="6"/>
  <c r="CA508" i="6"/>
  <c r="BZ508" i="6"/>
  <c r="BT665" i="6"/>
  <c r="CA421" i="6"/>
  <c r="BZ421" i="6"/>
  <c r="BZ660" i="6"/>
  <c r="CA660" i="6"/>
  <c r="BT660" i="6"/>
  <c r="BY8" i="6"/>
  <c r="G406" i="6"/>
  <c r="BJ670" i="6"/>
  <c r="BJ10" i="6"/>
  <c r="BJ403" i="6" s="1"/>
  <c r="BT536" i="6"/>
  <c r="CA455" i="6"/>
  <c r="BZ455" i="6"/>
  <c r="AU8" i="6"/>
  <c r="AU406" i="6"/>
  <c r="CA665" i="6"/>
  <c r="BZ665" i="6"/>
  <c r="CA478" i="6"/>
  <c r="BZ478" i="6"/>
  <c r="BT406" i="6"/>
  <c r="BT8" i="6"/>
  <c r="AK406" i="6"/>
  <c r="AK8" i="6"/>
  <c r="BU78" i="9" l="1"/>
  <c r="BZ247" i="8"/>
  <c r="BZ209" i="8"/>
  <c r="EL12" i="8"/>
  <c r="BZ206" i="8" s="1"/>
  <c r="BZ207" i="8"/>
  <c r="EL112" i="8"/>
  <c r="BZ277" i="8" s="1"/>
  <c r="BZ278" i="8"/>
  <c r="BZ208" i="8"/>
  <c r="BZ237" i="8"/>
  <c r="BT235" i="7"/>
  <c r="BT234" i="7"/>
  <c r="BO237" i="7"/>
  <c r="BO13" i="7"/>
  <c r="AP12" i="7"/>
  <c r="AP231" i="7" s="1"/>
  <c r="AP232" i="7"/>
  <c r="BY18" i="7"/>
  <c r="EL18" i="7"/>
  <c r="BX238" i="7"/>
  <c r="AA237" i="7"/>
  <c r="AA13" i="7"/>
  <c r="AU232" i="7"/>
  <c r="AU12" i="7"/>
  <c r="AU231" i="7" s="1"/>
  <c r="AK12" i="7"/>
  <c r="AK231" i="7" s="1"/>
  <c r="AK232" i="7"/>
  <c r="Q13" i="7"/>
  <c r="Q237" i="7"/>
  <c r="BX234" i="7"/>
  <c r="BX235" i="7"/>
  <c r="BT13" i="7"/>
  <c r="AF12" i="7"/>
  <c r="AF231" i="7" s="1"/>
  <c r="AF232" i="7"/>
  <c r="AZ13" i="7"/>
  <c r="AZ237" i="7"/>
  <c r="AU402" i="6"/>
  <c r="DM7" i="6"/>
  <c r="AZ401" i="6"/>
  <c r="AZ7" i="6"/>
  <c r="AZ400" i="6" s="1"/>
  <c r="AF401" i="6"/>
  <c r="AF7" i="6"/>
  <c r="AF400" i="6" s="1"/>
  <c r="BT403" i="6"/>
  <c r="BO401" i="6"/>
  <c r="BO7" i="6"/>
  <c r="BO400" i="6" s="1"/>
  <c r="BT7" i="6"/>
  <c r="CA403" i="6"/>
  <c r="BZ403" i="6"/>
  <c r="BE401" i="6"/>
  <c r="BE7" i="6"/>
  <c r="BE400" i="6" s="1"/>
  <c r="BZ600" i="6"/>
  <c r="CA600" i="6"/>
  <c r="EL9" i="6"/>
  <c r="Q402" i="6"/>
  <c r="CI7" i="6"/>
  <c r="BY7" i="6"/>
  <c r="G400" i="6" s="1"/>
  <c r="G401" i="6"/>
  <c r="Q403" i="6"/>
  <c r="Q7" i="6"/>
  <c r="AA401" i="6"/>
  <c r="AA7" i="6"/>
  <c r="AA400" i="6" s="1"/>
  <c r="BJ401" i="6"/>
  <c r="BJ7" i="6"/>
  <c r="BJ400" i="6" s="1"/>
  <c r="AU401" i="6"/>
  <c r="AU7" i="6"/>
  <c r="BZ407" i="6"/>
  <c r="CA406" i="6"/>
  <c r="EL8" i="6"/>
  <c r="AK401" i="6"/>
  <c r="AK7" i="6"/>
  <c r="AK400" i="6" s="1"/>
  <c r="AZ12" i="7" l="1"/>
  <c r="AZ231" i="7" s="1"/>
  <c r="AZ232" i="7"/>
  <c r="BX237" i="7"/>
  <c r="EL13" i="7"/>
  <c r="BT232" i="7"/>
  <c r="BT12" i="7"/>
  <c r="BT237" i="7"/>
  <c r="BY13" i="7"/>
  <c r="BO232" i="7"/>
  <c r="BO12" i="7"/>
  <c r="BO231" i="7" s="1"/>
  <c r="Q12" i="7"/>
  <c r="Q231" i="7" s="1"/>
  <c r="Q232" i="7"/>
  <c r="AA232" i="7"/>
  <c r="AA12" i="7"/>
  <c r="AA231" i="7" s="1"/>
  <c r="AU400" i="6"/>
  <c r="BZ406" i="6"/>
  <c r="EL7" i="6"/>
  <c r="CA400" i="6" s="1"/>
  <c r="CA401" i="6"/>
  <c r="BZ402" i="6"/>
  <c r="CA402" i="6"/>
  <c r="BT402" i="6"/>
  <c r="BT401" i="6"/>
  <c r="Q400" i="6"/>
  <c r="EL12" i="7" l="1"/>
  <c r="BX232" i="7"/>
  <c r="BY12" i="7"/>
  <c r="BT400" i="6"/>
  <c r="BZ401" i="6"/>
  <c r="BZ400" i="6"/>
  <c r="BX231" i="7" l="1"/>
  <c r="BT231" i="7"/>
  <c r="BW139" i="5" l="1"/>
  <c r="BW137" i="5"/>
  <c r="BW136" i="5"/>
  <c r="BW135" i="5"/>
  <c r="BW134" i="5"/>
  <c r="BW132" i="5"/>
  <c r="BW131" i="5" s="1"/>
  <c r="BW128" i="5"/>
  <c r="BW127" i="5"/>
  <c r="BW125" i="5"/>
  <c r="BW124" i="5"/>
  <c r="BW123" i="5" s="1"/>
  <c r="BW121" i="5"/>
  <c r="BW120" i="5"/>
  <c r="BW116" i="5" s="1"/>
  <c r="BW118" i="5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W98" i="5" s="1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V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R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W93" i="5" s="1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Q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R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EM69" i="5"/>
  <c r="EH69" i="5"/>
  <c r="EC69" i="5"/>
  <c r="DX69" i="5"/>
  <c r="DS69" i="5"/>
  <c r="DN69" i="5"/>
  <c r="DI69" i="5"/>
  <c r="DD69" i="5"/>
  <c r="CY69" i="5"/>
  <c r="CT69" i="5"/>
  <c r="CO69" i="5"/>
  <c r="CJ69" i="5"/>
  <c r="CE69" i="5"/>
  <c r="BZ69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EM68" i="5"/>
  <c r="EH68" i="5"/>
  <c r="EC68" i="5"/>
  <c r="DX68" i="5"/>
  <c r="DS68" i="5"/>
  <c r="DN68" i="5"/>
  <c r="DI68" i="5"/>
  <c r="DD68" i="5"/>
  <c r="CY68" i="5"/>
  <c r="CT68" i="5"/>
  <c r="CO68" i="5"/>
  <c r="CJ68" i="5"/>
  <c r="CE68" i="5"/>
  <c r="BZ68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EM67" i="5"/>
  <c r="EH67" i="5"/>
  <c r="EC67" i="5"/>
  <c r="DX67" i="5"/>
  <c r="DS67" i="5"/>
  <c r="DN67" i="5"/>
  <c r="DI67" i="5"/>
  <c r="DD67" i="5"/>
  <c r="CY67" i="5"/>
  <c r="CT67" i="5"/>
  <c r="CO67" i="5"/>
  <c r="CJ67" i="5"/>
  <c r="CE67" i="5"/>
  <c r="BZ67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H63" i="5" s="1"/>
  <c r="EM66" i="5"/>
  <c r="EH66" i="5"/>
  <c r="EC66" i="5"/>
  <c r="DX66" i="5"/>
  <c r="DS66" i="5"/>
  <c r="DN66" i="5"/>
  <c r="DI66" i="5"/>
  <c r="DD66" i="5"/>
  <c r="CY66" i="5"/>
  <c r="CT66" i="5"/>
  <c r="CO66" i="5"/>
  <c r="CJ66" i="5"/>
  <c r="CE66" i="5"/>
  <c r="BZ66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EM65" i="5"/>
  <c r="EH65" i="5"/>
  <c r="EC65" i="5"/>
  <c r="DX65" i="5"/>
  <c r="DS65" i="5"/>
  <c r="DN65" i="5"/>
  <c r="DI65" i="5"/>
  <c r="DD65" i="5"/>
  <c r="CY65" i="5"/>
  <c r="CT65" i="5"/>
  <c r="CO65" i="5"/>
  <c r="CJ65" i="5"/>
  <c r="CE65" i="5"/>
  <c r="BZ65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EM64" i="5"/>
  <c r="EM63" i="5" s="1"/>
  <c r="EH64" i="5"/>
  <c r="EH63" i="5" s="1"/>
  <c r="EC64" i="5"/>
  <c r="EC63" i="5" s="1"/>
  <c r="DX64" i="5"/>
  <c r="DS64" i="5"/>
  <c r="DS63" i="5" s="1"/>
  <c r="DN64" i="5"/>
  <c r="DN63" i="5" s="1"/>
  <c r="DI64" i="5"/>
  <c r="DI63" i="5" s="1"/>
  <c r="DD64" i="5"/>
  <c r="DD63" i="5" s="1"/>
  <c r="CY64" i="5"/>
  <c r="CT64" i="5"/>
  <c r="CO64" i="5"/>
  <c r="CJ64" i="5"/>
  <c r="CE64" i="5"/>
  <c r="CE63" i="5" s="1"/>
  <c r="BZ64" i="5"/>
  <c r="BZ63" i="5" s="1"/>
  <c r="BU64" i="5"/>
  <c r="BU63" i="5" s="1"/>
  <c r="BP64" i="5"/>
  <c r="BP63" i="5" s="1"/>
  <c r="BK64" i="5"/>
  <c r="BK63" i="5" s="1"/>
  <c r="BF64" i="5"/>
  <c r="BF63" i="5" s="1"/>
  <c r="BA64" i="5"/>
  <c r="BA63" i="5" s="1"/>
  <c r="AV64" i="5"/>
  <c r="AQ64" i="5"/>
  <c r="AQ63" i="5" s="1"/>
  <c r="AL64" i="5"/>
  <c r="AL63" i="5" s="1"/>
  <c r="AG64" i="5"/>
  <c r="AG63" i="5" s="1"/>
  <c r="AB64" i="5"/>
  <c r="AB63" i="5" s="1"/>
  <c r="W64" i="5"/>
  <c r="R64" i="5"/>
  <c r="M64" i="5"/>
  <c r="H64" i="5"/>
  <c r="CY63" i="5"/>
  <c r="CT63" i="5"/>
  <c r="CO63" i="5"/>
  <c r="CJ63" i="5"/>
  <c r="W63" i="5"/>
  <c r="R63" i="5"/>
  <c r="M63" i="5"/>
  <c r="EM60" i="5"/>
  <c r="EH60" i="5"/>
  <c r="EC60" i="5"/>
  <c r="DX60" i="5"/>
  <c r="DS60" i="5"/>
  <c r="DN60" i="5"/>
  <c r="DI60" i="5"/>
  <c r="DD60" i="5"/>
  <c r="CY60" i="5"/>
  <c r="CT60" i="5"/>
  <c r="CO60" i="5"/>
  <c r="CJ60" i="5"/>
  <c r="CE60" i="5"/>
  <c r="BU60" i="5"/>
  <c r="BU55" i="5" s="1"/>
  <c r="BP60" i="5"/>
  <c r="BK60" i="5"/>
  <c r="BF60" i="5"/>
  <c r="BA60" i="5"/>
  <c r="AV60" i="5"/>
  <c r="AQ60" i="5"/>
  <c r="AL60" i="5"/>
  <c r="AG60" i="5"/>
  <c r="AB60" i="5"/>
  <c r="W60" i="5"/>
  <c r="R60" i="5"/>
  <c r="M60" i="5"/>
  <c r="EM59" i="5"/>
  <c r="EH59" i="5"/>
  <c r="EC59" i="5"/>
  <c r="DX59" i="5"/>
  <c r="DS59" i="5"/>
  <c r="DN59" i="5"/>
  <c r="DI59" i="5"/>
  <c r="DD59" i="5"/>
  <c r="CY59" i="5"/>
  <c r="CT59" i="5"/>
  <c r="CO59" i="5"/>
  <c r="CJ59" i="5"/>
  <c r="CE59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EM57" i="5"/>
  <c r="EH57" i="5"/>
  <c r="EC57" i="5"/>
  <c r="DX57" i="5"/>
  <c r="DS57" i="5"/>
  <c r="DN57" i="5"/>
  <c r="DI57" i="5"/>
  <c r="DD57" i="5"/>
  <c r="CY57" i="5"/>
  <c r="CT57" i="5"/>
  <c r="CT55" i="5" s="1"/>
  <c r="CO57" i="5"/>
  <c r="CJ57" i="5"/>
  <c r="CE57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EM56" i="5"/>
  <c r="EM55" i="5" s="1"/>
  <c r="EH56" i="5"/>
  <c r="EH55" i="5" s="1"/>
  <c r="EC56" i="5"/>
  <c r="DX56" i="5"/>
  <c r="DS56" i="5"/>
  <c r="DN56" i="5"/>
  <c r="DI56" i="5"/>
  <c r="DD56" i="5"/>
  <c r="CY56" i="5"/>
  <c r="CT56" i="5"/>
  <c r="CO56" i="5"/>
  <c r="CJ56" i="5"/>
  <c r="CE56" i="5"/>
  <c r="BU56" i="5"/>
  <c r="BP56" i="5"/>
  <c r="BK56" i="5"/>
  <c r="BF56" i="5"/>
  <c r="BF55" i="5" s="1"/>
  <c r="BF40" i="5" s="1"/>
  <c r="BA56" i="5"/>
  <c r="BA55" i="5" s="1"/>
  <c r="AV56" i="5"/>
  <c r="AQ56" i="5"/>
  <c r="AL56" i="5"/>
  <c r="AG56" i="5"/>
  <c r="AB56" i="5"/>
  <c r="W56" i="5"/>
  <c r="R56" i="5"/>
  <c r="R55" i="5" s="1"/>
  <c r="M56" i="5"/>
  <c r="DI55" i="5"/>
  <c r="DD55" i="5"/>
  <c r="CE55" i="5"/>
  <c r="AV55" i="5"/>
  <c r="AQ55" i="5"/>
  <c r="EM53" i="5"/>
  <c r="EH53" i="5"/>
  <c r="EC53" i="5"/>
  <c r="DX53" i="5"/>
  <c r="DS53" i="5"/>
  <c r="DN53" i="5"/>
  <c r="DI53" i="5"/>
  <c r="DD53" i="5"/>
  <c r="CY53" i="5"/>
  <c r="CT53" i="5"/>
  <c r="CO53" i="5"/>
  <c r="CJ53" i="5"/>
  <c r="CE53" i="5"/>
  <c r="BZ53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EM52" i="5"/>
  <c r="EH52" i="5"/>
  <c r="EC52" i="5"/>
  <c r="DX52" i="5"/>
  <c r="DS52" i="5"/>
  <c r="DN52" i="5"/>
  <c r="DI52" i="5"/>
  <c r="DD52" i="5"/>
  <c r="CY52" i="5"/>
  <c r="CT52" i="5"/>
  <c r="CO52" i="5"/>
  <c r="CJ52" i="5"/>
  <c r="CE52" i="5"/>
  <c r="BZ52" i="5"/>
  <c r="BU52" i="5"/>
  <c r="BU48" i="5" s="1"/>
  <c r="BP52" i="5"/>
  <c r="BP48" i="5" s="1"/>
  <c r="BK52" i="5"/>
  <c r="BK48" i="5" s="1"/>
  <c r="BF52" i="5"/>
  <c r="BF48" i="5" s="1"/>
  <c r="BA52" i="5"/>
  <c r="AV52" i="5"/>
  <c r="AQ52" i="5"/>
  <c r="AL52" i="5"/>
  <c r="AG52" i="5"/>
  <c r="AB52" i="5"/>
  <c r="W52" i="5"/>
  <c r="R52" i="5"/>
  <c r="M52" i="5"/>
  <c r="H52" i="5"/>
  <c r="EM50" i="5"/>
  <c r="EH50" i="5"/>
  <c r="EC50" i="5"/>
  <c r="EC48" i="5" s="1"/>
  <c r="DX50" i="5"/>
  <c r="DS50" i="5"/>
  <c r="DN50" i="5"/>
  <c r="DI50" i="5"/>
  <c r="DD50" i="5"/>
  <c r="CY50" i="5"/>
  <c r="CT50" i="5"/>
  <c r="CO50" i="5"/>
  <c r="CJ50" i="5"/>
  <c r="CE50" i="5"/>
  <c r="BU50" i="5"/>
  <c r="BP50" i="5"/>
  <c r="BK50" i="5"/>
  <c r="BF50" i="5"/>
  <c r="BA50" i="5"/>
  <c r="AV50" i="5"/>
  <c r="AQ50" i="5"/>
  <c r="AL50" i="5"/>
  <c r="AG50" i="5"/>
  <c r="AG48" i="5" s="1"/>
  <c r="AB50" i="5"/>
  <c r="W50" i="5"/>
  <c r="R50" i="5"/>
  <c r="M50" i="5"/>
  <c r="H50" i="5"/>
  <c r="EM49" i="5"/>
  <c r="EH49" i="5"/>
  <c r="EC49" i="5"/>
  <c r="DX49" i="5"/>
  <c r="DS49" i="5"/>
  <c r="DN49" i="5"/>
  <c r="DI49" i="5"/>
  <c r="DD49" i="5"/>
  <c r="DD48" i="5" s="1"/>
  <c r="CY49" i="5"/>
  <c r="CT49" i="5"/>
  <c r="CT48" i="5" s="1"/>
  <c r="CO49" i="5"/>
  <c r="CO48" i="5" s="1"/>
  <c r="CJ49" i="5"/>
  <c r="CE49" i="5"/>
  <c r="BZ49" i="5"/>
  <c r="BU49" i="5"/>
  <c r="BP49" i="5"/>
  <c r="BK49" i="5"/>
  <c r="BF49" i="5"/>
  <c r="BA49" i="5"/>
  <c r="AV49" i="5"/>
  <c r="AQ49" i="5"/>
  <c r="AL49" i="5"/>
  <c r="AG49" i="5"/>
  <c r="AB49" i="5"/>
  <c r="AB48" i="5" s="1"/>
  <c r="W49" i="5"/>
  <c r="R49" i="5"/>
  <c r="R48" i="5" s="1"/>
  <c r="M49" i="5"/>
  <c r="H49" i="5"/>
  <c r="AV48" i="5"/>
  <c r="AL48" i="5"/>
  <c r="EM46" i="5"/>
  <c r="EH46" i="5"/>
  <c r="EC46" i="5"/>
  <c r="DX46" i="5"/>
  <c r="DS46" i="5"/>
  <c r="DN46" i="5"/>
  <c r="DI46" i="5"/>
  <c r="DD46" i="5"/>
  <c r="CY46" i="5"/>
  <c r="CT46" i="5"/>
  <c r="CO46" i="5"/>
  <c r="CO41" i="5" s="1"/>
  <c r="CJ46" i="5"/>
  <c r="CJ41" i="5" s="1"/>
  <c r="CE46" i="5"/>
  <c r="CE41" i="5" s="1"/>
  <c r="BZ46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M41" i="5" s="1"/>
  <c r="H46" i="5"/>
  <c r="H41" i="5" s="1"/>
  <c r="EM45" i="5"/>
  <c r="EH45" i="5"/>
  <c r="EC45" i="5"/>
  <c r="DX45" i="5"/>
  <c r="DS45" i="5"/>
  <c r="DN45" i="5"/>
  <c r="DI45" i="5"/>
  <c r="DD45" i="5"/>
  <c r="CY45" i="5"/>
  <c r="CT45" i="5"/>
  <c r="CO45" i="5"/>
  <c r="CJ45" i="5"/>
  <c r="CE45" i="5"/>
  <c r="BZ45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EM43" i="5"/>
  <c r="EH43" i="5"/>
  <c r="EC43" i="5"/>
  <c r="DX43" i="5"/>
  <c r="DS43" i="5"/>
  <c r="DN43" i="5"/>
  <c r="DI43" i="5"/>
  <c r="DD43" i="5"/>
  <c r="CY43" i="5"/>
  <c r="CT43" i="5"/>
  <c r="CO43" i="5"/>
  <c r="CJ43" i="5"/>
  <c r="CE43" i="5"/>
  <c r="BZ43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EM42" i="5"/>
  <c r="EH42" i="5"/>
  <c r="EH41" i="5" s="1"/>
  <c r="EC42" i="5"/>
  <c r="DX42" i="5"/>
  <c r="DS42" i="5"/>
  <c r="DN42" i="5"/>
  <c r="DN41" i="5" s="1"/>
  <c r="DI42" i="5"/>
  <c r="DI41" i="5" s="1"/>
  <c r="DD42" i="5"/>
  <c r="DD41" i="5" s="1"/>
  <c r="DD40" i="5" s="1"/>
  <c r="CY42" i="5"/>
  <c r="CY41" i="5" s="1"/>
  <c r="CT42" i="5"/>
  <c r="CO42" i="5"/>
  <c r="CJ42" i="5"/>
  <c r="CE42" i="5"/>
  <c r="BZ42" i="5"/>
  <c r="BZ41" i="5" s="1"/>
  <c r="BU42" i="5"/>
  <c r="BP42" i="5"/>
  <c r="BK42" i="5"/>
  <c r="BF42" i="5"/>
  <c r="BF41" i="5" s="1"/>
  <c r="BA42" i="5"/>
  <c r="AV42" i="5"/>
  <c r="AQ42" i="5"/>
  <c r="AL42" i="5"/>
  <c r="AL41" i="5" s="1"/>
  <c r="AG42" i="5"/>
  <c r="AG41" i="5" s="1"/>
  <c r="AB42" i="5"/>
  <c r="AB41" i="5" s="1"/>
  <c r="W42" i="5"/>
  <c r="W41" i="5" s="1"/>
  <c r="R42" i="5"/>
  <c r="M42" i="5"/>
  <c r="H42" i="5"/>
  <c r="CT41" i="5"/>
  <c r="R41" i="5"/>
  <c r="EM37" i="5"/>
  <c r="EH37" i="5"/>
  <c r="EC37" i="5"/>
  <c r="DX37" i="5"/>
  <c r="DS37" i="5"/>
  <c r="DN37" i="5"/>
  <c r="DI37" i="5"/>
  <c r="DD37" i="5"/>
  <c r="CY37" i="5"/>
  <c r="CT37" i="5"/>
  <c r="CO37" i="5"/>
  <c r="CJ37" i="5"/>
  <c r="CE37" i="5"/>
  <c r="BZ37" i="5"/>
  <c r="BU37" i="5"/>
  <c r="BU102" i="5" s="1"/>
  <c r="BP37" i="5"/>
  <c r="BK37" i="5"/>
  <c r="BK102" i="5" s="1"/>
  <c r="BF37" i="5"/>
  <c r="BA37" i="5"/>
  <c r="AV37" i="5"/>
  <c r="AQ37" i="5"/>
  <c r="AL37" i="5"/>
  <c r="AG37" i="5"/>
  <c r="AB37" i="5"/>
  <c r="W37" i="5"/>
  <c r="R37" i="5"/>
  <c r="M37" i="5"/>
  <c r="H37" i="5"/>
  <c r="EM36" i="5"/>
  <c r="EM35" i="5" s="1"/>
  <c r="EH36" i="5"/>
  <c r="EH35" i="5" s="1"/>
  <c r="EC36" i="5"/>
  <c r="EC35" i="5" s="1"/>
  <c r="DX36" i="5"/>
  <c r="DS36" i="5"/>
  <c r="DN36" i="5"/>
  <c r="DI36" i="5"/>
  <c r="DD36" i="5"/>
  <c r="DD35" i="5" s="1"/>
  <c r="CY36" i="5"/>
  <c r="CY35" i="5" s="1"/>
  <c r="CT36" i="5"/>
  <c r="CT35" i="5" s="1"/>
  <c r="CO36" i="5"/>
  <c r="CO35" i="5" s="1"/>
  <c r="CJ36" i="5"/>
  <c r="CJ35" i="5" s="1"/>
  <c r="CE36" i="5"/>
  <c r="BZ36" i="5"/>
  <c r="BU36" i="5"/>
  <c r="BP36" i="5"/>
  <c r="BK36" i="5"/>
  <c r="BF36" i="5"/>
  <c r="BA36" i="5"/>
  <c r="AV36" i="5"/>
  <c r="AQ36" i="5"/>
  <c r="AQ101" i="5" s="1"/>
  <c r="AL36" i="5"/>
  <c r="AG36" i="5"/>
  <c r="AB36" i="5"/>
  <c r="W36" i="5"/>
  <c r="R36" i="5"/>
  <c r="R35" i="5" s="1"/>
  <c r="M36" i="5"/>
  <c r="M35" i="5" s="1"/>
  <c r="H36" i="5"/>
  <c r="H35" i="5" s="1"/>
  <c r="DX35" i="5"/>
  <c r="DS35" i="5"/>
  <c r="DN35" i="5"/>
  <c r="DI35" i="5"/>
  <c r="AV35" i="5"/>
  <c r="AQ35" i="5"/>
  <c r="AL35" i="5"/>
  <c r="AG35" i="5"/>
  <c r="EM33" i="5"/>
  <c r="EH33" i="5"/>
  <c r="EC33" i="5"/>
  <c r="BK98" i="5" s="1"/>
  <c r="DX33" i="5"/>
  <c r="DS33" i="5"/>
  <c r="DN33" i="5"/>
  <c r="DI33" i="5"/>
  <c r="DD33" i="5"/>
  <c r="CY33" i="5"/>
  <c r="CT33" i="5"/>
  <c r="CO33" i="5"/>
  <c r="CJ33" i="5"/>
  <c r="CE33" i="5"/>
  <c r="BZ33" i="5"/>
  <c r="BU33" i="5"/>
  <c r="BP33" i="5"/>
  <c r="BK33" i="5"/>
  <c r="BF33" i="5"/>
  <c r="BA33" i="5"/>
  <c r="AV33" i="5"/>
  <c r="AQ33" i="5"/>
  <c r="AL33" i="5"/>
  <c r="AG33" i="5"/>
  <c r="AG98" i="5" s="1"/>
  <c r="AB33" i="5"/>
  <c r="W33" i="5"/>
  <c r="R33" i="5"/>
  <c r="R98" i="5" s="1"/>
  <c r="M33" i="5"/>
  <c r="M98" i="5" s="1"/>
  <c r="H33" i="5"/>
  <c r="EM32" i="5"/>
  <c r="EH32" i="5"/>
  <c r="EC32" i="5"/>
  <c r="DX32" i="5"/>
  <c r="BF97" i="5" s="1"/>
  <c r="DS32" i="5"/>
  <c r="DN32" i="5"/>
  <c r="DI32" i="5"/>
  <c r="DD32" i="5"/>
  <c r="CY32" i="5"/>
  <c r="CT32" i="5"/>
  <c r="AB97" i="5" s="1"/>
  <c r="CO32" i="5"/>
  <c r="CJ32" i="5"/>
  <c r="CE32" i="5"/>
  <c r="BZ32" i="5"/>
  <c r="BU32" i="5"/>
  <c r="BU97" i="5" s="1"/>
  <c r="BP32" i="5"/>
  <c r="BK32" i="5"/>
  <c r="BK97" i="5" s="1"/>
  <c r="BF32" i="5"/>
  <c r="BA32" i="5"/>
  <c r="AV32" i="5"/>
  <c r="AQ32" i="5"/>
  <c r="AL32" i="5"/>
  <c r="AG32" i="5"/>
  <c r="AB32" i="5"/>
  <c r="W32" i="5"/>
  <c r="R32" i="5"/>
  <c r="M32" i="5"/>
  <c r="H32" i="5"/>
  <c r="EM31" i="5"/>
  <c r="EM30" i="5" s="1"/>
  <c r="EH31" i="5"/>
  <c r="EH30" i="5" s="1"/>
  <c r="EC31" i="5"/>
  <c r="EC30" i="5" s="1"/>
  <c r="DX31" i="5"/>
  <c r="DS31" i="5"/>
  <c r="DN31" i="5"/>
  <c r="DI31" i="5"/>
  <c r="DD31" i="5"/>
  <c r="DD30" i="5" s="1"/>
  <c r="CY31" i="5"/>
  <c r="CY30" i="5" s="1"/>
  <c r="CT31" i="5"/>
  <c r="CT30" i="5" s="1"/>
  <c r="CO31" i="5"/>
  <c r="CO30" i="5" s="1"/>
  <c r="CJ31" i="5"/>
  <c r="CJ30" i="5" s="1"/>
  <c r="CE31" i="5"/>
  <c r="CE30" i="5" s="1"/>
  <c r="BZ31" i="5"/>
  <c r="BZ30" i="5" s="1"/>
  <c r="BU31" i="5"/>
  <c r="BP31" i="5"/>
  <c r="BK31" i="5"/>
  <c r="BF31" i="5"/>
  <c r="BA31" i="5"/>
  <c r="AV31" i="5"/>
  <c r="AQ31" i="5"/>
  <c r="AQ96" i="5" s="1"/>
  <c r="AL31" i="5"/>
  <c r="AG31" i="5"/>
  <c r="AB31" i="5"/>
  <c r="W31" i="5"/>
  <c r="R31" i="5"/>
  <c r="R30" i="5" s="1"/>
  <c r="M31" i="5"/>
  <c r="M30" i="5" s="1"/>
  <c r="H31" i="5"/>
  <c r="H30" i="5" s="1"/>
  <c r="DX30" i="5"/>
  <c r="DS30" i="5"/>
  <c r="DN30" i="5"/>
  <c r="DI30" i="5"/>
  <c r="AV30" i="5"/>
  <c r="AQ30" i="5"/>
  <c r="AQ95" i="5" s="1"/>
  <c r="AL30" i="5"/>
  <c r="AG30" i="5"/>
  <c r="EM28" i="5"/>
  <c r="EH28" i="5"/>
  <c r="EC28" i="5"/>
  <c r="DX28" i="5"/>
  <c r="DS28" i="5"/>
  <c r="DN28" i="5"/>
  <c r="DI28" i="5"/>
  <c r="DD28" i="5"/>
  <c r="CY28" i="5"/>
  <c r="CY24" i="5" s="1"/>
  <c r="CY23" i="5" s="1"/>
  <c r="CT28" i="5"/>
  <c r="CT24" i="5" s="1"/>
  <c r="CT23" i="5" s="1"/>
  <c r="CO28" i="5"/>
  <c r="CO24" i="5" s="1"/>
  <c r="CO23" i="5" s="1"/>
  <c r="CJ28" i="5"/>
  <c r="CE28" i="5"/>
  <c r="BU28" i="5"/>
  <c r="BP28" i="5"/>
  <c r="BK28" i="5"/>
  <c r="BF28" i="5"/>
  <c r="BA28" i="5"/>
  <c r="BA93" i="5" s="1"/>
  <c r="AV28" i="5"/>
  <c r="AV93" i="5" s="1"/>
  <c r="AQ28" i="5"/>
  <c r="AL28" i="5"/>
  <c r="AG28" i="5"/>
  <c r="AB28" i="5"/>
  <c r="W28" i="5"/>
  <c r="R28" i="5"/>
  <c r="M28" i="5"/>
  <c r="H28" i="5"/>
  <c r="H24" i="5" s="1"/>
  <c r="EM27" i="5"/>
  <c r="EH27" i="5"/>
  <c r="EC27" i="5"/>
  <c r="DX27" i="5"/>
  <c r="DS27" i="5"/>
  <c r="DN27" i="5"/>
  <c r="DI27" i="5"/>
  <c r="DD27" i="5"/>
  <c r="CY27" i="5"/>
  <c r="CT27" i="5"/>
  <c r="CO27" i="5"/>
  <c r="CJ27" i="5"/>
  <c r="CE27" i="5"/>
  <c r="CE24" i="5" s="1"/>
  <c r="BZ27" i="5"/>
  <c r="BZ24" i="5" s="1"/>
  <c r="BU27" i="5"/>
  <c r="BU92" i="5" s="1"/>
  <c r="BP27" i="5"/>
  <c r="BP92" i="5" s="1"/>
  <c r="BK27" i="5"/>
  <c r="BK92" i="5" s="1"/>
  <c r="BF27" i="5"/>
  <c r="BF92" i="5" s="1"/>
  <c r="BA27" i="5"/>
  <c r="AV27" i="5"/>
  <c r="AQ27" i="5"/>
  <c r="AL27" i="5"/>
  <c r="AG27" i="5"/>
  <c r="AB27" i="5"/>
  <c r="W27" i="5"/>
  <c r="R27" i="5"/>
  <c r="M27" i="5"/>
  <c r="H27" i="5"/>
  <c r="EM26" i="5"/>
  <c r="EH26" i="5"/>
  <c r="EC26" i="5"/>
  <c r="DX26" i="5"/>
  <c r="DS26" i="5"/>
  <c r="DN26" i="5"/>
  <c r="DI26" i="5"/>
  <c r="DD26" i="5"/>
  <c r="CY26" i="5"/>
  <c r="CT26" i="5"/>
  <c r="CO26" i="5"/>
  <c r="W90" i="5" s="1"/>
  <c r="CJ26" i="5"/>
  <c r="CE26" i="5"/>
  <c r="BZ26" i="5"/>
  <c r="BU26" i="5"/>
  <c r="BP26" i="5"/>
  <c r="BK26" i="5"/>
  <c r="BF26" i="5"/>
  <c r="BA26" i="5"/>
  <c r="AV26" i="5"/>
  <c r="AV90" i="5" s="1"/>
  <c r="AQ26" i="5"/>
  <c r="AQ90" i="5" s="1"/>
  <c r="AL26" i="5"/>
  <c r="AL90" i="5" s="1"/>
  <c r="AG26" i="5"/>
  <c r="AB26" i="5"/>
  <c r="W26" i="5"/>
  <c r="R26" i="5"/>
  <c r="M26" i="5"/>
  <c r="H26" i="5"/>
  <c r="EM25" i="5"/>
  <c r="EH25" i="5"/>
  <c r="EC25" i="5"/>
  <c r="DX25" i="5"/>
  <c r="DS25" i="5"/>
  <c r="DS24" i="5" s="1"/>
  <c r="DS23" i="5" s="1"/>
  <c r="DN25" i="5"/>
  <c r="DN24" i="5" s="1"/>
  <c r="DI25" i="5"/>
  <c r="DI24" i="5" s="1"/>
  <c r="DI23" i="5" s="1"/>
  <c r="DD25" i="5"/>
  <c r="CY25" i="5"/>
  <c r="CT25" i="5"/>
  <c r="CO25" i="5"/>
  <c r="CJ25" i="5"/>
  <c r="CE25" i="5"/>
  <c r="BZ25" i="5"/>
  <c r="BU25" i="5"/>
  <c r="BP25" i="5"/>
  <c r="BK25" i="5"/>
  <c r="BF25" i="5"/>
  <c r="BA25" i="5"/>
  <c r="AV25" i="5"/>
  <c r="AQ25" i="5"/>
  <c r="AL25" i="5"/>
  <c r="AG25" i="5"/>
  <c r="AB25" i="5"/>
  <c r="W25" i="5"/>
  <c r="W89" i="5" s="1"/>
  <c r="R25" i="5"/>
  <c r="M25" i="5"/>
  <c r="H25" i="5"/>
  <c r="CJ24" i="5"/>
  <c r="EM21" i="5"/>
  <c r="BU21" i="5"/>
  <c r="EM19" i="5"/>
  <c r="BU19" i="5"/>
  <c r="EM18" i="5"/>
  <c r="BU18" i="5"/>
  <c r="BU82" i="5" s="1"/>
  <c r="EM17" i="5"/>
  <c r="BU17" i="5"/>
  <c r="BU81" i="5" s="1"/>
  <c r="EM16" i="5"/>
  <c r="BU16" i="5"/>
  <c r="BU80" i="5" s="1"/>
  <c r="EM15" i="5"/>
  <c r="BU15" i="5"/>
  <c r="BU14" i="5" s="1"/>
  <c r="BU13" i="5" s="1"/>
  <c r="EH14" i="5"/>
  <c r="EC14" i="5"/>
  <c r="EC13" i="5" s="1"/>
  <c r="DX14" i="5"/>
  <c r="DS14" i="5"/>
  <c r="DN14" i="5"/>
  <c r="DI14" i="5"/>
  <c r="DI13" i="5" s="1"/>
  <c r="DD14" i="5"/>
  <c r="CY14" i="5"/>
  <c r="CY13" i="5" s="1"/>
  <c r="CT14" i="5"/>
  <c r="CO14" i="5"/>
  <c r="CJ14" i="5"/>
  <c r="CE14" i="5"/>
  <c r="CE13" i="5" s="1"/>
  <c r="BZ14" i="5"/>
  <c r="BP14" i="5"/>
  <c r="BK14" i="5"/>
  <c r="BK78" i="5" s="1"/>
  <c r="BF14" i="5"/>
  <c r="BF78" i="5" s="1"/>
  <c r="BA14" i="5"/>
  <c r="BA78" i="5" s="1"/>
  <c r="AV14" i="5"/>
  <c r="AV78" i="5" s="1"/>
  <c r="AQ14" i="5"/>
  <c r="AQ78" i="5" s="1"/>
  <c r="AL14" i="5"/>
  <c r="AG14" i="5"/>
  <c r="AG78" i="5" s="1"/>
  <c r="AB14" i="5"/>
  <c r="AB78" i="5" s="1"/>
  <c r="W14" i="5"/>
  <c r="W78" i="5" s="1"/>
  <c r="R14" i="5"/>
  <c r="R78" i="5" s="1"/>
  <c r="M14" i="5"/>
  <c r="M78" i="5" s="1"/>
  <c r="H14" i="5"/>
  <c r="EH13" i="5"/>
  <c r="DX13" i="5"/>
  <c r="BF77" i="5" s="1"/>
  <c r="DS13" i="5"/>
  <c r="DN13" i="5"/>
  <c r="DD13" i="5"/>
  <c r="CT13" i="5"/>
  <c r="CO13" i="5"/>
  <c r="CJ13" i="5"/>
  <c r="BZ13" i="5"/>
  <c r="BP13" i="5"/>
  <c r="BP77" i="5" s="1"/>
  <c r="BK13" i="5"/>
  <c r="BF13" i="5"/>
  <c r="AV13" i="5"/>
  <c r="AV77" i="5" s="1"/>
  <c r="AL13" i="5"/>
  <c r="AL77" i="5" s="1"/>
  <c r="AG13" i="5"/>
  <c r="AB13" i="5"/>
  <c r="H13" i="5"/>
  <c r="AQ89" i="5" l="1"/>
  <c r="AQ24" i="5"/>
  <c r="DD24" i="5"/>
  <c r="AV89" i="5"/>
  <c r="M95" i="5"/>
  <c r="R95" i="5"/>
  <c r="BP24" i="5"/>
  <c r="DX41" i="5"/>
  <c r="DX40" i="5" s="1"/>
  <c r="BA101" i="5"/>
  <c r="BA35" i="5"/>
  <c r="BA100" i="5" s="1"/>
  <c r="EC41" i="5"/>
  <c r="EC40" i="5" s="1"/>
  <c r="EC71" i="5" s="1"/>
  <c r="EM41" i="5"/>
  <c r="DX48" i="5"/>
  <c r="DN23" i="5"/>
  <c r="EH48" i="5"/>
  <c r="EH40" i="5" s="1"/>
  <c r="M93" i="5"/>
  <c r="M24" i="5"/>
  <c r="AL89" i="5"/>
  <c r="AL24" i="5"/>
  <c r="AL88" i="5" s="1"/>
  <c r="W93" i="5"/>
  <c r="W24" i="5"/>
  <c r="W88" i="5" s="1"/>
  <c r="BA24" i="5"/>
  <c r="BA88" i="5" s="1"/>
  <c r="DS41" i="5"/>
  <c r="BZ48" i="5"/>
  <c r="AL100" i="5"/>
  <c r="R40" i="5"/>
  <c r="CJ48" i="5"/>
  <c r="CJ40" i="5" s="1"/>
  <c r="CJ71" i="5" s="1"/>
  <c r="BA96" i="5"/>
  <c r="BA30" i="5"/>
  <c r="BA95" i="5" s="1"/>
  <c r="BF96" i="5"/>
  <c r="BF30" i="5"/>
  <c r="BF95" i="5" s="1"/>
  <c r="BZ35" i="5"/>
  <c r="BF90" i="5"/>
  <c r="EC24" i="5"/>
  <c r="EC23" i="5" s="1"/>
  <c r="AQ41" i="5"/>
  <c r="AQ40" i="5" s="1"/>
  <c r="AG100" i="5"/>
  <c r="AV41" i="5"/>
  <c r="M55" i="5"/>
  <c r="BU24" i="5"/>
  <c r="DN48" i="5"/>
  <c r="BF101" i="5"/>
  <c r="BF35" i="5"/>
  <c r="BF100" i="5" s="1"/>
  <c r="DS48" i="5"/>
  <c r="BP41" i="5"/>
  <c r="BP40" i="5" s="1"/>
  <c r="BU41" i="5"/>
  <c r="BU40" i="5" s="1"/>
  <c r="AV95" i="5"/>
  <c r="BK96" i="5"/>
  <c r="BK30" i="5"/>
  <c r="W98" i="5"/>
  <c r="CE35" i="5"/>
  <c r="CE23" i="5" s="1"/>
  <c r="CE71" i="5" s="1"/>
  <c r="H48" i="5"/>
  <c r="H40" i="5" s="1"/>
  <c r="AB89" i="5"/>
  <c r="AB24" i="5"/>
  <c r="AG89" i="5"/>
  <c r="AG24" i="5"/>
  <c r="AG23" i="5" s="1"/>
  <c r="AG87" i="5" s="1"/>
  <c r="R93" i="5"/>
  <c r="R24" i="5"/>
  <c r="R23" i="5" s="1"/>
  <c r="R87" i="5" s="1"/>
  <c r="BK90" i="5"/>
  <c r="M92" i="5"/>
  <c r="EM24" i="5"/>
  <c r="EM23" i="5" s="1"/>
  <c r="BA41" i="5"/>
  <c r="BA40" i="5" s="1"/>
  <c r="BK35" i="5"/>
  <c r="BK100" i="5" s="1"/>
  <c r="BK101" i="5"/>
  <c r="BK41" i="5"/>
  <c r="AV63" i="5"/>
  <c r="DX63" i="5"/>
  <c r="W96" i="5"/>
  <c r="BK93" i="5"/>
  <c r="AV102" i="5"/>
  <c r="AB55" i="5"/>
  <c r="AB40" i="5" s="1"/>
  <c r="AV24" i="5"/>
  <c r="AV88" i="5" s="1"/>
  <c r="AB90" i="5"/>
  <c r="AV92" i="5"/>
  <c r="BP93" i="5"/>
  <c r="AG96" i="5"/>
  <c r="BA97" i="5"/>
  <c r="BU98" i="5"/>
  <c r="BA102" i="5"/>
  <c r="DN55" i="5"/>
  <c r="BK55" i="5"/>
  <c r="BF98" i="5"/>
  <c r="AL102" i="5"/>
  <c r="CE48" i="5"/>
  <c r="CE40" i="5" s="1"/>
  <c r="R90" i="5"/>
  <c r="W55" i="5"/>
  <c r="AB101" i="5"/>
  <c r="BW108" i="5"/>
  <c r="M89" i="5"/>
  <c r="AG90" i="5"/>
  <c r="BA92" i="5"/>
  <c r="BU93" i="5"/>
  <c r="AL96" i="5"/>
  <c r="AL101" i="5"/>
  <c r="BF102" i="5"/>
  <c r="CY48" i="5"/>
  <c r="AQ48" i="5"/>
  <c r="AL55" i="5"/>
  <c r="DS55" i="5"/>
  <c r="AB98" i="5"/>
  <c r="BP101" i="5"/>
  <c r="CJ23" i="5"/>
  <c r="BP90" i="5"/>
  <c r="AB93" i="5"/>
  <c r="BU96" i="5"/>
  <c r="BU101" i="5"/>
  <c r="BA89" i="5"/>
  <c r="BF89" i="5"/>
  <c r="R92" i="5"/>
  <c r="AL93" i="5"/>
  <c r="W97" i="5"/>
  <c r="AQ98" i="5"/>
  <c r="W102" i="5"/>
  <c r="CJ55" i="5"/>
  <c r="AG55" i="5"/>
  <c r="DX24" i="5"/>
  <c r="DX23" i="5" s="1"/>
  <c r="AB102" i="5"/>
  <c r="CO55" i="5"/>
  <c r="CO40" i="5" s="1"/>
  <c r="BP89" i="5"/>
  <c r="BU30" i="5"/>
  <c r="BU95" i="5" s="1"/>
  <c r="AG97" i="5"/>
  <c r="BA98" i="5"/>
  <c r="BU35" i="5"/>
  <c r="BU100" i="5" s="1"/>
  <c r="AG102" i="5"/>
  <c r="BU89" i="5"/>
  <c r="AG92" i="5"/>
  <c r="AL97" i="5"/>
  <c r="W48" i="5"/>
  <c r="CY55" i="5"/>
  <c r="BF93" i="5"/>
  <c r="AQ97" i="5"/>
  <c r="W101" i="5"/>
  <c r="AV97" i="5"/>
  <c r="BF24" i="5"/>
  <c r="W30" i="5"/>
  <c r="W95" i="5" s="1"/>
  <c r="W35" i="5"/>
  <c r="W100" i="5" s="1"/>
  <c r="BP96" i="5"/>
  <c r="BP55" i="5"/>
  <c r="M97" i="5"/>
  <c r="M102" i="5"/>
  <c r="BU90" i="5"/>
  <c r="AG93" i="5"/>
  <c r="R97" i="5"/>
  <c r="AL98" i="5"/>
  <c r="R102" i="5"/>
  <c r="BK89" i="5"/>
  <c r="W92" i="5"/>
  <c r="AQ93" i="5"/>
  <c r="BP30" i="5"/>
  <c r="AV98" i="5"/>
  <c r="BP35" i="5"/>
  <c r="BP100" i="5" s="1"/>
  <c r="M48" i="5"/>
  <c r="M40" i="5" s="1"/>
  <c r="AB92" i="5"/>
  <c r="M96" i="5"/>
  <c r="M101" i="5"/>
  <c r="DX55" i="5"/>
  <c r="M90" i="5"/>
  <c r="EH24" i="5"/>
  <c r="EH23" i="5" s="1"/>
  <c r="EH71" i="5" s="1"/>
  <c r="R101" i="5"/>
  <c r="AL92" i="5"/>
  <c r="AQ102" i="5"/>
  <c r="AB96" i="5"/>
  <c r="BP98" i="5"/>
  <c r="BK24" i="5"/>
  <c r="BK88" i="5" s="1"/>
  <c r="BA90" i="5"/>
  <c r="AB30" i="5"/>
  <c r="AB95" i="5" s="1"/>
  <c r="BP97" i="5"/>
  <c r="AB35" i="5"/>
  <c r="AB100" i="5" s="1"/>
  <c r="AV101" i="5"/>
  <c r="BP102" i="5"/>
  <c r="DI48" i="5"/>
  <c r="DI40" i="5" s="1"/>
  <c r="DI71" i="5" s="1"/>
  <c r="BA48" i="5"/>
  <c r="EC55" i="5"/>
  <c r="M13" i="5"/>
  <c r="M77" i="5" s="1"/>
  <c r="AQ13" i="5"/>
  <c r="BU79" i="5"/>
  <c r="DD23" i="5"/>
  <c r="DD71" i="5" s="1"/>
  <c r="AV40" i="5"/>
  <c r="AL40" i="5"/>
  <c r="R13" i="5"/>
  <c r="R77" i="5" s="1"/>
  <c r="W13" i="5"/>
  <c r="BA13" i="5"/>
  <c r="AL78" i="5"/>
  <c r="BP78" i="5"/>
  <c r="BU83" i="5"/>
  <c r="AG95" i="5"/>
  <c r="BK95" i="5"/>
  <c r="M100" i="5"/>
  <c r="AQ100" i="5"/>
  <c r="BZ40" i="5"/>
  <c r="R88" i="5"/>
  <c r="H23" i="5"/>
  <c r="AL23" i="5"/>
  <c r="BP23" i="5"/>
  <c r="R100" i="5"/>
  <c r="AV100" i="5"/>
  <c r="BZ77" i="5"/>
  <c r="AB77" i="5"/>
  <c r="AG77" i="5"/>
  <c r="BK77" i="5"/>
  <c r="CO71" i="5"/>
  <c r="BU85" i="5"/>
  <c r="DN40" i="5"/>
  <c r="AG40" i="5"/>
  <c r="AG71" i="5" s="1"/>
  <c r="BK40" i="5"/>
  <c r="CT40" i="5"/>
  <c r="CT71" i="5" s="1"/>
  <c r="BW79" i="5"/>
  <c r="CY40" i="5"/>
  <c r="CY71" i="5" s="1"/>
  <c r="W40" i="5"/>
  <c r="BW107" i="5"/>
  <c r="BW78" i="5"/>
  <c r="BP95" i="5"/>
  <c r="AL95" i="5"/>
  <c r="AL71" i="5"/>
  <c r="W77" i="5"/>
  <c r="BA77" i="5"/>
  <c r="BZ23" i="5"/>
  <c r="EM48" i="5"/>
  <c r="EM14" i="5"/>
  <c r="DX71" i="5" l="1"/>
  <c r="BP71" i="5"/>
  <c r="AB23" i="5"/>
  <c r="AQ88" i="5"/>
  <c r="AQ23" i="5"/>
  <c r="AQ87" i="5" s="1"/>
  <c r="H71" i="5"/>
  <c r="BU88" i="5"/>
  <c r="BU23" i="5"/>
  <c r="BU87" i="5" s="1"/>
  <c r="BF23" i="5"/>
  <c r="BF88" i="5"/>
  <c r="AV23" i="5"/>
  <c r="AV87" i="5" s="1"/>
  <c r="DS40" i="5"/>
  <c r="DS71" i="5" s="1"/>
  <c r="BK23" i="5"/>
  <c r="BK87" i="5" s="1"/>
  <c r="W23" i="5"/>
  <c r="W87" i="5" s="1"/>
  <c r="DN71" i="5"/>
  <c r="BP88" i="5"/>
  <c r="AB88" i="5"/>
  <c r="AG88" i="5"/>
  <c r="BA23" i="5"/>
  <c r="BA87" i="5" s="1"/>
  <c r="M23" i="5"/>
  <c r="M88" i="5"/>
  <c r="AQ71" i="5"/>
  <c r="R71" i="5"/>
  <c r="AQ77" i="5"/>
  <c r="BP87" i="5"/>
  <c r="AV71" i="5"/>
  <c r="AL87" i="5"/>
  <c r="BW77" i="5"/>
  <c r="BW76" i="5" s="1"/>
  <c r="BW75" i="5" s="1"/>
  <c r="BW141" i="5" s="1"/>
  <c r="EM13" i="5"/>
  <c r="BU78" i="5"/>
  <c r="EM40" i="5"/>
  <c r="BZ71" i="5"/>
  <c r="BF87" i="5" l="1"/>
  <c r="BF71" i="5"/>
  <c r="M71" i="5"/>
  <c r="M87" i="5"/>
  <c r="AB87" i="5"/>
  <c r="AB71" i="5"/>
  <c r="BU71" i="5"/>
  <c r="BK71" i="5"/>
  <c r="W71" i="5"/>
  <c r="BA71" i="5"/>
  <c r="EM71" i="5"/>
  <c r="BU77" i="5"/>
  <c r="BU74" i="4" l="1"/>
  <c r="BT74" i="4"/>
  <c r="BS74" i="4"/>
  <c r="BV74" i="4" s="1"/>
  <c r="BX74" i="4" s="1"/>
  <c r="BR74" i="4"/>
  <c r="AR74" i="4"/>
  <c r="N74" i="4"/>
  <c r="I74" i="4"/>
  <c r="BV72" i="4"/>
  <c r="BQ72" i="4"/>
  <c r="BL72" i="4"/>
  <c r="BG72" i="4"/>
  <c r="BB72" i="4"/>
  <c r="AW72" i="4"/>
  <c r="AR72" i="4"/>
  <c r="AM72" i="4"/>
  <c r="AH72" i="4"/>
  <c r="AC72" i="4"/>
  <c r="X72" i="4"/>
  <c r="S72" i="4"/>
  <c r="N72" i="4"/>
  <c r="I72" i="4"/>
  <c r="BV71" i="4"/>
  <c r="BQ71" i="4"/>
  <c r="BL71" i="4"/>
  <c r="BG71" i="4"/>
  <c r="BB71" i="4"/>
  <c r="AW71" i="4"/>
  <c r="AR71" i="4"/>
  <c r="AM71" i="4"/>
  <c r="AH71" i="4"/>
  <c r="AC71" i="4"/>
  <c r="X71" i="4"/>
  <c r="S71" i="4"/>
  <c r="N71" i="4"/>
  <c r="I71" i="4"/>
  <c r="BP70" i="4"/>
  <c r="BP73" i="4" s="1"/>
  <c r="BP75" i="4" s="1"/>
  <c r="CD69" i="4"/>
  <c r="CC69" i="4"/>
  <c r="CB69" i="4"/>
  <c r="CA69" i="4"/>
  <c r="BZ69" i="4"/>
  <c r="BP69" i="4"/>
  <c r="BO69" i="4"/>
  <c r="BN69" i="4"/>
  <c r="BM69" i="4"/>
  <c r="BI69" i="4"/>
  <c r="BA69" i="4"/>
  <c r="AL69" i="4"/>
  <c r="AK69" i="4"/>
  <c r="AJ69" i="4"/>
  <c r="AI69" i="4"/>
  <c r="W69" i="4"/>
  <c r="V69" i="4"/>
  <c r="U69" i="4"/>
  <c r="G69" i="4"/>
  <c r="F69" i="4"/>
  <c r="CH68" i="4"/>
  <c r="CG68" i="4"/>
  <c r="CF68" i="4"/>
  <c r="CE68" i="4"/>
  <c r="BU68" i="4"/>
  <c r="BT68" i="4"/>
  <c r="BS68" i="4"/>
  <c r="BR68" i="4"/>
  <c r="BQ68" i="4"/>
  <c r="BL68" i="4"/>
  <c r="BG68" i="4"/>
  <c r="BB68" i="4"/>
  <c r="AW68" i="4"/>
  <c r="AR68" i="4"/>
  <c r="AM68" i="4"/>
  <c r="AH68" i="4"/>
  <c r="AC68" i="4"/>
  <c r="X68" i="4"/>
  <c r="S68" i="4"/>
  <c r="N68" i="4"/>
  <c r="CI68" i="4" s="1"/>
  <c r="I68" i="4"/>
  <c r="CI67" i="4"/>
  <c r="CH67" i="4"/>
  <c r="CG67" i="4"/>
  <c r="CF67" i="4"/>
  <c r="CE67" i="4"/>
  <c r="BU67" i="4"/>
  <c r="BT67" i="4"/>
  <c r="BS67" i="4"/>
  <c r="BR67" i="4"/>
  <c r="BQ67" i="4"/>
  <c r="BL67" i="4"/>
  <c r="BG67" i="4"/>
  <c r="BB67" i="4"/>
  <c r="AW67" i="4"/>
  <c r="AR67" i="4"/>
  <c r="AM67" i="4"/>
  <c r="AH67" i="4"/>
  <c r="AC67" i="4"/>
  <c r="X67" i="4"/>
  <c r="S67" i="4"/>
  <c r="N67" i="4"/>
  <c r="I67" i="4"/>
  <c r="CI66" i="4"/>
  <c r="CH66" i="4"/>
  <c r="CG66" i="4"/>
  <c r="CF66" i="4"/>
  <c r="CE66" i="4"/>
  <c r="BU66" i="4"/>
  <c r="BT66" i="4"/>
  <c r="BS66" i="4"/>
  <c r="BV66" i="4" s="1"/>
  <c r="BX66" i="4" s="1"/>
  <c r="BR66" i="4"/>
  <c r="BQ66" i="4"/>
  <c r="BL66" i="4"/>
  <c r="BG66" i="4"/>
  <c r="BB66" i="4"/>
  <c r="AW66" i="4"/>
  <c r="AR66" i="4"/>
  <c r="AM66" i="4"/>
  <c r="AH66" i="4"/>
  <c r="AC66" i="4"/>
  <c r="X66" i="4"/>
  <c r="S66" i="4"/>
  <c r="N66" i="4"/>
  <c r="I66" i="4"/>
  <c r="CH65" i="4"/>
  <c r="CG65" i="4"/>
  <c r="CF65" i="4"/>
  <c r="CE65" i="4"/>
  <c r="BU65" i="4"/>
  <c r="BT65" i="4"/>
  <c r="BS65" i="4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CI65" i="4" s="1"/>
  <c r="I65" i="4"/>
  <c r="CI64" i="4"/>
  <c r="CH64" i="4"/>
  <c r="CG64" i="4"/>
  <c r="CF64" i="4"/>
  <c r="CE64" i="4"/>
  <c r="BU64" i="4"/>
  <c r="BT64" i="4"/>
  <c r="BT61" i="4" s="1"/>
  <c r="BS64" i="4"/>
  <c r="BR64" i="4"/>
  <c r="BV64" i="4" s="1"/>
  <c r="BL64" i="4"/>
  <c r="AW64" i="4"/>
  <c r="AM64" i="4"/>
  <c r="I64" i="4"/>
  <c r="CG63" i="4"/>
  <c r="CF63" i="4"/>
  <c r="CE63" i="4"/>
  <c r="BU63" i="4"/>
  <c r="BT63" i="4"/>
  <c r="BS63" i="4"/>
  <c r="BR63" i="4"/>
  <c r="BQ63" i="4"/>
  <c r="BQ61" i="4" s="1"/>
  <c r="BL63" i="4"/>
  <c r="BG63" i="4"/>
  <c r="BG61" i="4" s="1"/>
  <c r="BB63" i="4"/>
  <c r="AM63" i="4"/>
  <c r="AH63" i="4"/>
  <c r="AH61" i="4" s="1"/>
  <c r="I63" i="4"/>
  <c r="CH62" i="4"/>
  <c r="CG62" i="4"/>
  <c r="CF62" i="4"/>
  <c r="CE62" i="4"/>
  <c r="BU62" i="4"/>
  <c r="BT62" i="4"/>
  <c r="BS62" i="4"/>
  <c r="BS61" i="4" s="1"/>
  <c r="BR62" i="4"/>
  <c r="BL62" i="4"/>
  <c r="AW62" i="4"/>
  <c r="AM62" i="4"/>
  <c r="AH62" i="4"/>
  <c r="AC62" i="4"/>
  <c r="AC61" i="4" s="1"/>
  <c r="X62" i="4"/>
  <c r="S62" i="4"/>
  <c r="S61" i="4" s="1"/>
  <c r="N62" i="4"/>
  <c r="CI62" i="4" s="1"/>
  <c r="I62" i="4"/>
  <c r="I61" i="4" s="1"/>
  <c r="CF61" i="4"/>
  <c r="BL61" i="4"/>
  <c r="BK61" i="4"/>
  <c r="BK69" i="4" s="1"/>
  <c r="BJ61" i="4"/>
  <c r="BJ69" i="4" s="1"/>
  <c r="BI61" i="4"/>
  <c r="BH61" i="4"/>
  <c r="BH69" i="4" s="1"/>
  <c r="BF61" i="4"/>
  <c r="BF69" i="4" s="1"/>
  <c r="BE61" i="4"/>
  <c r="BE69" i="4" s="1"/>
  <c r="BD61" i="4"/>
  <c r="BD69" i="4" s="1"/>
  <c r="BC61" i="4"/>
  <c r="BC69" i="4" s="1"/>
  <c r="BB61" i="4"/>
  <c r="BA61" i="4"/>
  <c r="AZ61" i="4"/>
  <c r="AZ69" i="4" s="1"/>
  <c r="AY61" i="4"/>
  <c r="AY69" i="4" s="1"/>
  <c r="AX61" i="4"/>
  <c r="AV61" i="4"/>
  <c r="AV69" i="4" s="1"/>
  <c r="AU61" i="4"/>
  <c r="AU69" i="4" s="1"/>
  <c r="AT61" i="4"/>
  <c r="AS61" i="4"/>
  <c r="AS69" i="4" s="1"/>
  <c r="AR61" i="4"/>
  <c r="AM61" i="4"/>
  <c r="AG61" i="4"/>
  <c r="AF61" i="4"/>
  <c r="AE61" i="4"/>
  <c r="AD61" i="4"/>
  <c r="X61" i="4"/>
  <c r="R61" i="4"/>
  <c r="Q61" i="4"/>
  <c r="P61" i="4"/>
  <c r="O61" i="4"/>
  <c r="N61" i="4"/>
  <c r="CI61" i="4" s="1"/>
  <c r="M61" i="4"/>
  <c r="CH61" i="4" s="1"/>
  <c r="L61" i="4"/>
  <c r="CG61" i="4" s="1"/>
  <c r="K61" i="4"/>
  <c r="J61" i="4"/>
  <c r="CE61" i="4" s="1"/>
  <c r="CI60" i="4"/>
  <c r="CH60" i="4"/>
  <c r="CG60" i="4"/>
  <c r="CF60" i="4"/>
  <c r="CE60" i="4"/>
  <c r="CH59" i="4"/>
  <c r="CG59" i="4"/>
  <c r="CF59" i="4"/>
  <c r="CE59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CI59" i="4" s="1"/>
  <c r="I59" i="4"/>
  <c r="CH58" i="4"/>
  <c r="CG58" i="4"/>
  <c r="CF58" i="4"/>
  <c r="CE58" i="4"/>
  <c r="BT58" i="4"/>
  <c r="BS58" i="4"/>
  <c r="BR58" i="4"/>
  <c r="BQ58" i="4"/>
  <c r="BL58" i="4"/>
  <c r="BG58" i="4"/>
  <c r="BF58" i="4"/>
  <c r="BB58" i="4"/>
  <c r="AV58" i="4"/>
  <c r="AW58" i="4" s="1"/>
  <c r="AQ58" i="4"/>
  <c r="AR58" i="4" s="1"/>
  <c r="AM58" i="4"/>
  <c r="AH58" i="4"/>
  <c r="AG58" i="4"/>
  <c r="AB58" i="4"/>
  <c r="AB69" i="4" s="1"/>
  <c r="AB70" i="4" s="1"/>
  <c r="AB73" i="4" s="1"/>
  <c r="AB75" i="4" s="1"/>
  <c r="X58" i="4"/>
  <c r="R58" i="4"/>
  <c r="S58" i="4" s="1"/>
  <c r="M58" i="4"/>
  <c r="N58" i="4" s="1"/>
  <c r="CI58" i="4" s="1"/>
  <c r="H58" i="4"/>
  <c r="CH57" i="4"/>
  <c r="CG57" i="4"/>
  <c r="CF57" i="4"/>
  <c r="CE57" i="4"/>
  <c r="BU57" i="4"/>
  <c r="BT57" i="4"/>
  <c r="BS57" i="4"/>
  <c r="BR57" i="4"/>
  <c r="BQ57" i="4"/>
  <c r="BL57" i="4"/>
  <c r="BG57" i="4"/>
  <c r="BB57" i="4"/>
  <c r="AW57" i="4"/>
  <c r="AR57" i="4"/>
  <c r="AM57" i="4"/>
  <c r="AH57" i="4"/>
  <c r="AC57" i="4"/>
  <c r="X57" i="4"/>
  <c r="S57" i="4"/>
  <c r="N57" i="4"/>
  <c r="CI57" i="4" s="1"/>
  <c r="I57" i="4"/>
  <c r="CH56" i="4"/>
  <c r="CG56" i="4"/>
  <c r="CF56" i="4"/>
  <c r="CE56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CI56" i="4" s="1"/>
  <c r="I56" i="4"/>
  <c r="CH55" i="4"/>
  <c r="CG55" i="4"/>
  <c r="CF55" i="4"/>
  <c r="BU55" i="4"/>
  <c r="BT55" i="4"/>
  <c r="BS55" i="4"/>
  <c r="BQ55" i="4"/>
  <c r="BL55" i="4"/>
  <c r="BG55" i="4"/>
  <c r="BB55" i="4"/>
  <c r="AW55" i="4"/>
  <c r="AR55" i="4"/>
  <c r="AM55" i="4"/>
  <c r="AH55" i="4"/>
  <c r="Y55" i="4"/>
  <c r="X55" i="4"/>
  <c r="S55" i="4"/>
  <c r="J55" i="4"/>
  <c r="N55" i="4" s="1"/>
  <c r="E55" i="4"/>
  <c r="I55" i="4" s="1"/>
  <c r="CH54" i="4"/>
  <c r="CG54" i="4"/>
  <c r="CF54" i="4"/>
  <c r="BU54" i="4"/>
  <c r="BT54" i="4"/>
  <c r="BS54" i="4"/>
  <c r="BQ54" i="4"/>
  <c r="BQ53" i="4" s="1"/>
  <c r="BL54" i="4"/>
  <c r="BG54" i="4"/>
  <c r="BB54" i="4"/>
  <c r="AW54" i="4"/>
  <c r="AW53" i="4" s="1"/>
  <c r="AR54" i="4"/>
  <c r="AM54" i="4"/>
  <c r="AM53" i="4" s="1"/>
  <c r="AH54" i="4"/>
  <c r="AC54" i="4"/>
  <c r="Y54" i="4"/>
  <c r="X54" i="4"/>
  <c r="X53" i="4" s="1"/>
  <c r="S54" i="4"/>
  <c r="J54" i="4"/>
  <c r="BR54" i="4" s="1"/>
  <c r="I54" i="4"/>
  <c r="CF53" i="4"/>
  <c r="BU53" i="4"/>
  <c r="BG53" i="4"/>
  <c r="BC53" i="4"/>
  <c r="AX53" i="4"/>
  <c r="AX69" i="4" s="1"/>
  <c r="AQ53" i="4"/>
  <c r="AQ69" i="4" s="1"/>
  <c r="AP53" i="4"/>
  <c r="AP69" i="4" s="1"/>
  <c r="AO53" i="4"/>
  <c r="AO69" i="4" s="1"/>
  <c r="AN53" i="4"/>
  <c r="AN69" i="4" s="1"/>
  <c r="AG53" i="4"/>
  <c r="AF53" i="4"/>
  <c r="AF69" i="4" s="1"/>
  <c r="AF70" i="4" s="1"/>
  <c r="AF73" i="4" s="1"/>
  <c r="AF75" i="4" s="1"/>
  <c r="AE53" i="4"/>
  <c r="AE69" i="4" s="1"/>
  <c r="AD53" i="4"/>
  <c r="AD69" i="4" s="1"/>
  <c r="AB53" i="4"/>
  <c r="AA53" i="4"/>
  <c r="AA69" i="4" s="1"/>
  <c r="Z53" i="4"/>
  <c r="Z69" i="4" s="1"/>
  <c r="T53" i="4"/>
  <c r="T69" i="4" s="1"/>
  <c r="R53" i="4"/>
  <c r="Q53" i="4"/>
  <c r="Q69" i="4" s="1"/>
  <c r="P53" i="4"/>
  <c r="O53" i="4"/>
  <c r="M53" i="4"/>
  <c r="CH53" i="4" s="1"/>
  <c r="L53" i="4"/>
  <c r="K53" i="4"/>
  <c r="K69" i="4" s="1"/>
  <c r="J53" i="4"/>
  <c r="J69" i="4" s="1"/>
  <c r="J70" i="4" s="1"/>
  <c r="J73" i="4" s="1"/>
  <c r="J75" i="4" s="1"/>
  <c r="CH52" i="4"/>
  <c r="CG52" i="4"/>
  <c r="CF52" i="4"/>
  <c r="CE52" i="4"/>
  <c r="BU52" i="4"/>
  <c r="BT52" i="4"/>
  <c r="BS52" i="4"/>
  <c r="BR52" i="4"/>
  <c r="BQ52" i="4"/>
  <c r="BL52" i="4"/>
  <c r="BG52" i="4"/>
  <c r="BB52" i="4"/>
  <c r="AW52" i="4"/>
  <c r="AR52" i="4"/>
  <c r="AM52" i="4"/>
  <c r="AH52" i="4"/>
  <c r="AC52" i="4"/>
  <c r="X52" i="4"/>
  <c r="S52" i="4"/>
  <c r="N52" i="4"/>
  <c r="CI52" i="4" s="1"/>
  <c r="I52" i="4"/>
  <c r="CI51" i="4"/>
  <c r="CH51" i="4"/>
  <c r="CG51" i="4"/>
  <c r="CF51" i="4"/>
  <c r="CE51" i="4"/>
  <c r="BU51" i="4"/>
  <c r="BT51" i="4"/>
  <c r="BS51" i="4"/>
  <c r="BR51" i="4"/>
  <c r="BQ51" i="4"/>
  <c r="BL51" i="4"/>
  <c r="BG51" i="4"/>
  <c r="BB51" i="4"/>
  <c r="AW51" i="4"/>
  <c r="AR51" i="4"/>
  <c r="AM51" i="4"/>
  <c r="AH51" i="4"/>
  <c r="AC51" i="4"/>
  <c r="X51" i="4"/>
  <c r="S51" i="4"/>
  <c r="N51" i="4"/>
  <c r="I51" i="4"/>
  <c r="CD48" i="4"/>
  <c r="CC48" i="4"/>
  <c r="CB48" i="4"/>
  <c r="CA48" i="4"/>
  <c r="BZ48" i="4"/>
  <c r="BP48" i="4"/>
  <c r="BO48" i="4"/>
  <c r="BO70" i="4" s="1"/>
  <c r="BO73" i="4" s="1"/>
  <c r="BO75" i="4" s="1"/>
  <c r="BN48" i="4"/>
  <c r="BN70" i="4" s="1"/>
  <c r="BN73" i="4" s="1"/>
  <c r="BN75" i="4" s="1"/>
  <c r="BM48" i="4"/>
  <c r="BM70" i="4" s="1"/>
  <c r="BM73" i="4" s="1"/>
  <c r="BM75" i="4" s="1"/>
  <c r="BK48" i="4"/>
  <c r="BJ48" i="4"/>
  <c r="BJ70" i="4" s="1"/>
  <c r="BJ73" i="4" s="1"/>
  <c r="BJ75" i="4" s="1"/>
  <c r="BI48" i="4"/>
  <c r="BI70" i="4" s="1"/>
  <c r="BI73" i="4" s="1"/>
  <c r="BI75" i="4" s="1"/>
  <c r="BH48" i="4"/>
  <c r="BH70" i="4" s="1"/>
  <c r="BH73" i="4" s="1"/>
  <c r="BH75" i="4" s="1"/>
  <c r="BF48" i="4"/>
  <c r="BE48" i="4"/>
  <c r="BD48" i="4"/>
  <c r="BC48" i="4"/>
  <c r="BA48" i="4"/>
  <c r="BA70" i="4" s="1"/>
  <c r="BA73" i="4" s="1"/>
  <c r="BA75" i="4" s="1"/>
  <c r="AZ48" i="4"/>
  <c r="AY48" i="4"/>
  <c r="AX48" i="4"/>
  <c r="AV48" i="4"/>
  <c r="AU48" i="4"/>
  <c r="AT48" i="4"/>
  <c r="AS48" i="4"/>
  <c r="AQ48" i="4"/>
  <c r="AP48" i="4"/>
  <c r="AO48" i="4"/>
  <c r="AN48" i="4"/>
  <c r="AL48" i="4"/>
  <c r="AL70" i="4" s="1"/>
  <c r="AL73" i="4" s="1"/>
  <c r="AL75" i="4" s="1"/>
  <c r="AK48" i="4"/>
  <c r="AJ48" i="4"/>
  <c r="AJ70" i="4" s="1"/>
  <c r="AJ73" i="4" s="1"/>
  <c r="AJ75" i="4" s="1"/>
  <c r="AI48" i="4"/>
  <c r="AI70" i="4" s="1"/>
  <c r="AI73" i="4" s="1"/>
  <c r="AI75" i="4" s="1"/>
  <c r="AG48" i="4"/>
  <c r="AF48" i="4"/>
  <c r="AE48" i="4"/>
  <c r="AD48" i="4"/>
  <c r="AB48" i="4"/>
  <c r="Z48" i="4"/>
  <c r="Z70" i="4" s="1"/>
  <c r="Z73" i="4" s="1"/>
  <c r="Z75" i="4" s="1"/>
  <c r="Y48" i="4"/>
  <c r="W48" i="4"/>
  <c r="V48" i="4"/>
  <c r="V70" i="4" s="1"/>
  <c r="V73" i="4" s="1"/>
  <c r="V75" i="4" s="1"/>
  <c r="U48" i="4"/>
  <c r="U70" i="4" s="1"/>
  <c r="U73" i="4" s="1"/>
  <c r="U75" i="4" s="1"/>
  <c r="T48" i="4"/>
  <c r="R48" i="4"/>
  <c r="Q48" i="4"/>
  <c r="O48" i="4"/>
  <c r="M48" i="4"/>
  <c r="L48" i="4"/>
  <c r="K48" i="4"/>
  <c r="J48" i="4"/>
  <c r="G48" i="4"/>
  <c r="CH47" i="4"/>
  <c r="CG47" i="4"/>
  <c r="CF47" i="4"/>
  <c r="CE47" i="4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CI47" i="4" s="1"/>
  <c r="I47" i="4"/>
  <c r="CI46" i="4"/>
  <c r="CH46" i="4"/>
  <c r="CG46" i="4"/>
  <c r="CF46" i="4"/>
  <c r="CE46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F46" i="4"/>
  <c r="CH45" i="4"/>
  <c r="CG45" i="4"/>
  <c r="CF45" i="4"/>
  <c r="CE45" i="4"/>
  <c r="BU45" i="4"/>
  <c r="BT45" i="4"/>
  <c r="BS45" i="4"/>
  <c r="BR45" i="4"/>
  <c r="BQ45" i="4"/>
  <c r="BL45" i="4"/>
  <c r="BG45" i="4"/>
  <c r="BB45" i="4"/>
  <c r="AW45" i="4"/>
  <c r="AR45" i="4"/>
  <c r="AM45" i="4"/>
  <c r="AH45" i="4"/>
  <c r="AC45" i="4"/>
  <c r="X45" i="4"/>
  <c r="S45" i="4"/>
  <c r="N45" i="4"/>
  <c r="CI45" i="4" s="1"/>
  <c r="I45" i="4"/>
  <c r="CH44" i="4"/>
  <c r="CG44" i="4"/>
  <c r="CF44" i="4"/>
  <c r="CE44" i="4"/>
  <c r="BU44" i="4"/>
  <c r="BT44" i="4"/>
  <c r="BS44" i="4"/>
  <c r="BR44" i="4"/>
  <c r="BQ44" i="4"/>
  <c r="BL44" i="4"/>
  <c r="BG44" i="4"/>
  <c r="BB44" i="4"/>
  <c r="AW44" i="4"/>
  <c r="AR44" i="4"/>
  <c r="AM44" i="4"/>
  <c r="AH44" i="4"/>
  <c r="AC44" i="4"/>
  <c r="X44" i="4"/>
  <c r="S44" i="4"/>
  <c r="N44" i="4"/>
  <c r="CI44" i="4" s="1"/>
  <c r="I44" i="4"/>
  <c r="CH43" i="4"/>
  <c r="CG43" i="4"/>
  <c r="CF43" i="4"/>
  <c r="CE43" i="4"/>
  <c r="BU43" i="4"/>
  <c r="BT43" i="4"/>
  <c r="BS43" i="4"/>
  <c r="BR43" i="4"/>
  <c r="BQ43" i="4"/>
  <c r="BL43" i="4"/>
  <c r="BG43" i="4"/>
  <c r="BB43" i="4"/>
  <c r="AW43" i="4"/>
  <c r="AR43" i="4"/>
  <c r="AM43" i="4"/>
  <c r="AH43" i="4"/>
  <c r="AC43" i="4"/>
  <c r="X43" i="4"/>
  <c r="S43" i="4"/>
  <c r="N43" i="4"/>
  <c r="CI43" i="4" s="1"/>
  <c r="I43" i="4"/>
  <c r="CH42" i="4"/>
  <c r="CG42" i="4"/>
  <c r="CF42" i="4"/>
  <c r="CE42" i="4"/>
  <c r="BU42" i="4"/>
  <c r="BT42" i="4"/>
  <c r="BS42" i="4"/>
  <c r="BR42" i="4"/>
  <c r="BQ42" i="4"/>
  <c r="BL42" i="4"/>
  <c r="BG42" i="4"/>
  <c r="BB42" i="4"/>
  <c r="AW42" i="4"/>
  <c r="AR42" i="4"/>
  <c r="AM42" i="4"/>
  <c r="AH42" i="4"/>
  <c r="AC42" i="4"/>
  <c r="X42" i="4"/>
  <c r="S42" i="4"/>
  <c r="N42" i="4"/>
  <c r="CI42" i="4" s="1"/>
  <c r="I42" i="4"/>
  <c r="CH41" i="4"/>
  <c r="CG41" i="4"/>
  <c r="CF41" i="4"/>
  <c r="CE41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CI41" i="4" s="1"/>
  <c r="I41" i="4"/>
  <c r="CH40" i="4"/>
  <c r="CG40" i="4"/>
  <c r="CF40" i="4"/>
  <c r="CE40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CI40" i="4" s="1"/>
  <c r="I40" i="4"/>
  <c r="CH39" i="4"/>
  <c r="CG39" i="4"/>
  <c r="CF39" i="4"/>
  <c r="CE39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CI39" i="4" s="1"/>
  <c r="I39" i="4"/>
  <c r="CH38" i="4"/>
  <c r="CG38" i="4"/>
  <c r="CF38" i="4"/>
  <c r="CE38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CI38" i="4" s="1"/>
  <c r="I38" i="4"/>
  <c r="CH37" i="4"/>
  <c r="CG37" i="4"/>
  <c r="CF37" i="4"/>
  <c r="CE37" i="4"/>
  <c r="BU37" i="4"/>
  <c r="BT37" i="4"/>
  <c r="BS37" i="4"/>
  <c r="BR37" i="4"/>
  <c r="BQ37" i="4"/>
  <c r="BL37" i="4"/>
  <c r="BG37" i="4"/>
  <c r="BB37" i="4"/>
  <c r="AW37" i="4"/>
  <c r="AR37" i="4"/>
  <c r="AM37" i="4"/>
  <c r="AH37" i="4"/>
  <c r="AC37" i="4"/>
  <c r="X37" i="4"/>
  <c r="S37" i="4"/>
  <c r="N37" i="4"/>
  <c r="CI37" i="4" s="1"/>
  <c r="I37" i="4"/>
  <c r="CH36" i="4"/>
  <c r="CG36" i="4"/>
  <c r="CF36" i="4"/>
  <c r="CE36" i="4"/>
  <c r="BU36" i="4"/>
  <c r="BT36" i="4"/>
  <c r="BS36" i="4"/>
  <c r="BR36" i="4"/>
  <c r="BQ36" i="4"/>
  <c r="BL36" i="4"/>
  <c r="BG36" i="4"/>
  <c r="BB36" i="4"/>
  <c r="AW36" i="4"/>
  <c r="AR36" i="4"/>
  <c r="AM36" i="4"/>
  <c r="AH36" i="4"/>
  <c r="AC36" i="4"/>
  <c r="X36" i="4"/>
  <c r="S36" i="4"/>
  <c r="N36" i="4"/>
  <c r="CI36" i="4" s="1"/>
  <c r="I36" i="4"/>
  <c r="CH35" i="4"/>
  <c r="CG35" i="4"/>
  <c r="CF35" i="4"/>
  <c r="CE35" i="4"/>
  <c r="BU35" i="4"/>
  <c r="BT35" i="4"/>
  <c r="BS35" i="4"/>
  <c r="BR35" i="4"/>
  <c r="BQ35" i="4"/>
  <c r="BL35" i="4"/>
  <c r="BG35" i="4"/>
  <c r="BB35" i="4"/>
  <c r="AW35" i="4"/>
  <c r="AR35" i="4"/>
  <c r="AM35" i="4"/>
  <c r="AH35" i="4"/>
  <c r="AC35" i="4"/>
  <c r="X35" i="4"/>
  <c r="S35" i="4"/>
  <c r="N35" i="4"/>
  <c r="CI35" i="4" s="1"/>
  <c r="I35" i="4"/>
  <c r="CH34" i="4"/>
  <c r="CG34" i="4"/>
  <c r="CF34" i="4"/>
  <c r="CE34" i="4"/>
  <c r="BU34" i="4"/>
  <c r="BS34" i="4"/>
  <c r="BR34" i="4"/>
  <c r="BQ34" i="4"/>
  <c r="BL34" i="4"/>
  <c r="BG34" i="4"/>
  <c r="BB34" i="4"/>
  <c r="AW34" i="4"/>
  <c r="AR34" i="4"/>
  <c r="AM34" i="4"/>
  <c r="AH34" i="4"/>
  <c r="AA34" i="4"/>
  <c r="AA48" i="4" s="1"/>
  <c r="AA70" i="4" s="1"/>
  <c r="AA73" i="4" s="1"/>
  <c r="AA75" i="4" s="1"/>
  <c r="X34" i="4"/>
  <c r="S34" i="4"/>
  <c r="N34" i="4"/>
  <c r="CI34" i="4" s="1"/>
  <c r="I34" i="4"/>
  <c r="CI33" i="4"/>
  <c r="CH33" i="4"/>
  <c r="CG33" i="4"/>
  <c r="CF33" i="4"/>
  <c r="CE33" i="4"/>
  <c r="BU33" i="4"/>
  <c r="BT33" i="4"/>
  <c r="BS33" i="4"/>
  <c r="BV33" i="4" s="1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F33" i="4"/>
  <c r="E33" i="4"/>
  <c r="I33" i="4" s="1"/>
  <c r="CH32" i="4"/>
  <c r="CG32" i="4"/>
  <c r="CF32" i="4"/>
  <c r="CE32" i="4"/>
  <c r="BU32" i="4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CI32" i="4" s="1"/>
  <c r="I32" i="4"/>
  <c r="CH31" i="4"/>
  <c r="CG31" i="4"/>
  <c r="CF31" i="4"/>
  <c r="CE31" i="4"/>
  <c r="BU31" i="4"/>
  <c r="BT31" i="4"/>
  <c r="BS31" i="4"/>
  <c r="BR31" i="4"/>
  <c r="BQ31" i="4"/>
  <c r="BL31" i="4"/>
  <c r="BG31" i="4"/>
  <c r="BB31" i="4"/>
  <c r="AW31" i="4"/>
  <c r="AR31" i="4"/>
  <c r="AM31" i="4"/>
  <c r="AH31" i="4"/>
  <c r="AC31" i="4"/>
  <c r="X31" i="4"/>
  <c r="S31" i="4"/>
  <c r="N31" i="4"/>
  <c r="CI31" i="4" s="1"/>
  <c r="I31" i="4"/>
  <c r="F31" i="4"/>
  <c r="E31" i="4"/>
  <c r="CI30" i="4"/>
  <c r="CH30" i="4"/>
  <c r="CG30" i="4"/>
  <c r="CF30" i="4"/>
  <c r="CE30" i="4"/>
  <c r="BU30" i="4"/>
  <c r="BT30" i="4"/>
  <c r="BS30" i="4"/>
  <c r="BR30" i="4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CH29" i="4"/>
  <c r="CG29" i="4"/>
  <c r="CF29" i="4"/>
  <c r="CE29" i="4"/>
  <c r="BU29" i="4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CI29" i="4" s="1"/>
  <c r="I29" i="4"/>
  <c r="CH28" i="4"/>
  <c r="CG28" i="4"/>
  <c r="CF28" i="4"/>
  <c r="CE28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CI28" i="4" s="1"/>
  <c r="I28" i="4"/>
  <c r="CI27" i="4"/>
  <c r="CH27" i="4"/>
  <c r="CG27" i="4"/>
  <c r="CF27" i="4"/>
  <c r="CE27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CH26" i="4"/>
  <c r="CG26" i="4"/>
  <c r="CF26" i="4"/>
  <c r="CE26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CI26" i="4" s="1"/>
  <c r="I26" i="4"/>
  <c r="CH25" i="4"/>
  <c r="CG25" i="4"/>
  <c r="CF25" i="4"/>
  <c r="CE25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CI25" i="4" s="1"/>
  <c r="I25" i="4"/>
  <c r="CI24" i="4"/>
  <c r="CH24" i="4"/>
  <c r="CG24" i="4"/>
  <c r="CF24" i="4"/>
  <c r="CE24" i="4"/>
  <c r="BU24" i="4"/>
  <c r="BT24" i="4"/>
  <c r="BS24" i="4"/>
  <c r="BR24" i="4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CH23" i="4"/>
  <c r="CG23" i="4"/>
  <c r="CF23" i="4"/>
  <c r="CE23" i="4"/>
  <c r="BU23" i="4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CI23" i="4" s="1"/>
  <c r="I23" i="4"/>
  <c r="F23" i="4"/>
  <c r="CI22" i="4"/>
  <c r="CH22" i="4"/>
  <c r="CG22" i="4"/>
  <c r="CF22" i="4"/>
  <c r="CE22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CH21" i="4"/>
  <c r="CG21" i="4"/>
  <c r="CF21" i="4"/>
  <c r="CE21" i="4"/>
  <c r="BU21" i="4"/>
  <c r="BT21" i="4"/>
  <c r="BS21" i="4"/>
  <c r="BR21" i="4"/>
  <c r="BQ21" i="4"/>
  <c r="BL21" i="4"/>
  <c r="BG21" i="4"/>
  <c r="BB21" i="4"/>
  <c r="AW21" i="4"/>
  <c r="AR21" i="4"/>
  <c r="AM21" i="4"/>
  <c r="AH21" i="4"/>
  <c r="AC21" i="4"/>
  <c r="X21" i="4"/>
  <c r="S21" i="4"/>
  <c r="N21" i="4"/>
  <c r="CI21" i="4" s="1"/>
  <c r="I21" i="4"/>
  <c r="CI20" i="4"/>
  <c r="CH20" i="4"/>
  <c r="CG20" i="4"/>
  <c r="CF20" i="4"/>
  <c r="CE20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CI19" i="4"/>
  <c r="CH19" i="4"/>
  <c r="CG19" i="4"/>
  <c r="CF19" i="4"/>
  <c r="CE19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CH18" i="4"/>
  <c r="CG18" i="4"/>
  <c r="CF18" i="4"/>
  <c r="CE18" i="4"/>
  <c r="BU18" i="4"/>
  <c r="BT18" i="4"/>
  <c r="BS18" i="4"/>
  <c r="BR18" i="4"/>
  <c r="BQ18" i="4"/>
  <c r="BL18" i="4"/>
  <c r="BG18" i="4"/>
  <c r="BB18" i="4"/>
  <c r="AW18" i="4"/>
  <c r="AR18" i="4"/>
  <c r="AM18" i="4"/>
  <c r="AH18" i="4"/>
  <c r="AC18" i="4"/>
  <c r="X18" i="4"/>
  <c r="S18" i="4"/>
  <c r="N18" i="4"/>
  <c r="CI18" i="4" s="1"/>
  <c r="I18" i="4"/>
  <c r="CI17" i="4"/>
  <c r="CH17" i="4"/>
  <c r="CG17" i="4"/>
  <c r="CF17" i="4"/>
  <c r="CE17" i="4"/>
  <c r="BU17" i="4"/>
  <c r="BT17" i="4"/>
  <c r="BS17" i="4"/>
  <c r="BR17" i="4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CI16" i="4"/>
  <c r="CH16" i="4"/>
  <c r="CG16" i="4"/>
  <c r="CF16" i="4"/>
  <c r="CE16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H16" i="4"/>
  <c r="H48" i="4" s="1"/>
  <c r="CH15" i="4"/>
  <c r="CG15" i="4"/>
  <c r="CF15" i="4"/>
  <c r="CE15" i="4"/>
  <c r="BU15" i="4"/>
  <c r="BV15" i="4" s="1"/>
  <c r="BX15" i="4" s="1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CI15" i="4" s="1"/>
  <c r="I15" i="4"/>
  <c r="CI14" i="4"/>
  <c r="CH14" i="4"/>
  <c r="CG14" i="4"/>
  <c r="CF14" i="4"/>
  <c r="CE14" i="4"/>
  <c r="BU14" i="4"/>
  <c r="BT14" i="4"/>
  <c r="BS14" i="4"/>
  <c r="BR14" i="4"/>
  <c r="BQ14" i="4"/>
  <c r="BL14" i="4"/>
  <c r="BG14" i="4"/>
  <c r="BB14" i="4"/>
  <c r="AW14" i="4"/>
  <c r="AR14" i="4"/>
  <c r="AM14" i="4"/>
  <c r="AH14" i="4"/>
  <c r="AC14" i="4"/>
  <c r="X14" i="4"/>
  <c r="S14" i="4"/>
  <c r="P14" i="4"/>
  <c r="P48" i="4" s="1"/>
  <c r="N14" i="4"/>
  <c r="I14" i="4"/>
  <c r="CI13" i="4"/>
  <c r="CH13" i="4"/>
  <c r="CG13" i="4"/>
  <c r="CF13" i="4"/>
  <c r="CE13" i="4"/>
  <c r="BU13" i="4"/>
  <c r="BT13" i="4"/>
  <c r="BS13" i="4"/>
  <c r="BV13" i="4" s="1"/>
  <c r="BX13" i="4" s="1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CH12" i="4"/>
  <c r="CG12" i="4"/>
  <c r="CF12" i="4"/>
  <c r="CE12" i="4"/>
  <c r="BU12" i="4"/>
  <c r="BT12" i="4"/>
  <c r="BS12" i="4"/>
  <c r="BR12" i="4"/>
  <c r="BV12" i="4" s="1"/>
  <c r="BX12" i="4" s="1"/>
  <c r="BQ12" i="4"/>
  <c r="BL12" i="4"/>
  <c r="BG12" i="4"/>
  <c r="BB12" i="4"/>
  <c r="AW12" i="4"/>
  <c r="AR12" i="4"/>
  <c r="AM12" i="4"/>
  <c r="AH12" i="4"/>
  <c r="AC12" i="4"/>
  <c r="X12" i="4"/>
  <c r="S12" i="4"/>
  <c r="N12" i="4"/>
  <c r="CI12" i="4" s="1"/>
  <c r="I12" i="4"/>
  <c r="CH11" i="4"/>
  <c r="CG11" i="4"/>
  <c r="CF11" i="4"/>
  <c r="CE11" i="4"/>
  <c r="BU11" i="4"/>
  <c r="BT11" i="4"/>
  <c r="BS11" i="4"/>
  <c r="BR11" i="4"/>
  <c r="BV11" i="4" s="1"/>
  <c r="BX11" i="4" s="1"/>
  <c r="BQ11" i="4"/>
  <c r="BL11" i="4"/>
  <c r="BG11" i="4"/>
  <c r="BB11" i="4"/>
  <c r="AW11" i="4"/>
  <c r="AR11" i="4"/>
  <c r="AM11" i="4"/>
  <c r="AH11" i="4"/>
  <c r="AC11" i="4"/>
  <c r="X11" i="4"/>
  <c r="S11" i="4"/>
  <c r="N11" i="4"/>
  <c r="CI11" i="4" s="1"/>
  <c r="E11" i="4"/>
  <c r="I11" i="4" s="1"/>
  <c r="CH10" i="4"/>
  <c r="CG10" i="4"/>
  <c r="CF10" i="4"/>
  <c r="CE10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CI10" i="4" s="1"/>
  <c r="I10" i="4"/>
  <c r="CH9" i="4"/>
  <c r="CG9" i="4"/>
  <c r="CF9" i="4"/>
  <c r="CE9" i="4"/>
  <c r="BU9" i="4"/>
  <c r="BT9" i="4"/>
  <c r="BS9" i="4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CI9" i="4" s="1"/>
  <c r="I9" i="4"/>
  <c r="CH8" i="4"/>
  <c r="CG8" i="4"/>
  <c r="CF8" i="4"/>
  <c r="CE8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CI8" i="4" s="1"/>
  <c r="I8" i="4"/>
  <c r="F8" i="4"/>
  <c r="CH7" i="4"/>
  <c r="CG7" i="4"/>
  <c r="CF7" i="4"/>
  <c r="CE7" i="4"/>
  <c r="BU7" i="4"/>
  <c r="BT7" i="4"/>
  <c r="BS7" i="4"/>
  <c r="BR7" i="4"/>
  <c r="BQ7" i="4"/>
  <c r="BL7" i="4"/>
  <c r="BG7" i="4"/>
  <c r="BB7" i="4"/>
  <c r="AW7" i="4"/>
  <c r="AR7" i="4"/>
  <c r="AM7" i="4"/>
  <c r="AH7" i="4"/>
  <c r="AC7" i="4"/>
  <c r="X7" i="4"/>
  <c r="S7" i="4"/>
  <c r="N7" i="4"/>
  <c r="E7" i="4"/>
  <c r="E48" i="4" s="1"/>
  <c r="BX5" i="4"/>
  <c r="AV70" i="4" l="1"/>
  <c r="AV73" i="4" s="1"/>
  <c r="AV75" i="4" s="1"/>
  <c r="BU58" i="4"/>
  <c r="BV9" i="4"/>
  <c r="BX9" i="4" s="1"/>
  <c r="BV17" i="4"/>
  <c r="BX17" i="4" s="1"/>
  <c r="BV20" i="4"/>
  <c r="BX20" i="4" s="1"/>
  <c r="BV23" i="4"/>
  <c r="BX23" i="4" s="1"/>
  <c r="BV26" i="4"/>
  <c r="BX26" i="4" s="1"/>
  <c r="BV29" i="4"/>
  <c r="BX29" i="4" s="1"/>
  <c r="BV51" i="4"/>
  <c r="BX51" i="4" s="1"/>
  <c r="R69" i="4"/>
  <c r="R70" i="4" s="1"/>
  <c r="R73" i="4" s="1"/>
  <c r="R75" i="4" s="1"/>
  <c r="S53" i="4"/>
  <c r="S69" i="4" s="1"/>
  <c r="AR53" i="4"/>
  <c r="AR69" i="4" s="1"/>
  <c r="BS53" i="4"/>
  <c r="BS69" i="4" s="1"/>
  <c r="BD70" i="4"/>
  <c r="BD73" i="4" s="1"/>
  <c r="BD75" i="4" s="1"/>
  <c r="BV65" i="4"/>
  <c r="BX65" i="4" s="1"/>
  <c r="M69" i="4"/>
  <c r="M70" i="4" s="1"/>
  <c r="M73" i="4" s="1"/>
  <c r="M75" i="4" s="1"/>
  <c r="BG48" i="4"/>
  <c r="BG70" i="4" s="1"/>
  <c r="BG73" i="4" s="1"/>
  <c r="BG75" i="4" s="1"/>
  <c r="BV19" i="4"/>
  <c r="BX19" i="4" s="1"/>
  <c r="BV25" i="4"/>
  <c r="BX25" i="4" s="1"/>
  <c r="BV28" i="4"/>
  <c r="BX28" i="4" s="1"/>
  <c r="BV36" i="4"/>
  <c r="BX36" i="4" s="1"/>
  <c r="BV38" i="4"/>
  <c r="BX38" i="4" s="1"/>
  <c r="BV40" i="4"/>
  <c r="BX40" i="4" s="1"/>
  <c r="BV42" i="4"/>
  <c r="BX42" i="4" s="1"/>
  <c r="BV44" i="4"/>
  <c r="BX44" i="4" s="1"/>
  <c r="AG69" i="4"/>
  <c r="AG70" i="4" s="1"/>
  <c r="AG73" i="4" s="1"/>
  <c r="AG75" i="4" s="1"/>
  <c r="BT53" i="4"/>
  <c r="BT69" i="4" s="1"/>
  <c r="BV59" i="4"/>
  <c r="BX59" i="4" s="1"/>
  <c r="AZ70" i="4"/>
  <c r="AZ73" i="4" s="1"/>
  <c r="AZ75" i="4" s="1"/>
  <c r="BF70" i="4"/>
  <c r="BF73" i="4" s="1"/>
  <c r="BF75" i="4" s="1"/>
  <c r="BR61" i="4"/>
  <c r="BV68" i="4"/>
  <c r="BX68" i="4" s="1"/>
  <c r="Q70" i="4"/>
  <c r="Q73" i="4" s="1"/>
  <c r="Q75" i="4" s="1"/>
  <c r="BV14" i="4"/>
  <c r="BX14" i="4" s="1"/>
  <c r="BU61" i="4"/>
  <c r="BU69" i="4" s="1"/>
  <c r="BV8" i="4"/>
  <c r="BX8" i="4" s="1"/>
  <c r="BV16" i="4"/>
  <c r="CF48" i="4"/>
  <c r="BV31" i="4"/>
  <c r="BV47" i="4"/>
  <c r="AE70" i="4"/>
  <c r="AE73" i="4" s="1"/>
  <c r="AE75" i="4" s="1"/>
  <c r="O69" i="4"/>
  <c r="AX70" i="4"/>
  <c r="AX73" i="4" s="1"/>
  <c r="AX75" i="4" s="1"/>
  <c r="BB53" i="4"/>
  <c r="BB69" i="4" s="1"/>
  <c r="AO70" i="4"/>
  <c r="AO73" i="4" s="1"/>
  <c r="AO75" i="4" s="1"/>
  <c r="K70" i="4"/>
  <c r="K73" i="4" s="1"/>
  <c r="K75" i="4" s="1"/>
  <c r="T70" i="4"/>
  <c r="T73" i="4" s="1"/>
  <c r="T75" i="4" s="1"/>
  <c r="BV22" i="4"/>
  <c r="BX22" i="4" s="1"/>
  <c r="BV10" i="4"/>
  <c r="BX10" i="4" s="1"/>
  <c r="BV18" i="4"/>
  <c r="BX18" i="4" s="1"/>
  <c r="BV21" i="4"/>
  <c r="BX21" i="4" s="1"/>
  <c r="BV24" i="4"/>
  <c r="BX24" i="4" s="1"/>
  <c r="BV27" i="4"/>
  <c r="BX27" i="4" s="1"/>
  <c r="BV30" i="4"/>
  <c r="BX30" i="4" s="1"/>
  <c r="BV46" i="4"/>
  <c r="BX46" i="4" s="1"/>
  <c r="W70" i="4"/>
  <c r="W73" i="4" s="1"/>
  <c r="W75" i="4" s="1"/>
  <c r="AU70" i="4"/>
  <c r="AU73" i="4" s="1"/>
  <c r="AU75" i="4" s="1"/>
  <c r="BC70" i="4"/>
  <c r="BC73" i="4" s="1"/>
  <c r="BC75" i="4" s="1"/>
  <c r="BV52" i="4"/>
  <c r="BX52" i="4" s="1"/>
  <c r="P69" i="4"/>
  <c r="P70" i="4" s="1"/>
  <c r="P73" i="4" s="1"/>
  <c r="P75" i="4" s="1"/>
  <c r="AN70" i="4"/>
  <c r="AN73" i="4" s="1"/>
  <c r="AN75" i="4" s="1"/>
  <c r="I53" i="4"/>
  <c r="AH53" i="4"/>
  <c r="BL53" i="4"/>
  <c r="BL69" i="4" s="1"/>
  <c r="BV62" i="4"/>
  <c r="BV67" i="4"/>
  <c r="N48" i="4"/>
  <c r="CI7" i="4"/>
  <c r="CI48" i="4" s="1"/>
  <c r="AR48" i="4"/>
  <c r="BR48" i="4"/>
  <c r="BV7" i="4"/>
  <c r="CG48" i="4"/>
  <c r="BV34" i="4"/>
  <c r="BX34" i="4" s="1"/>
  <c r="CG53" i="4"/>
  <c r="L69" i="4"/>
  <c r="N53" i="4"/>
  <c r="H69" i="4"/>
  <c r="H70" i="4" s="1"/>
  <c r="H73" i="4" s="1"/>
  <c r="H75" i="4" s="1"/>
  <c r="I58" i="4"/>
  <c r="S48" i="4"/>
  <c r="AW48" i="4"/>
  <c r="BS48" i="4"/>
  <c r="BS70" i="4" s="1"/>
  <c r="BS73" i="4" s="1"/>
  <c r="BS75" i="4" s="1"/>
  <c r="BX31" i="4"/>
  <c r="BX47" i="4"/>
  <c r="G70" i="4"/>
  <c r="G73" i="4" s="1"/>
  <c r="G75" i="4" s="1"/>
  <c r="AH69" i="4"/>
  <c r="BU48" i="4"/>
  <c r="BX33" i="4"/>
  <c r="CG69" i="4"/>
  <c r="Y53" i="4"/>
  <c r="Y69" i="4" s="1"/>
  <c r="Y70" i="4" s="1"/>
  <c r="Y73" i="4" s="1"/>
  <c r="Y75" i="4" s="1"/>
  <c r="AC55" i="4"/>
  <c r="AC53" i="4" s="1"/>
  <c r="BR55" i="4"/>
  <c r="BV55" i="4" s="1"/>
  <c r="CE48" i="4"/>
  <c r="BG69" i="4"/>
  <c r="BX67" i="4"/>
  <c r="AH48" i="4"/>
  <c r="BL48" i="4"/>
  <c r="BL70" i="4" s="1"/>
  <c r="BL73" i="4" s="1"/>
  <c r="BL75" i="4" s="1"/>
  <c r="BV35" i="4"/>
  <c r="BX35" i="4" s="1"/>
  <c r="BV37" i="4"/>
  <c r="BX37" i="4" s="1"/>
  <c r="BV39" i="4"/>
  <c r="BX39" i="4" s="1"/>
  <c r="BV41" i="4"/>
  <c r="BX41" i="4" s="1"/>
  <c r="BV43" i="4"/>
  <c r="BX43" i="4" s="1"/>
  <c r="BV45" i="4"/>
  <c r="BX45" i="4" s="1"/>
  <c r="AQ70" i="4"/>
  <c r="AQ73" i="4" s="1"/>
  <c r="AQ75" i="4" s="1"/>
  <c r="BE70" i="4"/>
  <c r="BE73" i="4" s="1"/>
  <c r="BE75" i="4" s="1"/>
  <c r="BK70" i="4"/>
  <c r="BK73" i="4" s="1"/>
  <c r="BK75" i="4" s="1"/>
  <c r="AM69" i="4"/>
  <c r="BV58" i="4"/>
  <c r="E69" i="4"/>
  <c r="E70" i="4" s="1"/>
  <c r="E73" i="4" s="1"/>
  <c r="E75" i="4" s="1"/>
  <c r="I7" i="4"/>
  <c r="AM48" i="4"/>
  <c r="BQ48" i="4"/>
  <c r="F48" i="4"/>
  <c r="F70" i="4" s="1"/>
  <c r="F73" i="4" s="1"/>
  <c r="F75" i="4" s="1"/>
  <c r="BV32" i="4"/>
  <c r="BX32" i="4" s="1"/>
  <c r="O70" i="4"/>
  <c r="O73" i="4" s="1"/>
  <c r="O75" i="4" s="1"/>
  <c r="AD70" i="4"/>
  <c r="AD73" i="4" s="1"/>
  <c r="AD75" i="4" s="1"/>
  <c r="AK70" i="4"/>
  <c r="AK73" i="4" s="1"/>
  <c r="AK75" i="4" s="1"/>
  <c r="AS70" i="4"/>
  <c r="AS73" i="4" s="1"/>
  <c r="AS75" i="4" s="1"/>
  <c r="AY70" i="4"/>
  <c r="AY73" i="4" s="1"/>
  <c r="AY75" i="4" s="1"/>
  <c r="BV56" i="4"/>
  <c r="BX56" i="4" s="1"/>
  <c r="CF69" i="4"/>
  <c r="BQ69" i="4"/>
  <c r="BV54" i="4"/>
  <c r="BR53" i="4"/>
  <c r="BR69" i="4" s="1"/>
  <c r="X48" i="4"/>
  <c r="X70" i="4" s="1"/>
  <c r="X73" i="4" s="1"/>
  <c r="X75" i="4" s="1"/>
  <c r="BB48" i="4"/>
  <c r="BT34" i="4"/>
  <c r="BT48" i="4" s="1"/>
  <c r="BV63" i="4"/>
  <c r="CH48" i="4"/>
  <c r="I16" i="4"/>
  <c r="BX16" i="4" s="1"/>
  <c r="AC34" i="4"/>
  <c r="AC48" i="4" s="1"/>
  <c r="L70" i="4"/>
  <c r="L73" i="4" s="1"/>
  <c r="L75" i="4" s="1"/>
  <c r="AP70" i="4"/>
  <c r="AP73" i="4" s="1"/>
  <c r="AP75" i="4" s="1"/>
  <c r="CH69" i="4"/>
  <c r="X69" i="4"/>
  <c r="BV57" i="4"/>
  <c r="BX57" i="4" s="1"/>
  <c r="AT69" i="4"/>
  <c r="AT70" i="4" s="1"/>
  <c r="AT73" i="4" s="1"/>
  <c r="AT75" i="4" s="1"/>
  <c r="AW61" i="4"/>
  <c r="AW69" i="4" s="1"/>
  <c r="CE53" i="4"/>
  <c r="CE69" i="4" s="1"/>
  <c r="N54" i="4"/>
  <c r="AC58" i="4"/>
  <c r="BT70" i="4" l="1"/>
  <c r="BT73" i="4" s="1"/>
  <c r="BT75" i="4" s="1"/>
  <c r="AM70" i="4"/>
  <c r="AM73" i="4" s="1"/>
  <c r="AM75" i="4" s="1"/>
  <c r="BU70" i="4"/>
  <c r="BU73" i="4" s="1"/>
  <c r="BU75" i="4" s="1"/>
  <c r="BV61" i="4"/>
  <c r="AH70" i="4"/>
  <c r="AH73" i="4" s="1"/>
  <c r="AH75" i="4" s="1"/>
  <c r="S70" i="4"/>
  <c r="S73" i="4" s="1"/>
  <c r="S75" i="4" s="1"/>
  <c r="AR70" i="4"/>
  <c r="AR73" i="4" s="1"/>
  <c r="AR75" i="4" s="1"/>
  <c r="I69" i="4"/>
  <c r="I48" i="4"/>
  <c r="BX54" i="4"/>
  <c r="BV53" i="4"/>
  <c r="AC69" i="4"/>
  <c r="AC70" i="4"/>
  <c r="AC73" i="4" s="1"/>
  <c r="AC75" i="4" s="1"/>
  <c r="BX58" i="4"/>
  <c r="N69" i="4"/>
  <c r="N70" i="4" s="1"/>
  <c r="N73" i="4" s="1"/>
  <c r="N75" i="4" s="1"/>
  <c r="CI53" i="4"/>
  <c r="CI69" i="4" s="1"/>
  <c r="BV48" i="4"/>
  <c r="BX7" i="4"/>
  <c r="AW70" i="4"/>
  <c r="AW73" i="4" s="1"/>
  <c r="AW75" i="4" s="1"/>
  <c r="BR70" i="4"/>
  <c r="BR73" i="4" s="1"/>
  <c r="BR75" i="4" s="1"/>
  <c r="BB70" i="4"/>
  <c r="BB73" i="4" s="1"/>
  <c r="BB75" i="4" s="1"/>
  <c r="BQ70" i="4"/>
  <c r="BQ73" i="4" s="1"/>
  <c r="BQ75" i="4" s="1"/>
  <c r="I70" i="4" l="1"/>
  <c r="I73" i="4" s="1"/>
  <c r="I75" i="4" s="1"/>
  <c r="BX48" i="4"/>
  <c r="BV69" i="4"/>
  <c r="BX69" i="4" s="1"/>
  <c r="BX53" i="4"/>
  <c r="BV70" i="4" l="1"/>
  <c r="BV73" i="4" l="1"/>
  <c r="BV75" i="4" s="1"/>
  <c r="BX75" i="4" s="1"/>
  <c r="BX70" i="4"/>
  <c r="BU74" i="3" l="1"/>
  <c r="BT74" i="3"/>
  <c r="BS74" i="3"/>
  <c r="BR74" i="3"/>
  <c r="I74" i="3"/>
  <c r="BU73" i="3"/>
  <c r="BT73" i="3"/>
  <c r="BS73" i="3"/>
  <c r="BR73" i="3"/>
  <c r="I73" i="3"/>
  <c r="BU72" i="3"/>
  <c r="BT72" i="3"/>
  <c r="BS72" i="3"/>
  <c r="BR72" i="3"/>
  <c r="I72" i="3"/>
  <c r="BU71" i="3"/>
  <c r="BT71" i="3"/>
  <c r="BS71" i="3"/>
  <c r="BR71" i="3"/>
  <c r="BV71" i="3" s="1"/>
  <c r="AR71" i="3"/>
  <c r="I71" i="3"/>
  <c r="BU70" i="3"/>
  <c r="BT70" i="3"/>
  <c r="BS70" i="3"/>
  <c r="BR70" i="3"/>
  <c r="BV70" i="3" s="1"/>
  <c r="AR70" i="3"/>
  <c r="I70" i="3"/>
  <c r="I69" i="3"/>
  <c r="BH67" i="3"/>
  <c r="BA67" i="3"/>
  <c r="AO67" i="3"/>
  <c r="AA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V62" i="3"/>
  <c r="BG62" i="3"/>
  <c r="BB62" i="3"/>
  <c r="I62" i="3"/>
  <c r="BU61" i="3"/>
  <c r="BU60" i="3" s="1"/>
  <c r="BT61" i="3"/>
  <c r="BS61" i="3"/>
  <c r="BR61" i="3"/>
  <c r="BR60" i="3" s="1"/>
  <c r="BG61" i="3"/>
  <c r="BB61" i="3"/>
  <c r="AW61" i="3"/>
  <c r="AR61" i="3"/>
  <c r="AM61" i="3"/>
  <c r="AH61" i="3"/>
  <c r="AC61" i="3"/>
  <c r="AC60" i="3" s="1"/>
  <c r="X61" i="3"/>
  <c r="I61" i="3"/>
  <c r="BS60" i="3"/>
  <c r="BG60" i="3"/>
  <c r="BA60" i="3"/>
  <c r="AZ60" i="3"/>
  <c r="AY60" i="3"/>
  <c r="AX60" i="3"/>
  <c r="AW60" i="3"/>
  <c r="AR60" i="3"/>
  <c r="AL60" i="3"/>
  <c r="AM60" i="3" s="1"/>
  <c r="AH60" i="3"/>
  <c r="AB60" i="3"/>
  <c r="AA60" i="3"/>
  <c r="Z60" i="3"/>
  <c r="Y60" i="3"/>
  <c r="X60" i="3"/>
  <c r="H60" i="3"/>
  <c r="G60" i="3"/>
  <c r="F60" i="3"/>
  <c r="E60" i="3"/>
  <c r="BU59" i="3"/>
  <c r="BT59" i="3"/>
  <c r="BS59" i="3"/>
  <c r="BR59" i="3"/>
  <c r="BV59" i="3" s="1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F58" i="3"/>
  <c r="BG58" i="3" s="1"/>
  <c r="BB58" i="3"/>
  <c r="BA58" i="3"/>
  <c r="AV58" i="3"/>
  <c r="AW58" i="3" s="1"/>
  <c r="AQ58" i="3"/>
  <c r="AR58" i="3" s="1"/>
  <c r="AL58" i="3"/>
  <c r="AM58" i="3" s="1"/>
  <c r="AG58" i="3"/>
  <c r="AB58" i="3"/>
  <c r="AC58" i="3" s="1"/>
  <c r="X58" i="3"/>
  <c r="R58" i="3"/>
  <c r="S58" i="3" s="1"/>
  <c r="M58" i="3"/>
  <c r="N58" i="3" s="1"/>
  <c r="I58" i="3"/>
  <c r="BU57" i="3"/>
  <c r="BT57" i="3"/>
  <c r="BS57" i="3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V56" i="3" s="1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Q55" i="3"/>
  <c r="BL55" i="3"/>
  <c r="BG55" i="3"/>
  <c r="BC55" i="3"/>
  <c r="AX55" i="3"/>
  <c r="BB55" i="3" s="1"/>
  <c r="AW55" i="3"/>
  <c r="AR55" i="3"/>
  <c r="AM55" i="3"/>
  <c r="AM53" i="3" s="1"/>
  <c r="AH55" i="3"/>
  <c r="AC55" i="3"/>
  <c r="X55" i="3"/>
  <c r="S55" i="3"/>
  <c r="S53" i="3" s="1"/>
  <c r="J55" i="3"/>
  <c r="I55" i="3"/>
  <c r="I53" i="3" s="1"/>
  <c r="BU54" i="3"/>
  <c r="BT54" i="3"/>
  <c r="BS54" i="3"/>
  <c r="BQ54" i="3"/>
  <c r="BL54" i="3"/>
  <c r="BG54" i="3"/>
  <c r="BC54" i="3"/>
  <c r="BB54" i="3"/>
  <c r="AX54" i="3"/>
  <c r="AW54" i="3"/>
  <c r="AR54" i="3"/>
  <c r="AR53" i="3" s="1"/>
  <c r="AN54" i="3"/>
  <c r="AM54" i="3"/>
  <c r="AH54" i="3"/>
  <c r="AC54" i="3"/>
  <c r="X54" i="3"/>
  <c r="S54" i="3"/>
  <c r="O54" i="3"/>
  <c r="O53" i="3" s="1"/>
  <c r="O67" i="3" s="1"/>
  <c r="O75" i="3" s="1"/>
  <c r="O77" i="3" s="1"/>
  <c r="J54" i="3"/>
  <c r="I54" i="3"/>
  <c r="BT53" i="3"/>
  <c r="BP53" i="3"/>
  <c r="BP67" i="3" s="1"/>
  <c r="BO53" i="3"/>
  <c r="BO67" i="3" s="1"/>
  <c r="BN53" i="3"/>
  <c r="BN67" i="3" s="1"/>
  <c r="BM53" i="3"/>
  <c r="BM67" i="3" s="1"/>
  <c r="BK53" i="3"/>
  <c r="BK67" i="3" s="1"/>
  <c r="BJ53" i="3"/>
  <c r="BJ67" i="3" s="1"/>
  <c r="BI53" i="3"/>
  <c r="BI67" i="3" s="1"/>
  <c r="BF53" i="3"/>
  <c r="BE53" i="3"/>
  <c r="BE67" i="3" s="1"/>
  <c r="BD53" i="3"/>
  <c r="BD67" i="3" s="1"/>
  <c r="BC53" i="3"/>
  <c r="BC67" i="3" s="1"/>
  <c r="BA53" i="3"/>
  <c r="AZ53" i="3"/>
  <c r="AZ67" i="3" s="1"/>
  <c r="AY53" i="3"/>
  <c r="AY67" i="3" s="1"/>
  <c r="AW53" i="3"/>
  <c r="AV53" i="3"/>
  <c r="AU53" i="3"/>
  <c r="AU67" i="3" s="1"/>
  <c r="AT53" i="3"/>
  <c r="AT67" i="3" s="1"/>
  <c r="AS53" i="3"/>
  <c r="AS67" i="3" s="1"/>
  <c r="AQ53" i="3"/>
  <c r="AQ67" i="3" s="1"/>
  <c r="AP53" i="3"/>
  <c r="AP67" i="3" s="1"/>
  <c r="AP68" i="3" s="1"/>
  <c r="AO53" i="3"/>
  <c r="AN53" i="3"/>
  <c r="AN67" i="3" s="1"/>
  <c r="AL53" i="3"/>
  <c r="AK53" i="3"/>
  <c r="AK67" i="3" s="1"/>
  <c r="AJ53" i="3"/>
  <c r="AJ67" i="3" s="1"/>
  <c r="AI53" i="3"/>
  <c r="AI67" i="3" s="1"/>
  <c r="AH53" i="3"/>
  <c r="AG53" i="3"/>
  <c r="AF53" i="3"/>
  <c r="AF67" i="3" s="1"/>
  <c r="AE53" i="3"/>
  <c r="AE67" i="3" s="1"/>
  <c r="AD53" i="3"/>
  <c r="AD67" i="3" s="1"/>
  <c r="AB53" i="3"/>
  <c r="AA53" i="3"/>
  <c r="Z53" i="3"/>
  <c r="Z67" i="3" s="1"/>
  <c r="Y53" i="3"/>
  <c r="Y67" i="3" s="1"/>
  <c r="X53" i="3"/>
  <c r="W53" i="3"/>
  <c r="W67" i="3" s="1"/>
  <c r="V53" i="3"/>
  <c r="V67" i="3" s="1"/>
  <c r="U53" i="3"/>
  <c r="U67" i="3" s="1"/>
  <c r="T53" i="3"/>
  <c r="T67" i="3" s="1"/>
  <c r="R53" i="3"/>
  <c r="Q53" i="3"/>
  <c r="Q67" i="3" s="1"/>
  <c r="P53" i="3"/>
  <c r="P67" i="3" s="1"/>
  <c r="M53" i="3"/>
  <c r="M67" i="3" s="1"/>
  <c r="L53" i="3"/>
  <c r="L67" i="3" s="1"/>
  <c r="K53" i="3"/>
  <c r="K67" i="3" s="1"/>
  <c r="H53" i="3"/>
  <c r="H67" i="3" s="1"/>
  <c r="G53" i="3"/>
  <c r="G67" i="3" s="1"/>
  <c r="F53" i="3"/>
  <c r="F67" i="3" s="1"/>
  <c r="E53" i="3"/>
  <c r="E67" i="3" s="1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O75" i="3" s="1"/>
  <c r="BO77" i="3" s="1"/>
  <c r="BN48" i="3"/>
  <c r="BM48" i="3"/>
  <c r="BK48" i="3"/>
  <c r="BJ48" i="3"/>
  <c r="BJ75" i="3" s="1"/>
  <c r="BJ77" i="3" s="1"/>
  <c r="BI48" i="3"/>
  <c r="BH48" i="3"/>
  <c r="BH75" i="3" s="1"/>
  <c r="BH77" i="3" s="1"/>
  <c r="BF48" i="3"/>
  <c r="BE48" i="3"/>
  <c r="BD48" i="3"/>
  <c r="BD75" i="3" s="1"/>
  <c r="BD77" i="3" s="1"/>
  <c r="BC48" i="3"/>
  <c r="BC75" i="3" s="1"/>
  <c r="BC77" i="3" s="1"/>
  <c r="BA48" i="3"/>
  <c r="AZ48" i="3"/>
  <c r="AY48" i="3"/>
  <c r="AX48" i="3"/>
  <c r="AV48" i="3"/>
  <c r="AU48" i="3"/>
  <c r="AT48" i="3"/>
  <c r="AT68" i="3" s="1"/>
  <c r="AQ48" i="3"/>
  <c r="AQ75" i="3" s="1"/>
  <c r="AQ77" i="3" s="1"/>
  <c r="AP48" i="3"/>
  <c r="AO48" i="3"/>
  <c r="AN48" i="3"/>
  <c r="AN68" i="3" s="1"/>
  <c r="AL48" i="3"/>
  <c r="AK48" i="3"/>
  <c r="AJ48" i="3"/>
  <c r="AI48" i="3"/>
  <c r="AG48" i="3"/>
  <c r="AF68" i="3" s="1"/>
  <c r="AF48" i="3"/>
  <c r="AF75" i="3" s="1"/>
  <c r="AF77" i="3" s="1"/>
  <c r="AE48" i="3"/>
  <c r="AD48" i="3"/>
  <c r="AA48" i="3"/>
  <c r="AA75" i="3" s="1"/>
  <c r="AA77" i="3" s="1"/>
  <c r="Y48" i="3"/>
  <c r="Y75" i="3" s="1"/>
  <c r="Y77" i="3" s="1"/>
  <c r="W48" i="3"/>
  <c r="T48" i="3"/>
  <c r="T75" i="3" s="1"/>
  <c r="T77" i="3" s="1"/>
  <c r="R48" i="3"/>
  <c r="Q48" i="3"/>
  <c r="P48" i="3"/>
  <c r="O48" i="3"/>
  <c r="M48" i="3"/>
  <c r="L48" i="3"/>
  <c r="K48" i="3"/>
  <c r="J48" i="3"/>
  <c r="H48" i="3"/>
  <c r="G48" i="3"/>
  <c r="F48" i="3"/>
  <c r="F75" i="3" s="1"/>
  <c r="F77" i="3" s="1"/>
  <c r="E48" i="3"/>
  <c r="BU47" i="3"/>
  <c r="BT47" i="3"/>
  <c r="BS47" i="3"/>
  <c r="BR47" i="3"/>
  <c r="BV47" i="3" s="1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V45" i="3" s="1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V43" i="3" s="1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V42" i="3" s="1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V37" i="3" s="1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V34" i="3" s="1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V26" i="3" s="1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V25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V22" i="3" s="1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V19" i="3" s="1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V18" i="3" s="1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R14" i="3"/>
  <c r="BQ14" i="3"/>
  <c r="BL14" i="3"/>
  <c r="BG14" i="3"/>
  <c r="BB14" i="3"/>
  <c r="AW14" i="3"/>
  <c r="AR14" i="3"/>
  <c r="AM14" i="3"/>
  <c r="AH14" i="3"/>
  <c r="AC14" i="3"/>
  <c r="AB14" i="3"/>
  <c r="AB48" i="3" s="1"/>
  <c r="Z14" i="3"/>
  <c r="Z48" i="3" s="1"/>
  <c r="X14" i="3"/>
  <c r="U14" i="3"/>
  <c r="U48" i="3" s="1"/>
  <c r="T68" i="3" s="1"/>
  <c r="S14" i="3"/>
  <c r="N14" i="3"/>
  <c r="I14" i="3"/>
  <c r="BU13" i="3"/>
  <c r="BT13" i="3"/>
  <c r="BS13" i="3"/>
  <c r="BV13" i="3" s="1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V10" i="3" s="1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V9" i="3" s="1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V8" i="3" s="1"/>
  <c r="BQ8" i="3"/>
  <c r="BL8" i="3"/>
  <c r="BG8" i="3"/>
  <c r="BB8" i="3"/>
  <c r="AW8" i="3"/>
  <c r="AR8" i="3"/>
  <c r="AM8" i="3"/>
  <c r="AH8" i="3"/>
  <c r="AC8" i="3"/>
  <c r="X8" i="3"/>
  <c r="V8" i="3"/>
  <c r="V48" i="3" s="1"/>
  <c r="S8" i="3"/>
  <c r="N8" i="3"/>
  <c r="I8" i="3"/>
  <c r="BU7" i="3"/>
  <c r="BT7" i="3"/>
  <c r="BS7" i="3"/>
  <c r="BQ7" i="3"/>
  <c r="BL7" i="3"/>
  <c r="BG7" i="3"/>
  <c r="BB7" i="3"/>
  <c r="AS7" i="3"/>
  <c r="AW7" i="3" s="1"/>
  <c r="AR7" i="3"/>
  <c r="AM7" i="3"/>
  <c r="AH7" i="3"/>
  <c r="AC7" i="3"/>
  <c r="X7" i="3"/>
  <c r="S7" i="3"/>
  <c r="N7" i="3"/>
  <c r="I7" i="3"/>
  <c r="BZ5" i="3"/>
  <c r="CA5" i="3"/>
  <c r="AH141" i="2"/>
  <c r="AG141" i="2"/>
  <c r="AE141" i="2"/>
  <c r="AC141" i="2"/>
  <c r="AB141" i="2"/>
  <c r="AA141" i="2"/>
  <c r="AI141" i="2" s="1"/>
  <c r="AK141" i="2" s="1"/>
  <c r="Q141" i="2"/>
  <c r="M141" i="2"/>
  <c r="L141" i="2"/>
  <c r="K141" i="2"/>
  <c r="J141" i="2"/>
  <c r="I141" i="2"/>
  <c r="U141" i="2" s="1"/>
  <c r="Z140" i="2"/>
  <c r="AI140" i="2" s="1"/>
  <c r="AK140" i="2" s="1"/>
  <c r="U140" i="2"/>
  <c r="AI139" i="2"/>
  <c r="AK139" i="2" s="1"/>
  <c r="U139" i="2"/>
  <c r="AI138" i="2"/>
  <c r="AK138" i="2" s="1"/>
  <c r="U138" i="2"/>
  <c r="AK137" i="2"/>
  <c r="AI137" i="2"/>
  <c r="U137" i="2"/>
  <c r="AI135" i="2"/>
  <c r="AK135" i="2" s="1"/>
  <c r="U135" i="2"/>
  <c r="AI134" i="2"/>
  <c r="AK134" i="2" s="1"/>
  <c r="U134" i="2"/>
  <c r="AI133" i="2"/>
  <c r="AK133" i="2" s="1"/>
  <c r="U133" i="2"/>
  <c r="AK132" i="2"/>
  <c r="AI132" i="2"/>
  <c r="U132" i="2"/>
  <c r="AI131" i="2"/>
  <c r="AK131" i="2" s="1"/>
  <c r="U131" i="2"/>
  <c r="AD130" i="2"/>
  <c r="O130" i="2"/>
  <c r="U130" i="2" s="1"/>
  <c r="K130" i="2"/>
  <c r="AK129" i="2"/>
  <c r="AI129" i="2"/>
  <c r="AK128" i="2"/>
  <c r="AI128" i="2"/>
  <c r="U128" i="2"/>
  <c r="AI127" i="2"/>
  <c r="AK127" i="2" s="1"/>
  <c r="U127" i="2"/>
  <c r="AI126" i="2"/>
  <c r="AK126" i="2" s="1"/>
  <c r="U126" i="2"/>
  <c r="AI125" i="2"/>
  <c r="AK125" i="2" s="1"/>
  <c r="U125" i="2"/>
  <c r="AK124" i="2"/>
  <c r="AI124" i="2"/>
  <c r="K124" i="2"/>
  <c r="J124" i="2"/>
  <c r="U124" i="2" s="1"/>
  <c r="AI123" i="2"/>
  <c r="AK123" i="2" s="1"/>
  <c r="AH123" i="2"/>
  <c r="U123" i="2"/>
  <c r="P123" i="2"/>
  <c r="AH122" i="2"/>
  <c r="AF122" i="2"/>
  <c r="AE122" i="2"/>
  <c r="AC122" i="2"/>
  <c r="AB122" i="2"/>
  <c r="AA122" i="2"/>
  <c r="Z122" i="2"/>
  <c r="Y122" i="2"/>
  <c r="X122" i="2"/>
  <c r="W122" i="2"/>
  <c r="V122" i="2"/>
  <c r="T122" i="2"/>
  <c r="R122" i="2"/>
  <c r="Q122" i="2"/>
  <c r="P122" i="2"/>
  <c r="N122" i="2"/>
  <c r="M122" i="2"/>
  <c r="L122" i="2"/>
  <c r="K122" i="2"/>
  <c r="J122" i="2"/>
  <c r="I122" i="2"/>
  <c r="AH121" i="2"/>
  <c r="AF121" i="2"/>
  <c r="AE121" i="2"/>
  <c r="AD121" i="2"/>
  <c r="AC121" i="2"/>
  <c r="AB121" i="2"/>
  <c r="AA121" i="2"/>
  <c r="Z121" i="2"/>
  <c r="Y121" i="2"/>
  <c r="X121" i="2"/>
  <c r="W121" i="2"/>
  <c r="AI121" i="2" s="1"/>
  <c r="AK121" i="2" s="1"/>
  <c r="R121" i="2"/>
  <c r="Q121" i="2"/>
  <c r="P121" i="2"/>
  <c r="O121" i="2"/>
  <c r="N121" i="2"/>
  <c r="M121" i="2"/>
  <c r="L121" i="2"/>
  <c r="K121" i="2"/>
  <c r="J121" i="2"/>
  <c r="U121" i="2" s="1"/>
  <c r="I121" i="2"/>
  <c r="AH115" i="2"/>
  <c r="AG115" i="2"/>
  <c r="AF115" i="2"/>
  <c r="AE115" i="2"/>
  <c r="AD115" i="2"/>
  <c r="AC115" i="2"/>
  <c r="AC98" i="2" s="1"/>
  <c r="AC82" i="2" s="1"/>
  <c r="AB115" i="2"/>
  <c r="AA115" i="2"/>
  <c r="AA98" i="2" s="1"/>
  <c r="AA82" i="2" s="1"/>
  <c r="AA120" i="2" s="1"/>
  <c r="AA119" i="2" s="1"/>
  <c r="Z115" i="2"/>
  <c r="Y115" i="2"/>
  <c r="X115" i="2"/>
  <c r="X98" i="2" s="1"/>
  <c r="X82" i="2" s="1"/>
  <c r="X120" i="2" s="1"/>
  <c r="X119" i="2" s="1"/>
  <c r="W115" i="2"/>
  <c r="V115" i="2"/>
  <c r="R115" i="2"/>
  <c r="Q115" i="2"/>
  <c r="P115" i="2"/>
  <c r="O115" i="2"/>
  <c r="N115" i="2"/>
  <c r="M115" i="2"/>
  <c r="L115" i="2"/>
  <c r="K115" i="2"/>
  <c r="J115" i="2"/>
  <c r="J98" i="2" s="1"/>
  <c r="I115" i="2"/>
  <c r="H115" i="2"/>
  <c r="AK114" i="2"/>
  <c r="AK113" i="2"/>
  <c r="AI113" i="2"/>
  <c r="U113" i="2"/>
  <c r="AI112" i="2"/>
  <c r="AK112" i="2" s="1"/>
  <c r="AE112" i="2"/>
  <c r="AD112" i="2"/>
  <c r="AB112" i="2"/>
  <c r="U112" i="2"/>
  <c r="AI111" i="2"/>
  <c r="AK111" i="2" s="1"/>
  <c r="Y111" i="2"/>
  <c r="U111" i="2"/>
  <c r="AI110" i="2"/>
  <c r="AK110" i="2" s="1"/>
  <c r="AE110" i="2"/>
  <c r="AD110" i="2"/>
  <c r="AB110" i="2"/>
  <c r="Z110" i="2"/>
  <c r="Y110" i="2"/>
  <c r="U110" i="2"/>
  <c r="AI109" i="2"/>
  <c r="AK109" i="2" s="1"/>
  <c r="U109" i="2"/>
  <c r="Y108" i="2"/>
  <c r="AI108" i="2" s="1"/>
  <c r="AK108" i="2" s="1"/>
  <c r="U108" i="2"/>
  <c r="AK107" i="2"/>
  <c r="AI107" i="2"/>
  <c r="U107" i="2"/>
  <c r="AI106" i="2"/>
  <c r="AK106" i="2" s="1"/>
  <c r="U106" i="2"/>
  <c r="Y105" i="2"/>
  <c r="AI105" i="2" s="1"/>
  <c r="AK105" i="2" s="1"/>
  <c r="U105" i="2"/>
  <c r="AI104" i="2"/>
  <c r="AK104" i="2" s="1"/>
  <c r="U104" i="2"/>
  <c r="AI103" i="2"/>
  <c r="AK103" i="2" s="1"/>
  <c r="AE103" i="2"/>
  <c r="AD103" i="2"/>
  <c r="AD102" i="2" s="1"/>
  <c r="U103" i="2"/>
  <c r="AH102" i="2"/>
  <c r="AG102" i="2"/>
  <c r="AF102" i="2"/>
  <c r="AF98" i="2" s="1"/>
  <c r="AF82" i="2" s="1"/>
  <c r="AE102" i="2"/>
  <c r="AB102" i="2"/>
  <c r="AB98" i="2" s="1"/>
  <c r="AB82" i="2" s="1"/>
  <c r="AB120" i="2" s="1"/>
  <c r="AB119" i="2" s="1"/>
  <c r="Z102" i="2"/>
  <c r="W102" i="2"/>
  <c r="R102" i="2"/>
  <c r="K102" i="2"/>
  <c r="J102" i="2"/>
  <c r="I102" i="2"/>
  <c r="AE101" i="2"/>
  <c r="AD101" i="2"/>
  <c r="AB101" i="2"/>
  <c r="Z101" i="2"/>
  <c r="Y101" i="2"/>
  <c r="U101" i="2"/>
  <c r="AI100" i="2"/>
  <c r="AK100" i="2" s="1"/>
  <c r="U100" i="2"/>
  <c r="AI99" i="2"/>
  <c r="AK99" i="2" s="1"/>
  <c r="U99" i="2"/>
  <c r="AH98" i="2"/>
  <c r="AH82" i="2" s="1"/>
  <c r="AH120" i="2" s="1"/>
  <c r="AH119" i="2" s="1"/>
  <c r="AG98" i="2"/>
  <c r="Z98" i="2"/>
  <c r="Z82" i="2" s="1"/>
  <c r="AB97" i="2"/>
  <c r="Y97" i="2"/>
  <c r="AI97" i="2" s="1"/>
  <c r="AK97" i="2" s="1"/>
  <c r="U97" i="2"/>
  <c r="AI96" i="2"/>
  <c r="AK96" i="2" s="1"/>
  <c r="U96" i="2"/>
  <c r="AI94" i="2"/>
  <c r="AK94" i="2" s="1"/>
  <c r="U94" i="2"/>
  <c r="AI93" i="2"/>
  <c r="AK93" i="2" s="1"/>
  <c r="U93" i="2"/>
  <c r="AE92" i="2"/>
  <c r="AD92" i="2"/>
  <c r="AB92" i="2"/>
  <c r="Z92" i="2"/>
  <c r="Y92" i="2"/>
  <c r="U92" i="2"/>
  <c r="AK90" i="2"/>
  <c r="AE90" i="2"/>
  <c r="AD90" i="2"/>
  <c r="Y90" i="2"/>
  <c r="AI90" i="2" s="1"/>
  <c r="U90" i="2"/>
  <c r="AK89" i="2"/>
  <c r="AI89" i="2"/>
  <c r="U89" i="2"/>
  <c r="AE88" i="2"/>
  <c r="AD88" i="2"/>
  <c r="AI88" i="2" s="1"/>
  <c r="AK88" i="2" s="1"/>
  <c r="Y88" i="2"/>
  <c r="U88" i="2"/>
  <c r="AE87" i="2"/>
  <c r="AD87" i="2"/>
  <c r="AI87" i="2" s="1"/>
  <c r="AK87" i="2" s="1"/>
  <c r="AB87" i="2"/>
  <c r="Z87" i="2"/>
  <c r="Y87" i="2"/>
  <c r="U87" i="2"/>
  <c r="AI86" i="2"/>
  <c r="AK86" i="2" s="1"/>
  <c r="AE86" i="2"/>
  <c r="AD86" i="2"/>
  <c r="Z86" i="2"/>
  <c r="Y86" i="2"/>
  <c r="U86" i="2"/>
  <c r="AK85" i="2"/>
  <c r="AE85" i="2"/>
  <c r="AI85" i="2" s="1"/>
  <c r="U85" i="2"/>
  <c r="AE84" i="2"/>
  <c r="AD84" i="2"/>
  <c r="AB84" i="2"/>
  <c r="Z84" i="2"/>
  <c r="Y84" i="2"/>
  <c r="AI84" i="2" s="1"/>
  <c r="AK84" i="2" s="1"/>
  <c r="U84" i="2"/>
  <c r="AG82" i="2"/>
  <c r="AG120" i="2" s="1"/>
  <c r="AG119" i="2" s="1"/>
  <c r="V82" i="2"/>
  <c r="V120" i="2" s="1"/>
  <c r="T82" i="2"/>
  <c r="T120" i="2" s="1"/>
  <c r="T119" i="2" s="1"/>
  <c r="S82" i="2"/>
  <c r="S120" i="2" s="1"/>
  <c r="S119" i="2" s="1"/>
  <c r="R82" i="2"/>
  <c r="Q82" i="2"/>
  <c r="Q120" i="2" s="1"/>
  <c r="Q119" i="2" s="1"/>
  <c r="P82" i="2"/>
  <c r="O82" i="2"/>
  <c r="N82" i="2"/>
  <c r="M82" i="2"/>
  <c r="L82" i="2"/>
  <c r="H82" i="2"/>
  <c r="AK81" i="2"/>
  <c r="AK80" i="2"/>
  <c r="AK78" i="2"/>
  <c r="AI78" i="2"/>
  <c r="U78" i="2"/>
  <c r="AH76" i="2"/>
  <c r="AG76" i="2"/>
  <c r="AF76" i="2"/>
  <c r="AE76" i="2"/>
  <c r="AD76" i="2"/>
  <c r="AC76" i="2"/>
  <c r="AB76" i="2"/>
  <c r="AA76" i="2"/>
  <c r="Z76" i="2"/>
  <c r="Y76" i="2"/>
  <c r="X76" i="2"/>
  <c r="R76" i="2"/>
  <c r="Q76" i="2"/>
  <c r="O76" i="2"/>
  <c r="N76" i="2"/>
  <c r="M76" i="2"/>
  <c r="L76" i="2"/>
  <c r="K76" i="2"/>
  <c r="AI75" i="2"/>
  <c r="U75" i="2"/>
  <c r="U74" i="2" s="1"/>
  <c r="AH74" i="2"/>
  <c r="AG74" i="2"/>
  <c r="AF74" i="2"/>
  <c r="AE74" i="2"/>
  <c r="AD74" i="2"/>
  <c r="AC74" i="2"/>
  <c r="AB74" i="2"/>
  <c r="AA74" i="2"/>
  <c r="Z74" i="2"/>
  <c r="Y74" i="2"/>
  <c r="X74" i="2"/>
  <c r="W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AK73" i="2"/>
  <c r="AI73" i="2"/>
  <c r="U73" i="2"/>
  <c r="AI72" i="2"/>
  <c r="AK72" i="2" s="1"/>
  <c r="U72" i="2"/>
  <c r="AK71" i="2"/>
  <c r="AI71" i="2"/>
  <c r="U71" i="2"/>
  <c r="AI69" i="2"/>
  <c r="AK69" i="2" s="1"/>
  <c r="U69" i="2"/>
  <c r="AI68" i="2"/>
  <c r="AK68" i="2" s="1"/>
  <c r="U68" i="2"/>
  <c r="U65" i="2" s="1"/>
  <c r="AI67" i="2"/>
  <c r="U67" i="2"/>
  <c r="AK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I64" i="2"/>
  <c r="U64" i="2"/>
  <c r="AI62" i="2"/>
  <c r="AK62" i="2" s="1"/>
  <c r="U62" i="2"/>
  <c r="AI61" i="2"/>
  <c r="AK61" i="2" s="1"/>
  <c r="U61" i="2"/>
  <c r="AK60" i="2"/>
  <c r="AI60" i="2"/>
  <c r="U60" i="2"/>
  <c r="AI59" i="2"/>
  <c r="AK59" i="2" s="1"/>
  <c r="U59" i="2"/>
  <c r="AI58" i="2"/>
  <c r="AK58" i="2" s="1"/>
  <c r="U58" i="2"/>
  <c r="AI57" i="2"/>
  <c r="AK57" i="2" s="1"/>
  <c r="U57" i="2"/>
  <c r="AK56" i="2"/>
  <c r="AI56" i="2"/>
  <c r="U56" i="2"/>
  <c r="AI55" i="2"/>
  <c r="AK55" i="2" s="1"/>
  <c r="U55" i="2"/>
  <c r="AI53" i="2"/>
  <c r="AK53" i="2" s="1"/>
  <c r="U53" i="2"/>
  <c r="AI52" i="2"/>
  <c r="AK52" i="2" s="1"/>
  <c r="U52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AI49" i="2"/>
  <c r="AK49" i="2" s="1"/>
  <c r="U49" i="2"/>
  <c r="AK48" i="2"/>
  <c r="AI48" i="2"/>
  <c r="U48" i="2"/>
  <c r="AI47" i="2"/>
  <c r="AK47" i="2" s="1"/>
  <c r="U47" i="2"/>
  <c r="AI46" i="2"/>
  <c r="AK46" i="2" s="1"/>
  <c r="U46" i="2"/>
  <c r="AI45" i="2"/>
  <c r="AK45" i="2" s="1"/>
  <c r="U45" i="2"/>
  <c r="AK44" i="2"/>
  <c r="AI44" i="2"/>
  <c r="U44" i="2"/>
  <c r="AI43" i="2"/>
  <c r="AK43" i="2" s="1"/>
  <c r="U43" i="2"/>
  <c r="AI42" i="2"/>
  <c r="AK42" i="2" s="1"/>
  <c r="U42" i="2"/>
  <c r="AI41" i="2"/>
  <c r="AK41" i="2" s="1"/>
  <c r="U41" i="2"/>
  <c r="AK40" i="2"/>
  <c r="AI40" i="2"/>
  <c r="U40" i="2"/>
  <c r="AI39" i="2"/>
  <c r="AK39" i="2" s="1"/>
  <c r="U39" i="2"/>
  <c r="AI38" i="2"/>
  <c r="AK38" i="2" s="1"/>
  <c r="U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T37" i="2"/>
  <c r="S37" i="2"/>
  <c r="S31" i="2" s="1"/>
  <c r="R37" i="2"/>
  <c r="Q37" i="2"/>
  <c r="P37" i="2"/>
  <c r="O37" i="2"/>
  <c r="N37" i="2"/>
  <c r="M37" i="2"/>
  <c r="M31" i="2" s="1"/>
  <c r="L37" i="2"/>
  <c r="K37" i="2"/>
  <c r="J37" i="2"/>
  <c r="I37" i="2"/>
  <c r="H37" i="2"/>
  <c r="AK36" i="2"/>
  <c r="AI36" i="2"/>
  <c r="U36" i="2"/>
  <c r="AI35" i="2"/>
  <c r="AK35" i="2" s="1"/>
  <c r="U35" i="2"/>
  <c r="AI34" i="2"/>
  <c r="AK34" i="2" s="1"/>
  <c r="U34" i="2"/>
  <c r="AI33" i="2"/>
  <c r="AK33" i="2" s="1"/>
  <c r="U33" i="2"/>
  <c r="AH32" i="2"/>
  <c r="AH31" i="2" s="1"/>
  <c r="AG32" i="2"/>
  <c r="AG31" i="2" s="1"/>
  <c r="AF32" i="2"/>
  <c r="AE32" i="2"/>
  <c r="AD32" i="2"/>
  <c r="AC32" i="2"/>
  <c r="AC31" i="2" s="1"/>
  <c r="AB32" i="2"/>
  <c r="AB31" i="2" s="1"/>
  <c r="AA32" i="2"/>
  <c r="Z32" i="2"/>
  <c r="Y32" i="2"/>
  <c r="X32" i="2"/>
  <c r="W32" i="2"/>
  <c r="W31" i="2" s="1"/>
  <c r="V32" i="2"/>
  <c r="V31" i="2" s="1"/>
  <c r="T32" i="2"/>
  <c r="T31" i="2" s="1"/>
  <c r="S32" i="2"/>
  <c r="R32" i="2"/>
  <c r="R31" i="2" s="1"/>
  <c r="Q32" i="2"/>
  <c r="P32" i="2"/>
  <c r="P31" i="2" s="1"/>
  <c r="O32" i="2"/>
  <c r="N32" i="2"/>
  <c r="N31" i="2" s="1"/>
  <c r="M32" i="2"/>
  <c r="L32" i="2"/>
  <c r="L31" i="2" s="1"/>
  <c r="K32" i="2"/>
  <c r="J32" i="2"/>
  <c r="J31" i="2" s="1"/>
  <c r="I32" i="2"/>
  <c r="H32" i="2"/>
  <c r="H31" i="2" s="1"/>
  <c r="AE31" i="2"/>
  <c r="O31" i="2"/>
  <c r="K31" i="2"/>
  <c r="AI30" i="2"/>
  <c r="AK30" i="2" s="1"/>
  <c r="U30" i="2"/>
  <c r="AI29" i="2"/>
  <c r="AK29" i="2" s="1"/>
  <c r="U29" i="2"/>
  <c r="AI27" i="2"/>
  <c r="AK27" i="2" s="1"/>
  <c r="U27" i="2"/>
  <c r="U24" i="2" s="1"/>
  <c r="AI26" i="2"/>
  <c r="AI24" i="2" s="1"/>
  <c r="U26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I23" i="2"/>
  <c r="AK23" i="2" s="1"/>
  <c r="U23" i="2"/>
  <c r="U22" i="2" s="1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AI21" i="2"/>
  <c r="AK21" i="2" s="1"/>
  <c r="U21" i="2"/>
  <c r="AH20" i="2"/>
  <c r="AG20" i="2"/>
  <c r="AF20" i="2"/>
  <c r="AE20" i="2"/>
  <c r="AD20" i="2"/>
  <c r="AC20" i="2"/>
  <c r="AB20" i="2"/>
  <c r="AA20" i="2"/>
  <c r="Z20" i="2"/>
  <c r="Y20" i="2"/>
  <c r="X20" i="2"/>
  <c r="R20" i="2"/>
  <c r="Q20" i="2"/>
  <c r="P20" i="2"/>
  <c r="O20" i="2"/>
  <c r="N20" i="2"/>
  <c r="M20" i="2"/>
  <c r="L20" i="2"/>
  <c r="K20" i="2"/>
  <c r="J20" i="2"/>
  <c r="AK18" i="2"/>
  <c r="AI18" i="2"/>
  <c r="U18" i="2"/>
  <c r="AI17" i="2"/>
  <c r="AK17" i="2" s="1"/>
  <c r="U17" i="2"/>
  <c r="AK16" i="2"/>
  <c r="AI16" i="2"/>
  <c r="U16" i="2"/>
  <c r="AI15" i="2"/>
  <c r="AK15" i="2" s="1"/>
  <c r="U15" i="2"/>
  <c r="AH14" i="2"/>
  <c r="AG14" i="2"/>
  <c r="AF14" i="2"/>
  <c r="AE14" i="2"/>
  <c r="AD14" i="2"/>
  <c r="AC14" i="2"/>
  <c r="AB14" i="2"/>
  <c r="AA14" i="2"/>
  <c r="Z14" i="2"/>
  <c r="Y14" i="2"/>
  <c r="X14" i="2"/>
  <c r="AI14" i="2" s="1"/>
  <c r="AK14" i="2" s="1"/>
  <c r="R14" i="2"/>
  <c r="Q14" i="2"/>
  <c r="P14" i="2"/>
  <c r="O14" i="2"/>
  <c r="N14" i="2"/>
  <c r="M14" i="2"/>
  <c r="L14" i="2"/>
  <c r="K14" i="2"/>
  <c r="J14" i="2"/>
  <c r="U14" i="2" s="1"/>
  <c r="AH12" i="2"/>
  <c r="AG12" i="2"/>
  <c r="AF12" i="2"/>
  <c r="AE12" i="2"/>
  <c r="AD12" i="2"/>
  <c r="AC12" i="2"/>
  <c r="AI12" i="2" s="1"/>
  <c r="AK12" i="2" s="1"/>
  <c r="AB12" i="2"/>
  <c r="AA12" i="2"/>
  <c r="Z12" i="2"/>
  <c r="Y12" i="2"/>
  <c r="X12" i="2"/>
  <c r="R12" i="2"/>
  <c r="Q12" i="2"/>
  <c r="P12" i="2"/>
  <c r="O12" i="2"/>
  <c r="N12" i="2"/>
  <c r="M12" i="2"/>
  <c r="U12" i="2" s="1"/>
  <c r="L12" i="2"/>
  <c r="K12" i="2"/>
  <c r="J12" i="2"/>
  <c r="AH11" i="2"/>
  <c r="AG11" i="2"/>
  <c r="AF11" i="2"/>
  <c r="AE11" i="2"/>
  <c r="AD11" i="2"/>
  <c r="AC11" i="2"/>
  <c r="AB11" i="2"/>
  <c r="AA11" i="2"/>
  <c r="Z11" i="2"/>
  <c r="Y11" i="2"/>
  <c r="X11" i="2"/>
  <c r="AI11" i="2" s="1"/>
  <c r="AK11" i="2" s="1"/>
  <c r="R11" i="2"/>
  <c r="Q11" i="2"/>
  <c r="P11" i="2"/>
  <c r="O11" i="2"/>
  <c r="N11" i="2"/>
  <c r="M11" i="2"/>
  <c r="L11" i="2"/>
  <c r="U11" i="2" s="1"/>
  <c r="K11" i="2"/>
  <c r="J11" i="2"/>
  <c r="AH10" i="2"/>
  <c r="AG10" i="2"/>
  <c r="AF10" i="2"/>
  <c r="AE10" i="2"/>
  <c r="AD10" i="2"/>
  <c r="AC10" i="2"/>
  <c r="AB10" i="2"/>
  <c r="AA10" i="2"/>
  <c r="AI10" i="2" s="1"/>
  <c r="AK10" i="2" s="1"/>
  <c r="Z10" i="2"/>
  <c r="Y10" i="2"/>
  <c r="X10" i="2"/>
  <c r="R10" i="2"/>
  <c r="Q10" i="2"/>
  <c r="P10" i="2"/>
  <c r="O10" i="2"/>
  <c r="N10" i="2"/>
  <c r="M10" i="2"/>
  <c r="M7" i="2" s="1"/>
  <c r="M6" i="2" s="1"/>
  <c r="L10" i="2"/>
  <c r="K10" i="2"/>
  <c r="U10" i="2" s="1"/>
  <c r="J10" i="2"/>
  <c r="AH9" i="2"/>
  <c r="AG9" i="2"/>
  <c r="AF9" i="2"/>
  <c r="AF7" i="2" s="1"/>
  <c r="AF6" i="2" s="1"/>
  <c r="AE9" i="2"/>
  <c r="AD9" i="2"/>
  <c r="AC9" i="2"/>
  <c r="AB9" i="2"/>
  <c r="AA9" i="2"/>
  <c r="Z9" i="2"/>
  <c r="AI9" i="2" s="1"/>
  <c r="AK9" i="2" s="1"/>
  <c r="Y9" i="2"/>
  <c r="X9" i="2"/>
  <c r="R9" i="2"/>
  <c r="Q9" i="2"/>
  <c r="P9" i="2"/>
  <c r="O9" i="2"/>
  <c r="N9" i="2"/>
  <c r="M9" i="2"/>
  <c r="L9" i="2"/>
  <c r="K9" i="2"/>
  <c r="J9" i="2"/>
  <c r="U9" i="2" s="1"/>
  <c r="AH8" i="2"/>
  <c r="AH7" i="2" s="1"/>
  <c r="AH6" i="2" s="1"/>
  <c r="AH77" i="2" s="1"/>
  <c r="AH79" i="2" s="1"/>
  <c r="AG8" i="2"/>
  <c r="AG7" i="2" s="1"/>
  <c r="AG6" i="2" s="1"/>
  <c r="AF8" i="2"/>
  <c r="AE8" i="2"/>
  <c r="AE7" i="2" s="1"/>
  <c r="AE6" i="2" s="1"/>
  <c r="AD8" i="2"/>
  <c r="AC8" i="2"/>
  <c r="AC7" i="2" s="1"/>
  <c r="AC6" i="2" s="1"/>
  <c r="AB8" i="2"/>
  <c r="AB7" i="2" s="1"/>
  <c r="AB6" i="2" s="1"/>
  <c r="AA8" i="2"/>
  <c r="AA7" i="2" s="1"/>
  <c r="AA6" i="2" s="1"/>
  <c r="Z8" i="2"/>
  <c r="Y8" i="2"/>
  <c r="Y7" i="2" s="1"/>
  <c r="Y6" i="2" s="1"/>
  <c r="X8" i="2"/>
  <c r="R8" i="2"/>
  <c r="Q8" i="2"/>
  <c r="Q7" i="2" s="1"/>
  <c r="Q6" i="2" s="1"/>
  <c r="P8" i="2"/>
  <c r="P7" i="2" s="1"/>
  <c r="P6" i="2" s="1"/>
  <c r="P77" i="2" s="1"/>
  <c r="P79" i="2" s="1"/>
  <c r="O8" i="2"/>
  <c r="O7" i="2" s="1"/>
  <c r="O6" i="2" s="1"/>
  <c r="N8" i="2"/>
  <c r="M8" i="2"/>
  <c r="L8" i="2"/>
  <c r="K8" i="2"/>
  <c r="K7" i="2" s="1"/>
  <c r="K6" i="2" s="1"/>
  <c r="J8" i="2"/>
  <c r="U8" i="2" s="1"/>
  <c r="U7" i="2" s="1"/>
  <c r="AD7" i="2"/>
  <c r="AD6" i="2" s="1"/>
  <c r="X7" i="2"/>
  <c r="X6" i="2" s="1"/>
  <c r="W7" i="2"/>
  <c r="V7" i="2"/>
  <c r="V6" i="2" s="1"/>
  <c r="T7" i="2"/>
  <c r="T6" i="2" s="1"/>
  <c r="S7" i="2"/>
  <c r="S6" i="2" s="1"/>
  <c r="R7" i="2"/>
  <c r="R6" i="2" s="1"/>
  <c r="N7" i="2"/>
  <c r="N6" i="2" s="1"/>
  <c r="L7" i="2"/>
  <c r="L6" i="2" s="1"/>
  <c r="I7" i="2"/>
  <c r="I6" i="2" s="1"/>
  <c r="H7" i="2"/>
  <c r="H6" i="2" s="1"/>
  <c r="W6" i="2"/>
  <c r="M120" i="2" l="1"/>
  <c r="M119" i="2" s="1"/>
  <c r="AB67" i="3"/>
  <c r="M75" i="3"/>
  <c r="M77" i="3" s="1"/>
  <c r="BF67" i="3"/>
  <c r="K98" i="2"/>
  <c r="K82" i="2" s="1"/>
  <c r="K120" i="2" s="1"/>
  <c r="K119" i="2" s="1"/>
  <c r="N120" i="2"/>
  <c r="N119" i="2" s="1"/>
  <c r="I98" i="2"/>
  <c r="I82" i="2" s="1"/>
  <c r="I120" i="2" s="1"/>
  <c r="I119" i="2" s="1"/>
  <c r="O120" i="2"/>
  <c r="O119" i="2" s="1"/>
  <c r="R67" i="3"/>
  <c r="R75" i="3" s="1"/>
  <c r="R77" i="3" s="1"/>
  <c r="AM67" i="3"/>
  <c r="AM68" i="3" s="1"/>
  <c r="BV15" i="3"/>
  <c r="BV28" i="3"/>
  <c r="BV41" i="3"/>
  <c r="BE68" i="3"/>
  <c r="AD68" i="3"/>
  <c r="AJ68" i="3"/>
  <c r="BL53" i="3"/>
  <c r="BQ53" i="3"/>
  <c r="BV57" i="3"/>
  <c r="BB60" i="3"/>
  <c r="I60" i="3"/>
  <c r="BV64" i="3"/>
  <c r="BG48" i="3"/>
  <c r="BV12" i="3"/>
  <c r="BV21" i="3"/>
  <c r="G75" i="3"/>
  <c r="G77" i="3" s="1"/>
  <c r="AY68" i="3"/>
  <c r="BN75" i="3"/>
  <c r="BN77" i="3" s="1"/>
  <c r="K68" i="3"/>
  <c r="N48" i="3"/>
  <c r="AR48" i="3"/>
  <c r="AR68" i="3" s="1"/>
  <c r="BV17" i="3"/>
  <c r="BV24" i="3"/>
  <c r="BV27" i="3"/>
  <c r="BV40" i="3"/>
  <c r="AI68" i="3"/>
  <c r="AZ68" i="3"/>
  <c r="AL67" i="3"/>
  <c r="AL75" i="3" s="1"/>
  <c r="AL77" i="3" s="1"/>
  <c r="BS53" i="3"/>
  <c r="BS67" i="3" s="1"/>
  <c r="BV66" i="3"/>
  <c r="AC48" i="3"/>
  <c r="AB68" i="3" s="1"/>
  <c r="BV23" i="3"/>
  <c r="BV30" i="3"/>
  <c r="BV33" i="3"/>
  <c r="BV46" i="3"/>
  <c r="BI75" i="3"/>
  <c r="BI77" i="3" s="1"/>
  <c r="BP75" i="3"/>
  <c r="BP77" i="3" s="1"/>
  <c r="L68" i="3"/>
  <c r="BK75" i="3"/>
  <c r="BK77" i="3" s="1"/>
  <c r="AC53" i="3"/>
  <c r="AC67" i="3" s="1"/>
  <c r="AC68" i="3" s="1"/>
  <c r="BU53" i="3"/>
  <c r="AY75" i="3"/>
  <c r="AY77" i="3" s="1"/>
  <c r="BV16" i="3"/>
  <c r="BV29" i="3"/>
  <c r="BV36" i="3"/>
  <c r="BV39" i="3"/>
  <c r="BV44" i="3"/>
  <c r="AE75" i="3"/>
  <c r="AE77" i="3" s="1"/>
  <c r="BV52" i="3"/>
  <c r="F68" i="3"/>
  <c r="BV65" i="3"/>
  <c r="BE75" i="3"/>
  <c r="BE77" i="3" s="1"/>
  <c r="M68" i="3"/>
  <c r="P68" i="3"/>
  <c r="Q75" i="3"/>
  <c r="Q77" i="3" s="1"/>
  <c r="BR54" i="3"/>
  <c r="N54" i="3"/>
  <c r="S48" i="3"/>
  <c r="AW48" i="3"/>
  <c r="BT48" i="3"/>
  <c r="K75" i="3"/>
  <c r="K77" i="3" s="1"/>
  <c r="Q68" i="3"/>
  <c r="AK75" i="3"/>
  <c r="AK77" i="3" s="1"/>
  <c r="BA68" i="3"/>
  <c r="BA75" i="3"/>
  <c r="BA77" i="3" s="1"/>
  <c r="X67" i="3"/>
  <c r="X68" i="3" s="1"/>
  <c r="BG53" i="3"/>
  <c r="BG67" i="3" s="1"/>
  <c r="BG68" i="3" s="1"/>
  <c r="U75" i="3"/>
  <c r="U77" i="3" s="1"/>
  <c r="X48" i="3"/>
  <c r="BU48" i="3"/>
  <c r="E68" i="3"/>
  <c r="E75" i="3"/>
  <c r="E77" i="3" s="1"/>
  <c r="AU68" i="3"/>
  <c r="AU75" i="3"/>
  <c r="AU77" i="3" s="1"/>
  <c r="J53" i="3"/>
  <c r="BR55" i="3"/>
  <c r="BV55" i="3" s="1"/>
  <c r="N55" i="3"/>
  <c r="BT60" i="3"/>
  <c r="BT67" i="3" s="1"/>
  <c r="BV61" i="3"/>
  <c r="AA68" i="3"/>
  <c r="AB75" i="3"/>
  <c r="AB77" i="3" s="1"/>
  <c r="BB48" i="3"/>
  <c r="BV32" i="3"/>
  <c r="V68" i="3"/>
  <c r="W75" i="3"/>
  <c r="W77" i="3" s="1"/>
  <c r="BL67" i="3"/>
  <c r="BV63" i="3"/>
  <c r="BV74" i="3"/>
  <c r="AH48" i="3"/>
  <c r="AO68" i="3"/>
  <c r="AO75" i="3"/>
  <c r="AO77" i="3" s="1"/>
  <c r="BQ67" i="3"/>
  <c r="I67" i="3"/>
  <c r="BV73" i="3"/>
  <c r="U68" i="3"/>
  <c r="V75" i="3"/>
  <c r="V77" i="3" s="1"/>
  <c r="BL48" i="3"/>
  <c r="BL75" i="3" s="1"/>
  <c r="BL77" i="3" s="1"/>
  <c r="BV11" i="3"/>
  <c r="BV14" i="3"/>
  <c r="I48" i="3"/>
  <c r="AM48" i="3"/>
  <c r="BQ48" i="3"/>
  <c r="Z75" i="3"/>
  <c r="Z77" i="3" s="1"/>
  <c r="Y68" i="3"/>
  <c r="BV20" i="3"/>
  <c r="BV38" i="3"/>
  <c r="H75" i="3"/>
  <c r="H77" i="3" s="1"/>
  <c r="O68" i="3"/>
  <c r="Z68" i="3"/>
  <c r="AI75" i="3"/>
  <c r="AI77" i="3" s="1"/>
  <c r="AP75" i="3"/>
  <c r="AP77" i="3" s="1"/>
  <c r="BF68" i="3"/>
  <c r="BM75" i="3"/>
  <c r="BM77" i="3" s="1"/>
  <c r="AR67" i="3"/>
  <c r="S67" i="3"/>
  <c r="S68" i="3" s="1"/>
  <c r="AW67" i="3"/>
  <c r="AV67" i="3"/>
  <c r="AV68" i="3" s="1"/>
  <c r="BB53" i="3"/>
  <c r="BB67" i="3" s="1"/>
  <c r="BU58" i="3"/>
  <c r="BV58" i="3" s="1"/>
  <c r="AG67" i="3"/>
  <c r="AG75" i="3" s="1"/>
  <c r="AG77" i="3" s="1"/>
  <c r="AH58" i="3"/>
  <c r="AH67" i="3" s="1"/>
  <c r="AH68" i="3" s="1"/>
  <c r="BV72" i="3"/>
  <c r="G68" i="3"/>
  <c r="AE68" i="3"/>
  <c r="AK68" i="3"/>
  <c r="AQ68" i="3"/>
  <c r="BC68" i="3"/>
  <c r="P75" i="3"/>
  <c r="P77" i="3" s="1"/>
  <c r="AN75" i="3"/>
  <c r="AT75" i="3"/>
  <c r="AT77" i="3" s="1"/>
  <c r="AZ75" i="3"/>
  <c r="AZ77" i="3" s="1"/>
  <c r="BF75" i="3"/>
  <c r="BF77" i="3" s="1"/>
  <c r="H68" i="3"/>
  <c r="BD68" i="3"/>
  <c r="L75" i="3"/>
  <c r="L77" i="3" s="1"/>
  <c r="AD75" i="3"/>
  <c r="AD77" i="3" s="1"/>
  <c r="AJ75" i="3"/>
  <c r="AJ77" i="3" s="1"/>
  <c r="BR7" i="3"/>
  <c r="BS14" i="3"/>
  <c r="BS48" i="3" s="1"/>
  <c r="AS48" i="3"/>
  <c r="AX53" i="3"/>
  <c r="AX67" i="3" s="1"/>
  <c r="AX75" i="3" s="1"/>
  <c r="AX77" i="3" s="1"/>
  <c r="AI115" i="2"/>
  <c r="AK115" i="2" s="1"/>
  <c r="S77" i="2"/>
  <c r="S79" i="2" s="1"/>
  <c r="S116" i="2" s="1"/>
  <c r="S118" i="2" s="1"/>
  <c r="S136" i="2" s="1"/>
  <c r="S142" i="2" s="1"/>
  <c r="Q77" i="2"/>
  <c r="Q79" i="2" s="1"/>
  <c r="M77" i="2"/>
  <c r="M79" i="2" s="1"/>
  <c r="M116" i="2" s="1"/>
  <c r="M118" i="2" s="1"/>
  <c r="M136" i="2" s="1"/>
  <c r="M142" i="2" s="1"/>
  <c r="AI32" i="2"/>
  <c r="AK32" i="2" s="1"/>
  <c r="AK64" i="2"/>
  <c r="L77" i="2"/>
  <c r="L79" i="2" s="1"/>
  <c r="Q31" i="2"/>
  <c r="X31" i="2"/>
  <c r="AD31" i="2"/>
  <c r="AD77" i="2" s="1"/>
  <c r="AD79" i="2" s="1"/>
  <c r="AI37" i="2"/>
  <c r="AK37" i="2" s="1"/>
  <c r="H77" i="2"/>
  <c r="H79" i="2" s="1"/>
  <c r="K77" i="2"/>
  <c r="K79" i="2" s="1"/>
  <c r="U37" i="2"/>
  <c r="U31" i="2" s="1"/>
  <c r="N77" i="2"/>
  <c r="N79" i="2" s="1"/>
  <c r="N116" i="2" s="1"/>
  <c r="N118" i="2" s="1"/>
  <c r="N136" i="2" s="1"/>
  <c r="N142" i="2" s="1"/>
  <c r="AK24" i="2"/>
  <c r="AG77" i="2"/>
  <c r="AG79" i="2" s="1"/>
  <c r="AG116" i="2" s="1"/>
  <c r="AG118" i="2" s="1"/>
  <c r="AG136" i="2" s="1"/>
  <c r="AG142" i="2" s="1"/>
  <c r="T77" i="2"/>
  <c r="T79" i="2" s="1"/>
  <c r="AC77" i="2"/>
  <c r="AC79" i="2" s="1"/>
  <c r="AC116" i="2" s="1"/>
  <c r="AC118" i="2" s="1"/>
  <c r="X77" i="2"/>
  <c r="X79" i="2" s="1"/>
  <c r="AE77" i="2"/>
  <c r="AE79" i="2" s="1"/>
  <c r="R77" i="2"/>
  <c r="R79" i="2" s="1"/>
  <c r="O77" i="2"/>
  <c r="O79" i="2" s="1"/>
  <c r="O116" i="2" s="1"/>
  <c r="O118" i="2" s="1"/>
  <c r="Z31" i="2"/>
  <c r="AF31" i="2"/>
  <c r="AF77" i="2" s="1"/>
  <c r="AF79" i="2" s="1"/>
  <c r="AF116" i="2" s="1"/>
  <c r="AF118" i="2" s="1"/>
  <c r="U32" i="2"/>
  <c r="Y31" i="2"/>
  <c r="Y77" i="2" s="1"/>
  <c r="Y79" i="2" s="1"/>
  <c r="AI51" i="2"/>
  <c r="U51" i="2"/>
  <c r="AE98" i="2"/>
  <c r="AE82" i="2" s="1"/>
  <c r="AI65" i="2"/>
  <c r="AB77" i="2"/>
  <c r="AB79" i="2" s="1"/>
  <c r="AA31" i="2"/>
  <c r="AA77" i="2" s="1"/>
  <c r="AA79" i="2" s="1"/>
  <c r="AA116" i="2" s="1"/>
  <c r="AA118" i="2" s="1"/>
  <c r="AA136" i="2" s="1"/>
  <c r="AA142" i="2" s="1"/>
  <c r="U102" i="2"/>
  <c r="V77" i="2"/>
  <c r="AF120" i="2"/>
  <c r="AF119" i="2" s="1"/>
  <c r="O136" i="2"/>
  <c r="O142" i="2" s="1"/>
  <c r="J7" i="2"/>
  <c r="J6" i="2" s="1"/>
  <c r="J77" i="2" s="1"/>
  <c r="J79" i="2" s="1"/>
  <c r="AI8" i="2"/>
  <c r="AI20" i="2"/>
  <c r="AK20" i="2" s="1"/>
  <c r="AI76" i="2"/>
  <c r="AK76" i="2" s="1"/>
  <c r="AI92" i="2"/>
  <c r="AK92" i="2" s="1"/>
  <c r="Z120" i="2"/>
  <c r="Z119" i="2" s="1"/>
  <c r="AI101" i="2"/>
  <c r="AK101" i="2" s="1"/>
  <c r="AC120" i="2"/>
  <c r="AC119" i="2" s="1"/>
  <c r="V119" i="2"/>
  <c r="I31" i="2"/>
  <c r="I77" i="2" s="1"/>
  <c r="I79" i="2" s="1"/>
  <c r="I116" i="2" s="1"/>
  <c r="I118" i="2" s="1"/>
  <c r="H116" i="2"/>
  <c r="P120" i="2"/>
  <c r="P119" i="2" s="1"/>
  <c r="X116" i="2"/>
  <c r="X118" i="2" s="1"/>
  <c r="X136" i="2" s="1"/>
  <c r="X142" i="2" s="1"/>
  <c r="U115" i="2"/>
  <c r="AD98" i="2"/>
  <c r="AD82" i="2" s="1"/>
  <c r="AD122" i="2"/>
  <c r="AI122" i="2" s="1"/>
  <c r="AK122" i="2" s="1"/>
  <c r="AI130" i="2"/>
  <c r="AK130" i="2" s="1"/>
  <c r="W77" i="2"/>
  <c r="W79" i="2" s="1"/>
  <c r="U20" i="2"/>
  <c r="U6" i="2" s="1"/>
  <c r="AK26" i="2"/>
  <c r="AK51" i="2"/>
  <c r="L116" i="2"/>
  <c r="L118" i="2" s="1"/>
  <c r="R116" i="2"/>
  <c r="R118" i="2" s="1"/>
  <c r="L120" i="2"/>
  <c r="L119" i="2" s="1"/>
  <c r="Z7" i="2"/>
  <c r="Z6" i="2" s="1"/>
  <c r="AI74" i="2"/>
  <c r="AK74" i="2" s="1"/>
  <c r="AK75" i="2"/>
  <c r="J82" i="2"/>
  <c r="U98" i="2"/>
  <c r="U82" i="2" s="1"/>
  <c r="R120" i="2"/>
  <c r="R119" i="2" s="1"/>
  <c r="AI22" i="2"/>
  <c r="AK22" i="2" s="1"/>
  <c r="U76" i="2"/>
  <c r="Y102" i="2"/>
  <c r="AI102" i="2" s="1"/>
  <c r="AK102" i="2" s="1"/>
  <c r="T116" i="2"/>
  <c r="T118" i="2" s="1"/>
  <c r="T136" i="2" s="1"/>
  <c r="T142" i="2" s="1"/>
  <c r="O122" i="2"/>
  <c r="U122" i="2" s="1"/>
  <c r="AK67" i="2"/>
  <c r="W98" i="2"/>
  <c r="P116" i="2"/>
  <c r="P118" i="2" s="1"/>
  <c r="AB116" i="2"/>
  <c r="AB118" i="2" s="1"/>
  <c r="AB136" i="2" s="1"/>
  <c r="AB142" i="2" s="1"/>
  <c r="AH116" i="2"/>
  <c r="AH118" i="2" s="1"/>
  <c r="AH136" i="2" s="1"/>
  <c r="AH142" i="2" s="1"/>
  <c r="K116" i="2"/>
  <c r="K118" i="2" s="1"/>
  <c r="K136" i="2" s="1"/>
  <c r="K142" i="2" s="1"/>
  <c r="Q116" i="2"/>
  <c r="Q118" i="2" s="1"/>
  <c r="Q136" i="2" s="1"/>
  <c r="Q142" i="2" s="1"/>
  <c r="BG75" i="3" l="1"/>
  <c r="BG77" i="3" s="1"/>
  <c r="AV75" i="3"/>
  <c r="AV77" i="3" s="1"/>
  <c r="AC75" i="3"/>
  <c r="AC77" i="3" s="1"/>
  <c r="I68" i="3"/>
  <c r="I75" i="3" s="1"/>
  <c r="I77" i="3" s="1"/>
  <c r="BS75" i="3"/>
  <c r="BS77" i="3" s="1"/>
  <c r="BS68" i="3"/>
  <c r="BR48" i="3"/>
  <c r="BV7" i="3"/>
  <c r="AX68" i="3"/>
  <c r="AW75" i="3"/>
  <c r="AW77" i="3" s="1"/>
  <c r="AW68" i="3"/>
  <c r="BQ75" i="3"/>
  <c r="BQ77" i="3" s="1"/>
  <c r="BV60" i="3"/>
  <c r="S75" i="3"/>
  <c r="S77" i="3" s="1"/>
  <c r="R68" i="3"/>
  <c r="AM75" i="3"/>
  <c r="AM77" i="3" s="1"/>
  <c r="AL68" i="3"/>
  <c r="BR53" i="3"/>
  <c r="BR67" i="3" s="1"/>
  <c r="BV54" i="3"/>
  <c r="AS68" i="3"/>
  <c r="AS75" i="3"/>
  <c r="AS77" i="3" s="1"/>
  <c r="BB75" i="3"/>
  <c r="BB77" i="3" s="1"/>
  <c r="BB68" i="3"/>
  <c r="AR75" i="3"/>
  <c r="AR77" i="3" s="1"/>
  <c r="AN77" i="3"/>
  <c r="BU67" i="3"/>
  <c r="BU75" i="3" s="1"/>
  <c r="BU77" i="3" s="1"/>
  <c r="AG68" i="3"/>
  <c r="AH75" i="3"/>
  <c r="AH77" i="3" s="1"/>
  <c r="J67" i="3"/>
  <c r="N53" i="3"/>
  <c r="N67" i="3" s="1"/>
  <c r="W68" i="3"/>
  <c r="X75" i="3"/>
  <c r="X77" i="3" s="1"/>
  <c r="BT75" i="3"/>
  <c r="BT77" i="3" s="1"/>
  <c r="BT68" i="3"/>
  <c r="L136" i="2"/>
  <c r="L142" i="2" s="1"/>
  <c r="R136" i="2"/>
  <c r="R142" i="2" s="1"/>
  <c r="Z77" i="2"/>
  <c r="Z79" i="2" s="1"/>
  <c r="Z116" i="2" s="1"/>
  <c r="Z118" i="2" s="1"/>
  <c r="Z136" i="2" s="1"/>
  <c r="Z142" i="2" s="1"/>
  <c r="U77" i="2"/>
  <c r="U79" i="2" s="1"/>
  <c r="U116" i="2" s="1"/>
  <c r="U118" i="2" s="1"/>
  <c r="AI31" i="2"/>
  <c r="AK31" i="2" s="1"/>
  <c r="Y98" i="2"/>
  <c r="Y82" i="2" s="1"/>
  <c r="Y120" i="2" s="1"/>
  <c r="Y119" i="2" s="1"/>
  <c r="I136" i="2"/>
  <c r="I142" i="2" s="1"/>
  <c r="H118" i="2"/>
  <c r="AK8" i="2"/>
  <c r="AI7" i="2"/>
  <c r="W82" i="2"/>
  <c r="AF136" i="2"/>
  <c r="AF142" i="2" s="1"/>
  <c r="P136" i="2"/>
  <c r="P142" i="2" s="1"/>
  <c r="AD116" i="2"/>
  <c r="AD118" i="2" s="1"/>
  <c r="AD120" i="2"/>
  <c r="AD119" i="2" s="1"/>
  <c r="U120" i="2"/>
  <c r="U119" i="2" s="1"/>
  <c r="J120" i="2"/>
  <c r="J119" i="2" s="1"/>
  <c r="J116" i="2"/>
  <c r="J118" i="2" s="1"/>
  <c r="J136" i="2" s="1"/>
  <c r="J142" i="2" s="1"/>
  <c r="AE120" i="2"/>
  <c r="AE119" i="2" s="1"/>
  <c r="AE116" i="2"/>
  <c r="AE118" i="2" s="1"/>
  <c r="AC136" i="2"/>
  <c r="AC142" i="2" s="1"/>
  <c r="V79" i="2"/>
  <c r="BU68" i="3" l="1"/>
  <c r="J68" i="3"/>
  <c r="J75" i="3"/>
  <c r="J77" i="3" s="1"/>
  <c r="BV53" i="3"/>
  <c r="BV48" i="3"/>
  <c r="N68" i="3"/>
  <c r="N75" i="3"/>
  <c r="N77" i="3" s="1"/>
  <c r="BR75" i="3"/>
  <c r="BR77" i="3" s="1"/>
  <c r="BR68" i="3"/>
  <c r="U136" i="2"/>
  <c r="U142" i="2" s="1"/>
  <c r="AI98" i="2"/>
  <c r="AK98" i="2" s="1"/>
  <c r="Y116" i="2"/>
  <c r="Y118" i="2" s="1"/>
  <c r="Y136" i="2" s="1"/>
  <c r="Y142" i="2" s="1"/>
  <c r="AE136" i="2"/>
  <c r="AE142" i="2" s="1"/>
  <c r="V116" i="2"/>
  <c r="W120" i="2"/>
  <c r="W119" i="2" s="1"/>
  <c r="W116" i="2"/>
  <c r="W118" i="2" s="1"/>
  <c r="AK7" i="2"/>
  <c r="AI6" i="2"/>
  <c r="AD136" i="2"/>
  <c r="AD142" i="2" s="1"/>
  <c r="BV67" i="3" l="1"/>
  <c r="BV68" i="3" s="1"/>
  <c r="AI82" i="2"/>
  <c r="AI120" i="2" s="1"/>
  <c r="V118" i="2"/>
  <c r="AI77" i="2"/>
  <c r="AK6" i="2"/>
  <c r="W136" i="2"/>
  <c r="W142" i="2" s="1"/>
  <c r="AK82" i="2" l="1"/>
  <c r="BV75" i="3"/>
  <c r="BV77" i="3" s="1"/>
  <c r="AI119" i="2"/>
  <c r="AK119" i="2" s="1"/>
  <c r="AK120" i="2"/>
  <c r="AI79" i="2"/>
  <c r="AK77" i="2"/>
  <c r="V136" i="2"/>
  <c r="V142" i="2" l="1"/>
  <c r="AK79" i="2"/>
  <c r="AI116" i="2"/>
  <c r="AI118" i="2" l="1"/>
  <c r="AK116" i="2"/>
  <c r="AI136" i="2" l="1"/>
  <c r="AK118" i="2"/>
  <c r="AI142" i="2" l="1"/>
  <c r="AK136" i="2"/>
  <c r="AK142" i="2" l="1"/>
  <c r="AO46" i="1" l="1"/>
  <c r="AN46" i="1"/>
  <c r="AM46" i="1"/>
  <c r="AL46" i="1"/>
  <c r="AK46" i="1"/>
  <c r="AJ46" i="1"/>
  <c r="S46" i="1"/>
  <c r="R46" i="1"/>
  <c r="AO44" i="1"/>
  <c r="AN44" i="1"/>
  <c r="AT44" i="1" s="1"/>
  <c r="AM44" i="1"/>
  <c r="AL44" i="1"/>
  <c r="AK44" i="1"/>
  <c r="AJ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Q44" i="1"/>
  <c r="P44" i="1"/>
  <c r="O44" i="1"/>
  <c r="N44" i="1"/>
  <c r="M44" i="1"/>
  <c r="L44" i="1"/>
  <c r="K44" i="1"/>
  <c r="J44" i="1"/>
  <c r="I44" i="1"/>
  <c r="H44" i="1"/>
  <c r="G44" i="1"/>
  <c r="AO42" i="1"/>
  <c r="AN42" i="1"/>
  <c r="AT42" i="1" s="1"/>
  <c r="AM42" i="1"/>
  <c r="AL42" i="1"/>
  <c r="AK42" i="1"/>
  <c r="AJ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Q42" i="1"/>
  <c r="P42" i="1"/>
  <c r="O42" i="1"/>
  <c r="N42" i="1"/>
  <c r="M42" i="1"/>
  <c r="L42" i="1"/>
  <c r="K42" i="1"/>
  <c r="J42" i="1"/>
  <c r="I42" i="1"/>
  <c r="H42" i="1"/>
  <c r="G42" i="1"/>
  <c r="AO40" i="1"/>
  <c r="AN40" i="1"/>
  <c r="AM40" i="1"/>
  <c r="AL40" i="1"/>
  <c r="AK40" i="1"/>
  <c r="AJ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Q40" i="1"/>
  <c r="P40" i="1"/>
  <c r="O40" i="1"/>
  <c r="N40" i="1"/>
  <c r="M40" i="1"/>
  <c r="L40" i="1"/>
  <c r="K40" i="1"/>
  <c r="J40" i="1"/>
  <c r="I40" i="1"/>
  <c r="H40" i="1"/>
  <c r="G40" i="1"/>
  <c r="AO38" i="1"/>
  <c r="AN38" i="1"/>
  <c r="AM38" i="1"/>
  <c r="AL38" i="1"/>
  <c r="AK38" i="1"/>
  <c r="AJ38" i="1"/>
  <c r="AG38" i="1"/>
  <c r="AF38" i="1"/>
  <c r="AE38" i="1"/>
  <c r="AD38" i="1"/>
  <c r="AC38" i="1"/>
  <c r="AB38" i="1"/>
  <c r="AA38" i="1"/>
  <c r="AA46" i="1" s="1"/>
  <c r="Z38" i="1"/>
  <c r="Y38" i="1"/>
  <c r="X38" i="1"/>
  <c r="X46" i="1" s="1"/>
  <c r="W38" i="1"/>
  <c r="V38" i="1"/>
  <c r="U38" i="1"/>
  <c r="Q38" i="1"/>
  <c r="P38" i="1"/>
  <c r="O38" i="1"/>
  <c r="N38" i="1"/>
  <c r="M38" i="1"/>
  <c r="L38" i="1"/>
  <c r="K38" i="1"/>
  <c r="J38" i="1"/>
  <c r="I38" i="1"/>
  <c r="H38" i="1"/>
  <c r="H46" i="1" s="1"/>
  <c r="G38" i="1"/>
  <c r="S33" i="1"/>
  <c r="R33" i="1"/>
  <c r="G31" i="1"/>
  <c r="C31" i="1"/>
  <c r="G30" i="1"/>
  <c r="C30" i="1"/>
  <c r="G29" i="1"/>
  <c r="C29" i="1"/>
  <c r="G28" i="1"/>
  <c r="C28" i="1"/>
  <c r="G27" i="1"/>
  <c r="C27" i="1"/>
  <c r="T25" i="1"/>
  <c r="T24" i="1" s="1"/>
  <c r="AH24" i="1"/>
  <c r="V24" i="1"/>
  <c r="AH23" i="1"/>
  <c r="AH22" i="1" s="1"/>
  <c r="T23" i="1"/>
  <c r="T22" i="1" s="1"/>
  <c r="C22" i="1"/>
  <c r="AB21" i="1"/>
  <c r="AA21" i="1"/>
  <c r="X21" i="1"/>
  <c r="AH20" i="1"/>
  <c r="T20" i="1"/>
  <c r="G20" i="1"/>
  <c r="D20" i="1"/>
  <c r="AE19" i="1"/>
  <c r="AE18" i="1" s="1"/>
  <c r="AD19" i="1"/>
  <c r="AD18" i="1" s="1"/>
  <c r="AB19" i="1"/>
  <c r="AB18" i="1" s="1"/>
  <c r="AA19" i="1"/>
  <c r="AA18" i="1" s="1"/>
  <c r="U19" i="1"/>
  <c r="U18" i="1" s="1"/>
  <c r="M19" i="1"/>
  <c r="M18" i="1" s="1"/>
  <c r="M12" i="1" s="1"/>
  <c r="K19" i="1"/>
  <c r="K18" i="1" s="1"/>
  <c r="K12" i="1" s="1"/>
  <c r="G19" i="1"/>
  <c r="D19" i="1"/>
  <c r="AC18" i="1"/>
  <c r="Z18" i="1"/>
  <c r="Y18" i="1"/>
  <c r="X18" i="1"/>
  <c r="W18" i="1"/>
  <c r="V18" i="1"/>
  <c r="N18" i="1"/>
  <c r="G18" i="1"/>
  <c r="AE17" i="1"/>
  <c r="AD17" i="1"/>
  <c r="AC17" i="1"/>
  <c r="AB17" i="1"/>
  <c r="AA17" i="1"/>
  <c r="Z17" i="1"/>
  <c r="Y17" i="1"/>
  <c r="X17" i="1"/>
  <c r="W17" i="1"/>
  <c r="V17" i="1"/>
  <c r="U17" i="1"/>
  <c r="Q17" i="1"/>
  <c r="P17" i="1"/>
  <c r="O17" i="1"/>
  <c r="N17" i="1"/>
  <c r="M17" i="1"/>
  <c r="L17" i="1"/>
  <c r="K17" i="1"/>
  <c r="J17" i="1"/>
  <c r="I17" i="1"/>
  <c r="H17" i="1"/>
  <c r="T17" i="1" s="1"/>
  <c r="G17" i="1"/>
  <c r="AE16" i="1"/>
  <c r="AD16" i="1"/>
  <c r="AC16" i="1"/>
  <c r="AB16" i="1"/>
  <c r="AA16" i="1"/>
  <c r="Z16" i="1"/>
  <c r="Y16" i="1"/>
  <c r="X16" i="1"/>
  <c r="W16" i="1"/>
  <c r="W12" i="1" s="1"/>
  <c r="V16" i="1"/>
  <c r="U16" i="1"/>
  <c r="Q16" i="1"/>
  <c r="P16" i="1"/>
  <c r="O16" i="1"/>
  <c r="N16" i="1"/>
  <c r="M16" i="1"/>
  <c r="L16" i="1"/>
  <c r="K16" i="1"/>
  <c r="J16" i="1"/>
  <c r="I16" i="1"/>
  <c r="H16" i="1"/>
  <c r="G16" i="1"/>
  <c r="AE15" i="1"/>
  <c r="AD15" i="1"/>
  <c r="AC15" i="1"/>
  <c r="AB15" i="1"/>
  <c r="AA15" i="1"/>
  <c r="Z15" i="1"/>
  <c r="U15" i="1"/>
  <c r="Q15" i="1"/>
  <c r="P15" i="1"/>
  <c r="O15" i="1"/>
  <c r="M15" i="1"/>
  <c r="L15" i="1"/>
  <c r="K15" i="1"/>
  <c r="H15" i="1"/>
  <c r="G15" i="1"/>
  <c r="AE14" i="1"/>
  <c r="AD14" i="1"/>
  <c r="AC14" i="1"/>
  <c r="AB14" i="1"/>
  <c r="AA14" i="1"/>
  <c r="Z14" i="1"/>
  <c r="Y14" i="1"/>
  <c r="X14" i="1"/>
  <c r="W14" i="1"/>
  <c r="V14" i="1"/>
  <c r="V12" i="1" s="1"/>
  <c r="V8" i="1" s="1"/>
  <c r="U14" i="1"/>
  <c r="Q14" i="1"/>
  <c r="P14" i="1"/>
  <c r="O14" i="1"/>
  <c r="N14" i="1"/>
  <c r="M14" i="1"/>
  <c r="L14" i="1"/>
  <c r="K14" i="1"/>
  <c r="J14" i="1"/>
  <c r="I14" i="1"/>
  <c r="I12" i="1" s="1"/>
  <c r="H14" i="1"/>
  <c r="G14" i="1"/>
  <c r="G12" i="1" s="1"/>
  <c r="AE13" i="1"/>
  <c r="AD13" i="1"/>
  <c r="AC13" i="1"/>
  <c r="AC12" i="1" s="1"/>
  <c r="AC8" i="1" s="1"/>
  <c r="AB13" i="1"/>
  <c r="AA13" i="1"/>
  <c r="Z13" i="1"/>
  <c r="Y13" i="1"/>
  <c r="X13" i="1"/>
  <c r="W13" i="1"/>
  <c r="V13" i="1"/>
  <c r="U13" i="1"/>
  <c r="Q13" i="1"/>
  <c r="Q12" i="1" s="1"/>
  <c r="P13" i="1"/>
  <c r="O13" i="1"/>
  <c r="N13" i="1"/>
  <c r="M13" i="1"/>
  <c r="L13" i="1"/>
  <c r="K13" i="1"/>
  <c r="J13" i="1"/>
  <c r="I13" i="1"/>
  <c r="H13" i="1"/>
  <c r="G13" i="1"/>
  <c r="AO12" i="1"/>
  <c r="AN12" i="1"/>
  <c r="AM12" i="1"/>
  <c r="AL12" i="1"/>
  <c r="AK12" i="1"/>
  <c r="AJ12" i="1"/>
  <c r="AG12" i="1"/>
  <c r="AG8" i="1" s="1"/>
  <c r="AG33" i="1" s="1"/>
  <c r="AF12" i="1"/>
  <c r="AF8" i="1" s="1"/>
  <c r="AF33" i="1" s="1"/>
  <c r="O12" i="1"/>
  <c r="AO10" i="1"/>
  <c r="AN10" i="1"/>
  <c r="AT10" i="1" s="1"/>
  <c r="AM10" i="1"/>
  <c r="AL10" i="1"/>
  <c r="AK10" i="1"/>
  <c r="AJ10" i="1"/>
  <c r="AE10" i="1"/>
  <c r="AD10" i="1"/>
  <c r="AC10" i="1"/>
  <c r="AB10" i="1"/>
  <c r="AA10" i="1"/>
  <c r="Z10" i="1"/>
  <c r="Y10" i="1"/>
  <c r="X10" i="1"/>
  <c r="W10" i="1"/>
  <c r="W8" i="1" s="1"/>
  <c r="V10" i="1"/>
  <c r="U10" i="1"/>
  <c r="Q10" i="1"/>
  <c r="P10" i="1"/>
  <c r="O10" i="1"/>
  <c r="N10" i="1"/>
  <c r="M10" i="1"/>
  <c r="L10" i="1"/>
  <c r="K10" i="1"/>
  <c r="J10" i="1"/>
  <c r="I10" i="1"/>
  <c r="H10" i="1"/>
  <c r="G10" i="1"/>
  <c r="AO8" i="1"/>
  <c r="AN8" i="1"/>
  <c r="AM8" i="1"/>
  <c r="AL8" i="1"/>
  <c r="AK8" i="1"/>
  <c r="AE6" i="1"/>
  <c r="AD6" i="1"/>
  <c r="AC6" i="1"/>
  <c r="AB6" i="1"/>
  <c r="AT6" i="1" s="1"/>
  <c r="AA6" i="1"/>
  <c r="Z6" i="1"/>
  <c r="Y6" i="1"/>
  <c r="X6" i="1"/>
  <c r="W6" i="1"/>
  <c r="V6" i="1"/>
  <c r="U6" i="1"/>
  <c r="Q6" i="1"/>
  <c r="P6" i="1"/>
  <c r="O6" i="1"/>
  <c r="N6" i="1"/>
  <c r="M6" i="1"/>
  <c r="L6" i="1"/>
  <c r="K6" i="1"/>
  <c r="J6" i="1"/>
  <c r="I6" i="1"/>
  <c r="H6" i="1"/>
  <c r="G6" i="1"/>
  <c r="I46" i="1" l="1"/>
  <c r="AC46" i="1"/>
  <c r="M46" i="1"/>
  <c r="AA12" i="1"/>
  <c r="L46" i="1"/>
  <c r="N46" i="1"/>
  <c r="AQ46" i="1" s="1"/>
  <c r="U46" i="1"/>
  <c r="AT38" i="1"/>
  <c r="AQ10" i="1"/>
  <c r="AH6" i="1"/>
  <c r="AU6" i="1" s="1"/>
  <c r="W46" i="1"/>
  <c r="AG46" i="1"/>
  <c r="O46" i="1"/>
  <c r="G46" i="1"/>
  <c r="AP46" i="1" s="1"/>
  <c r="AD46" i="1"/>
  <c r="N12" i="1"/>
  <c r="N8" i="1" s="1"/>
  <c r="AQ8" i="1" s="1"/>
  <c r="AT40" i="1"/>
  <c r="AP10" i="1"/>
  <c r="I8" i="1"/>
  <c r="I33" i="1" s="1"/>
  <c r="O8" i="1"/>
  <c r="O33" i="1" s="1"/>
  <c r="AB12" i="1"/>
  <c r="AB8" i="1" s="1"/>
  <c r="L12" i="1"/>
  <c r="L8" i="1" s="1"/>
  <c r="L33" i="1" s="1"/>
  <c r="AH15" i="1"/>
  <c r="AH16" i="1"/>
  <c r="U12" i="1"/>
  <c r="U8" i="1" s="1"/>
  <c r="V46" i="1"/>
  <c r="AB46" i="1"/>
  <c r="AT46" i="1" s="1"/>
  <c r="AP38" i="1"/>
  <c r="AH14" i="1"/>
  <c r="T16" i="1"/>
  <c r="AQ38" i="1"/>
  <c r="AH40" i="1"/>
  <c r="AU40" i="1" s="1"/>
  <c r="AP40" i="1"/>
  <c r="AH42" i="1"/>
  <c r="AU42" i="1" s="1"/>
  <c r="AP42" i="1"/>
  <c r="AH44" i="1"/>
  <c r="AU44" i="1" s="1"/>
  <c r="AP44" i="1"/>
  <c r="AT8" i="1"/>
  <c r="H12" i="1"/>
  <c r="H8" i="1" s="1"/>
  <c r="H33" i="1" s="1"/>
  <c r="T14" i="1"/>
  <c r="T40" i="1"/>
  <c r="AQ40" i="1"/>
  <c r="AQ42" i="1"/>
  <c r="AQ44" i="1"/>
  <c r="AS6" i="1"/>
  <c r="AT12" i="1"/>
  <c r="Q8" i="1"/>
  <c r="AH19" i="1"/>
  <c r="T42" i="1"/>
  <c r="AR42" i="1" s="1"/>
  <c r="AH10" i="1"/>
  <c r="AU10" i="1" s="1"/>
  <c r="X12" i="1"/>
  <c r="X8" i="1" s="1"/>
  <c r="Y12" i="1"/>
  <c r="Y8" i="1" s="1"/>
  <c r="Y33" i="1" s="1"/>
  <c r="AD12" i="1"/>
  <c r="AD8" i="1" s="1"/>
  <c r="AH21" i="1"/>
  <c r="J46" i="1"/>
  <c r="P46" i="1"/>
  <c r="Y46" i="1"/>
  <c r="AE46" i="1"/>
  <c r="T44" i="1"/>
  <c r="AR44" i="1" s="1"/>
  <c r="Q33" i="1"/>
  <c r="Z33" i="1"/>
  <c r="T10" i="1"/>
  <c r="AR10" i="1" s="1"/>
  <c r="AS10" i="1"/>
  <c r="J12" i="1"/>
  <c r="J8" i="1" s="1"/>
  <c r="P12" i="1"/>
  <c r="P8" i="1" s="1"/>
  <c r="T15" i="1"/>
  <c r="AH17" i="1"/>
  <c r="Z12" i="1"/>
  <c r="Z8" i="1" s="1"/>
  <c r="T19" i="1"/>
  <c r="T18" i="1" s="1"/>
  <c r="AE12" i="1"/>
  <c r="AE8" i="1" s="1"/>
  <c r="AE33" i="1" s="1"/>
  <c r="K46" i="1"/>
  <c r="Q46" i="1"/>
  <c r="Z46" i="1"/>
  <c r="AF46" i="1"/>
  <c r="K8" i="1"/>
  <c r="K33" i="1" s="1"/>
  <c r="M33" i="1"/>
  <c r="AA8" i="1"/>
  <c r="AA33" i="1" s="1"/>
  <c r="W33" i="1"/>
  <c r="M8" i="1"/>
  <c r="AP12" i="1"/>
  <c r="V33" i="1"/>
  <c r="AC33" i="1"/>
  <c r="G8" i="1"/>
  <c r="AP8" i="1" s="1"/>
  <c r="J33" i="1"/>
  <c r="P33" i="1"/>
  <c r="AR40" i="1"/>
  <c r="X33" i="1"/>
  <c r="AD33" i="1"/>
  <c r="T6" i="1"/>
  <c r="AB33" i="1"/>
  <c r="T38" i="1"/>
  <c r="AP6" i="1"/>
  <c r="AQ6" i="1"/>
  <c r="T13" i="1"/>
  <c r="AH13" i="1"/>
  <c r="AH38" i="1"/>
  <c r="AS8" i="1" l="1"/>
  <c r="U33" i="1"/>
  <c r="AQ12" i="1"/>
  <c r="G33" i="1"/>
  <c r="AH18" i="1"/>
  <c r="N33" i="1"/>
  <c r="T46" i="1"/>
  <c r="AR46" i="1" s="1"/>
  <c r="AH46" i="1"/>
  <c r="AU46" i="1" s="1"/>
  <c r="AR38" i="1"/>
  <c r="AH12" i="1"/>
  <c r="AU12" i="1" s="1"/>
  <c r="T12" i="1"/>
  <c r="T8" i="1" s="1"/>
  <c r="AR8" i="1" s="1"/>
  <c r="AU38" i="1"/>
  <c r="AR6" i="1"/>
  <c r="AR12" i="1" l="1"/>
  <c r="AH8" i="1"/>
  <c r="AU8" i="1"/>
  <c r="AH33" i="1"/>
  <c r="T33" i="1"/>
</calcChain>
</file>

<file path=xl/sharedStrings.xml><?xml version="1.0" encoding="utf-8"?>
<sst xmlns="http://schemas.openxmlformats.org/spreadsheetml/2006/main" count="1754" uniqueCount="584">
  <si>
    <t>Summary table of national revenue, expenditure and borrowing for the month ended 31 January 2023</t>
  </si>
  <si>
    <t>2022/23</t>
  </si>
  <si>
    <t>2021/22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</si>
  <si>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</si>
  <si>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</si>
  <si>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</si>
  <si>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</si>
  <si>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</si>
  <si>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</si>
  <si>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</si>
  <si>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</si>
  <si>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</si>
  <si>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</si>
  <si>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</si>
  <si>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</si>
  <si>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</si>
  <si>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</si>
  <si>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Audited</t>
  </si>
  <si>
    <t>R thousand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</si>
  <si>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</si>
  <si>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</si>
  <si>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</si>
  <si>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</si>
  <si>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</si>
  <si>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</si>
  <si>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</si>
  <si>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</si>
  <si>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</si>
  <si>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</si>
  <si>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</si>
  <si>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</si>
  <si>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</si>
  <si>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</si>
  <si>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</si>
  <si>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</si>
  <si>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</si>
  <si>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</si>
  <si>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</si>
  <si>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</si>
  <si>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</si>
  <si>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</si>
  <si>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</si>
  <si>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</si>
  <si>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</si>
  <si>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Table 1 Revenue*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</si>
  <si>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</si>
  <si>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</si>
  <si>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</si>
  <si>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</si>
  <si>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</si>
  <si>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</si>
  <si>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</si>
  <si>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</si>
  <si>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</si>
  <si>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</si>
  <si>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</si>
  <si>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</si>
  <si>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</si>
  <si>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</si>
  <si>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</si>
  <si>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</si>
  <si>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</si>
  <si>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</si>
  <si>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</si>
  <si>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</si>
  <si>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</si>
  <si>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</si>
  <si>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</si>
  <si>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</si>
  <si>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</si>
  <si>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</si>
  <si>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</si>
  <si>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</si>
  <si>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</si>
  <si>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</si>
  <si>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</si>
  <si>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</si>
  <si>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</si>
  <si>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</si>
  <si>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</si>
  <si>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</si>
  <si>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</si>
  <si>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</si>
  <si>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</si>
  <si>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</si>
  <si>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</si>
  <si>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</si>
  <si>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</si>
  <si>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</si>
  <si>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</si>
  <si>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</si>
  <si>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</si>
  <si>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</si>
  <si>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</si>
  <si>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</si>
  <si>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</si>
  <si>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</si>
  <si>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</si>
  <si>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</si>
  <si>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</si>
  <si>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</si>
  <si>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</si>
  <si>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</si>
  <si>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</si>
  <si>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</si>
  <si>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</si>
  <si>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</si>
  <si>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</si>
  <si>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</si>
  <si>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</si>
  <si>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</si>
  <si>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</si>
  <si>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</si>
  <si>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</si>
  <si>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</si>
  <si>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</si>
  <si>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</si>
  <si>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</si>
  <si>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</si>
  <si>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</si>
  <si>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</si>
  <si>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</si>
  <si>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</si>
  <si>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</si>
  <si>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</si>
  <si>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</si>
  <si>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</si>
  <si>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</si>
  <si>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</si>
  <si>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</si>
  <si>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</si>
  <si>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</si>
  <si>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</si>
  <si>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</si>
  <si>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</si>
  <si>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</si>
  <si>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</si>
  <si>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</si>
  <si>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</si>
  <si>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</si>
  <si>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</si>
  <si>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</si>
  <si>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</si>
  <si>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</si>
  <si>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</si>
  <si>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</si>
  <si>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</si>
  <si>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</si>
  <si>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</si>
  <si>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</si>
  <si>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</si>
  <si>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</si>
  <si>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</si>
  <si>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</si>
  <si>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</si>
  <si>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</si>
  <si>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</si>
  <si>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</si>
  <si>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</si>
  <si>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</si>
  <si>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</si>
  <si>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</si>
  <si>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</si>
  <si>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</si>
  <si>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</si>
  <si>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</si>
  <si>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</si>
  <si>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</si>
  <si>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</si>
  <si>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</si>
  <si>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</si>
  <si>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</si>
  <si>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</si>
  <si>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</si>
  <si>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</si>
  <si>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</si>
  <si>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</si>
  <si>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</si>
  <si>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</si>
  <si>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</si>
  <si>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</si>
  <si>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</si>
  <si>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</si>
  <si>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</si>
  <si>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</si>
  <si>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</si>
  <si>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</si>
  <si>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</si>
  <si>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</si>
  <si>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</si>
  <si>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</si>
  <si>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</si>
  <si>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</si>
  <si>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</si>
  <si>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</si>
  <si>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</si>
  <si>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</si>
  <si>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</si>
  <si>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</si>
  <si>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</si>
  <si>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</si>
  <si>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</si>
  <si>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</si>
  <si>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</si>
  <si>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</si>
  <si>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</si>
  <si>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</si>
  <si>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</si>
  <si>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</si>
  <si>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</si>
  <si>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</si>
  <si>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</si>
  <si>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</si>
  <si>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</si>
  <si>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</si>
  <si>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</si>
  <si>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</si>
  <si>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</si>
  <si>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</si>
  <si>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</si>
  <si>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</si>
  <si>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</si>
  <si>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</si>
  <si>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</si>
  <si>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</si>
  <si>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</si>
  <si>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</si>
  <si>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</si>
  <si>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</si>
  <si>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</si>
  <si>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</si>
  <si>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</si>
  <si>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</si>
  <si>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</si>
  <si>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</si>
  <si>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</si>
  <si>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</si>
  <si>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</si>
  <si>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</si>
  <si>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</si>
  <si>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</si>
  <si>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</si>
  <si>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</si>
  <si>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</si>
  <si>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</si>
  <si>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</si>
  <si>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</si>
  <si>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</si>
  <si>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</si>
  <si>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</si>
  <si>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</si>
  <si>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</si>
  <si>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</si>
  <si>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</si>
  <si>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</si>
  <si>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</si>
  <si>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</si>
  <si>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</si>
  <si>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</si>
  <si>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</si>
  <si>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Land and Agriculture Development Bank of South Africa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</si>
  <si>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</si>
  <si>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</si>
  <si>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</si>
  <si>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</si>
  <si>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</si>
  <si>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MTBPS Adjustment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</si>
  <si>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</si>
  <si>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</si>
  <si>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</si>
  <si>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</si>
  <si>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</si>
  <si>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</si>
  <si>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</si>
  <si>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</si>
  <si>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</si>
  <si>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Audited outcome</t>
  </si>
  <si>
    <t>IYM</t>
  </si>
  <si>
    <t>Difference</t>
  </si>
  <si>
    <t xml:space="preserve">Forestry, Fisheries and the Environment, </t>
  </si>
  <si>
    <t>President and Deputy President salaries (The Presidency)</t>
  </si>
  <si>
    <t>Other payments</t>
  </si>
  <si>
    <t>South African Airways (Public Enterprises)</t>
  </si>
  <si>
    <t>Denel (Public Enterprises)</t>
  </si>
  <si>
    <t>Land and Agricultural Development Bank of SA</t>
  </si>
  <si>
    <t>Table 3  Summary table of borrowing</t>
  </si>
  <si>
    <t xml:space="preserve">  Treasury bills</t>
  </si>
  <si>
    <t>Shorter than 91 days</t>
  </si>
  <si>
    <t>91 days</t>
  </si>
  <si>
    <t xml:space="preserve">                          -  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</si>
  <si>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</si>
  <si>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</si>
  <si>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</si>
  <si>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</si>
  <si>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</si>
  <si>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</si>
  <si>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</si>
  <si>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</si>
  <si>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</si>
  <si>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</si>
  <si>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</si>
  <si>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</si>
  <si>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</si>
  <si>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</si>
  <si>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</si>
  <si>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</si>
  <si>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</si>
  <si>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</si>
  <si>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</si>
  <si>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</si>
  <si>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</si>
  <si>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</si>
  <si>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</si>
  <si>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</si>
  <si>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</si>
  <si>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</si>
  <si>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</si>
  <si>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</si>
  <si>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</si>
  <si>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</si>
  <si>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</si>
  <si>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</si>
  <si>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</si>
  <si>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</si>
  <si>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</si>
  <si>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</si>
  <si>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</si>
  <si>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</si>
  <si>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</si>
  <si>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</si>
  <si>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</si>
  <si>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</si>
  <si>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</si>
  <si>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</si>
  <si>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</si>
  <si>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</si>
  <si>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</si>
  <si>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</si>
  <si>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</si>
  <si>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</si>
  <si>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</si>
  <si>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</si>
  <si>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</si>
  <si>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</si>
  <si>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</si>
  <si>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</si>
  <si>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</si>
  <si>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</si>
  <si>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</si>
  <si>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</si>
  <si>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</si>
  <si>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</si>
  <si>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</si>
  <si>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</si>
  <si>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</si>
  <si>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</si>
  <si>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</si>
  <si>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</si>
  <si>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</si>
  <si>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</si>
  <si>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</si>
  <si>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</si>
  <si>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</si>
  <si>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</si>
  <si>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</si>
  <si>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</si>
  <si>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</si>
  <si>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</si>
  <si>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</si>
  <si>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</si>
  <si>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</si>
  <si>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</si>
  <si>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</si>
  <si>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</si>
  <si>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</si>
  <si>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</si>
  <si>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</si>
  <si>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</si>
  <si>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</si>
  <si>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</si>
  <si>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</si>
  <si>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</si>
  <si>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</si>
  <si>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</si>
  <si>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</si>
  <si>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</si>
  <si>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</si>
  <si>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</si>
  <si>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</si>
  <si>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</si>
  <si>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</si>
  <si>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</si>
  <si>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</si>
  <si>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</si>
  <si>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</si>
  <si>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</si>
  <si>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</si>
  <si>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</si>
  <si>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</si>
  <si>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</si>
  <si>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</si>
  <si>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</si>
  <si>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</si>
  <si>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</si>
  <si>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</si>
  <si>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</si>
  <si>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</si>
  <si>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</si>
  <si>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</si>
  <si>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</si>
  <si>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</si>
  <si>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</si>
  <si>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</si>
  <si>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</si>
  <si>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</si>
  <si>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</si>
  <si>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</si>
  <si>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>Outcome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</si>
  <si>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</si>
  <si>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</si>
  <si>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</si>
  <si>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</si>
  <si>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</si>
  <si>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</si>
  <si>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</si>
  <si>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</si>
  <si>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</si>
  <si>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</si>
  <si>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</si>
  <si>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</si>
  <si>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</si>
  <si>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</si>
  <si>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</si>
  <si>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</si>
  <si>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</si>
  <si>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</si>
  <si>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</si>
  <si>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</si>
  <si>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</si>
  <si>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</si>
  <si>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</si>
  <si>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</si>
  <si>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</si>
  <si>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</si>
  <si>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</si>
  <si>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</si>
  <si>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</si>
  <si>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</si>
  <si>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</si>
  <si>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</si>
  <si>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</si>
  <si>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</si>
  <si>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</si>
  <si>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</si>
  <si>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</si>
  <si>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</si>
  <si>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</si>
  <si>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</si>
  <si>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</si>
  <si>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</si>
  <si>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</si>
  <si>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</si>
  <si>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</si>
  <si>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</si>
  <si>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</si>
  <si>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</si>
  <si>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</si>
  <si>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</si>
  <si>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</si>
  <si>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</si>
  <si>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</si>
  <si>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</si>
  <si>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</si>
  <si>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</si>
  <si>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</si>
  <si>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</si>
  <si>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</si>
  <si>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</si>
  <si>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</si>
  <si>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</si>
  <si>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</si>
  <si>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</si>
  <si>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</si>
  <si>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</si>
  <si>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</si>
  <si>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</si>
  <si>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</si>
  <si>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</si>
  <si>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</si>
  <si>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</si>
  <si>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</si>
  <si>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</si>
  <si>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</si>
  <si>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</si>
  <si>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</si>
  <si>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</si>
  <si>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</si>
  <si>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MTBPS Adjustment 7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</si>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</sst>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7" fillId="0" borderId="0"/>
    <xf numFmtId="0" fontId="4" fillId="0" borderId="0"/>
  </cellStyleXfs>
  <cellXfs count="814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3" fontId="2" fillId="0" borderId="1" xfId="1" applyFont="1" applyFill="1" applyBorder="1"/>
    <xf numFmtId="165" fontId="2" fillId="0" borderId="0" xfId="1" applyNumberFormat="1" applyFont="1" applyFill="1"/>
    <xf numFmtId="0" fontId="6" fillId="0" borderId="2" xfId="0" applyFont="1" applyBorder="1"/>
    <xf numFmtId="0" fontId="6" fillId="0" borderId="3" xfId="0" applyFont="1" applyBorder="1"/>
    <xf numFmtId="0" fontId="7" fillId="0" borderId="2" xfId="0" applyFont="1" applyBorder="1"/>
    <xf numFmtId="0" fontId="7" fillId="0" borderId="0" xfId="0" applyFont="1"/>
    <xf numFmtId="165" fontId="7" fillId="0" borderId="0" xfId="1" applyNumberFormat="1" applyFont="1" applyFill="1"/>
    <xf numFmtId="0" fontId="6" fillId="0" borderId="8" xfId="0" applyFont="1" applyBorder="1" applyAlignment="1">
      <alignment horizontal="center"/>
    </xf>
    <xf numFmtId="165" fontId="6" fillId="0" borderId="9" xfId="1" applyNumberFormat="1" applyFont="1" applyFill="1" applyBorder="1" applyAlignment="1">
      <alignment horizontal="right"/>
    </xf>
    <xf numFmtId="165" fontId="6" fillId="0" borderId="10" xfId="1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>
      <alignment horizontal="right"/>
    </xf>
    <xf numFmtId="165" fontId="6" fillId="0" borderId="12" xfId="1" applyNumberFormat="1" applyFont="1" applyFill="1" applyBorder="1" applyAlignment="1">
      <alignment horizontal="right"/>
    </xf>
    <xf numFmtId="165" fontId="6" fillId="0" borderId="0" xfId="1" applyNumberFormat="1" applyFont="1" applyFill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165" fontId="6" fillId="0" borderId="16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/>
    <xf numFmtId="0" fontId="6" fillId="0" borderId="11" xfId="0" applyFont="1" applyBorder="1"/>
    <xf numFmtId="0" fontId="6" fillId="0" borderId="2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21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5" fontId="6" fillId="0" borderId="22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23" xfId="0" applyNumberFormat="1" applyFont="1" applyBorder="1"/>
    <xf numFmtId="165" fontId="6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43" fontId="7" fillId="0" borderId="21" xfId="1" applyFont="1" applyFill="1" applyBorder="1" applyAlignment="1">
      <alignment horizontal="right"/>
    </xf>
    <xf numFmtId="43" fontId="7" fillId="0" borderId="22" xfId="1" applyFont="1" applyFill="1" applyBorder="1" applyAlignment="1">
      <alignment horizontal="right"/>
    </xf>
    <xf numFmtId="165" fontId="7" fillId="0" borderId="22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24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6" fillId="0" borderId="22" xfId="1" applyNumberFormat="1" applyFont="1" applyFill="1" applyBorder="1" applyAlignment="1">
      <alignment horizontal="right"/>
    </xf>
    <xf numFmtId="165" fontId="6" fillId="0" borderId="24" xfId="1" applyNumberFormat="1" applyFont="1" applyFill="1" applyBorder="1" applyAlignment="1">
      <alignment horizontal="right"/>
    </xf>
    <xf numFmtId="0" fontId="8" fillId="0" borderId="2" xfId="0" applyFont="1" applyBorder="1"/>
    <xf numFmtId="165" fontId="6" fillId="0" borderId="2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24" xfId="1" applyNumberFormat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8" xfId="0" applyFont="1" applyBorder="1" applyAlignment="1">
      <alignment horizontal="center"/>
    </xf>
    <xf numFmtId="165" fontId="9" fillId="0" borderId="21" xfId="1" applyNumberFormat="1" applyFont="1" applyFill="1" applyBorder="1" applyAlignment="1">
      <alignment horizontal="center"/>
    </xf>
    <xf numFmtId="165" fontId="9" fillId="0" borderId="22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9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5" fontId="9" fillId="0" borderId="24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wrapText="1"/>
    </xf>
    <xf numFmtId="0" fontId="7" fillId="0" borderId="8" xfId="0" applyFont="1" applyBorder="1" applyAlignment="1">
      <alignment horizontal="left" indent="1"/>
    </xf>
    <xf numFmtId="165" fontId="7" fillId="0" borderId="21" xfId="1" applyNumberFormat="1" applyFont="1" applyFill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165" fontId="7" fillId="0" borderId="0" xfId="1" applyNumberFormat="1" applyFont="1" applyFill="1" applyAlignment="1">
      <alignment horizontal="left" indent="1"/>
    </xf>
    <xf numFmtId="0" fontId="9" fillId="0" borderId="2" xfId="0" applyFont="1" applyBorder="1"/>
    <xf numFmtId="0" fontId="9" fillId="0" borderId="0" xfId="0" applyFont="1" applyAlignment="1">
      <alignment horizontal="left" indent="1"/>
    </xf>
    <xf numFmtId="0" fontId="9" fillId="0" borderId="8" xfId="0" applyFont="1" applyBorder="1" applyAlignment="1">
      <alignment horizontal="center"/>
    </xf>
    <xf numFmtId="0" fontId="11" fillId="0" borderId="0" xfId="0" applyFont="1" applyAlignment="1">
      <alignment horizontal="left" wrapText="1" indent="1"/>
    </xf>
    <xf numFmtId="165" fontId="9" fillId="0" borderId="21" xfId="1" applyNumberFormat="1" applyFont="1" applyFill="1" applyBorder="1" applyAlignment="1">
      <alignment horizontal="left" indent="1"/>
    </xf>
    <xf numFmtId="165" fontId="7" fillId="0" borderId="21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left" indent="1"/>
    </xf>
    <xf numFmtId="0" fontId="7" fillId="0" borderId="2" xfId="2" applyFont="1" applyBorder="1"/>
    <xf numFmtId="0" fontId="7" fillId="0" borderId="0" xfId="2" applyFont="1"/>
    <xf numFmtId="165" fontId="7" fillId="0" borderId="22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24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0" xfId="1" applyNumberFormat="1" applyFont="1" applyFill="1" applyBorder="1" applyAlignment="1">
      <alignment horizontal="right"/>
    </xf>
    <xf numFmtId="166" fontId="6" fillId="0" borderId="12" xfId="1" applyNumberFormat="1" applyFont="1" applyFill="1" applyBorder="1" applyAlignment="1">
      <alignment horizontal="right"/>
    </xf>
    <xf numFmtId="37" fontId="7" fillId="0" borderId="16" xfId="1" applyNumberFormat="1" applyFont="1" applyFill="1" applyBorder="1" applyAlignment="1">
      <alignment horizontal="right"/>
    </xf>
    <xf numFmtId="37" fontId="7" fillId="0" borderId="17" xfId="1" applyNumberFormat="1" applyFont="1" applyFill="1" applyBorder="1" applyAlignment="1">
      <alignment horizontal="right"/>
    </xf>
    <xf numFmtId="37" fontId="7" fillId="0" borderId="14" xfId="1" applyNumberFormat="1" applyFont="1" applyFill="1" applyBorder="1" applyAlignment="1">
      <alignment horizontal="right"/>
    </xf>
    <xf numFmtId="37" fontId="7" fillId="0" borderId="18" xfId="1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11" xfId="1" applyNumberFormat="1" applyFont="1" applyFill="1" applyBorder="1" applyAlignment="1">
      <alignment horizontal="right"/>
    </xf>
    <xf numFmtId="165" fontId="8" fillId="0" borderId="12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22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4" fontId="7" fillId="0" borderId="0" xfId="0" applyNumberFormat="1" applyFont="1"/>
    <xf numFmtId="0" fontId="8" fillId="0" borderId="2" xfId="0" applyFont="1" applyBorder="1" applyAlignment="1">
      <alignment horizontal="right"/>
    </xf>
    <xf numFmtId="165" fontId="7" fillId="0" borderId="16" xfId="1" applyNumberFormat="1" applyFont="1" applyFill="1" applyBorder="1" applyAlignment="1">
      <alignment horizontal="right"/>
    </xf>
    <xf numFmtId="165" fontId="7" fillId="0" borderId="17" xfId="1" applyNumberFormat="1" applyFont="1" applyFill="1" applyBorder="1" applyAlignment="1">
      <alignment horizontal="right"/>
    </xf>
    <xf numFmtId="165" fontId="7" fillId="0" borderId="14" xfId="1" applyNumberFormat="1" applyFont="1" applyFill="1" applyBorder="1" applyAlignment="1">
      <alignment horizontal="right"/>
    </xf>
    <xf numFmtId="165" fontId="7" fillId="0" borderId="18" xfId="1" applyNumberFormat="1" applyFont="1" applyFill="1" applyBorder="1" applyAlignment="1">
      <alignment horizontal="right"/>
    </xf>
    <xf numFmtId="37" fontId="6" fillId="0" borderId="9" xfId="1" applyNumberFormat="1" applyFont="1" applyFill="1" applyBorder="1" applyAlignment="1">
      <alignment horizontal="right"/>
    </xf>
    <xf numFmtId="37" fontId="6" fillId="0" borderId="12" xfId="1" applyNumberFormat="1" applyFont="1" applyFill="1" applyBorder="1" applyAlignment="1">
      <alignment horizontal="right"/>
    </xf>
    <xf numFmtId="0" fontId="7" fillId="0" borderId="26" xfId="0" applyFont="1" applyBorder="1"/>
    <xf numFmtId="0" fontId="7" fillId="0" borderId="1" xfId="0" applyFont="1" applyBorder="1"/>
    <xf numFmtId="0" fontId="7" fillId="0" borderId="27" xfId="0" applyFont="1" applyBorder="1" applyAlignment="1">
      <alignment horizontal="center"/>
    </xf>
    <xf numFmtId="165" fontId="7" fillId="0" borderId="28" xfId="1" applyNumberFormat="1" applyFont="1" applyFill="1" applyBorder="1" applyAlignment="1">
      <alignment horizontal="right"/>
    </xf>
    <xf numFmtId="165" fontId="7" fillId="0" borderId="29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5" fontId="7" fillId="0" borderId="0" xfId="0" applyNumberFormat="1" applyFont="1"/>
    <xf numFmtId="165" fontId="6" fillId="0" borderId="1" xfId="0" applyNumberFormat="1" applyFont="1" applyBorder="1"/>
    <xf numFmtId="165" fontId="7" fillId="0" borderId="1" xfId="0" applyNumberFormat="1" applyFont="1" applyBorder="1"/>
    <xf numFmtId="165" fontId="7" fillId="0" borderId="31" xfId="0" applyNumberFormat="1" applyFont="1" applyBorder="1"/>
    <xf numFmtId="165" fontId="7" fillId="0" borderId="32" xfId="0" applyNumberFormat="1" applyFont="1" applyBorder="1"/>
    <xf numFmtId="165" fontId="7" fillId="0" borderId="33" xfId="0" applyNumberFormat="1" applyFont="1" applyBorder="1" applyAlignment="1">
      <alignment horizontal="right"/>
    </xf>
    <xf numFmtId="165" fontId="6" fillId="0" borderId="5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165" fontId="7" fillId="0" borderId="2" xfId="0" applyNumberFormat="1" applyFont="1" applyBorder="1"/>
    <xf numFmtId="165" fontId="9" fillId="0" borderId="22" xfId="0" applyNumberFormat="1" applyFont="1" applyBorder="1" applyAlignment="1">
      <alignment horizontal="right"/>
    </xf>
    <xf numFmtId="165" fontId="6" fillId="0" borderId="9" xfId="3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34" xfId="3" applyNumberFormat="1" applyFont="1" applyFill="1" applyBorder="1" applyAlignment="1">
      <alignment horizontal="right"/>
    </xf>
    <xf numFmtId="165" fontId="6" fillId="0" borderId="13" xfId="0" applyNumberFormat="1" applyFont="1" applyBorder="1"/>
    <xf numFmtId="165" fontId="6" fillId="0" borderId="14" xfId="0" applyNumberFormat="1" applyFont="1" applyBorder="1"/>
    <xf numFmtId="165" fontId="6" fillId="0" borderId="17" xfId="0" applyNumberFormat="1" applyFont="1" applyBorder="1" applyAlignment="1">
      <alignment horizontal="right"/>
    </xf>
    <xf numFmtId="165" fontId="6" fillId="0" borderId="21" xfId="3" applyNumberFormat="1" applyFont="1" applyFill="1" applyBorder="1" applyAlignment="1">
      <alignment horizontal="right"/>
    </xf>
    <xf numFmtId="165" fontId="6" fillId="0" borderId="22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165" fontId="6" fillId="0" borderId="35" xfId="3" applyNumberFormat="1" applyFont="1" applyFill="1" applyBorder="1" applyAlignment="1">
      <alignment horizontal="right"/>
    </xf>
    <xf numFmtId="165" fontId="9" fillId="0" borderId="19" xfId="0" applyNumberFormat="1" applyFont="1" applyBorder="1"/>
    <xf numFmtId="165" fontId="8" fillId="0" borderId="0" xfId="0" applyNumberFormat="1" applyFont="1"/>
    <xf numFmtId="165" fontId="9" fillId="0" borderId="0" xfId="0" applyNumberFormat="1" applyFont="1"/>
    <xf numFmtId="165" fontId="8" fillId="0" borderId="11" xfId="0" applyNumberFormat="1" applyFont="1" applyBorder="1"/>
    <xf numFmtId="165" fontId="9" fillId="0" borderId="10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165" fontId="6" fillId="0" borderId="34" xfId="0" applyNumberFormat="1" applyFont="1" applyBorder="1" applyAlignment="1">
      <alignment horizontal="right"/>
    </xf>
    <xf numFmtId="165" fontId="9" fillId="0" borderId="2" xfId="0" applyNumberFormat="1" applyFont="1" applyBorder="1"/>
    <xf numFmtId="165" fontId="7" fillId="0" borderId="2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36" xfId="0" applyNumberFormat="1" applyFont="1" applyBorder="1" applyAlignment="1">
      <alignment horizontal="right"/>
    </xf>
    <xf numFmtId="165" fontId="7" fillId="2" borderId="2" xfId="0" applyNumberFormat="1" applyFont="1" applyFill="1" applyBorder="1"/>
    <xf numFmtId="165" fontId="6" fillId="2" borderId="0" xfId="0" applyNumberFormat="1" applyFont="1" applyFill="1"/>
    <xf numFmtId="165" fontId="7" fillId="2" borderId="0" xfId="0" applyNumberFormat="1" applyFont="1" applyFill="1"/>
    <xf numFmtId="165" fontId="7" fillId="2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22" xfId="3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10" fillId="0" borderId="0" xfId="0" applyNumberFormat="1" applyFont="1"/>
    <xf numFmtId="165" fontId="14" fillId="0" borderId="0" xfId="0" applyNumberFormat="1" applyFont="1"/>
    <xf numFmtId="165" fontId="11" fillId="0" borderId="22" xfId="0" applyNumberFormat="1" applyFont="1" applyBorder="1" applyAlignment="1">
      <alignment horizontal="right"/>
    </xf>
    <xf numFmtId="165" fontId="6" fillId="0" borderId="22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36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7" fillId="0" borderId="8" xfId="0" applyNumberFormat="1" applyFont="1" applyBorder="1" applyAlignment="1">
      <alignment horizontal="right"/>
    </xf>
    <xf numFmtId="165" fontId="6" fillId="0" borderId="36" xfId="3" applyNumberFormat="1" applyFont="1" applyFill="1" applyBorder="1" applyAlignment="1">
      <alignment horizontal="center"/>
    </xf>
    <xf numFmtId="165" fontId="15" fillId="0" borderId="0" xfId="0" applyNumberFormat="1" applyFont="1"/>
    <xf numFmtId="165" fontId="10" fillId="0" borderId="22" xfId="0" applyNumberFormat="1" applyFont="1" applyBorder="1" applyAlignment="1">
      <alignment horizontal="right"/>
    </xf>
    <xf numFmtId="165" fontId="11" fillId="0" borderId="0" xfId="0" applyNumberFormat="1" applyFont="1"/>
    <xf numFmtId="165" fontId="16" fillId="0" borderId="0" xfId="0" applyNumberFormat="1" applyFont="1" applyAlignment="1">
      <alignment horizontal="left"/>
    </xf>
    <xf numFmtId="165" fontId="7" fillId="0" borderId="21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36" xfId="3" applyNumberFormat="1" applyFont="1" applyFill="1" applyBorder="1" applyAlignment="1">
      <alignment horizontal="center"/>
    </xf>
    <xf numFmtId="165" fontId="7" fillId="0" borderId="22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left"/>
    </xf>
    <xf numFmtId="165" fontId="9" fillId="0" borderId="21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36" xfId="0" applyNumberFormat="1" applyFont="1" applyBorder="1" applyAlignment="1">
      <alignment horizontal="right"/>
    </xf>
    <xf numFmtId="165" fontId="17" fillId="0" borderId="0" xfId="0" applyNumberFormat="1" applyFont="1" applyAlignment="1">
      <alignment horizontal="left"/>
    </xf>
    <xf numFmtId="165" fontId="9" fillId="0" borderId="21" xfId="3" applyNumberFormat="1" applyFont="1" applyFill="1" applyBorder="1" applyAlignment="1">
      <alignment horizontal="center"/>
    </xf>
    <xf numFmtId="165" fontId="9" fillId="0" borderId="0" xfId="3" applyNumberFormat="1" applyFont="1" applyFill="1" applyBorder="1" applyAlignment="1">
      <alignment horizontal="center"/>
    </xf>
    <xf numFmtId="165" fontId="8" fillId="0" borderId="2" xfId="0" applyNumberFormat="1" applyFont="1" applyBorder="1"/>
    <xf numFmtId="165" fontId="6" fillId="2" borderId="2" xfId="0" applyNumberFormat="1" applyFont="1" applyFill="1" applyBorder="1"/>
    <xf numFmtId="165" fontId="11" fillId="2" borderId="22" xfId="0" applyNumberFormat="1" applyFont="1" applyFill="1" applyBorder="1" applyAlignment="1">
      <alignment horizontal="right"/>
    </xf>
    <xf numFmtId="165" fontId="6" fillId="2" borderId="16" xfId="3" applyNumberFormat="1" applyFont="1" applyFill="1" applyBorder="1" applyAlignment="1">
      <alignment horizontal="center"/>
    </xf>
    <xf numFmtId="165" fontId="6" fillId="0" borderId="16" xfId="3" applyNumberFormat="1" applyFont="1" applyFill="1" applyBorder="1" applyAlignment="1">
      <alignment horizontal="center"/>
    </xf>
    <xf numFmtId="165" fontId="6" fillId="0" borderId="14" xfId="3" applyNumberFormat="1" applyFont="1" applyFill="1" applyBorder="1" applyAlignment="1">
      <alignment horizontal="center"/>
    </xf>
    <xf numFmtId="165" fontId="6" fillId="2" borderId="35" xfId="3" applyNumberFormat="1" applyFont="1" applyFill="1" applyBorder="1" applyAlignment="1">
      <alignment horizontal="center"/>
    </xf>
    <xf numFmtId="165" fontId="6" fillId="2" borderId="14" xfId="3" applyNumberFormat="1" applyFont="1" applyFill="1" applyBorder="1" applyAlignment="1">
      <alignment horizontal="center"/>
    </xf>
    <xf numFmtId="165" fontId="7" fillId="0" borderId="19" xfId="0" applyNumberFormat="1" applyFont="1" applyBorder="1"/>
    <xf numFmtId="165" fontId="6" fillId="0" borderId="11" xfId="0" applyNumberFormat="1" applyFont="1" applyBorder="1"/>
    <xf numFmtId="165" fontId="7" fillId="0" borderId="11" xfId="0" applyNumberFormat="1" applyFont="1" applyBorder="1"/>
    <xf numFmtId="165" fontId="11" fillId="0" borderId="10" xfId="0" applyNumberFormat="1" applyFont="1" applyBorder="1" applyAlignment="1">
      <alignment horizontal="right"/>
    </xf>
    <xf numFmtId="165" fontId="6" fillId="0" borderId="21" xfId="3" applyNumberFormat="1" applyFont="1" applyFill="1" applyBorder="1" applyAlignment="1">
      <alignment horizontal="center"/>
    </xf>
    <xf numFmtId="165" fontId="6" fillId="0" borderId="34" xfId="3" applyNumberFormat="1" applyFont="1" applyFill="1" applyBorder="1" applyAlignment="1">
      <alignment horizontal="center"/>
    </xf>
    <xf numFmtId="165" fontId="6" fillId="0" borderId="9" xfId="3" applyNumberFormat="1" applyFont="1" applyFill="1" applyBorder="1" applyAlignment="1">
      <alignment horizontal="center"/>
    </xf>
    <xf numFmtId="165" fontId="6" fillId="0" borderId="16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165" fontId="7" fillId="0" borderId="37" xfId="0" applyNumberFormat="1" applyFont="1" applyBorder="1"/>
    <xf numFmtId="165" fontId="7" fillId="0" borderId="23" xfId="0" applyNumberFormat="1" applyFont="1" applyBorder="1"/>
    <xf numFmtId="165" fontId="10" fillId="0" borderId="23" xfId="0" applyNumberFormat="1" applyFont="1" applyBorder="1"/>
    <xf numFmtId="165" fontId="11" fillId="0" borderId="38" xfId="0" applyNumberFormat="1" applyFont="1" applyBorder="1" applyAlignment="1">
      <alignment horizontal="right"/>
    </xf>
    <xf numFmtId="165" fontId="6" fillId="0" borderId="39" xfId="3" applyNumberFormat="1" applyFont="1" applyFill="1" applyBorder="1" applyAlignment="1">
      <alignment horizontal="center"/>
    </xf>
    <xf numFmtId="165" fontId="6" fillId="0" borderId="40" xfId="3" applyNumberFormat="1" applyFont="1" applyFill="1" applyBorder="1" applyAlignment="1">
      <alignment horizontal="center"/>
    </xf>
    <xf numFmtId="165" fontId="6" fillId="0" borderId="41" xfId="3" applyNumberFormat="1" applyFont="1" applyFill="1" applyBorder="1" applyAlignment="1">
      <alignment horizontal="center"/>
    </xf>
    <xf numFmtId="165" fontId="6" fillId="0" borderId="38" xfId="3" applyNumberFormat="1" applyFont="1" applyFill="1" applyBorder="1" applyAlignment="1">
      <alignment horizontal="center"/>
    </xf>
    <xf numFmtId="165" fontId="7" fillId="0" borderId="26" xfId="0" applyNumberFormat="1" applyFont="1" applyBorder="1"/>
    <xf numFmtId="165" fontId="11" fillId="0" borderId="1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6" fillId="0" borderId="2" xfId="0" applyNumberFormat="1" applyFont="1" applyBorder="1"/>
    <xf numFmtId="165" fontId="15" fillId="0" borderId="22" xfId="0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65" fontId="14" fillId="0" borderId="22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11" fillId="0" borderId="0" xfId="0" applyNumberFormat="1" applyFont="1" applyAlignment="1">
      <alignment horizontal="right"/>
    </xf>
    <xf numFmtId="165" fontId="6" fillId="2" borderId="21" xfId="3" applyNumberFormat="1" applyFont="1" applyFill="1" applyBorder="1" applyProtection="1"/>
    <xf numFmtId="165" fontId="10" fillId="0" borderId="0" xfId="0" applyNumberFormat="1" applyFont="1" applyAlignment="1">
      <alignment horizontal="left" indent="1"/>
    </xf>
    <xf numFmtId="165" fontId="7" fillId="0" borderId="21" xfId="4" applyNumberFormat="1" applyFont="1" applyFill="1" applyBorder="1" applyProtection="1"/>
    <xf numFmtId="165" fontId="7" fillId="0" borderId="8" xfId="4" applyNumberFormat="1" applyFont="1" applyFill="1" applyBorder="1" applyProtection="1"/>
    <xf numFmtId="165" fontId="7" fillId="2" borderId="21" xfId="3" applyNumberFormat="1" applyFont="1" applyFill="1" applyBorder="1" applyProtection="1"/>
    <xf numFmtId="165" fontId="7" fillId="0" borderId="22" xfId="4" applyNumberFormat="1" applyFont="1" applyFill="1" applyBorder="1" applyProtection="1"/>
    <xf numFmtId="165" fontId="7" fillId="0" borderId="36" xfId="4" applyNumberFormat="1" applyFont="1" applyFill="1" applyBorder="1" applyProtection="1"/>
    <xf numFmtId="165" fontId="9" fillId="0" borderId="21" xfId="4" applyNumberFormat="1" applyFont="1" applyFill="1" applyBorder="1" applyProtection="1"/>
    <xf numFmtId="165" fontId="9" fillId="0" borderId="8" xfId="4" applyNumberFormat="1" applyFont="1" applyFill="1" applyBorder="1" applyProtection="1"/>
    <xf numFmtId="165" fontId="9" fillId="2" borderId="21" xfId="3" applyNumberFormat="1" applyFont="1" applyFill="1" applyBorder="1" applyProtection="1"/>
    <xf numFmtId="165" fontId="9" fillId="0" borderId="22" xfId="4" applyNumberFormat="1" applyFont="1" applyFill="1" applyBorder="1" applyProtection="1"/>
    <xf numFmtId="165" fontId="11" fillId="0" borderId="0" xfId="0" applyNumberFormat="1" applyFont="1" applyAlignment="1">
      <alignment horizontal="left" indent="2"/>
    </xf>
    <xf numFmtId="165" fontId="9" fillId="0" borderId="16" xfId="0" applyNumberFormat="1" applyFont="1" applyBorder="1" applyAlignment="1">
      <alignment horizontal="right"/>
    </xf>
    <xf numFmtId="165" fontId="9" fillId="2" borderId="16" xfId="0" applyNumberFormat="1" applyFont="1" applyFill="1" applyBorder="1" applyAlignment="1">
      <alignment horizontal="right"/>
    </xf>
    <xf numFmtId="165" fontId="9" fillId="2" borderId="21" xfId="0" applyNumberFormat="1" applyFont="1" applyFill="1" applyBorder="1" applyAlignment="1">
      <alignment horizontal="right"/>
    </xf>
    <xf numFmtId="165" fontId="9" fillId="0" borderId="35" xfId="0" applyNumberFormat="1" applyFont="1" applyBorder="1" applyAlignment="1">
      <alignment horizontal="right"/>
    </xf>
    <xf numFmtId="165" fontId="6" fillId="0" borderId="37" xfId="0" applyNumberFormat="1" applyFont="1" applyBorder="1"/>
    <xf numFmtId="165" fontId="6" fillId="0" borderId="38" xfId="0" applyNumberFormat="1" applyFont="1" applyBorder="1"/>
    <xf numFmtId="165" fontId="6" fillId="0" borderId="41" xfId="0" applyNumberFormat="1" applyFont="1" applyBorder="1"/>
    <xf numFmtId="165" fontId="6" fillId="0" borderId="44" xfId="0" applyNumberFormat="1" applyFont="1" applyBorder="1"/>
    <xf numFmtId="165" fontId="6" fillId="0" borderId="31" xfId="0" applyNumberFormat="1" applyFont="1" applyBorder="1"/>
    <xf numFmtId="165" fontId="6" fillId="0" borderId="32" xfId="0" applyNumberFormat="1" applyFont="1" applyBorder="1"/>
    <xf numFmtId="165" fontId="7" fillId="0" borderId="32" xfId="0" applyNumberFormat="1" applyFont="1" applyBorder="1" applyAlignment="1">
      <alignment horizontal="left"/>
    </xf>
    <xf numFmtId="165" fontId="6" fillId="0" borderId="45" xfId="0" applyNumberFormat="1" applyFont="1" applyBorder="1"/>
    <xf numFmtId="165" fontId="6" fillId="0" borderId="33" xfId="0" applyNumberFormat="1" applyFont="1" applyBorder="1"/>
    <xf numFmtId="165" fontId="6" fillId="0" borderId="46" xfId="0" applyNumberFormat="1" applyFont="1" applyBorder="1"/>
    <xf numFmtId="165" fontId="6" fillId="0" borderId="2" xfId="0" applyNumberFormat="1" applyFont="1" applyBorder="1" applyAlignment="1">
      <alignment horizontal="left"/>
    </xf>
    <xf numFmtId="165" fontId="6" fillId="0" borderId="22" xfId="0" applyNumberFormat="1" applyFont="1" applyBorder="1" applyAlignment="1">
      <alignment horizontal="left"/>
    </xf>
    <xf numFmtId="165" fontId="6" fillId="0" borderId="21" xfId="0" applyNumberFormat="1" applyFont="1" applyBorder="1"/>
    <xf numFmtId="165" fontId="7" fillId="0" borderId="2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165" fontId="7" fillId="0" borderId="25" xfId="0" applyNumberFormat="1" applyFont="1" applyBorder="1" applyAlignment="1">
      <alignment horizontal="right"/>
    </xf>
    <xf numFmtId="165" fontId="6" fillId="0" borderId="8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/>
    </xf>
    <xf numFmtId="165" fontId="7" fillId="0" borderId="13" xfId="0" applyNumberFormat="1" applyFont="1" applyBorder="1"/>
    <xf numFmtId="165" fontId="7" fillId="0" borderId="14" xfId="0" applyNumberFormat="1" applyFont="1" applyBorder="1"/>
    <xf numFmtId="165" fontId="7" fillId="0" borderId="16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9" fillId="2" borderId="22" xfId="0" applyNumberFormat="1" applyFont="1" applyFill="1" applyBorder="1" applyAlignment="1">
      <alignment horizontal="right"/>
    </xf>
    <xf numFmtId="165" fontId="9" fillId="2" borderId="0" xfId="0" applyNumberFormat="1" applyFont="1" applyFill="1" applyAlignment="1">
      <alignment horizontal="right"/>
    </xf>
    <xf numFmtId="165" fontId="9" fillId="0" borderId="8" xfId="0" applyNumberFormat="1" applyFont="1" applyBorder="1" applyAlignment="1">
      <alignment horizontal="right"/>
    </xf>
    <xf numFmtId="165" fontId="9" fillId="0" borderId="0" xfId="0" applyNumberFormat="1" applyFont="1" applyAlignment="1">
      <alignment horizontal="left"/>
    </xf>
    <xf numFmtId="165" fontId="6" fillId="0" borderId="39" xfId="0" applyNumberFormat="1" applyFont="1" applyBorder="1"/>
    <xf numFmtId="165" fontId="9" fillId="0" borderId="0" xfId="0" applyNumberFormat="1" applyFont="1" applyAlignment="1">
      <alignment horizontal="left" vertical="center"/>
    </xf>
    <xf numFmtId="3" fontId="7" fillId="0" borderId="1" xfId="0" applyNumberFormat="1" applyFont="1" applyBorder="1"/>
    <xf numFmtId="0" fontId="6" fillId="0" borderId="31" xfId="0" applyFont="1" applyBorder="1"/>
    <xf numFmtId="0" fontId="6" fillId="0" borderId="33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51" xfId="0" applyNumberFormat="1" applyFont="1" applyBorder="1" applyAlignment="1">
      <alignment horizontal="right"/>
    </xf>
    <xf numFmtId="0" fontId="15" fillId="0" borderId="13" xfId="0" applyFont="1" applyBorder="1"/>
    <xf numFmtId="0" fontId="6" fillId="0" borderId="17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2" fontId="7" fillId="0" borderId="0" xfId="0" applyNumberFormat="1" applyFont="1"/>
    <xf numFmtId="2" fontId="5" fillId="0" borderId="0" xfId="0" applyNumberFormat="1" applyFont="1"/>
    <xf numFmtId="0" fontId="15" fillId="0" borderId="2" xfId="0" applyFont="1" applyBorder="1"/>
    <xf numFmtId="0" fontId="6" fillId="0" borderId="2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5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7" fontId="10" fillId="0" borderId="0" xfId="0" applyNumberFormat="1" applyFont="1"/>
    <xf numFmtId="37" fontId="10" fillId="0" borderId="0" xfId="0" applyNumberFormat="1" applyFont="1" applyAlignment="1">
      <alignment horizontal="right"/>
    </xf>
    <xf numFmtId="165" fontId="7" fillId="0" borderId="8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7" fillId="0" borderId="22" xfId="3" applyNumberFormat="1" applyFont="1" applyFill="1" applyBorder="1" applyAlignment="1">
      <alignment horizontal="right"/>
    </xf>
    <xf numFmtId="165" fontId="7" fillId="0" borderId="0" xfId="3" applyNumberFormat="1" applyFont="1" applyFill="1"/>
    <xf numFmtId="165" fontId="7" fillId="0" borderId="0" xfId="3" applyNumberFormat="1" applyFont="1" applyFill="1" applyBorder="1" applyAlignment="1"/>
    <xf numFmtId="168" fontId="20" fillId="0" borderId="0" xfId="3" applyNumberFormat="1" applyFont="1" applyFill="1" applyBorder="1"/>
    <xf numFmtId="43" fontId="7" fillId="0" borderId="0" xfId="0" applyNumberFormat="1" applyFont="1"/>
    <xf numFmtId="37" fontId="11" fillId="0" borderId="0" xfId="0" quotePrefix="1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left"/>
    </xf>
    <xf numFmtId="37" fontId="7" fillId="0" borderId="0" xfId="0" applyNumberFormat="1" applyFont="1"/>
    <xf numFmtId="37" fontId="7" fillId="0" borderId="0" xfId="0" applyNumberFormat="1" applyFont="1" applyAlignment="1">
      <alignment horizontal="right"/>
    </xf>
    <xf numFmtId="168" fontId="2" fillId="0" borderId="0" xfId="3" applyNumberFormat="1" applyFont="1" applyFill="1" applyBorder="1"/>
    <xf numFmtId="0" fontId="9" fillId="0" borderId="0" xfId="0" quotePrefix="1" applyFont="1" applyAlignment="1">
      <alignment horizontal="right"/>
    </xf>
    <xf numFmtId="0" fontId="10" fillId="0" borderId="0" xfId="0" applyFont="1"/>
    <xf numFmtId="37" fontId="9" fillId="0" borderId="0" xfId="0" quotePrefix="1" applyNumberFormat="1" applyFont="1" applyAlignment="1">
      <alignment horizontal="right"/>
    </xf>
    <xf numFmtId="37" fontId="7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right"/>
    </xf>
    <xf numFmtId="0" fontId="7" fillId="2" borderId="2" xfId="0" applyFont="1" applyFill="1" applyBorder="1" applyAlignment="1">
      <alignment horizontal="left"/>
    </xf>
    <xf numFmtId="37" fontId="7" fillId="2" borderId="0" xfId="0" applyNumberFormat="1" applyFont="1" applyFill="1"/>
    <xf numFmtId="0" fontId="7" fillId="2" borderId="0" xfId="0" applyFont="1" applyFill="1"/>
    <xf numFmtId="37" fontId="7" fillId="2" borderId="0" xfId="0" applyNumberFormat="1" applyFont="1" applyFill="1" applyAlignment="1">
      <alignment horizontal="right"/>
    </xf>
    <xf numFmtId="165" fontId="7" fillId="2" borderId="8" xfId="3" applyNumberFormat="1" applyFont="1" applyFill="1" applyBorder="1" applyAlignment="1">
      <alignment horizontal="right"/>
    </xf>
    <xf numFmtId="165" fontId="7" fillId="2" borderId="0" xfId="3" applyNumberFormat="1" applyFont="1" applyFill="1" applyBorder="1" applyAlignment="1">
      <alignment horizontal="right"/>
    </xf>
    <xf numFmtId="165" fontId="7" fillId="2" borderId="8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8" fontId="20" fillId="2" borderId="0" xfId="3" applyNumberFormat="1" applyFont="1" applyFill="1" applyBorder="1"/>
    <xf numFmtId="43" fontId="7" fillId="2" borderId="0" xfId="0" applyNumberFormat="1" applyFont="1" applyFill="1"/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left"/>
    </xf>
    <xf numFmtId="37" fontId="10" fillId="0" borderId="14" xfId="0" applyNumberFormat="1" applyFont="1" applyBorder="1"/>
    <xf numFmtId="0" fontId="7" fillId="0" borderId="14" xfId="0" applyFont="1" applyBorder="1"/>
    <xf numFmtId="37" fontId="10" fillId="0" borderId="17" xfId="0" applyNumberFormat="1" applyFont="1" applyBorder="1" applyAlignment="1">
      <alignment horizontal="right"/>
    </xf>
    <xf numFmtId="165" fontId="7" fillId="0" borderId="15" xfId="3" applyNumberFormat="1" applyFont="1" applyFill="1" applyBorder="1" applyAlignment="1">
      <alignment horizontal="right"/>
    </xf>
    <xf numFmtId="165" fontId="7" fillId="0" borderId="14" xfId="3" applyNumberFormat="1" applyFont="1" applyFill="1" applyBorder="1" applyAlignment="1">
      <alignment horizontal="right"/>
    </xf>
    <xf numFmtId="165" fontId="7" fillId="0" borderId="17" xfId="3" applyNumberFormat="1" applyFont="1" applyFill="1" applyBorder="1" applyAlignment="1">
      <alignment horizontal="right"/>
    </xf>
    <xf numFmtId="0" fontId="15" fillId="0" borderId="26" xfId="0" applyFont="1" applyBorder="1"/>
    <xf numFmtId="37" fontId="10" fillId="0" borderId="1" xfId="0" applyNumberFormat="1" applyFont="1" applyBorder="1"/>
    <xf numFmtId="37" fontId="11" fillId="0" borderId="29" xfId="0" quotePrefix="1" applyNumberFormat="1" applyFont="1" applyBorder="1" applyAlignment="1">
      <alignment horizontal="right"/>
    </xf>
    <xf numFmtId="165" fontId="6" fillId="0" borderId="27" xfId="3" applyNumberFormat="1" applyFont="1" applyFill="1" applyBorder="1" applyAlignment="1">
      <alignment horizontal="right"/>
    </xf>
    <xf numFmtId="165" fontId="6" fillId="0" borderId="1" xfId="3" applyNumberFormat="1" applyFont="1" applyFill="1" applyBorder="1" applyAlignment="1">
      <alignment horizontal="right"/>
    </xf>
    <xf numFmtId="165" fontId="6" fillId="0" borderId="39" xfId="0" applyNumberFormat="1" applyFont="1" applyBorder="1" applyAlignment="1">
      <alignment horizontal="right"/>
    </xf>
    <xf numFmtId="165" fontId="6" fillId="0" borderId="40" xfId="0" applyNumberFormat="1" applyFont="1" applyBorder="1" applyAlignment="1">
      <alignment horizontal="right"/>
    </xf>
    <xf numFmtId="165" fontId="6" fillId="0" borderId="23" xfId="0" applyNumberFormat="1" applyFont="1" applyBorder="1" applyAlignment="1">
      <alignment horizontal="right"/>
    </xf>
    <xf numFmtId="165" fontId="6" fillId="0" borderId="53" xfId="0" applyNumberFormat="1" applyFont="1" applyBorder="1" applyAlignment="1">
      <alignment horizontal="right"/>
    </xf>
    <xf numFmtId="168" fontId="22" fillId="0" borderId="0" xfId="0" applyNumberFormat="1" applyFont="1"/>
    <xf numFmtId="43" fontId="6" fillId="0" borderId="0" xfId="0" applyNumberFormat="1" applyFont="1"/>
    <xf numFmtId="0" fontId="10" fillId="0" borderId="2" xfId="0" applyFont="1" applyBorder="1"/>
    <xf numFmtId="37" fontId="11" fillId="0" borderId="22" xfId="0" quotePrefix="1" applyNumberFormat="1" applyFont="1" applyBorder="1" applyAlignment="1">
      <alignment horizontal="right"/>
    </xf>
    <xf numFmtId="165" fontId="6" fillId="0" borderId="25" xfId="0" applyNumberFormat="1" applyFont="1" applyBorder="1" applyAlignment="1">
      <alignment horizontal="right"/>
    </xf>
    <xf numFmtId="37" fontId="10" fillId="0" borderId="22" xfId="0" applyNumberFormat="1" applyFont="1" applyBorder="1" applyAlignment="1">
      <alignment horizontal="right"/>
    </xf>
    <xf numFmtId="165" fontId="6" fillId="0" borderId="8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7" fillId="0" borderId="8" xfId="3" applyNumberFormat="1" applyFont="1" applyFill="1" applyBorder="1" applyAlignment="1">
      <alignment horizontal="center"/>
    </xf>
    <xf numFmtId="37" fontId="11" fillId="0" borderId="22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 indent="1"/>
    </xf>
    <xf numFmtId="165" fontId="9" fillId="0" borderId="8" xfId="3" applyNumberFormat="1" applyFont="1" applyFill="1" applyBorder="1" applyAlignment="1">
      <alignment horizontal="right"/>
    </xf>
    <xf numFmtId="165" fontId="9" fillId="0" borderId="0" xfId="3" applyNumberFormat="1" applyFont="1" applyFill="1" applyBorder="1" applyAlignment="1">
      <alignment horizontal="right"/>
    </xf>
    <xf numFmtId="165" fontId="9" fillId="0" borderId="8" xfId="3" applyNumberFormat="1" applyFont="1" applyFill="1" applyBorder="1" applyAlignment="1">
      <alignment horizontal="center"/>
    </xf>
    <xf numFmtId="165" fontId="9" fillId="0" borderId="0" xfId="5" applyNumberFormat="1" applyFont="1" applyFill="1" applyBorder="1" applyAlignment="1">
      <alignment horizontal="center"/>
    </xf>
    <xf numFmtId="165" fontId="9" fillId="0" borderId="25" xfId="0" applyNumberFormat="1" applyFont="1" applyBorder="1" applyAlignment="1">
      <alignment horizontal="right"/>
    </xf>
    <xf numFmtId="168" fontId="24" fillId="0" borderId="0" xfId="5" applyNumberFormat="1" applyFont="1" applyFill="1" applyBorder="1"/>
    <xf numFmtId="43" fontId="9" fillId="0" borderId="0" xfId="0" applyNumberFormat="1" applyFont="1"/>
    <xf numFmtId="165" fontId="9" fillId="0" borderId="8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/>
    </xf>
    <xf numFmtId="165" fontId="9" fillId="0" borderId="8" xfId="5" applyNumberFormat="1" applyFont="1" applyFill="1" applyBorder="1" applyAlignment="1">
      <alignment horizontal="center"/>
    </xf>
    <xf numFmtId="165" fontId="7" fillId="0" borderId="8" xfId="5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8" fontId="20" fillId="0" borderId="0" xfId="5" applyNumberFormat="1" applyFont="1" applyFill="1" applyBorder="1"/>
    <xf numFmtId="0" fontId="7" fillId="0" borderId="0" xfId="0" applyFont="1" applyAlignment="1">
      <alignment horizontal="left"/>
    </xf>
    <xf numFmtId="37" fontId="7" fillId="0" borderId="22" xfId="0" applyNumberFormat="1" applyFont="1" applyBorder="1" applyAlignment="1">
      <alignment horizontal="right"/>
    </xf>
    <xf numFmtId="168" fontId="2" fillId="0" borderId="0" xfId="5" applyNumberFormat="1" applyFont="1" applyFill="1" applyBorder="1"/>
    <xf numFmtId="165" fontId="7" fillId="0" borderId="0" xfId="5" quotePrefix="1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/>
    <xf numFmtId="37" fontId="9" fillId="0" borderId="22" xfId="0" quotePrefix="1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7" fillId="0" borderId="0" xfId="5" applyNumberFormat="1" applyFont="1" applyFill="1"/>
    <xf numFmtId="165" fontId="7" fillId="0" borderId="15" xfId="5" applyNumberFormat="1" applyFont="1" applyFill="1" applyBorder="1" applyAlignment="1">
      <alignment horizontal="right"/>
    </xf>
    <xf numFmtId="165" fontId="7" fillId="0" borderId="14" xfId="5" applyNumberFormat="1" applyFont="1" applyFill="1" applyBorder="1" applyAlignment="1">
      <alignment horizontal="right"/>
    </xf>
    <xf numFmtId="165" fontId="7" fillId="0" borderId="17" xfId="5" applyNumberFormat="1" applyFont="1" applyFill="1" applyBorder="1" applyAlignment="1">
      <alignment horizontal="right"/>
    </xf>
    <xf numFmtId="0" fontId="15" fillId="0" borderId="37" xfId="0" applyFont="1" applyBorder="1"/>
    <xf numFmtId="0" fontId="15" fillId="0" borderId="23" xfId="0" applyFont="1" applyBorder="1"/>
    <xf numFmtId="0" fontId="15" fillId="0" borderId="38" xfId="0" applyFont="1" applyBorder="1"/>
    <xf numFmtId="165" fontId="6" fillId="0" borderId="27" xfId="5" applyNumberFormat="1" applyFont="1" applyFill="1" applyBorder="1" applyAlignment="1">
      <alignment horizontal="right"/>
    </xf>
    <xf numFmtId="165" fontId="6" fillId="0" borderId="1" xfId="5" applyNumberFormat="1" applyFont="1" applyFill="1" applyBorder="1" applyAlignment="1">
      <alignment horizontal="right"/>
    </xf>
    <xf numFmtId="165" fontId="6" fillId="0" borderId="38" xfId="0" applyNumberFormat="1" applyFont="1" applyBorder="1" applyAlignment="1">
      <alignment horizontal="right"/>
    </xf>
    <xf numFmtId="168" fontId="6" fillId="0" borderId="0" xfId="0" applyNumberFormat="1" applyFont="1"/>
    <xf numFmtId="164" fontId="6" fillId="0" borderId="0" xfId="5" applyFont="1" applyFill="1" applyBorder="1" applyAlignment="1"/>
    <xf numFmtId="0" fontId="7" fillId="0" borderId="23" xfId="0" applyFont="1" applyBorder="1"/>
    <xf numFmtId="37" fontId="10" fillId="0" borderId="23" xfId="0" applyNumberFormat="1" applyFont="1" applyBorder="1"/>
    <xf numFmtId="37" fontId="10" fillId="0" borderId="38" xfId="0" applyNumberFormat="1" applyFont="1" applyBorder="1" applyAlignment="1">
      <alignment horizontal="right"/>
    </xf>
    <xf numFmtId="165" fontId="6" fillId="0" borderId="44" xfId="0" applyNumberFormat="1" applyFont="1" applyBorder="1" applyAlignment="1">
      <alignment horizontal="right"/>
    </xf>
    <xf numFmtId="0" fontId="7" fillId="0" borderId="11" xfId="0" applyFont="1" applyBorder="1"/>
    <xf numFmtId="0" fontId="26" fillId="0" borderId="2" xfId="0" applyFont="1" applyBorder="1"/>
    <xf numFmtId="168" fontId="7" fillId="0" borderId="0" xfId="0" applyNumberFormat="1" applyFont="1"/>
    <xf numFmtId="164" fontId="7" fillId="0" borderId="0" xfId="5" applyFont="1" applyFill="1" applyBorder="1" applyAlignment="1"/>
    <xf numFmtId="0" fontId="15" fillId="0" borderId="42" xfId="0" applyFont="1" applyBorder="1"/>
    <xf numFmtId="37" fontId="10" fillId="0" borderId="43" xfId="0" applyNumberFormat="1" applyFont="1" applyBorder="1"/>
    <xf numFmtId="0" fontId="7" fillId="0" borderId="43" xfId="0" applyFont="1" applyBorder="1"/>
    <xf numFmtId="37" fontId="11" fillId="0" borderId="54" xfId="0" quotePrefix="1" applyNumberFormat="1" applyFont="1" applyBorder="1" applyAlignment="1">
      <alignment horizontal="right"/>
    </xf>
    <xf numFmtId="165" fontId="6" fillId="0" borderId="43" xfId="0" applyNumberFormat="1" applyFont="1" applyBorder="1" applyAlignment="1">
      <alignment horizontal="right"/>
    </xf>
    <xf numFmtId="165" fontId="6" fillId="0" borderId="55" xfId="0" applyNumberFormat="1" applyFont="1" applyBorder="1" applyAlignment="1">
      <alignment horizontal="right"/>
    </xf>
    <xf numFmtId="165" fontId="6" fillId="0" borderId="54" xfId="0" applyNumberFormat="1" applyFont="1" applyBorder="1" applyAlignment="1">
      <alignment horizontal="right"/>
    </xf>
    <xf numFmtId="165" fontId="6" fillId="0" borderId="56" xfId="0" applyNumberFormat="1" applyFont="1" applyBorder="1" applyAlignment="1">
      <alignment horizontal="right"/>
    </xf>
    <xf numFmtId="0" fontId="11" fillId="0" borderId="0" xfId="0" applyFont="1"/>
    <xf numFmtId="165" fontId="10" fillId="0" borderId="0" xfId="5" applyNumberFormat="1" applyFont="1" applyFill="1" applyBorder="1" applyAlignment="1"/>
    <xf numFmtId="0" fontId="7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167" fontId="19" fillId="0" borderId="0" xfId="0" applyNumberFormat="1" applyFont="1"/>
    <xf numFmtId="167" fontId="18" fillId="0" borderId="0" xfId="0" applyNumberFormat="1" applyFont="1"/>
    <xf numFmtId="167" fontId="21" fillId="0" borderId="0" xfId="0" applyNumberFormat="1" applyFont="1"/>
    <xf numFmtId="167" fontId="23" fillId="0" borderId="0" xfId="0" applyNumberFormat="1" applyFont="1"/>
    <xf numFmtId="165" fontId="18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/>
    </xf>
    <xf numFmtId="3" fontId="6" fillId="0" borderId="20" xfId="0" applyNumberFormat="1" applyFont="1" applyBorder="1" applyAlignment="1">
      <alignment horizontal="right"/>
    </xf>
    <xf numFmtId="2" fontId="6" fillId="0" borderId="0" xfId="0" applyNumberFormat="1" applyFont="1"/>
    <xf numFmtId="165" fontId="7" fillId="0" borderId="0" xfId="5" applyNumberFormat="1" applyFont="1"/>
    <xf numFmtId="165" fontId="7" fillId="0" borderId="2" xfId="5" applyNumberFormat="1" applyFont="1" applyFill="1" applyBorder="1" applyAlignment="1"/>
    <xf numFmtId="167" fontId="7" fillId="0" borderId="0" xfId="0" applyNumberFormat="1" applyFont="1"/>
    <xf numFmtId="168" fontId="20" fillId="2" borderId="32" xfId="5" applyNumberFormat="1" applyFont="1" applyFill="1" applyBorder="1"/>
    <xf numFmtId="168" fontId="20" fillId="2" borderId="57" xfId="5" applyNumberFormat="1" applyFont="1" applyFill="1" applyBorder="1"/>
    <xf numFmtId="43" fontId="7" fillId="0" borderId="32" xfId="0" applyNumberFormat="1" applyFont="1" applyBorder="1"/>
    <xf numFmtId="43" fontId="7" fillId="0" borderId="57" xfId="0" applyNumberFormat="1" applyFont="1" applyBorder="1"/>
    <xf numFmtId="168" fontId="20" fillId="2" borderId="0" xfId="5" applyNumberFormat="1" applyFont="1" applyFill="1" applyBorder="1"/>
    <xf numFmtId="168" fontId="20" fillId="3" borderId="0" xfId="5" applyNumberFormat="1" applyFont="1" applyFill="1" applyBorder="1"/>
    <xf numFmtId="168" fontId="20" fillId="3" borderId="24" xfId="5" applyNumberFormat="1" applyFont="1" applyFill="1" applyBorder="1"/>
    <xf numFmtId="168" fontId="20" fillId="2" borderId="24" xfId="5" applyNumberFormat="1" applyFont="1" applyFill="1" applyBorder="1"/>
    <xf numFmtId="43" fontId="7" fillId="0" borderId="24" xfId="0" applyNumberFormat="1" applyFont="1" applyBorder="1"/>
    <xf numFmtId="37" fontId="11" fillId="0" borderId="38" xfId="0" quotePrefix="1" applyNumberFormat="1" applyFont="1" applyBorder="1" applyAlignment="1">
      <alignment horizontal="right"/>
    </xf>
    <xf numFmtId="165" fontId="6" fillId="0" borderId="40" xfId="5" applyNumberFormat="1" applyFont="1" applyFill="1" applyBorder="1" applyAlignment="1">
      <alignment horizontal="right"/>
    </xf>
    <xf numFmtId="168" fontId="22" fillId="2" borderId="42" xfId="0" applyNumberFormat="1" applyFont="1" applyFill="1" applyBorder="1"/>
    <xf numFmtId="168" fontId="22" fillId="2" borderId="43" xfId="0" applyNumberFormat="1" applyFont="1" applyFill="1" applyBorder="1"/>
    <xf numFmtId="168" fontId="22" fillId="2" borderId="58" xfId="0" applyNumberFormat="1" applyFont="1" applyFill="1" applyBorder="1"/>
    <xf numFmtId="43" fontId="6" fillId="0" borderId="42" xfId="0" applyNumberFormat="1" applyFont="1" applyBorder="1"/>
    <xf numFmtId="43" fontId="6" fillId="0" borderId="43" xfId="0" applyNumberFormat="1" applyFont="1" applyBorder="1"/>
    <xf numFmtId="43" fontId="6" fillId="0" borderId="58" xfId="0" applyNumberFormat="1" applyFont="1" applyBorder="1"/>
    <xf numFmtId="0" fontId="7" fillId="0" borderId="59" xfId="0" applyFont="1" applyBorder="1"/>
    <xf numFmtId="0" fontId="7" fillId="0" borderId="24" xfId="0" applyFont="1" applyBorder="1"/>
    <xf numFmtId="165" fontId="6" fillId="0" borderId="8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166" fontId="6" fillId="0" borderId="2" xfId="5" applyNumberFormat="1" applyFont="1" applyFill="1" applyBorder="1" applyAlignment="1">
      <alignment horizontal="center"/>
    </xf>
    <xf numFmtId="0" fontId="7" fillId="0" borderId="60" xfId="0" applyFont="1" applyBorder="1"/>
    <xf numFmtId="165" fontId="7" fillId="0" borderId="0" xfId="6" applyNumberFormat="1" applyFont="1" applyFill="1" applyBorder="1" applyAlignment="1">
      <alignment horizontal="center"/>
    </xf>
    <xf numFmtId="165" fontId="7" fillId="0" borderId="21" xfId="5" applyNumberFormat="1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7" fontId="9" fillId="0" borderId="0" xfId="0" applyNumberFormat="1" applyFont="1"/>
    <xf numFmtId="168" fontId="24" fillId="2" borderId="0" xfId="5" applyNumberFormat="1" applyFont="1" applyFill="1" applyBorder="1"/>
    <xf numFmtId="168" fontId="24" fillId="2" borderId="24" xfId="5" applyNumberFormat="1" applyFont="1" applyFill="1" applyBorder="1"/>
    <xf numFmtId="43" fontId="9" fillId="0" borderId="24" xfId="0" applyNumberFormat="1" applyFont="1" applyBorder="1"/>
    <xf numFmtId="165" fontId="7" fillId="0" borderId="0" xfId="5" applyNumberFormat="1" applyFont="1" applyFill="1" applyAlignment="1"/>
    <xf numFmtId="168" fontId="20" fillId="2" borderId="60" xfId="5" applyNumberFormat="1" applyFont="1" applyFill="1" applyBorder="1"/>
    <xf numFmtId="0" fontId="10" fillId="0" borderId="2" xfId="0" applyFont="1" applyBorder="1" applyAlignment="1">
      <alignment horizontal="left" indent="1"/>
    </xf>
    <xf numFmtId="165" fontId="7" fillId="0" borderId="22" xfId="5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9" fillId="0" borderId="22" xfId="5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65" fontId="6" fillId="0" borderId="20" xfId="0" applyNumberFormat="1" applyFont="1" applyBorder="1" applyAlignment="1">
      <alignment horizontal="right"/>
    </xf>
    <xf numFmtId="168" fontId="6" fillId="0" borderId="43" xfId="0" applyNumberFormat="1" applyFont="1" applyBorder="1"/>
    <xf numFmtId="164" fontId="6" fillId="0" borderId="43" xfId="5" applyFont="1" applyFill="1" applyBorder="1" applyAlignment="1"/>
    <xf numFmtId="164" fontId="6" fillId="0" borderId="58" xfId="5" applyFont="1" applyFill="1" applyBorder="1" applyAlignment="1"/>
    <xf numFmtId="37" fontId="10" fillId="0" borderId="54" xfId="0" applyNumberFormat="1" applyFont="1" applyBorder="1" applyAlignment="1">
      <alignment horizontal="right"/>
    </xf>
    <xf numFmtId="165" fontId="6" fillId="0" borderId="28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6" fillId="0" borderId="61" xfId="0" applyNumberFormat="1" applyFont="1" applyBorder="1" applyAlignment="1">
      <alignment horizontal="right"/>
    </xf>
    <xf numFmtId="0" fontId="7" fillId="0" borderId="0" xfId="7" applyFont="1"/>
    <xf numFmtId="165" fontId="5" fillId="0" borderId="0" xfId="0" applyNumberFormat="1" applyFont="1"/>
    <xf numFmtId="165" fontId="7" fillId="0" borderId="45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6" fillId="0" borderId="5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3" xfId="0" applyNumberFormat="1" applyFont="1" applyBorder="1" applyAlignment="1">
      <alignment horizontal="left"/>
    </xf>
    <xf numFmtId="165" fontId="6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6" fillId="0" borderId="21" xfId="0" applyNumberFormat="1" applyFont="1" applyBorder="1" applyAlignment="1">
      <alignment horizontal="center"/>
    </xf>
    <xf numFmtId="165" fontId="6" fillId="0" borderId="8" xfId="0" applyNumberFormat="1" applyFont="1" applyBorder="1"/>
    <xf numFmtId="165" fontId="6" fillId="0" borderId="0" xfId="1" applyNumberFormat="1" applyFont="1" applyFill="1" applyBorder="1"/>
    <xf numFmtId="165" fontId="6" fillId="0" borderId="8" xfId="1" applyNumberFormat="1" applyFont="1" applyFill="1" applyBorder="1"/>
    <xf numFmtId="165" fontId="6" fillId="0" borderId="0" xfId="8" applyNumberFormat="1" applyFont="1"/>
    <xf numFmtId="165" fontId="7" fillId="0" borderId="20" xfId="0" applyNumberFormat="1" applyFont="1" applyBorder="1"/>
    <xf numFmtId="165" fontId="7" fillId="0" borderId="10" xfId="0" applyNumberFormat="1" applyFont="1" applyBorder="1"/>
    <xf numFmtId="165" fontId="7" fillId="0" borderId="11" xfId="1" applyNumberFormat="1" applyFont="1" applyFill="1" applyBorder="1"/>
    <xf numFmtId="165" fontId="7" fillId="0" borderId="48" xfId="1" applyNumberFormat="1" applyFont="1" applyFill="1" applyBorder="1"/>
    <xf numFmtId="165" fontId="7" fillId="0" borderId="11" xfId="8" applyNumberFormat="1" applyFont="1" applyBorder="1"/>
    <xf numFmtId="165" fontId="7" fillId="0" borderId="9" xfId="8" applyNumberFormat="1" applyFont="1" applyBorder="1"/>
    <xf numFmtId="165" fontId="7" fillId="0" borderId="22" xfId="0" applyNumberFormat="1" applyFont="1" applyBorder="1"/>
    <xf numFmtId="165" fontId="7" fillId="0" borderId="9" xfId="0" applyNumberFormat="1" applyFont="1" applyBorder="1"/>
    <xf numFmtId="165" fontId="7" fillId="0" borderId="21" xfId="0" applyNumberFormat="1" applyFont="1" applyBorder="1"/>
    <xf numFmtId="165" fontId="7" fillId="0" borderId="21" xfId="8" applyNumberFormat="1" applyFont="1" applyBorder="1"/>
    <xf numFmtId="165" fontId="7" fillId="0" borderId="16" xfId="8" applyNumberFormat="1" applyFont="1" applyBorder="1"/>
    <xf numFmtId="165" fontId="7" fillId="0" borderId="16" xfId="0" applyNumberFormat="1" applyFont="1" applyBorder="1"/>
    <xf numFmtId="165" fontId="7" fillId="0" borderId="0" xfId="8" applyNumberFormat="1" applyFont="1"/>
    <xf numFmtId="165" fontId="7" fillId="0" borderId="15" xfId="0" applyNumberFormat="1" applyFont="1" applyBorder="1"/>
    <xf numFmtId="165" fontId="7" fillId="0" borderId="14" xfId="8" applyNumberFormat="1" applyFont="1" applyBorder="1"/>
    <xf numFmtId="165" fontId="7" fillId="0" borderId="17" xfId="0" applyNumberFormat="1" applyFont="1" applyBorder="1"/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9" fontId="7" fillId="0" borderId="21" xfId="0" applyNumberFormat="1" applyFont="1" applyBorder="1" applyAlignment="1">
      <alignment horizontal="right"/>
    </xf>
    <xf numFmtId="169" fontId="7" fillId="0" borderId="8" xfId="0" applyNumberFormat="1" applyFont="1" applyBorder="1" applyAlignment="1">
      <alignment horizontal="right"/>
    </xf>
    <xf numFmtId="169" fontId="7" fillId="0" borderId="21" xfId="0" applyNumberFormat="1" applyFont="1" applyBorder="1" applyAlignment="1">
      <alignment horizontal="center"/>
    </xf>
    <xf numFmtId="169" fontId="7" fillId="0" borderId="8" xfId="0" applyNumberFormat="1" applyFont="1" applyBorder="1" applyAlignment="1">
      <alignment horizontal="center"/>
    </xf>
    <xf numFmtId="169" fontId="7" fillId="0" borderId="15" xfId="0" applyNumberFormat="1" applyFont="1" applyBorder="1" applyAlignment="1">
      <alignment horizontal="center"/>
    </xf>
    <xf numFmtId="16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9" fontId="7" fillId="0" borderId="2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10" xfId="1" applyNumberFormat="1" applyFont="1" applyFill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20" xfId="1" applyNumberFormat="1" applyFont="1" applyFill="1" applyBorder="1"/>
    <xf numFmtId="165" fontId="7" fillId="0" borderId="22" xfId="1" applyNumberFormat="1" applyFont="1" applyFill="1" applyBorder="1"/>
    <xf numFmtId="165" fontId="6" fillId="0" borderId="19" xfId="0" applyNumberFormat="1" applyFont="1" applyBorder="1"/>
    <xf numFmtId="165" fontId="6" fillId="0" borderId="10" xfId="0" applyNumberFormat="1" applyFont="1" applyBorder="1"/>
    <xf numFmtId="165" fontId="6" fillId="0" borderId="2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20" xfId="0" applyNumberFormat="1" applyFont="1" applyBorder="1"/>
    <xf numFmtId="165" fontId="6" fillId="0" borderId="11" xfId="8" applyNumberFormat="1" applyFont="1" applyBorder="1"/>
    <xf numFmtId="165" fontId="6" fillId="0" borderId="12" xfId="0" applyNumberFormat="1" applyFont="1" applyBorder="1"/>
    <xf numFmtId="0" fontId="9" fillId="0" borderId="32" xfId="0" applyFont="1" applyBorder="1"/>
    <xf numFmtId="170" fontId="7" fillId="0" borderId="0" xfId="0" applyNumberFormat="1" applyFont="1"/>
    <xf numFmtId="170" fontId="9" fillId="0" borderId="0" xfId="0" applyNumberFormat="1" applyFont="1"/>
    <xf numFmtId="43" fontId="7" fillId="0" borderId="0" xfId="1" applyFont="1" applyFill="1" applyBorder="1"/>
    <xf numFmtId="171" fontId="7" fillId="0" borderId="0" xfId="0" applyNumberFormat="1" applyFont="1"/>
    <xf numFmtId="172" fontId="7" fillId="0" borderId="0" xfId="0" applyNumberFormat="1" applyFont="1"/>
    <xf numFmtId="0" fontId="4" fillId="0" borderId="0" xfId="9"/>
    <xf numFmtId="165" fontId="2" fillId="0" borderId="0" xfId="1" applyNumberFormat="1" applyFont="1" applyFill="1" applyBorder="1" applyAlignment="1">
      <alignment horizontal="left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17" fontId="6" fillId="0" borderId="6" xfId="0" quotePrefix="1" applyNumberFormat="1" applyFont="1" applyBorder="1" applyAlignment="1">
      <alignment horizontal="center"/>
    </xf>
    <xf numFmtId="17" fontId="6" fillId="0" borderId="7" xfId="0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9" fillId="0" borderId="0" xfId="0" applyNumberFormat="1" applyFont="1" applyAlignment="1">
      <alignment horizontal="left"/>
    </xf>
    <xf numFmtId="165" fontId="7" fillId="0" borderId="2" xfId="0" applyNumberFormat="1" applyFont="1" applyBorder="1" applyAlignment="1">
      <alignment horizontal="left" indent="1"/>
    </xf>
    <xf numFmtId="165" fontId="7" fillId="0" borderId="0" xfId="0" applyNumberFormat="1" applyFont="1" applyAlignment="1">
      <alignment horizontal="left" indent="1"/>
    </xf>
    <xf numFmtId="165" fontId="7" fillId="0" borderId="22" xfId="0" applyNumberFormat="1" applyFont="1" applyBorder="1" applyAlignment="1">
      <alignment horizontal="left" indent="1"/>
    </xf>
    <xf numFmtId="165" fontId="7" fillId="0" borderId="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2" xfId="0" applyNumberFormat="1" applyFont="1" applyBorder="1" applyAlignment="1">
      <alignment horizontal="left"/>
    </xf>
    <xf numFmtId="165" fontId="9" fillId="0" borderId="2" xfId="0" applyNumberFormat="1" applyFont="1" applyBorder="1" applyAlignment="1">
      <alignment horizontal="left"/>
    </xf>
    <xf numFmtId="165" fontId="9" fillId="0" borderId="22" xfId="0" applyNumberFormat="1" applyFont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165" fontId="9" fillId="0" borderId="14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left"/>
    </xf>
    <xf numFmtId="165" fontId="9" fillId="0" borderId="32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10" fillId="0" borderId="22" xfId="0" applyNumberFormat="1" applyFont="1" applyBorder="1" applyAlignment="1">
      <alignment horizontal="left"/>
    </xf>
    <xf numFmtId="165" fontId="6" fillId="0" borderId="42" xfId="0" applyNumberFormat="1" applyFont="1" applyBorder="1" applyAlignment="1">
      <alignment horizontal="left" vertical="top"/>
    </xf>
    <xf numFmtId="165" fontId="6" fillId="0" borderId="43" xfId="0" applyNumberFormat="1" applyFont="1" applyBorder="1" applyAlignment="1">
      <alignment horizontal="left" vertical="top"/>
    </xf>
    <xf numFmtId="165" fontId="6" fillId="0" borderId="4" xfId="0" quotePrefix="1" applyNumberFormat="1" applyFont="1" applyBorder="1" applyAlignment="1">
      <alignment horizontal="center"/>
    </xf>
    <xf numFmtId="165" fontId="6" fillId="0" borderId="5" xfId="0" quotePrefix="1" applyNumberFormat="1" applyFont="1" applyBorder="1" applyAlignment="1">
      <alignment horizontal="center"/>
    </xf>
    <xf numFmtId="165" fontId="6" fillId="0" borderId="14" xfId="0" quotePrefix="1" applyNumberFormat="1" applyFont="1" applyBorder="1" applyAlignment="1">
      <alignment horizontal="center"/>
    </xf>
    <xf numFmtId="165" fontId="6" fillId="0" borderId="7" xfId="0" quotePrefix="1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37" fontId="7" fillId="0" borderId="0" xfId="0" applyNumberFormat="1" applyFont="1" applyAlignment="1">
      <alignment horizontal="left"/>
    </xf>
    <xf numFmtId="0" fontId="6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5" fillId="0" borderId="1" xfId="0" applyNumberFormat="1" applyFont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6" fillId="0" borderId="6" xfId="0" quotePrefix="1" applyNumberFormat="1" applyFont="1" applyBorder="1" applyAlignment="1">
      <alignment horizontal="center"/>
    </xf>
    <xf numFmtId="0" fontId="27" fillId="0" borderId="15" xfId="0" applyFont="1" applyBorder="1"/>
    <xf numFmtId="0" fontId="27" fillId="0" borderId="14" xfId="0" applyFont="1" applyBorder="1"/>
    <xf numFmtId="0" fontId="6" fillId="0" borderId="5" xfId="0" quotePrefix="1" applyFont="1" applyBorder="1" applyAlignment="1">
      <alignment horizontal="center"/>
    </xf>
    <xf numFmtId="0" fontId="0" fillId="0" borderId="7" xfId="0" applyBorder="1" applyAlignment="1">
      <alignment horizontal="center"/>
    </xf>
    <xf numFmtId="165" fontId="6" fillId="0" borderId="15" xfId="0" applyNumberFormat="1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165" fontId="6" fillId="0" borderId="15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2" xfId="0" applyNumberFormat="1" applyFont="1" applyBorder="1"/>
    <xf numFmtId="165" fontId="7" fillId="0" borderId="10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right"/>
    </xf>
    <xf numFmtId="43" fontId="6" fillId="0" borderId="0" xfId="1" applyFont="1" applyFill="1"/>
    <xf numFmtId="165" fontId="7" fillId="0" borderId="11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right"/>
    </xf>
    <xf numFmtId="43" fontId="7" fillId="0" borderId="0" xfId="1" applyFont="1" applyFill="1"/>
    <xf numFmtId="165" fontId="7" fillId="0" borderId="47" xfId="0" applyNumberFormat="1" applyFont="1" applyBorder="1"/>
    <xf numFmtId="165" fontId="7" fillId="0" borderId="48" xfId="1" applyNumberFormat="1" applyFont="1" applyFill="1" applyBorder="1" applyAlignment="1">
      <alignment horizontal="left"/>
    </xf>
    <xf numFmtId="165" fontId="7" fillId="0" borderId="49" xfId="1" applyNumberFormat="1" applyFont="1" applyFill="1" applyBorder="1" applyAlignment="1">
      <alignment horizontal="right"/>
    </xf>
    <xf numFmtId="165" fontId="7" fillId="0" borderId="47" xfId="1" applyNumberFormat="1" applyFont="1" applyFill="1" applyBorder="1" applyAlignment="1">
      <alignment horizontal="right"/>
    </xf>
    <xf numFmtId="165" fontId="7" fillId="0" borderId="48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left"/>
    </xf>
    <xf numFmtId="165" fontId="7" fillId="0" borderId="15" xfId="1" applyNumberFormat="1" applyFont="1" applyFill="1" applyBorder="1" applyAlignment="1">
      <alignment horizontal="right"/>
    </xf>
    <xf numFmtId="167" fontId="7" fillId="0" borderId="15" xfId="1" applyNumberFormat="1" applyFont="1" applyFill="1" applyBorder="1" applyAlignment="1">
      <alignment horizontal="right"/>
    </xf>
    <xf numFmtId="167" fontId="7" fillId="0" borderId="17" xfId="1" applyNumberFormat="1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center"/>
    </xf>
    <xf numFmtId="165" fontId="7" fillId="0" borderId="36" xfId="0" applyNumberFormat="1" applyFont="1" applyBorder="1"/>
    <xf numFmtId="165" fontId="7" fillId="0" borderId="24" xfId="0" applyNumberFormat="1" applyFont="1" applyBorder="1"/>
    <xf numFmtId="165" fontId="7" fillId="0" borderId="62" xfId="0" applyNumberFormat="1" applyFont="1" applyBorder="1"/>
    <xf numFmtId="165" fontId="7" fillId="0" borderId="27" xfId="0" applyNumberFormat="1" applyFont="1" applyBorder="1"/>
    <xf numFmtId="165" fontId="7" fillId="0" borderId="27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left"/>
    </xf>
    <xf numFmtId="165" fontId="6" fillId="0" borderId="0" xfId="0" quotePrefix="1" applyNumberFormat="1" applyFont="1"/>
    <xf numFmtId="165" fontId="7" fillId="0" borderId="31" xfId="0" applyNumberFormat="1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7" fillId="0" borderId="8" xfId="0" applyNumberFormat="1" applyFont="1" applyBorder="1" applyAlignment="1">
      <alignment horizontal="left" indent="1"/>
    </xf>
    <xf numFmtId="165" fontId="7" fillId="0" borderId="20" xfId="0" applyNumberFormat="1" applyFont="1" applyBorder="1" applyAlignment="1">
      <alignment horizontal="left" indent="1"/>
    </xf>
    <xf numFmtId="165" fontId="7" fillId="0" borderId="11" xfId="0" applyNumberFormat="1" applyFont="1" applyBorder="1" applyAlignment="1">
      <alignment horizontal="left" indent="1"/>
    </xf>
    <xf numFmtId="165" fontId="7" fillId="0" borderId="8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left" indent="1"/>
    </xf>
    <xf numFmtId="165" fontId="7" fillId="0" borderId="15" xfId="0" applyNumberFormat="1" applyFont="1" applyBorder="1" applyAlignment="1">
      <alignment horizontal="left"/>
    </xf>
    <xf numFmtId="165" fontId="6" fillId="0" borderId="8" xfId="0" applyNumberFormat="1" applyFont="1" applyBorder="1" applyAlignment="1">
      <alignment horizontal="left"/>
    </xf>
    <xf numFmtId="165" fontId="7" fillId="0" borderId="47" xfId="0" applyNumberFormat="1" applyFont="1" applyBorder="1" applyAlignment="1">
      <alignment horizontal="left" indent="1"/>
    </xf>
    <xf numFmtId="168" fontId="7" fillId="0" borderId="48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0" fillId="0" borderId="8" xfId="1" applyNumberFormat="1" applyFont="1" applyFill="1" applyBorder="1" applyAlignment="1">
      <alignment horizontal="right"/>
    </xf>
    <xf numFmtId="165" fontId="7" fillId="0" borderId="48" xfId="0" applyNumberFormat="1" applyFont="1" applyBorder="1"/>
    <xf numFmtId="165" fontId="7" fillId="0" borderId="25" xfId="1" applyNumberFormat="1" applyFont="1" applyFill="1" applyBorder="1" applyAlignment="1">
      <alignment horizontal="right"/>
    </xf>
    <xf numFmtId="165" fontId="7" fillId="0" borderId="49" xfId="0" applyNumberFormat="1" applyFont="1" applyBorder="1"/>
    <xf numFmtId="0" fontId="6" fillId="0" borderId="14" xfId="0" quotePrefix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0" xfId="8" applyNumberFormat="1" applyFont="1" applyAlignment="1">
      <alignment horizontal="center"/>
    </xf>
    <xf numFmtId="165" fontId="6" fillId="0" borderId="14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0" fillId="0" borderId="27" xfId="1" applyNumberFormat="1" applyFont="1" applyFill="1" applyBorder="1" applyAlignment="1">
      <alignment horizontal="right"/>
    </xf>
    <xf numFmtId="165" fontId="10" fillId="0" borderId="32" xfId="1" applyNumberFormat="1" applyFont="1" applyFill="1" applyBorder="1" applyAlignment="1">
      <alignment horizontal="right"/>
    </xf>
    <xf numFmtId="165" fontId="7" fillId="0" borderId="32" xfId="1" applyNumberFormat="1" applyFont="1" applyFill="1" applyBorder="1" applyAlignment="1">
      <alignment horizontal="right"/>
    </xf>
    <xf numFmtId="165" fontId="6" fillId="0" borderId="14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165" fontId="9" fillId="0" borderId="8" xfId="0" applyNumberFormat="1" applyFont="1" applyBorder="1"/>
    <xf numFmtId="165" fontId="8" fillId="0" borderId="0" xfId="0" applyNumberFormat="1" applyFont="1" applyAlignment="1">
      <alignment horizontal="right"/>
    </xf>
    <xf numFmtId="165" fontId="8" fillId="0" borderId="32" xfId="0" applyNumberFormat="1" applyFont="1" applyBorder="1" applyAlignment="1">
      <alignment horizontal="right"/>
    </xf>
    <xf numFmtId="165" fontId="6" fillId="0" borderId="3" xfId="0" applyNumberFormat="1" applyFont="1" applyBorder="1"/>
    <xf numFmtId="165" fontId="6" fillId="0" borderId="32" xfId="0" quotePrefix="1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57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6" fillId="0" borderId="14" xfId="1" applyNumberFormat="1" applyFont="1" applyFill="1" applyBorder="1" applyAlignment="1">
      <alignment horizontal="center"/>
    </xf>
    <xf numFmtId="165" fontId="6" fillId="0" borderId="2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center"/>
    </xf>
    <xf numFmtId="165" fontId="7" fillId="0" borderId="10" xfId="1" applyNumberFormat="1" applyFont="1" applyFill="1" applyBorder="1" applyAlignment="1">
      <alignment horizontal="center"/>
    </xf>
    <xf numFmtId="165" fontId="7" fillId="0" borderId="20" xfId="1" applyNumberFormat="1" applyFont="1" applyFill="1" applyBorder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165" fontId="7" fillId="0" borderId="17" xfId="1" applyNumberFormat="1" applyFont="1" applyFill="1" applyBorder="1" applyAlignment="1">
      <alignment horizontal="center"/>
    </xf>
    <xf numFmtId="165" fontId="7" fillId="0" borderId="15" xfId="1" applyNumberFormat="1" applyFont="1" applyFill="1" applyBorder="1" applyAlignment="1">
      <alignment horizontal="center"/>
    </xf>
    <xf numFmtId="173" fontId="7" fillId="0" borderId="0" xfId="3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center"/>
    </xf>
    <xf numFmtId="165" fontId="7" fillId="0" borderId="2" xfId="0" quotePrefix="1" applyNumberFormat="1" applyFont="1" applyBorder="1"/>
    <xf numFmtId="165" fontId="6" fillId="0" borderId="48" xfId="0" applyNumberFormat="1" applyFont="1" applyBorder="1"/>
    <xf numFmtId="165" fontId="7" fillId="0" borderId="48" xfId="1" applyNumberFormat="1" applyFont="1" applyFill="1" applyBorder="1" applyAlignment="1">
      <alignment horizontal="center"/>
    </xf>
    <xf numFmtId="165" fontId="7" fillId="0" borderId="47" xfId="1" applyNumberFormat="1" applyFont="1" applyFill="1" applyBorder="1" applyAlignment="1">
      <alignment horizontal="center"/>
    </xf>
    <xf numFmtId="165" fontId="6" fillId="0" borderId="49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center"/>
    </xf>
    <xf numFmtId="165" fontId="6" fillId="0" borderId="48" xfId="1" applyNumberFormat="1" applyFont="1" applyFill="1" applyBorder="1" applyAlignment="1">
      <alignment horizontal="right"/>
    </xf>
    <xf numFmtId="165" fontId="6" fillId="0" borderId="47" xfId="1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169" fontId="6" fillId="0" borderId="0" xfId="0" applyNumberFormat="1" applyFont="1"/>
    <xf numFmtId="165" fontId="9" fillId="0" borderId="1" xfId="0" applyNumberFormat="1" applyFont="1" applyBorder="1" applyAlignment="1">
      <alignment horizontal="right"/>
    </xf>
    <xf numFmtId="165" fontId="6" fillId="0" borderId="40" xfId="0" applyNumberFormat="1" applyFont="1" applyBorder="1"/>
    <xf numFmtId="165" fontId="6" fillId="0" borderId="23" xfId="1" applyNumberFormat="1" applyFont="1" applyFill="1" applyBorder="1" applyAlignment="1">
      <alignment horizontal="center"/>
    </xf>
    <xf numFmtId="165" fontId="6" fillId="0" borderId="40" xfId="1" applyNumberFormat="1" applyFont="1" applyFill="1" applyBorder="1" applyAlignment="1">
      <alignment horizontal="center"/>
    </xf>
    <xf numFmtId="165" fontId="6" fillId="0" borderId="38" xfId="1" applyNumberFormat="1" applyFont="1" applyFill="1" applyBorder="1" applyAlignment="1">
      <alignment horizontal="center"/>
    </xf>
    <xf numFmtId="165" fontId="9" fillId="0" borderId="32" xfId="0" quotePrefix="1" applyNumberFormat="1" applyFont="1" applyBorder="1" applyAlignment="1">
      <alignment horizontal="left"/>
    </xf>
    <xf numFmtId="165" fontId="9" fillId="0" borderId="0" xfId="0" quotePrefix="1" applyNumberFormat="1" applyFont="1"/>
    <xf numFmtId="165" fontId="9" fillId="0" borderId="0" xfId="0" quotePrefix="1" applyNumberFormat="1" applyFont="1" applyAlignment="1">
      <alignment horizontal="right"/>
    </xf>
    <xf numFmtId="164" fontId="7" fillId="0" borderId="0" xfId="0" applyNumberFormat="1" applyFont="1"/>
    <xf numFmtId="174" fontId="7" fillId="0" borderId="0" xfId="1" applyNumberFormat="1" applyFont="1" applyFill="1"/>
    <xf numFmtId="164" fontId="6" fillId="0" borderId="0" xfId="0" applyNumberFormat="1" applyFont="1"/>
    <xf numFmtId="175" fontId="7" fillId="0" borderId="0" xfId="0" applyNumberFormat="1" applyFont="1"/>
    <xf numFmtId="176" fontId="7" fillId="0" borderId="0" xfId="0" applyNumberFormat="1" applyFont="1"/>
    <xf numFmtId="177" fontId="7" fillId="0" borderId="0" xfId="1" applyNumberFormat="1" applyFont="1" applyFill="1"/>
    <xf numFmtId="174" fontId="7" fillId="0" borderId="0" xfId="0" applyNumberFormat="1" applyFont="1"/>
    <xf numFmtId="164" fontId="7" fillId="0" borderId="0" xfId="5" applyFont="1" applyFill="1" applyBorder="1"/>
    <xf numFmtId="165" fontId="7" fillId="0" borderId="0" xfId="5" applyNumberFormat="1" applyFont="1" applyFill="1" applyBorder="1"/>
    <xf numFmtId="178" fontId="7" fillId="0" borderId="0" xfId="0" applyNumberFormat="1" applyFont="1"/>
    <xf numFmtId="178" fontId="7" fillId="0" borderId="0" xfId="5" applyNumberFormat="1" applyFont="1" applyFill="1" applyBorder="1"/>
    <xf numFmtId="164" fontId="7" fillId="0" borderId="0" xfId="5" applyFont="1" applyFill="1"/>
    <xf numFmtId="0" fontId="6" fillId="0" borderId="32" xfId="0" applyFont="1" applyBorder="1"/>
    <xf numFmtId="0" fontId="6" fillId="0" borderId="3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1" xfId="0" applyFont="1" applyBorder="1" applyAlignment="1">
      <alignment horizontal="right"/>
    </xf>
    <xf numFmtId="0" fontId="6" fillId="0" borderId="16" xfId="2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5" fontId="6" fillId="0" borderId="21" xfId="5" applyNumberFormat="1" applyFont="1" applyFill="1" applyBorder="1" applyAlignment="1">
      <alignment horizontal="right"/>
    </xf>
    <xf numFmtId="165" fontId="6" fillId="0" borderId="25" xfId="5" applyNumberFormat="1" applyFont="1" applyFill="1" applyBorder="1" applyAlignment="1">
      <alignment horizontal="right"/>
    </xf>
    <xf numFmtId="165" fontId="6" fillId="0" borderId="8" xfId="5" applyNumberFormat="1" applyFont="1" applyFill="1" applyBorder="1" applyAlignment="1">
      <alignment horizontal="right"/>
    </xf>
    <xf numFmtId="179" fontId="7" fillId="0" borderId="0" xfId="0" applyNumberFormat="1" applyFont="1" applyAlignment="1">
      <alignment horizontal="right"/>
    </xf>
    <xf numFmtId="165" fontId="10" fillId="0" borderId="8" xfId="5" applyNumberFormat="1" applyFont="1" applyFill="1" applyBorder="1" applyAlignment="1">
      <alignment horizontal="right"/>
    </xf>
    <xf numFmtId="165" fontId="10" fillId="0" borderId="21" xfId="5" applyNumberFormat="1" applyFont="1" applyFill="1" applyBorder="1" applyAlignment="1">
      <alignment horizontal="right"/>
    </xf>
    <xf numFmtId="165" fontId="7" fillId="0" borderId="21" xfId="5" applyNumberFormat="1" applyFont="1" applyFill="1" applyBorder="1" applyAlignment="1">
      <alignment horizontal="right"/>
    </xf>
    <xf numFmtId="165" fontId="10" fillId="0" borderId="25" xfId="5" applyNumberFormat="1" applyFont="1" applyFill="1" applyBorder="1" applyAlignment="1">
      <alignment horizontal="right"/>
    </xf>
    <xf numFmtId="165" fontId="7" fillId="0" borderId="25" xfId="5" applyNumberFormat="1" applyFont="1" applyFill="1" applyBorder="1" applyAlignment="1">
      <alignment horizontal="right"/>
    </xf>
    <xf numFmtId="0" fontId="6" fillId="0" borderId="24" xfId="0" applyFont="1" applyBorder="1"/>
    <xf numFmtId="165" fontId="15" fillId="0" borderId="8" xfId="5" applyNumberFormat="1" applyFont="1" applyFill="1" applyBorder="1" applyAlignment="1">
      <alignment horizontal="right"/>
    </xf>
    <xf numFmtId="165" fontId="15" fillId="0" borderId="21" xfId="5" applyNumberFormat="1" applyFont="1" applyFill="1" applyBorder="1" applyAlignment="1">
      <alignment horizontal="right"/>
    </xf>
    <xf numFmtId="165" fontId="15" fillId="0" borderId="25" xfId="5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right"/>
    </xf>
    <xf numFmtId="165" fontId="11" fillId="0" borderId="21" xfId="5" applyNumberFormat="1" applyFont="1" applyFill="1" applyBorder="1" applyAlignment="1">
      <alignment horizontal="right"/>
    </xf>
    <xf numFmtId="0" fontId="9" fillId="0" borderId="24" xfId="0" applyFont="1" applyBorder="1"/>
    <xf numFmtId="165" fontId="11" fillId="0" borderId="8" xfId="5" applyNumberFormat="1" applyFont="1" applyFill="1" applyBorder="1" applyAlignment="1">
      <alignment horizontal="right"/>
    </xf>
    <xf numFmtId="165" fontId="14" fillId="0" borderId="21" xfId="5" applyNumberFormat="1" applyFont="1" applyFill="1" applyBorder="1" applyAlignment="1">
      <alignment horizontal="right"/>
    </xf>
    <xf numFmtId="165" fontId="9" fillId="0" borderId="21" xfId="5" applyNumberFormat="1" applyFont="1" applyFill="1" applyBorder="1" applyAlignment="1">
      <alignment horizontal="right"/>
    </xf>
    <xf numFmtId="165" fontId="11" fillId="0" borderId="25" xfId="5" applyNumberFormat="1" applyFont="1" applyFill="1" applyBorder="1" applyAlignment="1">
      <alignment horizontal="right"/>
    </xf>
    <xf numFmtId="164" fontId="9" fillId="0" borderId="0" xfId="5" applyFont="1" applyFill="1"/>
    <xf numFmtId="165" fontId="6" fillId="0" borderId="28" xfId="5" applyNumberFormat="1" applyFont="1" applyFill="1" applyBorder="1" applyAlignment="1">
      <alignment horizontal="right"/>
    </xf>
    <xf numFmtId="165" fontId="6" fillId="0" borderId="61" xfId="5" applyNumberFormat="1" applyFont="1" applyFill="1" applyBorder="1" applyAlignment="1">
      <alignment horizontal="right"/>
    </xf>
    <xf numFmtId="165" fontId="6" fillId="0" borderId="21" xfId="5" applyNumberFormat="1" applyFont="1" applyFill="1" applyBorder="1" applyAlignment="1">
      <alignment horizontal="center"/>
    </xf>
    <xf numFmtId="165" fontId="7" fillId="0" borderId="25" xfId="5" applyNumberFormat="1" applyFont="1" applyFill="1" applyBorder="1" applyAlignment="1">
      <alignment horizontal="center"/>
    </xf>
    <xf numFmtId="0" fontId="9" fillId="0" borderId="22" xfId="0" applyFont="1" applyBorder="1" applyAlignment="1">
      <alignment horizontal="right"/>
    </xf>
    <xf numFmtId="165" fontId="7" fillId="0" borderId="22" xfId="5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7" fillId="0" borderId="27" xfId="5" applyNumberFormat="1" applyFont="1" applyFill="1" applyBorder="1" applyAlignment="1">
      <alignment horizontal="right"/>
    </xf>
    <xf numFmtId="165" fontId="7" fillId="0" borderId="28" xfId="5" applyNumberFormat="1" applyFont="1" applyFill="1" applyBorder="1" applyAlignment="1">
      <alignment horizontal="right"/>
    </xf>
    <xf numFmtId="165" fontId="7" fillId="0" borderId="61" xfId="5" applyNumberFormat="1" applyFont="1" applyFill="1" applyBorder="1" applyAlignment="1">
      <alignment horizontal="right"/>
    </xf>
    <xf numFmtId="165" fontId="7" fillId="0" borderId="43" xfId="5" applyNumberFormat="1" applyFont="1" applyFill="1" applyBorder="1" applyAlignment="1">
      <alignment horizontal="right"/>
    </xf>
    <xf numFmtId="0" fontId="10" fillId="0" borderId="31" xfId="0" applyFont="1" applyBorder="1"/>
    <xf numFmtId="0" fontId="30" fillId="0" borderId="32" xfId="0" applyFont="1" applyBorder="1"/>
    <xf numFmtId="0" fontId="7" fillId="0" borderId="32" xfId="0" applyFont="1" applyBorder="1"/>
    <xf numFmtId="0" fontId="7" fillId="0" borderId="32" xfId="0" applyFont="1" applyBorder="1" applyAlignment="1">
      <alignment horizontal="right"/>
    </xf>
    <xf numFmtId="165" fontId="7" fillId="0" borderId="3" xfId="5" applyNumberFormat="1" applyFont="1" applyFill="1" applyBorder="1" applyAlignment="1">
      <alignment horizontal="right"/>
    </xf>
    <xf numFmtId="165" fontId="7" fillId="0" borderId="45" xfId="5" applyNumberFormat="1" applyFont="1" applyFill="1" applyBorder="1" applyAlignment="1">
      <alignment horizontal="right"/>
    </xf>
    <xf numFmtId="165" fontId="7" fillId="0" borderId="63" xfId="5" applyNumberFormat="1" applyFont="1" applyFill="1" applyBorder="1" applyAlignment="1">
      <alignment horizontal="right"/>
    </xf>
    <xf numFmtId="0" fontId="31" fillId="0" borderId="0" xfId="0" applyFont="1"/>
    <xf numFmtId="0" fontId="30" fillId="0" borderId="2" xfId="0" applyFont="1" applyBorder="1"/>
    <xf numFmtId="0" fontId="30" fillId="0" borderId="0" xfId="0" applyFont="1"/>
    <xf numFmtId="165" fontId="7" fillId="0" borderId="8" xfId="2" applyNumberFormat="1" applyFont="1" applyBorder="1"/>
    <xf numFmtId="165" fontId="7" fillId="0" borderId="25" xfId="0" applyNumberFormat="1" applyFont="1" applyBorder="1"/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vertical="top"/>
    </xf>
    <xf numFmtId="164" fontId="7" fillId="0" borderId="0" xfId="5" applyFont="1" applyFill="1" applyBorder="1" applyAlignment="1">
      <alignment horizontal="right"/>
    </xf>
    <xf numFmtId="167" fontId="7" fillId="0" borderId="0" xfId="5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6" fillId="0" borderId="9" xfId="2" applyFont="1" applyBorder="1" applyAlignment="1">
      <alignment horizontal="right"/>
    </xf>
    <xf numFmtId="164" fontId="32" fillId="0" borderId="2" xfId="0" applyNumberFormat="1" applyFont="1" applyBorder="1"/>
    <xf numFmtId="165" fontId="32" fillId="0" borderId="0" xfId="0" applyNumberFormat="1" applyFont="1"/>
    <xf numFmtId="165" fontId="4" fillId="0" borderId="0" xfId="0" applyNumberFormat="1" applyFont="1"/>
    <xf numFmtId="164" fontId="4" fillId="0" borderId="2" xfId="0" applyNumberFormat="1" applyFont="1" applyBorder="1"/>
    <xf numFmtId="165" fontId="7" fillId="0" borderId="21" xfId="2" applyNumberFormat="1" applyFont="1" applyBorder="1" applyAlignment="1">
      <alignment horizontal="right"/>
    </xf>
    <xf numFmtId="0" fontId="31" fillId="0" borderId="2" xfId="0" applyFont="1" applyBorder="1"/>
    <xf numFmtId="0" fontId="31" fillId="0" borderId="26" xfId="0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0" fontId="10" fillId="0" borderId="26" xfId="0" applyFont="1" applyBorder="1"/>
    <xf numFmtId="169" fontId="7" fillId="0" borderId="28" xfId="0" applyNumberFormat="1" applyFont="1" applyBorder="1" applyAlignment="1">
      <alignment horizontal="right"/>
    </xf>
    <xf numFmtId="165" fontId="6" fillId="0" borderId="0" xfId="5" applyNumberFormat="1" applyFont="1" applyFill="1" applyBorder="1" applyAlignment="1">
      <alignment horizontal="right"/>
    </xf>
    <xf numFmtId="164" fontId="32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64" fontId="4" fillId="0" borderId="0" xfId="5" applyFont="1" applyFill="1"/>
    <xf numFmtId="164" fontId="4" fillId="0" borderId="0" xfId="5" applyFont="1"/>
    <xf numFmtId="165" fontId="4" fillId="0" borderId="0" xfId="5" applyNumberFormat="1" applyFont="1" applyFill="1"/>
    <xf numFmtId="165" fontId="4" fillId="0" borderId="0" xfId="5" applyNumberFormat="1" applyFont="1"/>
    <xf numFmtId="180" fontId="4" fillId="0" borderId="0" xfId="5" applyNumberFormat="1" applyFont="1" applyFill="1"/>
    <xf numFmtId="165" fontId="32" fillId="0" borderId="0" xfId="5" applyNumberFormat="1" applyFont="1" applyFill="1"/>
    <xf numFmtId="169" fontId="32" fillId="0" borderId="0" xfId="5" applyNumberFormat="1" applyFont="1" applyFill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/>
    <xf numFmtId="164" fontId="7" fillId="0" borderId="0" xfId="5" applyFont="1" applyBorder="1"/>
    <xf numFmtId="0" fontId="9" fillId="0" borderId="0" xfId="0" applyFont="1" applyBorder="1"/>
  </cellXfs>
  <cellStyles count="10">
    <cellStyle name="Comma" xfId="1" builtinId="3"/>
    <cellStyle name="Comma 13" xfId="5" xr:uid="{78AD412C-3404-49B1-B473-3E43446C898A}"/>
    <cellStyle name="Comma 2 2" xfId="3" xr:uid="{BE9BFCFE-CB3A-42EF-8C03-4915B6F39A73}"/>
    <cellStyle name="Comma 20" xfId="6" xr:uid="{1D43885A-4BCA-496A-8717-2831B2D6DD95}"/>
    <cellStyle name="Comma 35" xfId="4" xr:uid="{7B2351C9-5616-49EA-BE62-FDB886A8CB53}"/>
    <cellStyle name="Normal" xfId="0" builtinId="0"/>
    <cellStyle name="Normal 2" xfId="2" xr:uid="{D1451150-3A0F-493C-821C-EBC52F87B21F}"/>
    <cellStyle name="Normal 2 2" xfId="9" xr:uid="{70FF47E4-CC73-4F42-9BC7-613F4966CBFA}"/>
    <cellStyle name="Normal 4" xfId="8" xr:uid="{82784660-C30B-4C2F-9AF6-23CFEEC287F1}"/>
    <cellStyle name="Normal_explanatory memo 12 Oct" xfId="7" xr:uid="{EE27022E-3FDA-46BB-A067-82D40BB34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calcChain" Target="calcChain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theme" Target="theme/theme1.xml"/><Relationship Id="rId9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sharedStrings" Target="sharedStrings.xml"/><Relationship Id="rId9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1/Table%201%20-%20December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1\Table%201%20-%20January%202023.xlsx" TargetMode="External"/><Relationship Id="rId1" Type="http://schemas.openxmlformats.org/officeDocument/2006/relationships/externalLinkPath" Target="/Inter%20Branch%20Information/Section%2032%20Report/2022-2023/10.%20January/Table%201/Table%201%20-%20January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2\Table%202%20CY.xls" TargetMode="External"/><Relationship Id="rId1" Type="http://schemas.openxmlformats.org/officeDocument/2006/relationships/externalLinkPath" Target="/Inter%20Branch%20Information/Section%2032%20Report/2022-2023/10.%20January/Table%202/Table%202%20C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P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P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P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P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P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PY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2/Table%202%20PY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2\Table%202%20PY.xlsx" TargetMode="External"/><Relationship Id="rId1" Type="http://schemas.openxmlformats.org/officeDocument/2006/relationships/externalLinkPath" Target="/Inter%20Branch%20Information/Section%2032%20Report/2022-2023/10.%20January/Table%202/Table%202%20PY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3/Table%203%20.xlsx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3\Table%203%20.xlsx" TargetMode="External"/><Relationship Id="rId1" Type="http://schemas.openxmlformats.org/officeDocument/2006/relationships/externalLinkPath" Target="/Inter%20Branch%20Information/Section%2032%20Report/2022-2023/10.%20January/Table%203/Table%203%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3/Table%20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5/Additional%20Inform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2-2023\10.%20January\Table%205\Additional%20Information.xlsx" TargetMode="External"/><Relationship Id="rId1" Type="http://schemas.openxmlformats.org/officeDocument/2006/relationships/externalLinkPath" Target="/Inter%20Branch%20Information/Section%2032%20Report/2022-2023/10.%20January/Table%205/Additional%20Inform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1.%20April/Table%205/Additional%20Inform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2.%20May/Table%205/Additional%20Inform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3.%20June/Table%205/Additional%20Informat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4.%20July/Table%205/Additional%20Inform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5.%20August/Table%205/Additional%20Inform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6.%20September/Table%205/Additional%20Information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5/Additional%20Information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9.%20December/Table%205/Additional%20Inform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0.%20January/Table%205/Additional%20Inform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1.%20February/Table%205/Additional%20Information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12.%20March/Table%205/Additional%20Information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309\AppData\Local\Microsoft\Windows\INetCache\IE\587VXUYD\Additional%20Inform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9.%20December/Table%204/Recon%20statement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0.%20January/Table%204/Recon%20statement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1694492121.8660131</v>
          </cell>
          <cell r="O116">
            <v>105123000.20174001</v>
          </cell>
          <cell r="V116">
            <v>1564316765.28897</v>
          </cell>
          <cell r="AC116">
            <v>99192221.386340007</v>
          </cell>
        </row>
        <row r="142">
          <cell r="V142">
            <v>1565381025.0421999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  <cell r="W116">
            <v>85521313.027899981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  <cell r="X116">
            <v>95746534.991829976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  <cell r="Y116">
            <v>204272505.63388997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  <cell r="Z116">
            <v>79776633.90106003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  <cell r="AA116">
            <v>123123227.51399601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  <cell r="AB116">
            <v>133078951.73887001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  <cell r="AD116">
            <v>106436242.68023005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1"/>
    </sheetNames>
    <sheetDataSet>
      <sheetData sheetId="0">
        <row r="116">
          <cell r="Q116">
            <v>228225490.40653002</v>
          </cell>
          <cell r="AE116">
            <v>211940260.29798001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6">
          <cell r="R116">
            <v>114466016.92885998</v>
          </cell>
          <cell r="AF116">
            <v>107054272.45395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I48">
            <v>1099035660</v>
          </cell>
          <cell r="BB48">
            <v>98873545</v>
          </cell>
        </row>
        <row r="51">
          <cell r="I51">
            <v>7704</v>
          </cell>
          <cell r="BB51">
            <v>482</v>
          </cell>
        </row>
        <row r="52">
          <cell r="I52">
            <v>471709</v>
          </cell>
          <cell r="BB52">
            <v>39309</v>
          </cell>
        </row>
        <row r="53">
          <cell r="I53">
            <v>307738809</v>
          </cell>
          <cell r="BB53">
            <v>30525325.083000001</v>
          </cell>
        </row>
        <row r="56">
          <cell r="I56">
            <v>570868206</v>
          </cell>
          <cell r="BB56">
            <v>46729733</v>
          </cell>
        </row>
        <row r="57">
          <cell r="I57">
            <v>15334823</v>
          </cell>
          <cell r="BB57">
            <v>5111607</v>
          </cell>
        </row>
        <row r="58">
          <cell r="I58">
            <v>263112</v>
          </cell>
          <cell r="BB58">
            <v>47</v>
          </cell>
        </row>
        <row r="59">
          <cell r="I59">
            <v>72582</v>
          </cell>
          <cell r="BB59">
            <v>0</v>
          </cell>
        </row>
        <row r="60">
          <cell r="BB60">
            <v>0</v>
          </cell>
        </row>
        <row r="61">
          <cell r="I61">
            <v>204700</v>
          </cell>
        </row>
        <row r="62">
          <cell r="B62" t="str">
            <v>Land and Agriculture Development Bank of South Africa</v>
          </cell>
          <cell r="I62">
            <v>101557</v>
          </cell>
        </row>
        <row r="63">
          <cell r="I63">
            <v>21238137</v>
          </cell>
          <cell r="BB63">
            <v>1700134</v>
          </cell>
        </row>
        <row r="64">
          <cell r="I64">
            <v>2398506</v>
          </cell>
          <cell r="BB64">
            <v>184326</v>
          </cell>
        </row>
        <row r="65">
          <cell r="I65">
            <v>1247118</v>
          </cell>
          <cell r="BB65">
            <v>90404</v>
          </cell>
        </row>
        <row r="66">
          <cell r="I66">
            <v>12034</v>
          </cell>
          <cell r="BB66">
            <v>0</v>
          </cell>
        </row>
        <row r="70">
          <cell r="I70">
            <v>150509</v>
          </cell>
        </row>
        <row r="72">
          <cell r="I72">
            <v>5000000</v>
          </cell>
        </row>
        <row r="73">
          <cell r="I73">
            <v>-3917343</v>
          </cell>
        </row>
        <row r="74">
          <cell r="I74">
            <v>-2000000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70">
          <cell r="I70">
            <v>0</v>
          </cell>
        </row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Sheet1"/>
    </sheetNames>
    <sheetDataSet>
      <sheetData sheetId="0">
        <row r="48">
          <cell r="AW48">
            <v>79632838</v>
          </cell>
        </row>
        <row r="51">
          <cell r="AW51">
            <v>482</v>
          </cell>
        </row>
        <row r="52">
          <cell r="AW52">
            <v>39309</v>
          </cell>
        </row>
        <row r="53">
          <cell r="AW53">
            <v>3371859</v>
          </cell>
        </row>
        <row r="56">
          <cell r="AW56">
            <v>46729733</v>
          </cell>
        </row>
        <row r="57">
          <cell r="AW57">
            <v>0</v>
          </cell>
        </row>
        <row r="58">
          <cell r="AW58">
            <v>25</v>
          </cell>
        </row>
        <row r="59">
          <cell r="AW59">
            <v>0</v>
          </cell>
        </row>
        <row r="60">
          <cell r="AW60">
            <v>0</v>
          </cell>
        </row>
        <row r="62">
          <cell r="AW62">
            <v>1718306</v>
          </cell>
        </row>
        <row r="63">
          <cell r="AW63">
            <v>183519</v>
          </cell>
        </row>
        <row r="64">
          <cell r="AW64">
            <v>96890</v>
          </cell>
        </row>
        <row r="65">
          <cell r="AW65">
            <v>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BG48">
            <v>98304918</v>
          </cell>
        </row>
        <row r="51">
          <cell r="BG51">
            <v>964</v>
          </cell>
        </row>
        <row r="52">
          <cell r="BG52">
            <v>39309</v>
          </cell>
        </row>
        <row r="53">
          <cell r="BG53">
            <v>49904871.368009999</v>
          </cell>
        </row>
        <row r="56">
          <cell r="BG56">
            <v>52815985</v>
          </cell>
        </row>
        <row r="57">
          <cell r="BG57">
            <v>0</v>
          </cell>
        </row>
        <row r="58">
          <cell r="BG58">
            <v>1</v>
          </cell>
        </row>
        <row r="59">
          <cell r="BG59">
            <v>0</v>
          </cell>
        </row>
        <row r="60">
          <cell r="BG60">
            <v>0</v>
          </cell>
        </row>
        <row r="63">
          <cell r="BG63">
            <v>1934519</v>
          </cell>
        </row>
        <row r="64">
          <cell r="BG64">
            <v>181731</v>
          </cell>
        </row>
        <row r="65">
          <cell r="BG65">
            <v>84548</v>
          </cell>
        </row>
        <row r="66">
          <cell r="BG6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1031822641</v>
          </cell>
          <cell r="AM48">
            <v>63556546</v>
          </cell>
        </row>
        <row r="51">
          <cell r="I51">
            <v>5706</v>
          </cell>
          <cell r="AM51">
            <v>475</v>
          </cell>
        </row>
        <row r="52">
          <cell r="I52">
            <v>501880</v>
          </cell>
          <cell r="AM52">
            <v>39309</v>
          </cell>
        </row>
        <row r="53">
          <cell r="I53">
            <v>268071602</v>
          </cell>
          <cell r="AM53">
            <v>21240362.118999999</v>
          </cell>
        </row>
        <row r="56">
          <cell r="I56">
            <v>544834911</v>
          </cell>
          <cell r="AM56">
            <v>50993065</v>
          </cell>
        </row>
        <row r="57">
          <cell r="I57">
            <v>14617279</v>
          </cell>
          <cell r="AM57">
            <v>0</v>
          </cell>
        </row>
        <row r="58">
          <cell r="I58">
            <v>2173438</v>
          </cell>
          <cell r="AM58">
            <v>92657</v>
          </cell>
        </row>
        <row r="59">
          <cell r="I59">
            <v>140049</v>
          </cell>
          <cell r="AM59">
            <v>30049</v>
          </cell>
        </row>
        <row r="62">
          <cell r="AM62">
            <v>-45000</v>
          </cell>
        </row>
        <row r="63">
          <cell r="B63" t="str">
            <v>Denel (Public Enterprises)</v>
          </cell>
          <cell r="I63">
            <v>3030886</v>
          </cell>
          <cell r="AM63">
            <v>2674855</v>
          </cell>
        </row>
        <row r="65">
          <cell r="I65">
            <v>19011610</v>
          </cell>
          <cell r="AM65">
            <v>1522217</v>
          </cell>
        </row>
        <row r="66">
          <cell r="I66">
            <v>2174511</v>
          </cell>
          <cell r="AM66">
            <v>175063</v>
          </cell>
        </row>
        <row r="67">
          <cell r="I67">
            <v>1063342</v>
          </cell>
          <cell r="AM67">
            <v>81686</v>
          </cell>
        </row>
        <row r="68">
          <cell r="I68">
            <v>3372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3056138.2470400003</v>
          </cell>
        </row>
        <row r="56">
          <cell r="N56">
            <v>43640529</v>
          </cell>
        </row>
        <row r="58">
          <cell r="N58">
            <v>568183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  <row r="67">
          <cell r="M67">
            <v>0</v>
          </cell>
        </row>
        <row r="70">
          <cell r="N70">
            <v>1616206</v>
          </cell>
        </row>
        <row r="71">
          <cell r="N71">
            <v>181811</v>
          </cell>
        </row>
        <row r="72">
          <cell r="N72">
            <v>83697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S48">
            <v>53776623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1776922</v>
          </cell>
        </row>
        <row r="56">
          <cell r="S56">
            <v>43640529</v>
          </cell>
        </row>
        <row r="58">
          <cell r="S58">
            <v>167688</v>
          </cell>
        </row>
        <row r="59">
          <cell r="S59">
            <v>40000</v>
          </cell>
        </row>
        <row r="70">
          <cell r="S70">
            <v>1478092</v>
          </cell>
        </row>
        <row r="71">
          <cell r="S71">
            <v>185417</v>
          </cell>
        </row>
        <row r="72">
          <cell r="S72">
            <v>85194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X48">
            <v>67735900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27683786</v>
          </cell>
        </row>
        <row r="56">
          <cell r="X56">
            <v>43640529</v>
          </cell>
        </row>
        <row r="58">
          <cell r="X58">
            <v>321726</v>
          </cell>
        </row>
        <row r="59">
          <cell r="X59">
            <v>0</v>
          </cell>
        </row>
        <row r="62">
          <cell r="W62">
            <v>45000</v>
          </cell>
        </row>
        <row r="70">
          <cell r="X70">
            <v>1397748</v>
          </cell>
        </row>
        <row r="71">
          <cell r="X71">
            <v>179270</v>
          </cell>
        </row>
        <row r="72">
          <cell r="X72">
            <v>80950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C48">
            <v>127199781</v>
          </cell>
        </row>
        <row r="51">
          <cell r="AC51">
            <v>475</v>
          </cell>
        </row>
        <row r="52">
          <cell r="AC52">
            <v>39309</v>
          </cell>
        </row>
        <row r="53">
          <cell r="AC53">
            <v>40164311</v>
          </cell>
        </row>
        <row r="56">
          <cell r="AC56">
            <v>43640529</v>
          </cell>
        </row>
        <row r="58">
          <cell r="AC58">
            <v>123151</v>
          </cell>
        </row>
        <row r="70">
          <cell r="AC70">
            <v>1581888</v>
          </cell>
        </row>
        <row r="71">
          <cell r="AC71">
            <v>177377</v>
          </cell>
        </row>
        <row r="72">
          <cell r="AC72">
            <v>87628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H48">
            <v>75402087</v>
          </cell>
        </row>
        <row r="51">
          <cell r="AH51">
            <v>475</v>
          </cell>
        </row>
        <row r="52">
          <cell r="AH52">
            <v>39309</v>
          </cell>
        </row>
        <row r="53">
          <cell r="AH53">
            <v>36301135.5</v>
          </cell>
        </row>
        <row r="56">
          <cell r="AH56">
            <v>43640529</v>
          </cell>
        </row>
        <row r="57">
          <cell r="BV57">
            <v>4872427</v>
          </cell>
        </row>
        <row r="58">
          <cell r="AH58">
            <v>177148</v>
          </cell>
        </row>
        <row r="70">
          <cell r="AH70">
            <v>1637272</v>
          </cell>
        </row>
        <row r="71">
          <cell r="AH71">
            <v>177829</v>
          </cell>
        </row>
        <row r="72">
          <cell r="AH72">
            <v>95557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R48">
            <v>87289951</v>
          </cell>
        </row>
        <row r="51">
          <cell r="AR51">
            <v>475</v>
          </cell>
        </row>
        <row r="52">
          <cell r="AR52">
            <v>39309</v>
          </cell>
        </row>
        <row r="53">
          <cell r="AR53">
            <v>3037190</v>
          </cell>
        </row>
        <row r="56">
          <cell r="AR56">
            <v>43640529</v>
          </cell>
        </row>
        <row r="57">
          <cell r="AR57">
            <v>0</v>
          </cell>
        </row>
        <row r="58">
          <cell r="AR58">
            <v>146127</v>
          </cell>
        </row>
        <row r="62">
          <cell r="AR62">
            <v>0</v>
          </cell>
        </row>
        <row r="63">
          <cell r="AR63">
            <v>0</v>
          </cell>
        </row>
        <row r="65">
          <cell r="AR65">
            <v>1566096</v>
          </cell>
        </row>
        <row r="66">
          <cell r="AR66">
            <v>184282</v>
          </cell>
        </row>
        <row r="67">
          <cell r="AR67">
            <v>85191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AW48">
            <v>80129844</v>
          </cell>
        </row>
        <row r="51">
          <cell r="AW51">
            <v>479</v>
          </cell>
        </row>
        <row r="52">
          <cell r="AW52">
            <v>39309</v>
          </cell>
        </row>
        <row r="53">
          <cell r="AW53">
            <v>2472109</v>
          </cell>
        </row>
        <row r="56">
          <cell r="AW56">
            <v>43640529</v>
          </cell>
        </row>
        <row r="57">
          <cell r="AW57">
            <v>0</v>
          </cell>
        </row>
        <row r="58">
          <cell r="AW58">
            <v>103506</v>
          </cell>
        </row>
        <row r="65">
          <cell r="AW65">
            <v>1556272</v>
          </cell>
        </row>
        <row r="66">
          <cell r="AW66">
            <v>184644</v>
          </cell>
        </row>
        <row r="67">
          <cell r="AW67">
            <v>91132</v>
          </cell>
        </row>
        <row r="68">
          <cell r="AW6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48">
          <cell r="BB48">
            <v>90767590</v>
          </cell>
        </row>
        <row r="51">
          <cell r="BB51">
            <v>477</v>
          </cell>
        </row>
        <row r="52">
          <cell r="BB52">
            <v>39309</v>
          </cell>
        </row>
        <row r="53">
          <cell r="BB53">
            <v>28582704.859000001</v>
          </cell>
        </row>
        <row r="56">
          <cell r="BB56">
            <v>43640529</v>
          </cell>
        </row>
        <row r="57">
          <cell r="BB57">
            <v>4872427</v>
          </cell>
        </row>
        <row r="58">
          <cell r="BB58">
            <v>110277</v>
          </cell>
        </row>
        <row r="63">
          <cell r="BB63">
            <v>191295</v>
          </cell>
        </row>
        <row r="65">
          <cell r="BB65">
            <v>1569645</v>
          </cell>
        </row>
        <row r="66">
          <cell r="BB66">
            <v>178685</v>
          </cell>
        </row>
        <row r="67">
          <cell r="BB67">
            <v>98108</v>
          </cell>
        </row>
        <row r="68">
          <cell r="BB6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1-22"/>
    </sheetNames>
    <sheetDataSet>
      <sheetData sheetId="0">
        <row r="48">
          <cell r="BG48">
            <v>83747867</v>
          </cell>
        </row>
        <row r="51">
          <cell r="BG51">
            <v>475</v>
          </cell>
        </row>
        <row r="52">
          <cell r="BG52">
            <v>39309</v>
          </cell>
        </row>
        <row r="53">
          <cell r="BG53">
            <v>43436874</v>
          </cell>
        </row>
        <row r="56">
          <cell r="BG56">
            <v>43640530</v>
          </cell>
        </row>
        <row r="57">
          <cell r="BG57">
            <v>0</v>
          </cell>
        </row>
        <row r="58">
          <cell r="BG58">
            <v>66014</v>
          </cell>
        </row>
        <row r="63">
          <cell r="BG63">
            <v>688</v>
          </cell>
        </row>
        <row r="65">
          <cell r="BG65">
            <v>1779977</v>
          </cell>
        </row>
        <row r="66">
          <cell r="BG66">
            <v>182978</v>
          </cell>
        </row>
        <row r="67">
          <cell r="BG67">
            <v>85537</v>
          </cell>
        </row>
        <row r="68">
          <cell r="BG68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-3400000</v>
          </cell>
          <cell r="AV13">
            <v>-9814498</v>
          </cell>
          <cell r="DN13">
            <v>-3742209</v>
          </cell>
        </row>
        <row r="23">
          <cell r="H23">
            <v>227774514</v>
          </cell>
          <cell r="AV23">
            <v>30014600</v>
          </cell>
          <cell r="DN23">
            <v>19605231</v>
          </cell>
        </row>
        <row r="25">
          <cell r="H25">
            <v>344012000</v>
          </cell>
          <cell r="AV25">
            <v>36098316</v>
          </cell>
          <cell r="DN25">
            <v>23303905</v>
          </cell>
        </row>
        <row r="26">
          <cell r="H26">
            <v>-44612000</v>
          </cell>
          <cell r="AV26">
            <v>-5207637</v>
          </cell>
          <cell r="DN26">
            <v>-3339881</v>
          </cell>
        </row>
        <row r="27">
          <cell r="H27">
            <v>-71712000</v>
          </cell>
          <cell r="AV27">
            <v>-820886</v>
          </cell>
          <cell r="DN27">
            <v>-387424</v>
          </cell>
        </row>
        <row r="31">
          <cell r="H31">
            <v>8874774</v>
          </cell>
          <cell r="AV31">
            <v>0</v>
          </cell>
          <cell r="DN31">
            <v>4108885</v>
          </cell>
        </row>
        <row r="32">
          <cell r="H32">
            <v>-1093260</v>
          </cell>
          <cell r="AV32">
            <v>0</v>
          </cell>
          <cell r="DN32">
            <v>-605254</v>
          </cell>
        </row>
        <row r="33">
          <cell r="H33">
            <v>-7695000</v>
          </cell>
          <cell r="AV33">
            <v>0</v>
          </cell>
          <cell r="DN33">
            <v>-3475000</v>
          </cell>
        </row>
        <row r="36">
          <cell r="H36">
            <v>8349673</v>
          </cell>
          <cell r="AV36">
            <v>532749</v>
          </cell>
          <cell r="DN36">
            <v>1204105</v>
          </cell>
        </row>
        <row r="37">
          <cell r="H37">
            <v>-8349673</v>
          </cell>
          <cell r="AV37">
            <v>-587942</v>
          </cell>
          <cell r="DN37">
            <v>-1204105</v>
          </cell>
        </row>
        <row r="40">
          <cell r="H40">
            <v>58059400</v>
          </cell>
          <cell r="AV40">
            <v>0</v>
          </cell>
          <cell r="DN40">
            <v>6098240</v>
          </cell>
        </row>
        <row r="42">
          <cell r="H42">
            <v>73821000</v>
          </cell>
          <cell r="AV42">
            <v>0</v>
          </cell>
          <cell r="DN42">
            <v>6098240</v>
          </cell>
        </row>
        <row r="45">
          <cell r="H45">
            <v>-7115000</v>
          </cell>
          <cell r="AV45">
            <v>0</v>
          </cell>
          <cell r="DN45">
            <v>0</v>
          </cell>
        </row>
        <row r="46">
          <cell r="H46">
            <v>-8646600</v>
          </cell>
          <cell r="AV46">
            <v>0</v>
          </cell>
          <cell r="DN46">
            <v>0</v>
          </cell>
        </row>
        <row r="63">
          <cell r="H63">
            <v>41301787.13398695</v>
          </cell>
          <cell r="AV63">
            <v>3320086.2674000114</v>
          </cell>
          <cell r="DN63">
            <v>-179680.68023005128</v>
          </cell>
        </row>
        <row r="65">
          <cell r="H65">
            <v>0</v>
          </cell>
          <cell r="AV65">
            <v>-3753879</v>
          </cell>
          <cell r="DN65">
            <v>-5282423</v>
          </cell>
        </row>
        <row r="66">
          <cell r="H66">
            <v>0</v>
          </cell>
          <cell r="AV66">
            <v>0</v>
          </cell>
          <cell r="DN66">
            <v>0</v>
          </cell>
        </row>
        <row r="67">
          <cell r="H67">
            <v>-776091.86601304996</v>
          </cell>
          <cell r="AV67">
            <v>1361987</v>
          </cell>
          <cell r="DN67">
            <v>6511671</v>
          </cell>
        </row>
        <row r="68">
          <cell r="H68">
            <v>0</v>
          </cell>
          <cell r="AV68">
            <v>0</v>
          </cell>
          <cell r="DN68">
            <v>-266903</v>
          </cell>
        </row>
      </sheetData>
      <sheetData sheetId="1"/>
      <sheetData sheetId="2"/>
      <sheetData sheetId="3"/>
      <sheetData sheetId="4">
        <row r="18">
          <cell r="AV18">
            <v>164446646</v>
          </cell>
          <cell r="DN18">
            <v>148540639</v>
          </cell>
        </row>
        <row r="19">
          <cell r="AV19">
            <v>143950568</v>
          </cell>
          <cell r="DN19">
            <v>145004946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1030450</v>
          </cell>
          <cell r="CE13">
            <v>9415800</v>
          </cell>
        </row>
        <row r="23">
          <cell r="M23">
            <v>20015505</v>
          </cell>
          <cell r="CE23">
            <v>26656371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  <cell r="CE40">
            <v>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  <cell r="CE63">
            <v>44290935.219140023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/>
      <sheetData sheetId="2"/>
      <sheetData sheetId="3"/>
      <sheetData sheetId="4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  <cell r="CJ13">
            <v>-6660753</v>
          </cell>
        </row>
        <row r="23">
          <cell r="R23">
            <v>25455403</v>
          </cell>
          <cell r="CJ23">
            <v>26132793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  <cell r="CJ40">
            <v>-6054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  <cell r="CJ63">
            <v>-14022271.991829976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  <cell r="CJ18">
            <v>136607709</v>
          </cell>
        </row>
        <row r="19">
          <cell r="R19">
            <v>114741326</v>
          </cell>
          <cell r="CJ19">
            <v>168238696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  <cell r="CO13">
            <v>5151867</v>
          </cell>
        </row>
        <row r="23">
          <cell r="W23">
            <v>23742808</v>
          </cell>
          <cell r="CO23">
            <v>23736909</v>
          </cell>
        </row>
        <row r="40">
          <cell r="W40">
            <v>0</v>
          </cell>
          <cell r="CO40">
            <v>14088400</v>
          </cell>
        </row>
        <row r="63">
          <cell r="CO63">
            <v>-106124988.63388997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  <cell r="CT13">
            <v>-7112395</v>
          </cell>
        </row>
        <row r="23">
          <cell r="AB23">
            <v>45716848</v>
          </cell>
          <cell r="CT23">
            <v>28680625</v>
          </cell>
        </row>
        <row r="25">
          <cell r="AB25">
            <v>52376510</v>
          </cell>
          <cell r="CT25">
            <v>32976789</v>
          </cell>
        </row>
        <row r="26">
          <cell r="AB26">
            <v>-6163152</v>
          </cell>
          <cell r="CT26">
            <v>-4028774</v>
          </cell>
        </row>
        <row r="27">
          <cell r="AB27">
            <v>-496510</v>
          </cell>
          <cell r="CT27">
            <v>-286915</v>
          </cell>
        </row>
        <row r="31">
          <cell r="AB31">
            <v>0</v>
          </cell>
          <cell r="CT31">
            <v>3456518</v>
          </cell>
        </row>
        <row r="32">
          <cell r="AB32">
            <v>0</v>
          </cell>
          <cell r="CT32">
            <v>-271993</v>
          </cell>
        </row>
        <row r="33">
          <cell r="AB33">
            <v>0</v>
          </cell>
          <cell r="CT33">
            <v>-3165000</v>
          </cell>
        </row>
        <row r="36">
          <cell r="AB36">
            <v>95339</v>
          </cell>
          <cell r="CT36">
            <v>380371</v>
          </cell>
        </row>
        <row r="37">
          <cell r="AB37">
            <v>-95339</v>
          </cell>
          <cell r="CT37">
            <v>-380371</v>
          </cell>
        </row>
        <row r="40">
          <cell r="AB40">
            <v>0</v>
          </cell>
          <cell r="CT40">
            <v>0</v>
          </cell>
        </row>
        <row r="42">
          <cell r="AB42">
            <v>0</v>
          </cell>
          <cell r="CT42">
            <v>0</v>
          </cell>
        </row>
        <row r="45">
          <cell r="AB45">
            <v>0</v>
          </cell>
          <cell r="CT45">
            <v>0</v>
          </cell>
        </row>
        <row r="46">
          <cell r="AB46">
            <v>0</v>
          </cell>
          <cell r="CT46">
            <v>0</v>
          </cell>
        </row>
        <row r="63">
          <cell r="AB63">
            <v>81733465.921170026</v>
          </cell>
          <cell r="CT63">
            <v>111669585.09893996</v>
          </cell>
        </row>
        <row r="65">
          <cell r="AB65">
            <v>53727650</v>
          </cell>
          <cell r="CT65">
            <v>6074461</v>
          </cell>
        </row>
        <row r="66">
          <cell r="AB66">
            <v>0</v>
          </cell>
          <cell r="CT66">
            <v>0</v>
          </cell>
        </row>
        <row r="67">
          <cell r="AB67">
            <v>7623</v>
          </cell>
          <cell r="CT67">
            <v>17656</v>
          </cell>
        </row>
        <row r="68">
          <cell r="AB68">
            <v>28311</v>
          </cell>
          <cell r="CT68">
            <v>0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  <cell r="CY13">
            <v>-2312355</v>
          </cell>
        </row>
        <row r="23">
          <cell r="AG23">
            <v>29377866</v>
          </cell>
          <cell r="CY23">
            <v>23457599</v>
          </cell>
        </row>
        <row r="25">
          <cell r="AG25">
            <v>35558950</v>
          </cell>
          <cell r="CY25">
            <v>27670253</v>
          </cell>
        </row>
        <row r="26">
          <cell r="AG26">
            <v>-5523545</v>
          </cell>
          <cell r="CY26">
            <v>-4063950</v>
          </cell>
        </row>
        <row r="27">
          <cell r="AG27">
            <v>-802735</v>
          </cell>
          <cell r="CY27">
            <v>-263897</v>
          </cell>
        </row>
        <row r="31">
          <cell r="AG31">
            <v>0</v>
          </cell>
          <cell r="CY31">
            <v>4835965</v>
          </cell>
        </row>
        <row r="32">
          <cell r="AG32">
            <v>0</v>
          </cell>
          <cell r="CY32">
            <v>-350772</v>
          </cell>
        </row>
        <row r="33">
          <cell r="AG33">
            <v>0</v>
          </cell>
          <cell r="CY33">
            <v>-4370000</v>
          </cell>
        </row>
        <row r="36">
          <cell r="AG36">
            <v>2945441</v>
          </cell>
          <cell r="CY36">
            <v>83879</v>
          </cell>
        </row>
        <row r="37">
          <cell r="AG37">
            <v>-2800245</v>
          </cell>
          <cell r="CY37">
            <v>-83879</v>
          </cell>
        </row>
        <row r="40">
          <cell r="AG40">
            <v>0</v>
          </cell>
          <cell r="CY40">
            <v>0</v>
          </cell>
        </row>
        <row r="42">
          <cell r="AG42">
            <v>0</v>
          </cell>
          <cell r="CY42">
            <v>0</v>
          </cell>
        </row>
        <row r="45">
          <cell r="AG45">
            <v>0</v>
          </cell>
          <cell r="CY45">
            <v>0</v>
          </cell>
        </row>
        <row r="46">
          <cell r="AG46">
            <v>0</v>
          </cell>
          <cell r="CY46">
            <v>0</v>
          </cell>
        </row>
        <row r="63">
          <cell r="AG63">
            <v>16731515.334039986</v>
          </cell>
          <cell r="CY63">
            <v>18126075.986003995</v>
          </cell>
        </row>
        <row r="65">
          <cell r="AG65">
            <v>-54202159</v>
          </cell>
          <cell r="CY65">
            <v>516138</v>
          </cell>
        </row>
        <row r="66">
          <cell r="AG66">
            <v>0</v>
          </cell>
          <cell r="CY66">
            <v>0</v>
          </cell>
        </row>
        <row r="67">
          <cell r="AG67">
            <v>2785125</v>
          </cell>
          <cell r="CY67">
            <v>1013935</v>
          </cell>
        </row>
        <row r="68">
          <cell r="AG68">
            <v>-30170</v>
          </cell>
          <cell r="CY68">
            <v>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  <cell r="CY18">
            <v>144539099</v>
          </cell>
        </row>
        <row r="19">
          <cell r="AG19">
            <v>129864367</v>
          </cell>
          <cell r="CY19">
            <v>136815148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  <cell r="BZ13">
            <v>-7954770</v>
          </cell>
          <cell r="DD13">
            <v>2272137</v>
          </cell>
        </row>
        <row r="23">
          <cell r="AL23">
            <v>33075335</v>
          </cell>
          <cell r="DD23">
            <v>21280959</v>
          </cell>
        </row>
        <row r="25">
          <cell r="AL25">
            <v>38933593</v>
          </cell>
          <cell r="BZ25">
            <v>337762752</v>
          </cell>
          <cell r="DD25">
            <v>25324462</v>
          </cell>
        </row>
        <row r="26">
          <cell r="AL26">
            <v>-5238994</v>
          </cell>
          <cell r="BZ26">
            <v>-47829626</v>
          </cell>
          <cell r="DD26">
            <v>-3732222</v>
          </cell>
        </row>
        <row r="27">
          <cell r="AL27">
            <v>-474068</v>
          </cell>
          <cell r="BZ27">
            <v>-61373397</v>
          </cell>
          <cell r="DD27">
            <v>-151237</v>
          </cell>
        </row>
        <row r="31">
          <cell r="AL31">
            <v>0</v>
          </cell>
          <cell r="BZ31">
            <v>53972577</v>
          </cell>
          <cell r="DD31">
            <v>2187184</v>
          </cell>
        </row>
        <row r="32">
          <cell r="AL32">
            <v>0</v>
          </cell>
          <cell r="BZ32">
            <v>-5585924</v>
          </cell>
          <cell r="DD32">
            <v>-77228</v>
          </cell>
        </row>
        <row r="33">
          <cell r="AL33">
            <v>0</v>
          </cell>
          <cell r="BZ33">
            <v>-48025000</v>
          </cell>
          <cell r="DD33">
            <v>-2270000</v>
          </cell>
        </row>
        <row r="36">
          <cell r="AL36">
            <v>506320</v>
          </cell>
          <cell r="BZ36">
            <v>7476976</v>
          </cell>
          <cell r="DD36">
            <v>27624</v>
          </cell>
        </row>
        <row r="37">
          <cell r="AL37">
            <v>-651516</v>
          </cell>
          <cell r="BZ37">
            <v>-7476976</v>
          </cell>
          <cell r="DD37">
            <v>-27624</v>
          </cell>
        </row>
        <row r="40">
          <cell r="AL40">
            <v>6790681</v>
          </cell>
          <cell r="DD40">
            <v>-3912780</v>
          </cell>
        </row>
        <row r="42">
          <cell r="AL42">
            <v>6790681</v>
          </cell>
          <cell r="BZ42">
            <v>31315515</v>
          </cell>
          <cell r="DD42">
            <v>0</v>
          </cell>
        </row>
        <row r="45">
          <cell r="AL45">
            <v>0</v>
          </cell>
          <cell r="BZ45">
            <v>-1995428</v>
          </cell>
          <cell r="DD45">
            <v>-1993488</v>
          </cell>
        </row>
        <row r="46">
          <cell r="AL46">
            <v>0</v>
          </cell>
          <cell r="BZ46">
            <v>-1923406</v>
          </cell>
          <cell r="DD46">
            <v>-1919292</v>
          </cell>
        </row>
        <row r="63">
          <cell r="AL63">
            <v>-30393086.078570008</v>
          </cell>
          <cell r="DD63">
            <v>-12357983.619869992</v>
          </cell>
        </row>
        <row r="65">
          <cell r="AL65">
            <v>-3465898</v>
          </cell>
          <cell r="BZ65">
            <v>-17675966</v>
          </cell>
          <cell r="DD65">
            <v>-12799947</v>
          </cell>
        </row>
        <row r="66">
          <cell r="AL66">
            <v>0</v>
          </cell>
          <cell r="DD66">
            <v>0</v>
          </cell>
        </row>
        <row r="67">
          <cell r="AL67">
            <v>4713582</v>
          </cell>
          <cell r="BZ67">
            <v>25341605</v>
          </cell>
          <cell r="DD67">
            <v>1111697</v>
          </cell>
        </row>
        <row r="68">
          <cell r="AL68">
            <v>-107886</v>
          </cell>
          <cell r="BZ68">
            <v>-915497</v>
          </cell>
          <cell r="DD68">
            <v>-578417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BU18">
            <v>169665345</v>
          </cell>
          <cell r="DD18">
            <v>136722463</v>
          </cell>
        </row>
        <row r="19">
          <cell r="BU19">
            <v>158337940</v>
          </cell>
          <cell r="DD19">
            <v>153720918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Q13">
            <v>-7686538</v>
          </cell>
          <cell r="BZ13">
            <v>-7954770</v>
          </cell>
          <cell r="DI13">
            <v>-3832432</v>
          </cell>
        </row>
        <row r="23">
          <cell r="AQ23">
            <v>28660775</v>
          </cell>
          <cell r="BZ23">
            <v>228921382</v>
          </cell>
          <cell r="DI23">
            <v>27957835</v>
          </cell>
        </row>
        <row r="25">
          <cell r="AQ25">
            <v>34472211</v>
          </cell>
          <cell r="DI25">
            <v>33828275</v>
          </cell>
        </row>
        <row r="26">
          <cell r="AQ26">
            <v>-5173710</v>
          </cell>
          <cell r="DI26">
            <v>-5478270</v>
          </cell>
        </row>
        <row r="27">
          <cell r="AQ27">
            <v>-692919</v>
          </cell>
          <cell r="DI27">
            <v>-467133</v>
          </cell>
        </row>
        <row r="31">
          <cell r="AQ31">
            <v>0</v>
          </cell>
          <cell r="DI31">
            <v>5017820</v>
          </cell>
        </row>
        <row r="32">
          <cell r="AQ32">
            <v>0</v>
          </cell>
          <cell r="DI32">
            <v>-682857</v>
          </cell>
        </row>
        <row r="33">
          <cell r="AQ33">
            <v>0</v>
          </cell>
          <cell r="DI33">
            <v>-4260000</v>
          </cell>
        </row>
        <row r="36">
          <cell r="AQ36">
            <v>513226</v>
          </cell>
          <cell r="DI36">
            <v>481602</v>
          </cell>
        </row>
        <row r="37">
          <cell r="AQ37">
            <v>-458033</v>
          </cell>
          <cell r="DI37">
            <v>-481602</v>
          </cell>
        </row>
        <row r="40">
          <cell r="AQ40">
            <v>0</v>
          </cell>
          <cell r="BZ40">
            <v>27396681</v>
          </cell>
          <cell r="DI40">
            <v>0</v>
          </cell>
        </row>
        <row r="42">
          <cell r="AQ42">
            <v>0</v>
          </cell>
          <cell r="DI42">
            <v>0</v>
          </cell>
        </row>
        <row r="45">
          <cell r="AQ45">
            <v>0</v>
          </cell>
          <cell r="DI45">
            <v>0</v>
          </cell>
        </row>
        <row r="46">
          <cell r="AQ46">
            <v>0</v>
          </cell>
          <cell r="DI46">
            <v>0</v>
          </cell>
        </row>
        <row r="63">
          <cell r="AQ63">
            <v>19590745.798259988</v>
          </cell>
          <cell r="BZ63">
            <v>74771168.711030006</v>
          </cell>
          <cell r="DI63">
            <v>12671526.501660004</v>
          </cell>
        </row>
        <row r="65">
          <cell r="AQ65">
            <v>8772236</v>
          </cell>
          <cell r="DI65">
            <v>4934831</v>
          </cell>
        </row>
        <row r="66">
          <cell r="AQ66">
            <v>0</v>
          </cell>
          <cell r="BZ66">
            <v>3337965.9578001499</v>
          </cell>
          <cell r="DI66">
            <v>0</v>
          </cell>
        </row>
        <row r="67">
          <cell r="AQ67">
            <v>1340721</v>
          </cell>
          <cell r="DI67">
            <v>530072</v>
          </cell>
        </row>
        <row r="68">
          <cell r="AQ68">
            <v>-962616</v>
          </cell>
          <cell r="DI68">
            <v>0</v>
          </cell>
        </row>
      </sheetData>
      <sheetData sheetId="1"/>
      <sheetData sheetId="2"/>
      <sheetData sheetId="3"/>
      <sheetData sheetId="4">
        <row r="18">
          <cell r="AQ18">
            <v>166304630</v>
          </cell>
          <cell r="DI18">
            <v>134466283</v>
          </cell>
        </row>
        <row r="19">
          <cell r="AQ19">
            <v>145123495</v>
          </cell>
          <cell r="DI19">
            <v>147320685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BA13">
            <v>-4357236</v>
          </cell>
          <cell r="DS13">
            <v>-1384946</v>
          </cell>
        </row>
        <row r="23">
          <cell r="BA23">
            <v>14711827</v>
          </cell>
          <cell r="DS23">
            <v>20296122</v>
          </cell>
        </row>
        <row r="25">
          <cell r="BA25">
            <v>18873846</v>
          </cell>
          <cell r="DS25">
            <v>24962859</v>
          </cell>
        </row>
        <row r="26">
          <cell r="BA26">
            <v>-3616198</v>
          </cell>
          <cell r="DS26">
            <v>-4186870</v>
          </cell>
        </row>
        <row r="27">
          <cell r="BA27">
            <v>-545821</v>
          </cell>
          <cell r="DS27">
            <v>-493196</v>
          </cell>
        </row>
        <row r="31">
          <cell r="BA31">
            <v>0</v>
          </cell>
          <cell r="DS31">
            <v>3708680</v>
          </cell>
        </row>
        <row r="32">
          <cell r="BA32">
            <v>0</v>
          </cell>
          <cell r="DS32">
            <v>-375351</v>
          </cell>
        </row>
        <row r="33">
          <cell r="BA33">
            <v>0</v>
          </cell>
          <cell r="DS33">
            <v>-3320000</v>
          </cell>
        </row>
        <row r="36">
          <cell r="BA36">
            <v>328260</v>
          </cell>
          <cell r="DS36">
            <v>342784</v>
          </cell>
        </row>
        <row r="37">
          <cell r="BA37">
            <v>-328260</v>
          </cell>
          <cell r="DS37">
            <v>-342784</v>
          </cell>
        </row>
        <row r="40">
          <cell r="BA40">
            <v>5451574</v>
          </cell>
          <cell r="DS40">
            <v>0</v>
          </cell>
        </row>
        <row r="42">
          <cell r="BA42">
            <v>5451574</v>
          </cell>
          <cell r="DS42">
            <v>0</v>
          </cell>
        </row>
        <row r="45">
          <cell r="BA45">
            <v>0</v>
          </cell>
          <cell r="DS45">
            <v>0</v>
          </cell>
        </row>
        <row r="46">
          <cell r="BA46">
            <v>0</v>
          </cell>
          <cell r="DS46">
            <v>0</v>
          </cell>
        </row>
        <row r="63">
          <cell r="BA63">
            <v>-60776743.323530018</v>
          </cell>
          <cell r="DS63">
            <v>-60800389.438979983</v>
          </cell>
        </row>
        <row r="65">
          <cell r="BA65">
            <v>-20434962</v>
          </cell>
          <cell r="DS65">
            <v>2079416</v>
          </cell>
        </row>
        <row r="66">
          <cell r="BA66">
            <v>0</v>
          </cell>
          <cell r="DS66">
            <v>0</v>
          </cell>
        </row>
        <row r="67">
          <cell r="BA67">
            <v>4840836</v>
          </cell>
          <cell r="DS67">
            <v>560492</v>
          </cell>
        </row>
        <row r="68">
          <cell r="BA68">
            <v>0</v>
          </cell>
          <cell r="DS68">
            <v>0</v>
          </cell>
        </row>
      </sheetData>
      <sheetData sheetId="1"/>
      <sheetData sheetId="2"/>
      <sheetData sheetId="3"/>
      <sheetData sheetId="4">
        <row r="14">
          <cell r="H14">
            <v>145289346</v>
          </cell>
          <cell r="BZ14">
            <v>139049630</v>
          </cell>
        </row>
        <row r="15">
          <cell r="H15">
            <v>0</v>
          </cell>
          <cell r="BZ15">
            <v>0</v>
          </cell>
        </row>
        <row r="16">
          <cell r="H16">
            <v>128695533</v>
          </cell>
          <cell r="BZ16">
            <v>198554050</v>
          </cell>
        </row>
        <row r="19">
          <cell r="H19">
            <v>124462000</v>
          </cell>
          <cell r="BA19">
            <v>157446097</v>
          </cell>
          <cell r="BZ19">
            <v>145289346</v>
          </cell>
          <cell r="DS19">
            <v>142485704</v>
          </cell>
        </row>
        <row r="20">
          <cell r="H20">
            <v>0</v>
          </cell>
          <cell r="M20">
            <v>0</v>
          </cell>
          <cell r="R20">
            <v>0</v>
          </cell>
          <cell r="W20">
            <v>0</v>
          </cell>
          <cell r="AB20">
            <v>0</v>
          </cell>
          <cell r="AG20">
            <v>0</v>
          </cell>
          <cell r="AL20">
            <v>0</v>
          </cell>
          <cell r="AQ20">
            <v>0</v>
          </cell>
          <cell r="AV20">
            <v>0</v>
          </cell>
          <cell r="BA20">
            <v>30000000</v>
          </cell>
          <cell r="BZ20">
            <v>0</v>
          </cell>
          <cell r="CE20">
            <v>0</v>
          </cell>
          <cell r="CJ20">
            <v>0</v>
          </cell>
          <cell r="CO20">
            <v>0</v>
          </cell>
          <cell r="CT20">
            <v>0</v>
          </cell>
          <cell r="CY20">
            <v>0</v>
          </cell>
          <cell r="DD20">
            <v>0</v>
          </cell>
          <cell r="DI20">
            <v>0</v>
          </cell>
          <cell r="DN20">
            <v>0</v>
          </cell>
          <cell r="DS20">
            <v>0</v>
          </cell>
          <cell r="EC20">
            <v>0</v>
          </cell>
          <cell r="EH20">
            <v>0</v>
          </cell>
        </row>
        <row r="21">
          <cell r="H21">
            <v>107445000</v>
          </cell>
          <cell r="BA21">
            <v>176982687</v>
          </cell>
          <cell r="BZ21">
            <v>128695533</v>
          </cell>
          <cell r="DS21">
            <v>214883948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  <cell r="BZ8" t="str">
            <v>2021/22</v>
          </cell>
        </row>
        <row r="9">
          <cell r="H9" t="str">
            <v>Revised</v>
          </cell>
          <cell r="BZ9" t="str">
            <v>Audited</v>
          </cell>
        </row>
        <row r="13">
          <cell r="BF13">
            <v>-4717097</v>
          </cell>
          <cell r="DX13">
            <v>429685</v>
          </cell>
        </row>
        <row r="23">
          <cell r="BF23">
            <v>16486408</v>
          </cell>
          <cell r="DX23">
            <v>-39139018</v>
          </cell>
        </row>
        <row r="25">
          <cell r="BF25">
            <v>19538777</v>
          </cell>
          <cell r="DX25">
            <v>21654275</v>
          </cell>
        </row>
        <row r="26">
          <cell r="BF26">
            <v>-2710299</v>
          </cell>
          <cell r="DX26">
            <v>-2875651</v>
          </cell>
        </row>
        <row r="27">
          <cell r="BF27">
            <v>-342070</v>
          </cell>
          <cell r="DX27">
            <v>-57929886</v>
          </cell>
        </row>
        <row r="31">
          <cell r="BF31">
            <v>0</v>
          </cell>
          <cell r="DX31">
            <v>2673022</v>
          </cell>
        </row>
        <row r="32">
          <cell r="BF32">
            <v>0</v>
          </cell>
          <cell r="DX32">
            <v>-335778</v>
          </cell>
        </row>
        <row r="33">
          <cell r="BF33">
            <v>0</v>
          </cell>
          <cell r="DX33">
            <v>-2325000</v>
          </cell>
        </row>
        <row r="36">
          <cell r="BF36">
            <v>29969</v>
          </cell>
          <cell r="DX36">
            <v>0</v>
          </cell>
        </row>
        <row r="37">
          <cell r="BF37">
            <v>-29969</v>
          </cell>
          <cell r="DX37">
            <v>0</v>
          </cell>
        </row>
        <row r="40">
          <cell r="BF40">
            <v>5596913</v>
          </cell>
          <cell r="DX40">
            <v>0</v>
          </cell>
        </row>
        <row r="42">
          <cell r="BF42">
            <v>5596913</v>
          </cell>
          <cell r="DX42">
            <v>0</v>
          </cell>
        </row>
        <row r="45">
          <cell r="BF45">
            <v>0</v>
          </cell>
          <cell r="DX45">
            <v>0</v>
          </cell>
        </row>
        <row r="46">
          <cell r="BF46">
            <v>0</v>
          </cell>
          <cell r="DX46">
            <v>0</v>
          </cell>
        </row>
        <row r="63">
          <cell r="BF63">
            <v>71434605.439150006</v>
          </cell>
          <cell r="DX63">
            <v>104635309.54605</v>
          </cell>
        </row>
        <row r="65">
          <cell r="BF65">
            <v>14593850</v>
          </cell>
          <cell r="DX65">
            <v>-12244714</v>
          </cell>
        </row>
        <row r="66">
          <cell r="BF66">
            <v>0</v>
          </cell>
          <cell r="DX66">
            <v>0</v>
          </cell>
        </row>
        <row r="67">
          <cell r="BF67">
            <v>400240</v>
          </cell>
          <cell r="DX67">
            <v>2756088</v>
          </cell>
        </row>
        <row r="68">
          <cell r="BF68">
            <v>0</v>
          </cell>
          <cell r="DX68">
            <v>0</v>
          </cell>
        </row>
      </sheetData>
      <sheetData sheetId="1">
        <row r="9">
          <cell r="G9" t="str">
            <v>Revised</v>
          </cell>
          <cell r="BY9" t="str">
            <v>Audited</v>
          </cell>
        </row>
        <row r="13">
          <cell r="G13">
            <v>340512000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18873846</v>
          </cell>
          <cell r="BE13">
            <v>19538777</v>
          </cell>
          <cell r="BJ13">
            <v>0</v>
          </cell>
          <cell r="BO13">
            <v>0</v>
          </cell>
          <cell r="BT13">
            <v>319199986</v>
          </cell>
          <cell r="BY13">
            <v>337762752</v>
          </cell>
          <cell r="CD13">
            <v>32347333</v>
          </cell>
          <cell r="CI13">
            <v>30897412</v>
          </cell>
          <cell r="CN13">
            <v>27576195</v>
          </cell>
          <cell r="CS13">
            <v>32976789</v>
          </cell>
          <cell r="CX13">
            <v>27670253</v>
          </cell>
          <cell r="DC13">
            <v>25324462</v>
          </cell>
          <cell r="DH13">
            <v>33828275</v>
          </cell>
          <cell r="DM13">
            <v>23303905</v>
          </cell>
          <cell r="DR13">
            <v>24962859</v>
          </cell>
          <cell r="DW13">
            <v>21654275</v>
          </cell>
          <cell r="EB13">
            <v>28691924</v>
          </cell>
          <cell r="EG13">
            <v>28529070</v>
          </cell>
          <cell r="EL13">
            <v>280541758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  <cell r="BY14">
            <v>53972577</v>
          </cell>
          <cell r="CD14">
            <v>11663028</v>
          </cell>
          <cell r="CI14">
            <v>3767776</v>
          </cell>
          <cell r="CN14">
            <v>7710681</v>
          </cell>
          <cell r="CS14">
            <v>3456518</v>
          </cell>
          <cell r="CX14">
            <v>4835965</v>
          </cell>
          <cell r="DC14">
            <v>2187184</v>
          </cell>
          <cell r="DH14">
            <v>5017820</v>
          </cell>
          <cell r="DM14">
            <v>4108885</v>
          </cell>
          <cell r="DR14">
            <v>3708680</v>
          </cell>
          <cell r="DW14">
            <v>2673022</v>
          </cell>
          <cell r="EB14">
            <v>3014010</v>
          </cell>
          <cell r="EG14">
            <v>1829008</v>
          </cell>
          <cell r="EL14">
            <v>49129559</v>
          </cell>
        </row>
        <row r="15">
          <cell r="G15">
            <v>8349673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328260</v>
          </cell>
          <cell r="BE15">
            <v>29969</v>
          </cell>
          <cell r="BJ15">
            <v>0</v>
          </cell>
          <cell r="BO15">
            <v>0</v>
          </cell>
          <cell r="BT15">
            <v>9753877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772365</v>
          </cell>
          <cell r="EG15">
            <v>3033077</v>
          </cell>
          <cell r="EL15">
            <v>3671534</v>
          </cell>
        </row>
        <row r="19">
          <cell r="G19">
            <v>44612000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3616198</v>
          </cell>
          <cell r="BE19">
            <v>2710299</v>
          </cell>
          <cell r="BJ19">
            <v>0</v>
          </cell>
          <cell r="BO19">
            <v>0</v>
          </cell>
          <cell r="BT19">
            <v>46538863</v>
          </cell>
          <cell r="BY19">
            <v>47829626</v>
          </cell>
          <cell r="CD19">
            <v>5645039</v>
          </cell>
          <cell r="CI19">
            <v>4477496</v>
          </cell>
          <cell r="CN19">
            <v>3697051</v>
          </cell>
          <cell r="CS19">
            <v>4028774</v>
          </cell>
          <cell r="CX19">
            <v>4063950</v>
          </cell>
          <cell r="DC19">
            <v>3732222</v>
          </cell>
          <cell r="DH19">
            <v>5478270</v>
          </cell>
          <cell r="DM19">
            <v>3339881</v>
          </cell>
          <cell r="DR19">
            <v>4186870</v>
          </cell>
          <cell r="DW19">
            <v>2875651</v>
          </cell>
          <cell r="EB19">
            <v>3208682</v>
          </cell>
          <cell r="EG19">
            <v>3095740</v>
          </cell>
          <cell r="EL19">
            <v>41525204</v>
          </cell>
        </row>
        <row r="23">
          <cell r="G23">
            <v>3500000</v>
          </cell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  <cell r="BY183">
            <v>5585924</v>
          </cell>
          <cell r="CD183">
            <v>1360296</v>
          </cell>
          <cell r="CI183">
            <v>515486</v>
          </cell>
          <cell r="CN183">
            <v>670006</v>
          </cell>
          <cell r="CS183">
            <v>271993</v>
          </cell>
          <cell r="CX183">
            <v>350772</v>
          </cell>
          <cell r="DC183">
            <v>77228</v>
          </cell>
          <cell r="DH183">
            <v>682857</v>
          </cell>
          <cell r="DM183">
            <v>605254</v>
          </cell>
          <cell r="DR183">
            <v>375351</v>
          </cell>
          <cell r="DW183">
            <v>335778</v>
          </cell>
          <cell r="EB183">
            <v>274925</v>
          </cell>
          <cell r="EG183">
            <v>65978</v>
          </cell>
          <cell r="EL183">
            <v>5245021</v>
          </cell>
        </row>
      </sheetData>
      <sheetData sheetId="2">
        <row r="9">
          <cell r="G9" t="str">
            <v>Revised</v>
          </cell>
          <cell r="BY9" t="str">
            <v>Audited</v>
          </cell>
        </row>
        <row r="10">
          <cell r="BY10" t="str">
            <v>outcome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545821</v>
          </cell>
          <cell r="BE13">
            <v>342070</v>
          </cell>
          <cell r="BJ13">
            <v>0</v>
          </cell>
          <cell r="BO13">
            <v>0</v>
          </cell>
          <cell r="BT13">
            <v>5490262</v>
          </cell>
          <cell r="BY13">
            <v>61373397</v>
          </cell>
          <cell r="CD13">
            <v>168655</v>
          </cell>
          <cell r="CI13">
            <v>364413</v>
          </cell>
          <cell r="CN13">
            <v>197910</v>
          </cell>
          <cell r="CS13">
            <v>286915</v>
          </cell>
          <cell r="CX13">
            <v>263897</v>
          </cell>
          <cell r="DC13">
            <v>151237</v>
          </cell>
          <cell r="DH13">
            <v>467133</v>
          </cell>
          <cell r="DM13">
            <v>387424</v>
          </cell>
          <cell r="DR13">
            <v>493196</v>
          </cell>
          <cell r="DW13">
            <v>57929886</v>
          </cell>
          <cell r="EB13">
            <v>409969</v>
          </cell>
          <cell r="EG13">
            <v>252762</v>
          </cell>
          <cell r="EL13">
            <v>60710666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  <cell r="BY14">
            <v>48025000</v>
          </cell>
          <cell r="CD14">
            <v>10180000</v>
          </cell>
          <cell r="CI14">
            <v>3175000</v>
          </cell>
          <cell r="CN14">
            <v>6985000</v>
          </cell>
          <cell r="CS14">
            <v>3165000</v>
          </cell>
          <cell r="CX14">
            <v>4370000</v>
          </cell>
          <cell r="DC14">
            <v>2270000</v>
          </cell>
          <cell r="DH14">
            <v>4260000</v>
          </cell>
          <cell r="DM14">
            <v>3475000</v>
          </cell>
          <cell r="DR14">
            <v>3320000</v>
          </cell>
          <cell r="DW14">
            <v>2325000</v>
          </cell>
          <cell r="EB14">
            <v>2615000</v>
          </cell>
          <cell r="EG14">
            <v>1885000</v>
          </cell>
          <cell r="EL14">
            <v>43525000</v>
          </cell>
        </row>
        <row r="15">
          <cell r="G15">
            <v>8349673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328260</v>
          </cell>
          <cell r="BE15">
            <v>29969</v>
          </cell>
          <cell r="BJ15">
            <v>0</v>
          </cell>
          <cell r="BO15">
            <v>0</v>
          </cell>
          <cell r="BT15">
            <v>9753877</v>
          </cell>
          <cell r="BY15">
            <v>7476976</v>
          </cell>
          <cell r="CD15">
            <v>195061</v>
          </cell>
          <cell r="CI15">
            <v>0</v>
          </cell>
          <cell r="CN15">
            <v>956108</v>
          </cell>
          <cell r="CS15">
            <v>380371</v>
          </cell>
          <cell r="CX15">
            <v>83879</v>
          </cell>
          <cell r="DC15">
            <v>27624</v>
          </cell>
          <cell r="DH15">
            <v>481602</v>
          </cell>
          <cell r="DM15">
            <v>1204105</v>
          </cell>
          <cell r="DR15">
            <v>342784</v>
          </cell>
          <cell r="DW15">
            <v>0</v>
          </cell>
          <cell r="EB15">
            <v>682120</v>
          </cell>
          <cell r="EG15">
            <v>3123322</v>
          </cell>
          <cell r="EL15">
            <v>3671534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BY99">
            <v>0</v>
          </cell>
          <cell r="CD99">
            <v>0</v>
          </cell>
          <cell r="CI99">
            <v>0</v>
          </cell>
          <cell r="CN99">
            <v>0</v>
          </cell>
          <cell r="CS99">
            <v>0</v>
          </cell>
          <cell r="CX99">
            <v>0</v>
          </cell>
          <cell r="DC99">
            <v>0</v>
          </cell>
          <cell r="DH99">
            <v>0</v>
          </cell>
          <cell r="DM99">
            <v>0</v>
          </cell>
          <cell r="DR99">
            <v>0</v>
          </cell>
          <cell r="DW99">
            <v>0</v>
          </cell>
          <cell r="EB99">
            <v>0</v>
          </cell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  <cell r="CD192">
            <v>0</v>
          </cell>
          <cell r="CI192">
            <v>0</v>
          </cell>
          <cell r="CN192">
            <v>0</v>
          </cell>
          <cell r="CS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  <cell r="BY9" t="str">
            <v>Audited</v>
          </cell>
        </row>
        <row r="13">
          <cell r="BY13">
            <v>31315515</v>
          </cell>
        </row>
        <row r="17">
          <cell r="G17">
            <v>73821000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5451574</v>
          </cell>
          <cell r="BE17">
            <v>5596913</v>
          </cell>
          <cell r="BJ17">
            <v>0</v>
          </cell>
          <cell r="BO17">
            <v>0</v>
          </cell>
          <cell r="BT17">
            <v>64465588</v>
          </cell>
          <cell r="CD17">
            <v>0</v>
          </cell>
          <cell r="CI17">
            <v>0</v>
          </cell>
          <cell r="CN17">
            <v>14088400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6098240</v>
          </cell>
          <cell r="DR17">
            <v>0</v>
          </cell>
          <cell r="DW17">
            <v>0</v>
          </cell>
          <cell r="EB17">
            <v>0</v>
          </cell>
          <cell r="EG17">
            <v>11128875</v>
          </cell>
          <cell r="EL17">
            <v>20186640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0</v>
          </cell>
          <cell r="CD19">
            <v>0</v>
          </cell>
          <cell r="CI19">
            <v>0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0</v>
          </cell>
        </row>
        <row r="72">
          <cell r="G72">
            <v>0</v>
          </cell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  <cell r="CD72">
            <v>0</v>
          </cell>
          <cell r="CI72">
            <v>0</v>
          </cell>
          <cell r="CN72">
            <v>0</v>
          </cell>
          <cell r="CS72">
            <v>0</v>
          </cell>
          <cell r="CX72">
            <v>0</v>
          </cell>
          <cell r="DC72">
            <v>0</v>
          </cell>
          <cell r="DH72">
            <v>0</v>
          </cell>
          <cell r="DM72">
            <v>0</v>
          </cell>
          <cell r="DR72">
            <v>0</v>
          </cell>
          <cell r="DW72">
            <v>0</v>
          </cell>
          <cell r="EB72">
            <v>0</v>
          </cell>
          <cell r="EG72">
            <v>0</v>
          </cell>
          <cell r="EL72">
            <v>0</v>
          </cell>
        </row>
        <row r="73">
          <cell r="BY73">
            <v>0</v>
          </cell>
        </row>
        <row r="74">
          <cell r="G74">
            <v>0</v>
          </cell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  <cell r="CD82">
            <v>0</v>
          </cell>
          <cell r="CI82">
            <v>0</v>
          </cell>
          <cell r="CN82">
            <v>0</v>
          </cell>
          <cell r="CS82">
            <v>0</v>
          </cell>
          <cell r="CX82">
            <v>0</v>
          </cell>
          <cell r="DC82">
            <v>0</v>
          </cell>
          <cell r="DH82">
            <v>0</v>
          </cell>
          <cell r="DM82">
            <v>0</v>
          </cell>
          <cell r="DR82">
            <v>0</v>
          </cell>
          <cell r="DW82">
            <v>0</v>
          </cell>
          <cell r="EB82">
            <v>0</v>
          </cell>
          <cell r="EG82">
            <v>0</v>
          </cell>
          <cell r="EL82">
            <v>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AK84">
            <v>0</v>
          </cell>
          <cell r="AP84">
            <v>0</v>
          </cell>
          <cell r="AU84">
            <v>0</v>
          </cell>
          <cell r="AZ84">
            <v>0</v>
          </cell>
          <cell r="BE84">
            <v>0</v>
          </cell>
          <cell r="BJ84">
            <v>0</v>
          </cell>
          <cell r="BO84">
            <v>0</v>
          </cell>
          <cell r="BT84">
            <v>0</v>
          </cell>
          <cell r="CD84">
            <v>0</v>
          </cell>
          <cell r="CI84">
            <v>0</v>
          </cell>
          <cell r="CN84">
            <v>0</v>
          </cell>
          <cell r="CS84">
            <v>0</v>
          </cell>
          <cell r="CX84">
            <v>0</v>
          </cell>
          <cell r="DC84">
            <v>0</v>
          </cell>
          <cell r="DH84">
            <v>0</v>
          </cell>
          <cell r="DM84">
            <v>0</v>
          </cell>
          <cell r="DR84">
            <v>0</v>
          </cell>
          <cell r="DW84">
            <v>0</v>
          </cell>
          <cell r="EB84">
            <v>0</v>
          </cell>
          <cell r="EG84">
            <v>0</v>
          </cell>
          <cell r="EL84">
            <v>0</v>
          </cell>
        </row>
        <row r="118">
          <cell r="G118">
            <v>7115000</v>
          </cell>
          <cell r="L118">
            <v>0</v>
          </cell>
          <cell r="Q118">
            <v>7115000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7115000</v>
          </cell>
          <cell r="BY118">
            <v>1995428</v>
          </cell>
          <cell r="CD118">
            <v>0</v>
          </cell>
          <cell r="CI118">
            <v>1940</v>
          </cell>
          <cell r="CN118">
            <v>0</v>
          </cell>
          <cell r="CS118">
            <v>0</v>
          </cell>
          <cell r="CX118">
            <v>0</v>
          </cell>
          <cell r="DC118">
            <v>1993488</v>
          </cell>
          <cell r="DH118">
            <v>0</v>
          </cell>
          <cell r="DM118">
            <v>0</v>
          </cell>
          <cell r="DR118">
            <v>0</v>
          </cell>
          <cell r="DW118">
            <v>0</v>
          </cell>
          <cell r="EB118">
            <v>0</v>
          </cell>
          <cell r="EG118">
            <v>0</v>
          </cell>
          <cell r="EL118">
            <v>1995428</v>
          </cell>
        </row>
        <row r="119">
          <cell r="G119">
            <v>8646600</v>
          </cell>
          <cell r="L119">
            <v>0</v>
          </cell>
          <cell r="Q119">
            <v>8646600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8646600</v>
          </cell>
          <cell r="BY119">
            <v>1923406</v>
          </cell>
          <cell r="CD119">
            <v>0</v>
          </cell>
          <cell r="CI119">
            <v>4114</v>
          </cell>
          <cell r="CN119">
            <v>0</v>
          </cell>
          <cell r="CS119">
            <v>0</v>
          </cell>
          <cell r="CX119">
            <v>0</v>
          </cell>
          <cell r="DC119">
            <v>1919292</v>
          </cell>
          <cell r="DH119">
            <v>0</v>
          </cell>
          <cell r="DM119">
            <v>0</v>
          </cell>
          <cell r="DR119">
            <v>0</v>
          </cell>
          <cell r="DW119">
            <v>0</v>
          </cell>
          <cell r="EB119">
            <v>0</v>
          </cell>
          <cell r="EG119">
            <v>0</v>
          </cell>
          <cell r="EL119">
            <v>1923406</v>
          </cell>
        </row>
        <row r="166">
          <cell r="G166">
            <v>0</v>
          </cell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  <cell r="BY166">
            <v>0</v>
          </cell>
          <cell r="CD166">
            <v>0</v>
          </cell>
          <cell r="CI166">
            <v>0</v>
          </cell>
          <cell r="CN166">
            <v>0</v>
          </cell>
          <cell r="CS166">
            <v>0</v>
          </cell>
          <cell r="CX166">
            <v>0</v>
          </cell>
          <cell r="DC166">
            <v>0</v>
          </cell>
          <cell r="DH166">
            <v>0</v>
          </cell>
          <cell r="DM166">
            <v>0</v>
          </cell>
          <cell r="DR166">
            <v>0</v>
          </cell>
          <cell r="DW166">
            <v>0</v>
          </cell>
          <cell r="EB166">
            <v>0</v>
          </cell>
          <cell r="EG166">
            <v>0</v>
          </cell>
          <cell r="EL166">
            <v>0</v>
          </cell>
        </row>
        <row r="167">
          <cell r="G167">
            <v>0</v>
          </cell>
          <cell r="L167">
            <v>0</v>
          </cell>
          <cell r="Q167">
            <v>0</v>
          </cell>
          <cell r="V167">
            <v>0</v>
          </cell>
          <cell r="AA167">
            <v>0</v>
          </cell>
          <cell r="AF167">
            <v>0</v>
          </cell>
          <cell r="AK167">
            <v>0</v>
          </cell>
          <cell r="AP167">
            <v>0</v>
          </cell>
          <cell r="AU167">
            <v>0</v>
          </cell>
          <cell r="AZ167">
            <v>0</v>
          </cell>
          <cell r="BE167">
            <v>0</v>
          </cell>
          <cell r="BJ167">
            <v>0</v>
          </cell>
          <cell r="BO167">
            <v>0</v>
          </cell>
          <cell r="BT167">
            <v>0</v>
          </cell>
          <cell r="BY167">
            <v>0</v>
          </cell>
          <cell r="CD167">
            <v>0</v>
          </cell>
          <cell r="CI167">
            <v>0</v>
          </cell>
          <cell r="CN167">
            <v>0</v>
          </cell>
          <cell r="CS167">
            <v>0</v>
          </cell>
          <cell r="CX167">
            <v>0</v>
          </cell>
          <cell r="DC167">
            <v>0</v>
          </cell>
          <cell r="DH167">
            <v>0</v>
          </cell>
          <cell r="DM167">
            <v>0</v>
          </cell>
          <cell r="DR167">
            <v>0</v>
          </cell>
          <cell r="DW167">
            <v>0</v>
          </cell>
          <cell r="EB167">
            <v>0</v>
          </cell>
          <cell r="EG167">
            <v>0</v>
          </cell>
          <cell r="EL167">
            <v>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  <cell r="CD178">
            <v>0</v>
          </cell>
          <cell r="CI178">
            <v>0</v>
          </cell>
          <cell r="CN178">
            <v>0</v>
          </cell>
          <cell r="CS178">
            <v>0</v>
          </cell>
          <cell r="CX178">
            <v>0</v>
          </cell>
          <cell r="DC178">
            <v>0</v>
          </cell>
          <cell r="DH178">
            <v>0</v>
          </cell>
          <cell r="DM178">
            <v>0</v>
          </cell>
          <cell r="DR178">
            <v>0</v>
          </cell>
          <cell r="DW178">
            <v>0</v>
          </cell>
          <cell r="EB178">
            <v>0</v>
          </cell>
          <cell r="EG178">
            <v>0</v>
          </cell>
          <cell r="EL178">
            <v>0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  <cell r="CD179">
            <v>0</v>
          </cell>
          <cell r="CI179">
            <v>0</v>
          </cell>
          <cell r="CN179">
            <v>0</v>
          </cell>
          <cell r="CS179">
            <v>0</v>
          </cell>
          <cell r="CX179">
            <v>0</v>
          </cell>
          <cell r="DC179">
            <v>0</v>
          </cell>
          <cell r="DH179">
            <v>0</v>
          </cell>
          <cell r="DM179">
            <v>0</v>
          </cell>
          <cell r="DR179">
            <v>0</v>
          </cell>
          <cell r="DW179">
            <v>0</v>
          </cell>
          <cell r="EB179">
            <v>0</v>
          </cell>
          <cell r="EG179">
            <v>0</v>
          </cell>
          <cell r="EL179">
            <v>0</v>
          </cell>
        </row>
        <row r="237">
          <cell r="BV237">
            <v>0</v>
          </cell>
        </row>
        <row r="238">
          <cell r="BV238">
            <v>0</v>
          </cell>
        </row>
        <row r="249">
          <cell r="BV249">
            <v>0</v>
          </cell>
        </row>
        <row r="250">
          <cell r="BV250">
            <v>0</v>
          </cell>
        </row>
      </sheetData>
      <sheetData sheetId="4">
        <row r="12">
          <cell r="H12">
            <v>42077879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-56031570</v>
          </cell>
          <cell r="BF12">
            <v>74466214</v>
          </cell>
          <cell r="BK12">
            <v>289962570</v>
          </cell>
          <cell r="BP12">
            <v>0</v>
          </cell>
          <cell r="BU12">
            <v>-15977691</v>
          </cell>
          <cell r="BZ12">
            <v>63618801</v>
          </cell>
          <cell r="CE12">
            <v>46082220</v>
          </cell>
          <cell r="CJ12">
            <v>-13324945</v>
          </cell>
          <cell r="CO12">
            <v>-108017275</v>
          </cell>
          <cell r="CT12">
            <v>112130563</v>
          </cell>
          <cell r="CY12">
            <v>19378870</v>
          </cell>
          <cell r="DD12">
            <v>-9089134</v>
          </cell>
          <cell r="DI12">
            <v>8656413</v>
          </cell>
          <cell r="DN12">
            <v>-11758617</v>
          </cell>
          <cell r="DS12">
            <v>-63824067</v>
          </cell>
          <cell r="DX12">
            <v>109696169</v>
          </cell>
          <cell r="EC12">
            <v>-26342016</v>
          </cell>
          <cell r="EH12">
            <v>30620</v>
          </cell>
          <cell r="EM12">
            <v>89930197</v>
          </cell>
        </row>
        <row r="19">
          <cell r="BF19">
            <v>161501086</v>
          </cell>
          <cell r="DX19">
            <v>141049011</v>
          </cell>
        </row>
        <row r="20">
          <cell r="BF20">
            <v>20000000</v>
          </cell>
          <cell r="DX20">
            <v>0</v>
          </cell>
        </row>
        <row r="21">
          <cell r="BF21">
            <v>108461484</v>
          </cell>
          <cell r="DX21">
            <v>106624472</v>
          </cell>
        </row>
        <row r="25">
          <cell r="H25">
            <v>0</v>
          </cell>
          <cell r="M25">
            <v>32499994</v>
          </cell>
          <cell r="R25">
            <v>1683425</v>
          </cell>
          <cell r="W25">
            <v>3575832</v>
          </cell>
          <cell r="AB25">
            <v>53727650</v>
          </cell>
          <cell r="AG25">
            <v>-54202159</v>
          </cell>
          <cell r="AL25">
            <v>-3465898</v>
          </cell>
          <cell r="AQ25">
            <v>8772236</v>
          </cell>
          <cell r="AV25">
            <v>-3753879</v>
          </cell>
          <cell r="BA25">
            <v>-20434962</v>
          </cell>
          <cell r="BF25">
            <v>14593850</v>
          </cell>
          <cell r="BK25">
            <v>0</v>
          </cell>
          <cell r="BP25">
            <v>0</v>
          </cell>
          <cell r="BU25">
            <v>32996089</v>
          </cell>
          <cell r="BZ25">
            <v>-17675966</v>
          </cell>
          <cell r="CE25">
            <v>-8786316</v>
          </cell>
          <cell r="CJ25">
            <v>10103585</v>
          </cell>
          <cell r="CO25">
            <v>-1521846</v>
          </cell>
          <cell r="CT25">
            <v>6074461</v>
          </cell>
          <cell r="CY25">
            <v>516138</v>
          </cell>
          <cell r="DD25">
            <v>-12799947</v>
          </cell>
          <cell r="DI25">
            <v>4934831</v>
          </cell>
          <cell r="DN25">
            <v>-5282423</v>
          </cell>
          <cell r="DS25">
            <v>2079416</v>
          </cell>
          <cell r="DX25">
            <v>-12244714</v>
          </cell>
          <cell r="EC25">
            <v>14186127</v>
          </cell>
          <cell r="EH25">
            <v>-14935278</v>
          </cell>
          <cell r="EM25">
            <v>-16926815</v>
          </cell>
        </row>
        <row r="27">
          <cell r="H27">
            <v>0</v>
          </cell>
          <cell r="M27">
            <v>0</v>
          </cell>
          <cell r="R27">
            <v>0</v>
          </cell>
          <cell r="W27">
            <v>0</v>
          </cell>
          <cell r="AB27">
            <v>0</v>
          </cell>
          <cell r="AG27">
            <v>0</v>
          </cell>
          <cell r="AL27">
            <v>0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0</v>
          </cell>
          <cell r="BZ27">
            <v>3337965.9578001499</v>
          </cell>
          <cell r="CE27">
            <v>0</v>
          </cell>
          <cell r="CJ27">
            <v>0</v>
          </cell>
          <cell r="CO27">
            <v>0</v>
          </cell>
          <cell r="CT27">
            <v>0</v>
          </cell>
          <cell r="CY27">
            <v>0</v>
          </cell>
          <cell r="DD27">
            <v>0</v>
          </cell>
          <cell r="DI27">
            <v>0</v>
          </cell>
          <cell r="DN27">
            <v>0</v>
          </cell>
          <cell r="DS27">
            <v>0</v>
          </cell>
          <cell r="DX27">
            <v>0</v>
          </cell>
          <cell r="EC27">
            <v>0</v>
          </cell>
          <cell r="EH27">
            <v>4402225.7110300008</v>
          </cell>
          <cell r="EM27">
            <v>0</v>
          </cell>
        </row>
        <row r="29">
          <cell r="H29">
            <v>-776091.86601304996</v>
          </cell>
          <cell r="M29">
            <v>1585476</v>
          </cell>
          <cell r="R29">
            <v>1883939</v>
          </cell>
          <cell r="W29">
            <v>1345</v>
          </cell>
          <cell r="AB29">
            <v>7623</v>
          </cell>
          <cell r="AG29">
            <v>2785125</v>
          </cell>
          <cell r="AL29">
            <v>4713582</v>
          </cell>
          <cell r="AQ29">
            <v>1340721</v>
          </cell>
          <cell r="AV29">
            <v>1361987</v>
          </cell>
          <cell r="BA29">
            <v>4840836</v>
          </cell>
          <cell r="BF29">
            <v>400240</v>
          </cell>
          <cell r="BK29">
            <v>0</v>
          </cell>
          <cell r="BP29">
            <v>0</v>
          </cell>
          <cell r="BU29">
            <v>18920874</v>
          </cell>
          <cell r="CE29">
            <v>1088487</v>
          </cell>
          <cell r="CJ29">
            <v>1683039</v>
          </cell>
          <cell r="CO29">
            <v>239249</v>
          </cell>
          <cell r="CT29">
            <v>17656</v>
          </cell>
          <cell r="CY29">
            <v>1013935</v>
          </cell>
          <cell r="DD29">
            <v>1111697</v>
          </cell>
          <cell r="DI29">
            <v>530072</v>
          </cell>
          <cell r="DN29">
            <v>6511671</v>
          </cell>
          <cell r="DS29">
            <v>560492</v>
          </cell>
          <cell r="DX29">
            <v>2756088</v>
          </cell>
          <cell r="EC29">
            <v>8032775</v>
          </cell>
          <cell r="EH29">
            <v>1796444</v>
          </cell>
          <cell r="EM29">
            <v>15512386</v>
          </cell>
        </row>
        <row r="30">
          <cell r="BZ30">
            <v>25341605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-28311</v>
          </cell>
          <cell r="AB32">
            <v>28311</v>
          </cell>
          <cell r="AG32">
            <v>-30170</v>
          </cell>
          <cell r="AL32">
            <v>-107886</v>
          </cell>
          <cell r="AQ32">
            <v>-962616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0</v>
          </cell>
          <cell r="BU32">
            <v>-1100672</v>
          </cell>
          <cell r="BZ32">
            <v>-915497</v>
          </cell>
          <cell r="CE32">
            <v>0</v>
          </cell>
          <cell r="CJ32">
            <v>0</v>
          </cell>
          <cell r="CO32">
            <v>-34139</v>
          </cell>
          <cell r="CT32">
            <v>0</v>
          </cell>
          <cell r="CY32">
            <v>0</v>
          </cell>
          <cell r="DD32">
            <v>-578417</v>
          </cell>
          <cell r="DI32">
            <v>0</v>
          </cell>
          <cell r="DN32">
            <v>-266903</v>
          </cell>
          <cell r="DS32">
            <v>0</v>
          </cell>
          <cell r="DX32">
            <v>0</v>
          </cell>
          <cell r="EC32">
            <v>-14320</v>
          </cell>
          <cell r="EH32">
            <v>-21718</v>
          </cell>
          <cell r="EM32">
            <v>-879459</v>
          </cell>
        </row>
        <row r="35">
          <cell r="H35">
            <v>0</v>
          </cell>
          <cell r="M35">
            <v>-32836320.771990001</v>
          </cell>
          <cell r="R35">
            <v>-5512617.4648199826</v>
          </cell>
          <cell r="W35">
            <v>3578503.2416499853</v>
          </cell>
          <cell r="AB35">
            <v>-7197008.0788299739</v>
          </cell>
          <cell r="AG35">
            <v>5587438.3340399861</v>
          </cell>
          <cell r="AL35">
            <v>-1570242.0785700083</v>
          </cell>
          <cell r="AQ35">
            <v>-6134755.2017400116</v>
          </cell>
          <cell r="AV35">
            <v>2681067.2674000114</v>
          </cell>
          <cell r="BA35">
            <v>10848952.676469982</v>
          </cell>
          <cell r="BF35">
            <v>-18025698.560849994</v>
          </cell>
          <cell r="BK35">
            <v>0</v>
          </cell>
          <cell r="BP35">
            <v>0</v>
          </cell>
          <cell r="BU35">
            <v>-48580680.637240008</v>
          </cell>
          <cell r="BZ35">
            <v>1064259.7532298565</v>
          </cell>
          <cell r="CE35">
            <v>5906544.219140023</v>
          </cell>
          <cell r="CJ35">
            <v>-12483950.991829976</v>
          </cell>
          <cell r="CO35">
            <v>3209022.3661100268</v>
          </cell>
          <cell r="CT35">
            <v>-6553094.9010600448</v>
          </cell>
          <cell r="CY35">
            <v>-2782867.0139960051</v>
          </cell>
          <cell r="DD35">
            <v>8997817.3801300079</v>
          </cell>
          <cell r="DI35">
            <v>-1449789.4983399957</v>
          </cell>
          <cell r="DN35">
            <v>10616591.319769949</v>
          </cell>
          <cell r="DS35">
            <v>383769.56102001667</v>
          </cell>
          <cell r="DX35">
            <v>4427766.5460499972</v>
          </cell>
          <cell r="EC35">
            <v>-19891534.173719943</v>
          </cell>
          <cell r="EH35">
            <v>16555653.150080025</v>
          </cell>
          <cell r="EM35">
            <v>10271808.986993998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EC13">
            <v>-13560314</v>
          </cell>
        </row>
        <row r="23">
          <cell r="EC23">
            <v>42446719</v>
          </cell>
        </row>
        <row r="44">
          <cell r="EC44">
            <v>0</v>
          </cell>
        </row>
        <row r="67">
          <cell r="EC67">
            <v>-16055785.20701997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  <cell r="CO13">
            <v>5151867</v>
          </cell>
        </row>
        <row r="25">
          <cell r="W25">
            <v>29395127</v>
          </cell>
          <cell r="CO25">
            <v>27576195</v>
          </cell>
        </row>
        <row r="26">
          <cell r="W26">
            <v>-5199615</v>
          </cell>
          <cell r="CO26">
            <v>-3697051</v>
          </cell>
        </row>
        <row r="27">
          <cell r="W27">
            <v>-416656</v>
          </cell>
          <cell r="CO27">
            <v>-197910</v>
          </cell>
        </row>
        <row r="31">
          <cell r="W31">
            <v>1410912</v>
          </cell>
          <cell r="CO31">
            <v>7710681</v>
          </cell>
        </row>
        <row r="32">
          <cell r="W32">
            <v>-150699</v>
          </cell>
          <cell r="CO32">
            <v>-670006</v>
          </cell>
        </row>
        <row r="33">
          <cell r="W33">
            <v>-1250000</v>
          </cell>
          <cell r="CO33">
            <v>-6985000</v>
          </cell>
        </row>
        <row r="36">
          <cell r="W36">
            <v>860933</v>
          </cell>
          <cell r="CO36">
            <v>956108</v>
          </cell>
        </row>
        <row r="37">
          <cell r="W37">
            <v>-907194</v>
          </cell>
          <cell r="CO37">
            <v>-956108</v>
          </cell>
        </row>
        <row r="42">
          <cell r="W42">
            <v>0</v>
          </cell>
          <cell r="CO42">
            <v>14088400</v>
          </cell>
        </row>
        <row r="45">
          <cell r="W45">
            <v>0</v>
          </cell>
          <cell r="CO45">
            <v>0</v>
          </cell>
        </row>
        <row r="46">
          <cell r="W46">
            <v>0</v>
          </cell>
          <cell r="CO46">
            <v>0</v>
          </cell>
        </row>
        <row r="63">
          <cell r="W63">
            <v>-100948773.75835001</v>
          </cell>
        </row>
        <row r="65">
          <cell r="W65">
            <v>3575832</v>
          </cell>
          <cell r="CO65">
            <v>-1521846</v>
          </cell>
        </row>
        <row r="66">
          <cell r="W66">
            <v>0</v>
          </cell>
          <cell r="CO66">
            <v>0</v>
          </cell>
        </row>
        <row r="67">
          <cell r="W67">
            <v>1345</v>
          </cell>
          <cell r="CO67">
            <v>239249</v>
          </cell>
        </row>
        <row r="68">
          <cell r="W68">
            <v>-28311</v>
          </cell>
          <cell r="CO68">
            <v>-34139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  <cell r="CO18">
            <v>148178204</v>
          </cell>
        </row>
        <row r="19">
          <cell r="W19">
            <v>224891115</v>
          </cell>
          <cell r="CO19">
            <v>264685476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3921105</v>
          </cell>
          <cell r="M6">
            <v>824100</v>
          </cell>
          <cell r="T6">
            <v>6068425</v>
          </cell>
        </row>
        <row r="40">
          <cell r="M40">
            <v>-19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  <cell r="V40">
            <v>-167688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  <cell r="T40">
            <v>-2173438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  <cell r="AB6">
            <v>64028</v>
          </cell>
        </row>
        <row r="40">
          <cell r="N40">
            <v>-25</v>
          </cell>
          <cell r="AB40">
            <v>-103506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242053</v>
          </cell>
        </row>
        <row r="40">
          <cell r="O40">
            <v>-47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ginal"/>
    </sheetNames>
    <sheetDataSet>
      <sheetData sheetId="0">
        <row r="6">
          <cell r="P6">
            <v>197456</v>
          </cell>
        </row>
        <row r="40">
          <cell r="P40">
            <v>-1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594230</v>
          </cell>
        </row>
        <row r="40">
          <cell r="G40">
            <v>-568183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356397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451680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581432</v>
          </cell>
        </row>
        <row r="40">
          <cell r="J40">
            <v>-123151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418995</v>
          </cell>
        </row>
        <row r="40">
          <cell r="K40">
            <v>-177148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1366350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M6">
            <v>426850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O6">
            <v>399294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P6">
            <v>410251</v>
          </cell>
        </row>
        <row r="40">
          <cell r="P40">
            <v>-66014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Q6">
            <v>238940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6">
          <cell r="R6">
            <v>562501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AA40">
            <v>-146127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  <cell r="W82">
            <v>-5906544.219140023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  <cell r="X82">
            <v>12483950.991829976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  <cell r="Y82">
            <v>-3209022.3661100268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  <cell r="Z82">
            <v>6553094.9010600448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J82">
            <v>-5587438.3340399861</v>
          </cell>
          <cell r="AA82">
            <v>2782867.0139960051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  <cell r="AB82">
            <v>-8997817.3801300079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  <cell r="V82">
            <v>-1064259.7532298565</v>
          </cell>
          <cell r="AC82">
            <v>1449789.4983399957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  <cell r="AD82">
            <v>-10616591.319769949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N82">
            <v>-10848952.676469982</v>
          </cell>
          <cell r="AE82">
            <v>-383769.56102001667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</sheetNames>
    <sheetDataSet>
      <sheetData sheetId="0">
        <row r="82">
          <cell r="O82">
            <v>18025698.560849994</v>
          </cell>
          <cell r="AF82">
            <v>-4427766.5460499972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Z13">
            <v>-7954770</v>
          </cell>
          <cell r="CE13">
            <v>9415800</v>
          </cell>
        </row>
        <row r="25">
          <cell r="CE25">
            <v>32347333</v>
          </cell>
        </row>
        <row r="26">
          <cell r="CE26">
            <v>-5645039</v>
          </cell>
        </row>
        <row r="27">
          <cell r="CE27">
            <v>-168655</v>
          </cell>
        </row>
        <row r="31">
          <cell r="CE31">
            <v>11663028</v>
          </cell>
        </row>
        <row r="32">
          <cell r="CE32">
            <v>-1360296</v>
          </cell>
        </row>
        <row r="33">
          <cell r="CE33">
            <v>-10180000</v>
          </cell>
        </row>
        <row r="36">
          <cell r="CE36">
            <v>195061</v>
          </cell>
        </row>
        <row r="37">
          <cell r="CE37">
            <v>-195061</v>
          </cell>
        </row>
        <row r="42">
          <cell r="CE42">
            <v>0</v>
          </cell>
        </row>
        <row r="43">
          <cell r="H43">
            <v>0</v>
          </cell>
          <cell r="BZ43">
            <v>0</v>
          </cell>
          <cell r="CE43">
            <v>0</v>
          </cell>
        </row>
        <row r="45">
          <cell r="CE45">
            <v>0</v>
          </cell>
        </row>
        <row r="46">
          <cell r="CE46">
            <v>0</v>
          </cell>
        </row>
        <row r="65">
          <cell r="CE65">
            <v>-8786316</v>
          </cell>
        </row>
        <row r="66">
          <cell r="CE66">
            <v>0</v>
          </cell>
        </row>
        <row r="67">
          <cell r="CE67">
            <v>1088487</v>
          </cell>
        </row>
        <row r="68">
          <cell r="CE68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CE18">
            <v>137054271</v>
          </cell>
        </row>
        <row r="19">
          <cell r="CE19">
            <v>154467189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0FC5A-1595-4A92-9F1C-E118176707FA}">
  <sheetPr>
    <pageSetUpPr fitToPage="1"/>
  </sheetPr>
  <dimension ref="B1:CB234"/>
  <sheetViews>
    <sheetView view="pageBreakPreview" zoomScale="98" zoomScaleNormal="100" zoomScaleSheetLayoutView="98" workbookViewId="0">
      <selection activeCell="G12" sqref="G12"/>
    </sheetView>
  </sheetViews>
  <sheetFormatPr defaultColWidth="3" defaultRowHeight="10.5" x14ac:dyDescent="0.25"/>
  <cols>
    <col min="1" max="1" width="0.81640625" style="4" customWidth="1"/>
    <col min="2" max="2" width="1" style="4" customWidth="1"/>
    <col min="3" max="3" width="1.26953125" style="4" customWidth="1"/>
    <col min="4" max="4" width="61" style="4" customWidth="1"/>
    <col min="5" max="5" width="0.1796875" style="4" customWidth="1"/>
    <col min="6" max="6" width="5.7265625" style="4" customWidth="1"/>
    <col min="7" max="7" width="17.7265625" style="4" customWidth="1"/>
    <col min="8" max="16" width="17.7265625" style="4" hidden="1" customWidth="1"/>
    <col min="17" max="17" width="17.7265625" style="4" customWidth="1"/>
    <col min="18" max="19" width="17.7265625" style="4" hidden="1" customWidth="1"/>
    <col min="20" max="21" width="17.7265625" style="4" customWidth="1"/>
    <col min="22" max="30" width="17.7265625" style="4" hidden="1" customWidth="1"/>
    <col min="31" max="31" width="17.7265625" style="4" customWidth="1"/>
    <col min="32" max="33" width="17.7265625" style="4" hidden="1" customWidth="1"/>
    <col min="34" max="34" width="17.7265625" style="4" customWidth="1"/>
    <col min="35" max="35" width="1.7265625" style="4" customWidth="1"/>
    <col min="36" max="36" width="14.26953125" style="7" hidden="1" customWidth="1"/>
    <col min="37" max="37" width="11.26953125" style="4" hidden="1" customWidth="1"/>
    <col min="38" max="38" width="12" style="4" hidden="1" customWidth="1"/>
    <col min="39" max="39" width="15.1796875" style="13" hidden="1" customWidth="1"/>
    <col min="40" max="40" width="10.7265625" style="13" hidden="1" customWidth="1"/>
    <col min="41" max="41" width="12" style="13" hidden="1" customWidth="1"/>
    <col min="42" max="43" width="8.7265625" style="13" hidden="1" customWidth="1"/>
    <col min="44" max="44" width="8.453125" style="13" hidden="1" customWidth="1"/>
    <col min="45" max="47" width="8.7265625" style="13" hidden="1" customWidth="1"/>
    <col min="48" max="48" width="11.26953125" style="13" bestFit="1" customWidth="1"/>
    <col min="49" max="49" width="11.81640625" style="13" bestFit="1" customWidth="1"/>
    <col min="50" max="50" width="10.7265625" style="13" bestFit="1" customWidth="1"/>
    <col min="51" max="51" width="9.26953125" style="13" customWidth="1"/>
    <col min="52" max="52" width="7.7265625" style="13" customWidth="1"/>
    <col min="53" max="53" width="7.26953125" style="13" customWidth="1"/>
    <col min="54" max="54" width="3.7265625" style="13" customWidth="1"/>
    <col min="55" max="58" width="3.1796875" style="13" customWidth="1"/>
    <col min="59" max="59" width="4" style="4" customWidth="1"/>
    <col min="60" max="60" width="3.26953125" style="4" customWidth="1"/>
    <col min="61" max="63" width="3.1796875" style="4" customWidth="1"/>
    <col min="64" max="64" width="9.26953125" style="4" customWidth="1"/>
    <col min="65" max="66" width="3.1796875" style="4" customWidth="1"/>
    <col min="67" max="109" width="1.7265625" style="4" customWidth="1"/>
    <col min="110" max="16384" width="3" style="4"/>
  </cols>
  <sheetData>
    <row r="1" spans="2:80" ht="15.5" x14ac:dyDescent="0.35">
      <c r="B1" s="8" t="s">
        <v>0</v>
      </c>
      <c r="C1" s="9"/>
      <c r="D1" s="10"/>
      <c r="E1" s="10"/>
      <c r="F1" s="11"/>
      <c r="G1" s="10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2:80" s="17" customFormat="1" ht="13" x14ac:dyDescent="0.3">
      <c r="B2" s="14"/>
      <c r="C2" s="6"/>
      <c r="D2" s="6"/>
      <c r="E2" s="6"/>
      <c r="F2" s="15"/>
      <c r="G2" s="550" t="s">
        <v>1</v>
      </c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2"/>
      <c r="U2" s="550" t="s">
        <v>2</v>
      </c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3"/>
      <c r="AI2" s="16"/>
      <c r="AJ2" s="6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2:80" s="17" customFormat="1" ht="13" x14ac:dyDescent="0.3">
      <c r="B3" s="14"/>
      <c r="C3" s="6"/>
      <c r="D3" s="6"/>
      <c r="E3" s="6"/>
      <c r="F3" s="19"/>
      <c r="G3" s="20" t="s">
        <v>3</v>
      </c>
      <c r="H3" s="20" t="s">
        <v>4</v>
      </c>
      <c r="I3" s="21" t="s">
        <v>5</v>
      </c>
      <c r="J3" s="21" t="s">
        <v>6</v>
      </c>
      <c r="K3" s="21" t="s">
        <v>7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12</v>
      </c>
      <c r="Q3" s="21" t="s">
        <v>13</v>
      </c>
      <c r="R3" s="21" t="s">
        <v>14</v>
      </c>
      <c r="S3" s="21" t="s">
        <v>15</v>
      </c>
      <c r="T3" s="22" t="s">
        <v>16</v>
      </c>
      <c r="U3" s="20" t="s">
        <v>17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8</v>
      </c>
      <c r="AA3" s="20" t="s">
        <v>9</v>
      </c>
      <c r="AB3" s="20" t="s">
        <v>10</v>
      </c>
      <c r="AC3" s="20" t="s">
        <v>11</v>
      </c>
      <c r="AD3" s="20" t="s">
        <v>12</v>
      </c>
      <c r="AE3" s="20" t="s">
        <v>13</v>
      </c>
      <c r="AF3" s="20" t="s">
        <v>14</v>
      </c>
      <c r="AG3" s="20" t="s">
        <v>15</v>
      </c>
      <c r="AH3" s="23" t="s">
        <v>16</v>
      </c>
      <c r="AI3" s="16"/>
      <c r="AJ3" s="6"/>
      <c r="AK3" s="6"/>
      <c r="AL3" s="6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6"/>
      <c r="BH3" s="6"/>
      <c r="BI3" s="6"/>
      <c r="BJ3" s="6"/>
      <c r="BK3" s="6"/>
      <c r="BL3" s="6"/>
    </row>
    <row r="4" spans="2:80" s="17" customFormat="1" ht="13" x14ac:dyDescent="0.3">
      <c r="B4" s="25" t="s">
        <v>18</v>
      </c>
      <c r="C4" s="26"/>
      <c r="D4" s="26"/>
      <c r="E4" s="26"/>
      <c r="F4" s="27" t="s">
        <v>19</v>
      </c>
      <c r="G4" s="28" t="s">
        <v>20</v>
      </c>
      <c r="H4" s="28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31" t="s">
        <v>21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32"/>
      <c r="AI4" s="16"/>
      <c r="AJ4" s="6"/>
      <c r="AK4" s="6"/>
      <c r="AL4" s="6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6"/>
      <c r="BH4" s="6"/>
      <c r="BI4" s="6"/>
      <c r="BJ4" s="6"/>
      <c r="BK4" s="6"/>
      <c r="BL4" s="6"/>
    </row>
    <row r="5" spans="2:80" s="17" customFormat="1" ht="13" x14ac:dyDescent="0.3">
      <c r="B5" s="33"/>
      <c r="C5" s="34"/>
      <c r="D5" s="34"/>
      <c r="E5" s="34"/>
      <c r="F5" s="35"/>
      <c r="G5" s="36"/>
      <c r="H5" s="37"/>
      <c r="I5" s="37"/>
      <c r="J5" s="37"/>
      <c r="K5" s="37"/>
      <c r="L5" s="37"/>
      <c r="M5" s="38"/>
      <c r="N5" s="38"/>
      <c r="O5" s="38"/>
      <c r="P5" s="38"/>
      <c r="Q5" s="38"/>
      <c r="R5" s="38"/>
      <c r="S5" s="38"/>
      <c r="T5" s="39"/>
      <c r="U5" s="40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41"/>
      <c r="AI5" s="16"/>
      <c r="AJ5" s="42"/>
      <c r="AK5" s="554"/>
      <c r="AL5" s="554"/>
      <c r="AM5" s="554"/>
      <c r="AN5" s="554"/>
      <c r="AO5" s="554"/>
      <c r="AP5" s="554"/>
      <c r="AQ5" s="554"/>
      <c r="AR5" s="554"/>
      <c r="AS5" s="554"/>
      <c r="AT5" s="554"/>
      <c r="AU5" s="554"/>
      <c r="AV5" s="554"/>
      <c r="AW5" s="554"/>
      <c r="AX5" s="554"/>
      <c r="AY5" s="18"/>
      <c r="AZ5" s="555"/>
      <c r="BA5" s="555"/>
      <c r="BB5" s="555"/>
      <c r="BC5" s="555"/>
      <c r="BD5" s="18"/>
      <c r="BE5" s="18"/>
      <c r="BF5" s="18"/>
    </row>
    <row r="6" spans="2:80" s="17" customFormat="1" ht="13" x14ac:dyDescent="0.3">
      <c r="B6" s="14" t="s">
        <v>22</v>
      </c>
      <c r="C6" s="6"/>
      <c r="F6" s="19">
        <v>1</v>
      </c>
      <c r="G6" s="37">
        <f>+'[1]Statement 1'!$H$116</f>
        <v>1694492121.8660131</v>
      </c>
      <c r="H6" s="37">
        <f>+'[2]Statement 1'!$I$116</f>
        <v>93283884.275460005</v>
      </c>
      <c r="I6" s="37">
        <f>+'[3]Statement 1'!$J$116</f>
        <v>106512134.41681997</v>
      </c>
      <c r="J6" s="37">
        <f>+'[4]Statement 1'!$K$116</f>
        <v>224189683.75835001</v>
      </c>
      <c r="K6" s="37">
        <f>'[5]Statement 1'!$L$116</f>
        <v>86135375.092829973</v>
      </c>
      <c r="L6" s="37">
        <f>'[6]Statement 1'!$M$116</f>
        <v>138637269.66596001</v>
      </c>
      <c r="M6" s="37">
        <f>'[7]Statement 1'!$N$116</f>
        <v>135850869.15157002</v>
      </c>
      <c r="N6" s="37">
        <f>+'[1]Statement 1'!$O$116</f>
        <v>105123000.20174001</v>
      </c>
      <c r="O6" s="37">
        <f>+'[8]Statement 1'!$P$116</f>
        <v>108252772.73259999</v>
      </c>
      <c r="P6" s="37">
        <f>+'[9]Statement 1'!$Q$116</f>
        <v>228225490.40653002</v>
      </c>
      <c r="Q6" s="37">
        <f>'[10]Statement 1'!$R$116</f>
        <v>114466016.92885998</v>
      </c>
      <c r="R6" s="37"/>
      <c r="S6" s="37"/>
      <c r="T6" s="37">
        <f>SUM(H6:S6)+1</f>
        <v>1340676497.6307199</v>
      </c>
      <c r="U6" s="44">
        <f>+'[1]Statement 1'!$V$116</f>
        <v>1564316765.28897</v>
      </c>
      <c r="V6" s="37">
        <f>+'[2]Statement 1'!$W$116</f>
        <v>85521313.027899981</v>
      </c>
      <c r="W6" s="37">
        <f>+'[3]Statement 1'!$X$116</f>
        <v>95746534.991829976</v>
      </c>
      <c r="X6" s="37">
        <f>+'[4]Statement 1'!$Y$116</f>
        <v>204272505.63388997</v>
      </c>
      <c r="Y6" s="37">
        <f>'[5]Statement 1'!$Z$116</f>
        <v>79776633.90106003</v>
      </c>
      <c r="Z6" s="37">
        <f>'[6]Statement 1'!$AA$116</f>
        <v>123123227.51399601</v>
      </c>
      <c r="AA6" s="37">
        <f>'[7]Statement 1'!$AB$116</f>
        <v>133078951.73887001</v>
      </c>
      <c r="AB6" s="37">
        <f>+'[1]Statement 1'!$AC$116</f>
        <v>99192221.386340007</v>
      </c>
      <c r="AC6" s="37">
        <f>+'[8]Statement 1'!$AD$116</f>
        <v>106436242.68023005</v>
      </c>
      <c r="AD6" s="37">
        <f>+'[9]Statement 1'!$AE$116</f>
        <v>211940260.29798001</v>
      </c>
      <c r="AE6" s="37">
        <f>'[10]Statement 1'!$AF$116</f>
        <v>107054272.45395</v>
      </c>
      <c r="AF6" s="37"/>
      <c r="AG6" s="37"/>
      <c r="AH6" s="45">
        <f>SUM(V6:AG6)</f>
        <v>1246142163.6260459</v>
      </c>
      <c r="AI6" s="46"/>
      <c r="AJ6" s="47">
        <v>1351672125</v>
      </c>
      <c r="AK6" s="47">
        <v>99192221</v>
      </c>
      <c r="AL6" s="48">
        <v>820711389</v>
      </c>
      <c r="AM6" s="44">
        <v>1238369459</v>
      </c>
      <c r="AN6" s="44">
        <v>83230717</v>
      </c>
      <c r="AO6" s="44">
        <v>593367722</v>
      </c>
      <c r="AP6" s="44">
        <f>AJ6-G6</f>
        <v>-342819996.86601305</v>
      </c>
      <c r="AQ6" s="44">
        <f>+AK6-N6</f>
        <v>-5930779.2017400116</v>
      </c>
      <c r="AR6" s="44">
        <f>+AL6-T6</f>
        <v>-519965108.6307199</v>
      </c>
      <c r="AS6" s="44">
        <f>+AM6-U6</f>
        <v>-325947306.28896999</v>
      </c>
      <c r="AT6" s="44">
        <f>+AN6-AB6</f>
        <v>-15961504.386340007</v>
      </c>
      <c r="AU6" s="44">
        <f>+AO6-AH6</f>
        <v>-652774441.62604594</v>
      </c>
      <c r="AV6" s="44"/>
      <c r="AW6" s="44"/>
      <c r="AX6" s="44"/>
      <c r="AY6" s="44"/>
      <c r="AZ6" s="49"/>
      <c r="BA6" s="49"/>
      <c r="BB6" s="49"/>
      <c r="BC6" s="49"/>
      <c r="BD6" s="49"/>
      <c r="BE6" s="49"/>
      <c r="BF6" s="49"/>
      <c r="BG6" s="50"/>
      <c r="BH6" s="50"/>
      <c r="BI6" s="50"/>
      <c r="BJ6" s="50"/>
      <c r="BK6" s="50"/>
      <c r="BL6" s="50"/>
      <c r="BM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</row>
    <row r="7" spans="2:80" s="17" customFormat="1" ht="13" x14ac:dyDescent="0.3">
      <c r="B7" s="16"/>
      <c r="F7" s="51"/>
      <c r="G7" s="52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5"/>
      <c r="U7" s="56"/>
      <c r="V7" s="52"/>
      <c r="W7" s="52"/>
      <c r="X7" s="52"/>
      <c r="Y7" s="52"/>
      <c r="Z7" s="52"/>
      <c r="AA7" s="52"/>
      <c r="AB7" s="52"/>
      <c r="AC7" s="52"/>
      <c r="AD7" s="52"/>
      <c r="AE7" s="37"/>
      <c r="AF7" s="52"/>
      <c r="AG7" s="52"/>
      <c r="AH7" s="57"/>
      <c r="AI7" s="46"/>
      <c r="AJ7" s="47"/>
      <c r="AK7" s="58"/>
      <c r="AL7" s="58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8"/>
      <c r="BH7" s="58"/>
      <c r="BI7" s="58"/>
      <c r="BJ7" s="58"/>
      <c r="BK7" s="58"/>
      <c r="BL7" s="58"/>
    </row>
    <row r="8" spans="2:80" s="17" customFormat="1" ht="13" x14ac:dyDescent="0.3">
      <c r="B8" s="14" t="s">
        <v>23</v>
      </c>
      <c r="C8" s="6"/>
      <c r="F8" s="19">
        <v>2</v>
      </c>
      <c r="G8" s="37">
        <f>+G10+G12+G26+G27+G28+G29+G30+G31</f>
        <v>2018227823</v>
      </c>
      <c r="H8" s="37">
        <f t="shared" ref="H8:Q8" si="0">+H10+H12</f>
        <v>138493389.50347</v>
      </c>
      <c r="I8" s="37">
        <f t="shared" si="0"/>
        <v>123642173.95199999</v>
      </c>
      <c r="J8" s="37">
        <f t="shared" si="0"/>
        <v>150351395</v>
      </c>
      <c r="K8" s="37">
        <f t="shared" si="0"/>
        <v>215658163.014</v>
      </c>
      <c r="L8" s="37">
        <f t="shared" si="0"/>
        <v>181302587</v>
      </c>
      <c r="M8" s="37">
        <f t="shared" si="0"/>
        <v>139143564.07300001</v>
      </c>
      <c r="N8" s="37">
        <f t="shared" si="0"/>
        <v>145687983</v>
      </c>
      <c r="O8" s="37">
        <f t="shared" si="0"/>
        <v>131772961</v>
      </c>
      <c r="P8" s="37">
        <f t="shared" si="0"/>
        <v>183254912.083</v>
      </c>
      <c r="Q8" s="37">
        <f t="shared" si="0"/>
        <v>203266846.36800998</v>
      </c>
      <c r="R8" s="37"/>
      <c r="S8" s="37"/>
      <c r="T8" s="37">
        <f t="shared" ref="T8:AH8" si="1">+T10+T12+T31</f>
        <v>1612573974.99348</v>
      </c>
      <c r="U8" s="37">
        <f t="shared" si="1"/>
        <v>1887451227</v>
      </c>
      <c r="V8" s="37">
        <f t="shared" si="1"/>
        <v>165884419.24704</v>
      </c>
      <c r="W8" s="37">
        <f t="shared" si="1"/>
        <v>101190249</v>
      </c>
      <c r="X8" s="37">
        <f t="shared" si="1"/>
        <v>141124693</v>
      </c>
      <c r="Y8" s="37">
        <f t="shared" si="1"/>
        <v>213014449</v>
      </c>
      <c r="Z8" s="37">
        <f t="shared" si="1"/>
        <v>162394547.5</v>
      </c>
      <c r="AA8" s="37">
        <f t="shared" si="1"/>
        <v>140361284.11900002</v>
      </c>
      <c r="AB8" s="37">
        <f t="shared" si="1"/>
        <v>135989151</v>
      </c>
      <c r="AC8" s="37">
        <f t="shared" si="1"/>
        <v>128217824</v>
      </c>
      <c r="AD8" s="37">
        <f t="shared" si="1"/>
        <v>170051046.859</v>
      </c>
      <c r="AE8" s="37">
        <f t="shared" si="1"/>
        <v>172980249</v>
      </c>
      <c r="AF8" s="37">
        <f t="shared" si="1"/>
        <v>0</v>
      </c>
      <c r="AG8" s="37">
        <f t="shared" si="1"/>
        <v>0</v>
      </c>
      <c r="AH8" s="37">
        <f t="shared" si="1"/>
        <v>1531207912.72504</v>
      </c>
      <c r="AI8" s="46"/>
      <c r="AJ8" s="49">
        <v>1834252150</v>
      </c>
      <c r="AK8" s="49" t="e">
        <f>+#REF!</f>
        <v>#REF!</v>
      </c>
      <c r="AL8" s="49" t="e">
        <f>+#REF!</f>
        <v>#REF!</v>
      </c>
      <c r="AM8" s="49" t="e">
        <f>+#REF!</f>
        <v>#REF!</v>
      </c>
      <c r="AN8" s="49" t="e">
        <f>+#REF!</f>
        <v>#REF!</v>
      </c>
      <c r="AO8" s="49" t="e">
        <f>+#REF!</f>
        <v>#REF!</v>
      </c>
      <c r="AP8" s="49">
        <f>AJ8-G8</f>
        <v>-183975673</v>
      </c>
      <c r="AQ8" s="49" t="e">
        <f>+AK8-N8</f>
        <v>#REF!</v>
      </c>
      <c r="AR8" s="49" t="e">
        <f>+AL8-T8</f>
        <v>#REF!</v>
      </c>
      <c r="AS8" s="49" t="e">
        <f>+AM8-U8</f>
        <v>#REF!</v>
      </c>
      <c r="AT8" s="49" t="e">
        <f>+AN8-AB8</f>
        <v>#REF!</v>
      </c>
      <c r="AU8" s="49" t="e">
        <f>+AO8-AH8</f>
        <v>#REF!</v>
      </c>
      <c r="AV8" s="49"/>
      <c r="AW8" s="49"/>
      <c r="AX8" s="49"/>
      <c r="AY8" s="59"/>
      <c r="AZ8" s="59"/>
      <c r="BA8" s="59"/>
      <c r="BB8" s="59"/>
      <c r="BC8" s="59"/>
      <c r="BD8" s="59"/>
      <c r="BE8" s="59"/>
      <c r="BF8" s="59"/>
      <c r="BG8" s="58"/>
      <c r="BH8" s="58"/>
      <c r="BI8" s="58"/>
      <c r="BJ8" s="58"/>
      <c r="BK8" s="58"/>
      <c r="BL8" s="58"/>
    </row>
    <row r="9" spans="2:80" s="17" customFormat="1" ht="13" x14ac:dyDescent="0.3">
      <c r="B9" s="14"/>
      <c r="C9" s="6"/>
      <c r="F9" s="19"/>
      <c r="G9" s="37"/>
      <c r="H9" s="37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44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61"/>
      <c r="AI9" s="46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59"/>
      <c r="AZ9" s="59"/>
      <c r="BA9" s="59"/>
      <c r="BB9" s="59"/>
      <c r="BC9" s="59"/>
      <c r="BD9" s="59"/>
      <c r="BE9" s="59"/>
      <c r="BF9" s="59"/>
      <c r="BG9" s="58"/>
      <c r="BH9" s="58"/>
      <c r="BI9" s="58"/>
      <c r="BJ9" s="58"/>
      <c r="BK9" s="58"/>
      <c r="BL9" s="58"/>
    </row>
    <row r="10" spans="2:80" s="17" customFormat="1" ht="13" x14ac:dyDescent="0.3">
      <c r="B10" s="62"/>
      <c r="C10" s="6" t="s">
        <v>24</v>
      </c>
      <c r="F10" s="19">
        <v>2</v>
      </c>
      <c r="G10" s="63">
        <f>+'[11]22-23'!$I$48</f>
        <v>1099035660</v>
      </c>
      <c r="H10" s="63">
        <f>+'[12]22-23'!$N$48</f>
        <v>85995101</v>
      </c>
      <c r="I10" s="63">
        <f>+'[13]22-23'!$S$48</f>
        <v>72269046</v>
      </c>
      <c r="J10" s="63">
        <f>'[14]22-23'!$X$48</f>
        <v>73372195</v>
      </c>
      <c r="K10" s="63">
        <f>'[15]22-23'!$AC$48</f>
        <v>120451030</v>
      </c>
      <c r="L10" s="63">
        <f>'[16]22-23'!$AH$48</f>
        <v>85259339</v>
      </c>
      <c r="M10" s="63">
        <f>'[17]22-23'!$AM$48</f>
        <v>65273947</v>
      </c>
      <c r="N10" s="63">
        <f>'[18]22-23'!$AR$48</f>
        <v>90426120</v>
      </c>
      <c r="O10" s="63">
        <f>+'[19]22-23'!$AW$48</f>
        <v>79632838</v>
      </c>
      <c r="P10" s="63">
        <f>+'[11]22-23'!$BB$48</f>
        <v>98873545</v>
      </c>
      <c r="Q10" s="63">
        <f>'[20]22-23'!$BG$48</f>
        <v>98304918</v>
      </c>
      <c r="R10" s="63"/>
      <c r="S10" s="63"/>
      <c r="T10" s="45">
        <f>SUM(H10:S10)</f>
        <v>869858079</v>
      </c>
      <c r="U10" s="64">
        <f>+'[21]21-22'!$I$48</f>
        <v>1031822641</v>
      </c>
      <c r="V10" s="63">
        <f>+'[22]21-22'!$N$48</f>
        <v>116698071</v>
      </c>
      <c r="W10" s="63">
        <f>+'[23]21-22'!$S$48</f>
        <v>53776623</v>
      </c>
      <c r="X10" s="63">
        <f>'[24]21-22'!$X$48</f>
        <v>67735900</v>
      </c>
      <c r="Y10" s="63">
        <f>'[25]21-22'!$AC$48</f>
        <v>127199781</v>
      </c>
      <c r="Z10" s="63">
        <f>'[26]21-22'!$AH$48</f>
        <v>75402087</v>
      </c>
      <c r="AA10" s="63">
        <f>'[21]21-22'!$AM$48</f>
        <v>63556546</v>
      </c>
      <c r="AB10" s="63">
        <f>'[27]21-22'!$AR$48</f>
        <v>87289951</v>
      </c>
      <c r="AC10" s="63">
        <f>+'[28]21-22'!$AW$48</f>
        <v>80129844</v>
      </c>
      <c r="AD10" s="63">
        <f>+'[29]21-22'!$BB$48</f>
        <v>90767590</v>
      </c>
      <c r="AE10" s="63">
        <f>'[30]21-22'!$BG$48</f>
        <v>83747867</v>
      </c>
      <c r="AF10" s="63"/>
      <c r="AG10" s="63"/>
      <c r="AH10" s="65">
        <f>SUM(V10:AG10)</f>
        <v>846304260</v>
      </c>
      <c r="AI10" s="46"/>
      <c r="AJ10" s="49" t="e">
        <f>+#REF!</f>
        <v>#REF!</v>
      </c>
      <c r="AK10" s="49" t="e">
        <f>+#REF!</f>
        <v>#REF!</v>
      </c>
      <c r="AL10" s="49" t="e">
        <f>+#REF!</f>
        <v>#REF!</v>
      </c>
      <c r="AM10" s="49" t="e">
        <f>+#REF!</f>
        <v>#REF!</v>
      </c>
      <c r="AN10" s="49" t="e">
        <f>+#REF!</f>
        <v>#REF!</v>
      </c>
      <c r="AO10" s="49" t="e">
        <f>+#REF!</f>
        <v>#REF!</v>
      </c>
      <c r="AP10" s="49" t="e">
        <f>AJ10-G10</f>
        <v>#REF!</v>
      </c>
      <c r="AQ10" s="49" t="e">
        <f>+AK10-N10</f>
        <v>#REF!</v>
      </c>
      <c r="AR10" s="49" t="e">
        <f>+AL10-T10</f>
        <v>#REF!</v>
      </c>
      <c r="AS10" s="49" t="e">
        <f>+AM10-U10</f>
        <v>#REF!</v>
      </c>
      <c r="AT10" s="49" t="e">
        <f>+AN10-AB10</f>
        <v>#REF!</v>
      </c>
      <c r="AU10" s="49" t="e">
        <f>+AO10-AH10</f>
        <v>#REF!</v>
      </c>
      <c r="AV10" s="49"/>
      <c r="AW10" s="49"/>
      <c r="AX10" s="49"/>
      <c r="AY10" s="59"/>
      <c r="AZ10" s="59"/>
      <c r="BA10" s="59"/>
      <c r="BB10" s="59"/>
      <c r="BC10" s="59"/>
      <c r="BD10" s="59"/>
      <c r="BE10" s="59"/>
      <c r="BF10" s="59"/>
      <c r="BG10" s="58"/>
      <c r="BH10" s="58"/>
      <c r="BI10" s="58"/>
      <c r="BJ10" s="58"/>
      <c r="BK10" s="58"/>
      <c r="BL10" s="58"/>
    </row>
    <row r="11" spans="2:80" s="17" customFormat="1" ht="13" x14ac:dyDescent="0.3">
      <c r="B11" s="14"/>
      <c r="C11" s="6"/>
      <c r="F11" s="19"/>
      <c r="G11" s="37"/>
      <c r="H11" s="3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44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61"/>
      <c r="AI11" s="46"/>
      <c r="AJ11" s="4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8"/>
      <c r="BH11" s="58"/>
      <c r="BI11" s="58"/>
      <c r="BJ11" s="58"/>
      <c r="BK11" s="58"/>
      <c r="BL11" s="58"/>
    </row>
    <row r="12" spans="2:80" s="17" customFormat="1" ht="13" x14ac:dyDescent="0.3">
      <c r="B12" s="62"/>
      <c r="C12" s="6" t="s">
        <v>25</v>
      </c>
      <c r="F12" s="19">
        <v>2</v>
      </c>
      <c r="G12" s="63">
        <f>SUM(G13:G25)-G18-G22-G24</f>
        <v>919958997</v>
      </c>
      <c r="H12" s="63">
        <f>+H13+H14+H15+H16+H17</f>
        <v>52498288.503470004</v>
      </c>
      <c r="I12" s="63">
        <f>+I13+I14+I15+I16+I17</f>
        <v>51373127.952</v>
      </c>
      <c r="J12" s="63">
        <f>+J13+J14+J15+J16+J17</f>
        <v>76979200</v>
      </c>
      <c r="K12" s="63">
        <f t="shared" ref="K12:Q12" si="2">+K13+K14+K15+K16+K17+K18</f>
        <v>95207133.013999999</v>
      </c>
      <c r="L12" s="63">
        <f t="shared" si="2"/>
        <v>96043248</v>
      </c>
      <c r="M12" s="63">
        <f t="shared" si="2"/>
        <v>73869617.072999999</v>
      </c>
      <c r="N12" s="63">
        <f t="shared" si="2"/>
        <v>55261863</v>
      </c>
      <c r="O12" s="63">
        <f t="shared" si="2"/>
        <v>52140123</v>
      </c>
      <c r="P12" s="63">
        <f t="shared" si="2"/>
        <v>84381367.083000004</v>
      </c>
      <c r="Q12" s="63">
        <f t="shared" si="2"/>
        <v>104961928.36801</v>
      </c>
      <c r="R12" s="63"/>
      <c r="S12" s="63"/>
      <c r="T12" s="63">
        <f>SUM(T13:T25)-T18</f>
        <v>742715895.99347997</v>
      </c>
      <c r="U12" s="63">
        <f t="shared" ref="U12:AH12" si="3">SUM(U13:U25)-U18-U22-U24</f>
        <v>855628586</v>
      </c>
      <c r="V12" s="66">
        <f t="shared" si="3"/>
        <v>49186348.247040004</v>
      </c>
      <c r="W12" s="45">
        <f t="shared" si="3"/>
        <v>47413626</v>
      </c>
      <c r="X12" s="63">
        <f t="shared" si="3"/>
        <v>73388793</v>
      </c>
      <c r="Y12" s="63">
        <f t="shared" si="3"/>
        <v>85814668</v>
      </c>
      <c r="Z12" s="63">
        <f t="shared" si="3"/>
        <v>86992460.5</v>
      </c>
      <c r="AA12" s="63">
        <f t="shared" si="3"/>
        <v>76804738.119000003</v>
      </c>
      <c r="AB12" s="63">
        <f t="shared" si="3"/>
        <v>48699200</v>
      </c>
      <c r="AC12" s="63">
        <f t="shared" si="3"/>
        <v>48087980</v>
      </c>
      <c r="AD12" s="63">
        <f t="shared" si="3"/>
        <v>79283456.858999997</v>
      </c>
      <c r="AE12" s="63">
        <f t="shared" si="3"/>
        <v>89232382</v>
      </c>
      <c r="AF12" s="63">
        <f t="shared" si="3"/>
        <v>0</v>
      </c>
      <c r="AG12" s="63">
        <f t="shared" si="3"/>
        <v>0</v>
      </c>
      <c r="AH12" s="66">
        <f t="shared" si="3"/>
        <v>684903652.72503996</v>
      </c>
      <c r="AI12" s="64"/>
      <c r="AJ12" s="44" t="e">
        <f>+#REF!</f>
        <v>#REF!</v>
      </c>
      <c r="AK12" s="49" t="e">
        <f>+#REF!</f>
        <v>#REF!</v>
      </c>
      <c r="AL12" s="49" t="e">
        <f>+#REF!</f>
        <v>#REF!</v>
      </c>
      <c r="AM12" s="49" t="e">
        <f>+#REF!</f>
        <v>#REF!</v>
      </c>
      <c r="AN12" s="49" t="e">
        <f>+#REF!</f>
        <v>#REF!</v>
      </c>
      <c r="AO12" s="49" t="e">
        <f>+#REF!</f>
        <v>#REF!</v>
      </c>
      <c r="AP12" s="49" t="e">
        <f>AJ12-G12</f>
        <v>#REF!</v>
      </c>
      <c r="AQ12" s="49" t="e">
        <f>+AK12-N12</f>
        <v>#REF!</v>
      </c>
      <c r="AR12" s="49" t="e">
        <f>+AL12-T12</f>
        <v>#REF!</v>
      </c>
      <c r="AS12" s="49">
        <v>0</v>
      </c>
      <c r="AT12" s="49" t="e">
        <f>+AN12-AB12</f>
        <v>#REF!</v>
      </c>
      <c r="AU12" s="49" t="e">
        <f>+AO12-AH12</f>
        <v>#REF!</v>
      </c>
      <c r="AV12" s="49"/>
      <c r="AW12" s="49"/>
      <c r="AX12" s="49"/>
      <c r="AY12" s="59"/>
      <c r="AZ12" s="59"/>
      <c r="BA12" s="59"/>
      <c r="BB12" s="59"/>
      <c r="BC12" s="59"/>
      <c r="BD12" s="59"/>
      <c r="BE12" s="59"/>
      <c r="BF12" s="59"/>
      <c r="BG12" s="58"/>
      <c r="BH12" s="58"/>
      <c r="BI12" s="58"/>
      <c r="BJ12" s="58"/>
      <c r="BK12" s="58"/>
      <c r="BL12" s="58"/>
    </row>
    <row r="13" spans="2:80" s="68" customFormat="1" ht="13" x14ac:dyDescent="0.3">
      <c r="B13" s="62"/>
      <c r="C13" s="67"/>
      <c r="D13" s="68" t="s">
        <v>26</v>
      </c>
      <c r="F13" s="69"/>
      <c r="G13" s="70">
        <f>+'[11]22-23'!$I$53</f>
        <v>307738809</v>
      </c>
      <c r="H13" s="70">
        <f>+'[12]22-23'!$N$53</f>
        <v>3383917.5034699999</v>
      </c>
      <c r="I13" s="71">
        <f>+'[13]22-23'!$S$53</f>
        <v>2612522.952</v>
      </c>
      <c r="J13" s="71">
        <f>'[14]22-23'!$X$53</f>
        <v>29876720</v>
      </c>
      <c r="K13" s="71">
        <f>'[15]22-23'!$AC$53</f>
        <v>46420658.013999999</v>
      </c>
      <c r="L13" s="71">
        <f>'[16]22-23'!$AH$53</f>
        <v>40543167</v>
      </c>
      <c r="M13" s="71">
        <f>'[17]22-23'!$AM$53</f>
        <v>24956108.072999999</v>
      </c>
      <c r="N13" s="71">
        <f>'[18]22-23'!$AR$53</f>
        <v>6483835</v>
      </c>
      <c r="O13" s="71">
        <f>+'[19]22-23'!$AW$53</f>
        <v>3371859</v>
      </c>
      <c r="P13" s="71">
        <f>+'[11]22-23'!$BB$53</f>
        <v>30525325.083000001</v>
      </c>
      <c r="Q13" s="71">
        <f>'[20]22-23'!$BG$53</f>
        <v>49904871.368009999</v>
      </c>
      <c r="R13" s="71"/>
      <c r="S13" s="71"/>
      <c r="T13" s="71">
        <f>SUM(H13:S13)</f>
        <v>238078983.99347997</v>
      </c>
      <c r="U13" s="70">
        <f>+'[21]21-22'!$I$53</f>
        <v>268071602</v>
      </c>
      <c r="V13" s="70">
        <f>+'[22]21-22'!$N$53</f>
        <v>3056138.2470400003</v>
      </c>
      <c r="W13" s="70">
        <f>+'[23]21-22'!$S$53</f>
        <v>1776922</v>
      </c>
      <c r="X13" s="70">
        <f>'[24]21-22'!$X$53</f>
        <v>27683786</v>
      </c>
      <c r="Y13" s="70">
        <f>'[25]21-22'!$AC$53</f>
        <v>40164311</v>
      </c>
      <c r="Z13" s="70">
        <f>'[26]21-22'!$AH$53</f>
        <v>36301135.5</v>
      </c>
      <c r="AA13" s="70">
        <f>'[21]21-22'!$AM$53</f>
        <v>21240362.118999999</v>
      </c>
      <c r="AB13" s="70">
        <f>'[27]21-22'!$AR$53+1</f>
        <v>3037191</v>
      </c>
      <c r="AC13" s="70">
        <f>+'[28]21-22'!$AW$53</f>
        <v>2472109</v>
      </c>
      <c r="AD13" s="70">
        <f>+'[29]21-22'!$BB$53</f>
        <v>28582704.859000001</v>
      </c>
      <c r="AE13" s="70">
        <f>'[30]21-22'!$BG$53</f>
        <v>43436874</v>
      </c>
      <c r="AF13" s="70"/>
      <c r="AG13" s="70"/>
      <c r="AH13" s="72">
        <f>SUM(V13:AG13)</f>
        <v>207751533.72503999</v>
      </c>
      <c r="AI13" s="73"/>
      <c r="AJ13" s="74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6"/>
      <c r="BH13" s="76"/>
      <c r="BI13" s="76"/>
      <c r="BJ13" s="76"/>
      <c r="BK13" s="76"/>
      <c r="BL13" s="76"/>
    </row>
    <row r="14" spans="2:80" s="68" customFormat="1" ht="13" x14ac:dyDescent="0.3">
      <c r="B14" s="62"/>
      <c r="C14" s="67"/>
      <c r="D14" s="68" t="s">
        <v>27</v>
      </c>
      <c r="F14" s="69"/>
      <c r="G14" s="70">
        <f>+'[11]22-23'!$I$56</f>
        <v>570868206</v>
      </c>
      <c r="H14" s="70">
        <f>+'[12]22-23'!$N$56</f>
        <v>46729733</v>
      </c>
      <c r="I14" s="71">
        <f>+'[13]22-23'!$S$56</f>
        <v>46729733</v>
      </c>
      <c r="J14" s="71">
        <f>'[14]22-23'!$X$56</f>
        <v>46729733</v>
      </c>
      <c r="K14" s="71">
        <f>'[15]22-23'!$AC$56</f>
        <v>46729733</v>
      </c>
      <c r="L14" s="71">
        <f>'[16]22-23'!$AH$56</f>
        <v>46729733</v>
      </c>
      <c r="M14" s="71">
        <f>'[17]22-23'!$AM$56</f>
        <v>46729733</v>
      </c>
      <c r="N14" s="71">
        <f>'[18]22-23'!$AR$56</f>
        <v>46729733</v>
      </c>
      <c r="O14" s="71">
        <f>+'[19]22-23'!$AW$56</f>
        <v>46729733</v>
      </c>
      <c r="P14" s="71">
        <f>+'[11]22-23'!$BB$56</f>
        <v>46729733</v>
      </c>
      <c r="Q14" s="71">
        <f>'[20]22-23'!$BG$56</f>
        <v>52815985</v>
      </c>
      <c r="R14" s="71"/>
      <c r="S14" s="71"/>
      <c r="T14" s="71">
        <f>SUM(H14:S14)</f>
        <v>473383582</v>
      </c>
      <c r="U14" s="72">
        <f>+'[21]21-22'!$I$56</f>
        <v>544834911</v>
      </c>
      <c r="V14" s="70">
        <f>+'[22]21-22'!$N$56</f>
        <v>43640529</v>
      </c>
      <c r="W14" s="70">
        <f>+'[23]21-22'!$S$56</f>
        <v>43640529</v>
      </c>
      <c r="X14" s="70">
        <f>'[24]21-22'!$X$56</f>
        <v>43640529</v>
      </c>
      <c r="Y14" s="70">
        <f>'[25]21-22'!$AC$56</f>
        <v>43640529</v>
      </c>
      <c r="Z14" s="70">
        <f>'[26]21-22'!$AH$56</f>
        <v>43640529</v>
      </c>
      <c r="AA14" s="70">
        <f>'[21]21-22'!$AM$56</f>
        <v>50993065</v>
      </c>
      <c r="AB14" s="70">
        <f>'[27]21-22'!$AR$56</f>
        <v>43640529</v>
      </c>
      <c r="AC14" s="70">
        <f>+'[28]21-22'!$AW$56</f>
        <v>43640529</v>
      </c>
      <c r="AD14" s="70">
        <f>+'[29]21-22'!$BB$56</f>
        <v>43640529</v>
      </c>
      <c r="AE14" s="70">
        <f>'[30]21-22'!$BG$56</f>
        <v>43640530</v>
      </c>
      <c r="AF14" s="70"/>
      <c r="AG14" s="70"/>
      <c r="AH14" s="77">
        <f>SUM(V14:AG14)</f>
        <v>443757827</v>
      </c>
      <c r="AI14" s="73"/>
      <c r="AJ14" s="74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6"/>
      <c r="BH14" s="76"/>
      <c r="BI14" s="76"/>
      <c r="BJ14" s="76"/>
      <c r="BK14" s="76"/>
      <c r="BL14" s="76"/>
    </row>
    <row r="15" spans="2:80" s="68" customFormat="1" ht="13" x14ac:dyDescent="0.3">
      <c r="B15" s="62"/>
      <c r="C15" s="67"/>
      <c r="D15" s="68" t="s">
        <v>28</v>
      </c>
      <c r="F15" s="69"/>
      <c r="G15" s="70">
        <f>+'[11]22-23'!$I$57</f>
        <v>15334823</v>
      </c>
      <c r="H15" s="70">
        <f>+'[12]22-23'!$N$57</f>
        <v>0</v>
      </c>
      <c r="I15" s="71">
        <v>0</v>
      </c>
      <c r="J15" s="71">
        <v>0</v>
      </c>
      <c r="K15" s="71">
        <f>'[15]22-23'!$AC$57</f>
        <v>0</v>
      </c>
      <c r="L15" s="71">
        <f>'[16]22-23'!$AH$57</f>
        <v>5111607</v>
      </c>
      <c r="M15" s="71">
        <f>'[17]22-23'!$AM$57</f>
        <v>0</v>
      </c>
      <c r="N15" s="71">
        <v>0</v>
      </c>
      <c r="O15" s="71">
        <f>+'[19]22-23'!$AW$57</f>
        <v>0</v>
      </c>
      <c r="P15" s="71">
        <f>+'[11]22-23'!$BB$57</f>
        <v>5111607</v>
      </c>
      <c r="Q15" s="71">
        <f>'[20]22-23'!$BG$57</f>
        <v>0</v>
      </c>
      <c r="R15" s="71"/>
      <c r="S15" s="71"/>
      <c r="T15" s="71">
        <f>SUM(H15:S15)</f>
        <v>10223214</v>
      </c>
      <c r="U15" s="72">
        <f>+'[21]21-22'!$I$57</f>
        <v>14617279</v>
      </c>
      <c r="V15" s="70">
        <v>0</v>
      </c>
      <c r="W15" s="70">
        <v>0</v>
      </c>
      <c r="X15" s="70">
        <v>0</v>
      </c>
      <c r="Y15" s="70">
        <v>0</v>
      </c>
      <c r="Z15" s="70">
        <f>+'[26]21-22'!$BV$57</f>
        <v>4872427</v>
      </c>
      <c r="AA15" s="70">
        <f>'[21]21-22'!$AM$57</f>
        <v>0</v>
      </c>
      <c r="AB15" s="70">
        <f>'[27]21-22'!$AR$57</f>
        <v>0</v>
      </c>
      <c r="AC15" s="70">
        <f>+'[28]21-22'!$AW$57</f>
        <v>0</v>
      </c>
      <c r="AD15" s="70">
        <f>+'[29]21-22'!$BB$57</f>
        <v>4872427</v>
      </c>
      <c r="AE15" s="70">
        <f>'[30]21-22'!$BG$57</f>
        <v>0</v>
      </c>
      <c r="AF15" s="70"/>
      <c r="AG15" s="70"/>
      <c r="AH15" s="77">
        <f>SUM(V15:AG15)</f>
        <v>9744854</v>
      </c>
      <c r="AI15" s="73"/>
      <c r="AJ15" s="74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6"/>
      <c r="BH15" s="76"/>
      <c r="BI15" s="76"/>
      <c r="BJ15" s="76"/>
      <c r="BK15" s="76"/>
      <c r="BL15" s="76"/>
    </row>
    <row r="16" spans="2:80" s="68" customFormat="1" ht="13" x14ac:dyDescent="0.3">
      <c r="B16" s="62"/>
      <c r="C16" s="67"/>
      <c r="D16" s="68" t="s">
        <v>29</v>
      </c>
      <c r="F16" s="69"/>
      <c r="G16" s="70">
        <f>+'[11]22-23'!$I$63</f>
        <v>21238137</v>
      </c>
      <c r="H16" s="70">
        <f>+'[12]22-23'!$N$60</f>
        <v>1894466</v>
      </c>
      <c r="I16" s="71">
        <f>+'[13]22-23'!$S$60</f>
        <v>1656276</v>
      </c>
      <c r="J16" s="71">
        <f>'[14]22-23'!$X$60</f>
        <v>340</v>
      </c>
      <c r="K16" s="71">
        <f>+'[15]22-23'!$AC$62</f>
        <v>1612402</v>
      </c>
      <c r="L16" s="71">
        <f>'[16]22-23'!$AH$62</f>
        <v>3319943</v>
      </c>
      <c r="M16" s="71">
        <f>'[17]22-23'!$AM$62</f>
        <v>1666735</v>
      </c>
      <c r="N16" s="71">
        <f>'[18]22-23'!$AR$62</f>
        <v>1719424</v>
      </c>
      <c r="O16" s="71">
        <f>+'[19]22-23'!$AW$62</f>
        <v>1718306</v>
      </c>
      <c r="P16" s="71">
        <f>+'[11]22-23'!$BB$63</f>
        <v>1700134</v>
      </c>
      <c r="Q16" s="71">
        <f>'[20]22-23'!$BG$63</f>
        <v>1934519</v>
      </c>
      <c r="R16" s="71"/>
      <c r="S16" s="71"/>
      <c r="T16" s="71">
        <f>SUM(H16:S16)</f>
        <v>17222545</v>
      </c>
      <c r="U16" s="72">
        <f>+'[21]21-22'!$I$65</f>
        <v>19011610</v>
      </c>
      <c r="V16" s="70">
        <f>+'[22]21-22'!$N$70</f>
        <v>1616206</v>
      </c>
      <c r="W16" s="70">
        <f>+'[23]21-22'!$S$70</f>
        <v>1478092</v>
      </c>
      <c r="X16" s="70">
        <f>'[24]21-22'!$X$70</f>
        <v>1397748</v>
      </c>
      <c r="Y16" s="70">
        <f>'[25]21-22'!$AC$70</f>
        <v>1581888</v>
      </c>
      <c r="Z16" s="70">
        <f>'[26]21-22'!$AH$70</f>
        <v>1637272</v>
      </c>
      <c r="AA16" s="70">
        <f>'[21]21-22'!$AM$65</f>
        <v>1522217</v>
      </c>
      <c r="AB16" s="70">
        <f>'[27]21-22'!$AR$65</f>
        <v>1566096</v>
      </c>
      <c r="AC16" s="70">
        <f>+'[28]21-22'!$AW$65</f>
        <v>1556272</v>
      </c>
      <c r="AD16" s="70">
        <f>+'[29]21-22'!$BB$65</f>
        <v>1569645</v>
      </c>
      <c r="AE16" s="70">
        <f>'[30]21-22'!$BG$65</f>
        <v>1779977</v>
      </c>
      <c r="AF16" s="70"/>
      <c r="AG16" s="70"/>
      <c r="AH16" s="77">
        <f>SUM(V16:AG16)</f>
        <v>15705413</v>
      </c>
      <c r="AI16" s="73"/>
      <c r="AJ16" s="74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6"/>
      <c r="BH16" s="76"/>
      <c r="BI16" s="76"/>
      <c r="BJ16" s="76"/>
      <c r="BK16" s="76"/>
      <c r="BL16" s="76"/>
    </row>
    <row r="17" spans="2:64" s="68" customFormat="1" ht="13" x14ac:dyDescent="0.3">
      <c r="B17" s="62"/>
      <c r="C17" s="67"/>
      <c r="D17" s="68" t="s">
        <v>30</v>
      </c>
      <c r="F17" s="69"/>
      <c r="G17" s="70">
        <f>+'[11]22-23'!$I$51+'[11]22-23'!$I$52+'[11]22-23'!$I$58+'[11]22-23'!$I$59+'[11]22-23'!$I$64+'[11]22-23'!$I$65+'[11]22-23'!$I$66</f>
        <v>4472765</v>
      </c>
      <c r="H17" s="70">
        <f>+'[12]22-23'!$N$51+'[12]22-23'!$N$52+'[12]22-23'!$N$58+'[12]22-23'!$N$61+'[12]22-23'!$N$62+'[12]22-23'!$N$63</f>
        <v>490172</v>
      </c>
      <c r="I17" s="71">
        <f>+'[13]22-23'!$S$51+'[13]22-23'!$S$52+'[13]22-23'!$S$58+'[13]22-23'!$S$61+'[13]22-23'!$S$62</f>
        <v>374596</v>
      </c>
      <c r="J17" s="71">
        <f>'[14]22-23'!$X$51+'[14]22-23'!$X$52+'[14]22-23'!$X$58+'[14]22-23'!$X$61+'[14]22-23'!$X$62+'[14]22-23'!$X$59</f>
        <v>372407</v>
      </c>
      <c r="K17" s="71">
        <f>+'[15]22-23'!$AC$51+'[15]22-23'!$AC$52+'[15]22-23'!$AC$59+'[15]22-23'!$AC$58+'[15]22-23'!$AC$63+'[15]22-23'!$AC$64+'[15]22-23'!$AC$65</f>
        <v>439148</v>
      </c>
      <c r="L17" s="71">
        <f>'[16]22-23'!$AH$51+'[16]22-23'!$AH$52+'[16]22-23'!$AH$63+'[16]22-23'!$AH$64+'[16]22-23'!$AH$58</f>
        <v>338798</v>
      </c>
      <c r="M17" s="71">
        <f>+'[17]22-23'!$AM$51+'[17]22-23'!$AM$52+'[17]22-23'!$AM$58+'[17]22-23'!$AM$63+'[17]22-23'!$AM$64+'[17]22-23'!$AM$65</f>
        <v>321574</v>
      </c>
      <c r="N17" s="71">
        <f>'[18]22-23'!$AR$51+'[18]22-23'!$AR$52+'[18]22-23'!$AR$58+'[18]22-23'!$AR$63+'[18]22-23'!$AR$64</f>
        <v>328871</v>
      </c>
      <c r="O17" s="71">
        <f>+'[19]22-23'!$AW$51+'[19]22-23'!$AW$52+'[19]22-23'!$AW$59+'[19]22-23'!$AW$60+'[19]22-23'!$AW$63+'[19]22-23'!$AW$64+'[19]22-23'!$AW$65+'[19]22-23'!$AW$58</f>
        <v>320225</v>
      </c>
      <c r="P17" s="71">
        <f>+'[11]22-23'!$BB$51+'[11]22-23'!$BB$52+'[11]22-23'!$BB$58+'[11]22-23'!$BB$59+'[11]22-23'!$BB$60+'[11]22-23'!$BB$64+'[11]22-23'!$BB$65+'[11]22-23'!$BB$66</f>
        <v>314568</v>
      </c>
      <c r="Q17" s="71">
        <f>'[20]22-23'!$BG$51+'[20]22-23'!$BG$52+'[20]22-23'!$BG$57+'[20]22-23'!$BG$58+'[20]22-23'!$BG$59+'[20]22-23'!$BG$60+'[20]22-23'!$BG$64+'[20]22-23'!$BG$65+'[20]22-23'!$BG$66</f>
        <v>306553</v>
      </c>
      <c r="R17" s="71"/>
      <c r="S17" s="71"/>
      <c r="T17" s="71">
        <f>SUM(H17:S17)</f>
        <v>3606912</v>
      </c>
      <c r="U17" s="72">
        <f>+'[21]21-22'!$I$51+'[21]21-22'!$I$52+'[21]21-22'!$I$58+'[21]21-22'!$I$59+'[21]21-22'!$I$66+'[21]21-22'!$I$67+'[21]21-22'!$I$68</f>
        <v>6062298</v>
      </c>
      <c r="V17" s="70">
        <f>+'[22]21-22'!$N$51+'[22]21-22'!$N$52+'[22]21-22'!$N$58+'[22]21-22'!$N$71+'[22]21-22'!$N$72</f>
        <v>873475</v>
      </c>
      <c r="W17" s="70">
        <f>+'[23]21-22'!$S$51+'[23]21-22'!$S$52+'[23]21-22'!$S$58+'[23]21-22'!$S$59+'[23]21-22'!$S$71+'[23]21-22'!$S$72</f>
        <v>518083</v>
      </c>
      <c r="X17" s="70">
        <f>'[24]21-22'!$X$51+'[24]21-22'!$X$52+'[24]21-22'!$X$58+'[24]21-22'!$X$59+'[24]21-22'!$X$71+'[24]21-22'!$X$72</f>
        <v>621730</v>
      </c>
      <c r="Y17" s="70">
        <f>'[25]21-22'!$AC$51+'[25]21-22'!$AC$52+'[25]21-22'!$AC$58+'[25]21-22'!$AC$71+'[25]21-22'!$AC$72</f>
        <v>427940</v>
      </c>
      <c r="Z17" s="70">
        <f>'[26]21-22'!$AH$51+'[26]21-22'!$AH$52+'[26]21-22'!$AH$58+'[26]21-22'!$AH$71+'[26]21-22'!$AH$72</f>
        <v>490318</v>
      </c>
      <c r="AA17" s="70">
        <f>'[21]21-22'!$AM$51+'[21]21-22'!$AM$52+'[21]21-22'!$AM$58+'[21]21-22'!$AM$59+'[21]21-22'!$AM$66+'[21]21-22'!$AM$67</f>
        <v>419239</v>
      </c>
      <c r="AB17" s="70">
        <f>'[27]21-22'!$AR$51+'[27]21-22'!$AR$52+'[27]21-22'!$AR$58+'[27]21-22'!$AR$66+'[27]21-22'!$AR$67</f>
        <v>455384</v>
      </c>
      <c r="AC17" s="70">
        <f>+'[28]21-22'!$AW$51+'[28]21-22'!$AW$52+'[28]21-22'!$AW$58+'[28]21-22'!$AW$66+'[28]21-22'!$AW$67+'[28]21-22'!$AW$68</f>
        <v>419070</v>
      </c>
      <c r="AD17" s="70">
        <f>+'[29]21-22'!$BB$51+'[29]21-22'!$BB$52+'[29]21-22'!$BB$58+'[29]21-22'!$BB$66+'[29]21-22'!$BB$67+'[29]21-22'!$BB$68</f>
        <v>426856</v>
      </c>
      <c r="AE17" s="70">
        <f>'[30]21-22'!$BG$51+'[30]21-22'!$BG$52+'[30]21-22'!$BG$58+'[30]21-22'!$BG$66+'[30]21-22'!$BG$67+'[30]21-22'!$BG$68</f>
        <v>374313</v>
      </c>
      <c r="AF17" s="70"/>
      <c r="AG17" s="70"/>
      <c r="AH17" s="77">
        <f>SUM(V17:AG17)</f>
        <v>5026408</v>
      </c>
      <c r="AI17" s="73"/>
      <c r="AJ17" s="74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6"/>
      <c r="BH17" s="76"/>
      <c r="BI17" s="76"/>
      <c r="BJ17" s="76"/>
      <c r="BK17" s="76"/>
      <c r="BL17" s="76"/>
    </row>
    <row r="18" spans="2:64" s="79" customFormat="1" ht="13" x14ac:dyDescent="0.3">
      <c r="B18" s="78"/>
      <c r="D18" s="80" t="s">
        <v>31</v>
      </c>
      <c r="F18" s="81"/>
      <c r="G18" s="82">
        <f>SUM(G19:G20)</f>
        <v>306257</v>
      </c>
      <c r="H18" s="82">
        <v>0</v>
      </c>
      <c r="I18" s="82">
        <v>0</v>
      </c>
      <c r="J18" s="82">
        <v>0</v>
      </c>
      <c r="K18" s="82">
        <f>SUM(K19:K21)</f>
        <v>5192</v>
      </c>
      <c r="L18" s="82">
        <v>0</v>
      </c>
      <c r="M18" s="82">
        <f>SUM(M19:M21)</f>
        <v>195467</v>
      </c>
      <c r="N18" s="82">
        <f>SUM(N19:N21)</f>
        <v>0</v>
      </c>
      <c r="O18" s="82">
        <v>0</v>
      </c>
      <c r="P18" s="82">
        <v>0</v>
      </c>
      <c r="Q18" s="82">
        <v>0</v>
      </c>
      <c r="R18" s="82"/>
      <c r="S18" s="82"/>
      <c r="T18" s="82">
        <f>SUM(T19:T19)</f>
        <v>200659</v>
      </c>
      <c r="U18" s="82">
        <f>SUM(U19:U19)</f>
        <v>3030886</v>
      </c>
      <c r="V18" s="82">
        <f t="shared" ref="V18:AE18" si="4">SUM(V19:V19)</f>
        <v>0</v>
      </c>
      <c r="W18" s="82">
        <f t="shared" si="4"/>
        <v>0</v>
      </c>
      <c r="X18" s="82">
        <f t="shared" si="4"/>
        <v>0</v>
      </c>
      <c r="Y18" s="82">
        <f t="shared" si="4"/>
        <v>0</v>
      </c>
      <c r="Z18" s="82">
        <f t="shared" si="4"/>
        <v>50779</v>
      </c>
      <c r="AA18" s="82">
        <f t="shared" si="4"/>
        <v>2674855</v>
      </c>
      <c r="AB18" s="82">
        <f t="shared" si="4"/>
        <v>0</v>
      </c>
      <c r="AC18" s="82">
        <f t="shared" si="4"/>
        <v>0</v>
      </c>
      <c r="AD18" s="82">
        <f t="shared" si="4"/>
        <v>191295</v>
      </c>
      <c r="AE18" s="82">
        <f t="shared" si="4"/>
        <v>688</v>
      </c>
      <c r="AF18" s="82"/>
      <c r="AG18" s="82"/>
      <c r="AH18" s="82">
        <f>SUM(AH19:AH21)</f>
        <v>2917617</v>
      </c>
      <c r="AI18" s="83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</row>
    <row r="19" spans="2:64" s="68" customFormat="1" ht="13" x14ac:dyDescent="0.3">
      <c r="B19" s="85"/>
      <c r="D19" s="86" t="str">
        <f>+'[22]21-22'!$B$63</f>
        <v>Denel (Public Enterprises)</v>
      </c>
      <c r="F19" s="87"/>
      <c r="G19" s="70">
        <f>+'[11]22-23'!$I$61</f>
        <v>204700</v>
      </c>
      <c r="H19" s="70">
        <v>0</v>
      </c>
      <c r="I19" s="71">
        <v>0</v>
      </c>
      <c r="J19" s="71">
        <v>0</v>
      </c>
      <c r="K19" s="71">
        <f>+'[15]22-23'!$AC$60</f>
        <v>5192</v>
      </c>
      <c r="L19" s="72">
        <v>0</v>
      </c>
      <c r="M19" s="70">
        <f>+'[17]22-23'!$AL$60</f>
        <v>195467</v>
      </c>
      <c r="N19" s="71">
        <v>0</v>
      </c>
      <c r="O19" s="71">
        <v>0</v>
      </c>
      <c r="P19" s="82">
        <v>0</v>
      </c>
      <c r="Q19" s="71">
        <v>0</v>
      </c>
      <c r="R19" s="71"/>
      <c r="S19" s="71"/>
      <c r="T19" s="70">
        <f>SUM(H19:S19)</f>
        <v>200659</v>
      </c>
      <c r="U19" s="72">
        <f>+'[21]21-22'!$I$63</f>
        <v>3030886</v>
      </c>
      <c r="V19" s="70">
        <v>0</v>
      </c>
      <c r="W19" s="70">
        <v>0</v>
      </c>
      <c r="X19" s="70">
        <v>0</v>
      </c>
      <c r="Y19" s="70">
        <v>0</v>
      </c>
      <c r="Z19" s="70">
        <v>50779</v>
      </c>
      <c r="AA19" s="70">
        <f>'[21]21-22'!$AM$63</f>
        <v>2674855</v>
      </c>
      <c r="AB19" s="70">
        <f>'[27]21-22'!$AR$63</f>
        <v>0</v>
      </c>
      <c r="AC19" s="70">
        <v>0</v>
      </c>
      <c r="AD19" s="70">
        <f>+'[29]21-22'!$BB$63</f>
        <v>191295</v>
      </c>
      <c r="AE19" s="70">
        <f>'[30]21-22'!$BG$63</f>
        <v>688</v>
      </c>
      <c r="AF19" s="70"/>
      <c r="AG19" s="70"/>
      <c r="AH19" s="77">
        <f>SUM(V19:AG19)</f>
        <v>2917617</v>
      </c>
      <c r="AI19" s="73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6"/>
      <c r="BH19" s="76"/>
      <c r="BI19" s="76"/>
      <c r="BJ19" s="76"/>
      <c r="BK19" s="76"/>
      <c r="BL19" s="76"/>
    </row>
    <row r="20" spans="2:64" s="68" customFormat="1" ht="13" x14ac:dyDescent="0.3">
      <c r="B20" s="85"/>
      <c r="D20" s="86" t="str">
        <f>+'[11]22-23'!$B$62</f>
        <v>Land and Agriculture Development Bank of South Africa</v>
      </c>
      <c r="F20" s="87"/>
      <c r="G20" s="70">
        <f>+'[11]22-23'!$I$62</f>
        <v>101557</v>
      </c>
      <c r="H20" s="70"/>
      <c r="I20" s="71"/>
      <c r="J20" s="71"/>
      <c r="K20" s="71"/>
      <c r="L20" s="72"/>
      <c r="M20" s="70"/>
      <c r="N20" s="71"/>
      <c r="O20" s="71"/>
      <c r="P20" s="82">
        <v>0</v>
      </c>
      <c r="Q20" s="71">
        <v>0</v>
      </c>
      <c r="R20" s="71"/>
      <c r="S20" s="71"/>
      <c r="T20" s="70">
        <f>SUM(H20:S20)</f>
        <v>0</v>
      </c>
      <c r="U20" s="72">
        <v>0</v>
      </c>
      <c r="V20" s="70"/>
      <c r="W20" s="70"/>
      <c r="X20" s="70"/>
      <c r="Y20" s="70"/>
      <c r="Z20" s="70"/>
      <c r="AA20" s="70"/>
      <c r="AB20" s="70"/>
      <c r="AC20" s="70"/>
      <c r="AD20" s="70">
        <v>0</v>
      </c>
      <c r="AE20" s="70">
        <v>0</v>
      </c>
      <c r="AF20" s="70"/>
      <c r="AG20" s="70"/>
      <c r="AH20" s="77">
        <f>SUM(V20:AG20)</f>
        <v>0</v>
      </c>
      <c r="AI20" s="73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6"/>
      <c r="BH20" s="76"/>
      <c r="BI20" s="76"/>
      <c r="BJ20" s="76"/>
      <c r="BK20" s="76"/>
      <c r="BL20" s="76"/>
    </row>
    <row r="21" spans="2:64" s="68" customFormat="1" ht="13" hidden="1" x14ac:dyDescent="0.3">
      <c r="B21" s="85"/>
      <c r="D21" s="88" t="s">
        <v>32</v>
      </c>
      <c r="F21" s="87"/>
      <c r="G21" s="70">
        <v>0</v>
      </c>
      <c r="H21" s="70"/>
      <c r="I21" s="71">
        <v>0</v>
      </c>
      <c r="J21" s="71">
        <v>0</v>
      </c>
      <c r="K21" s="71">
        <v>0</v>
      </c>
      <c r="L21" s="72">
        <v>0</v>
      </c>
      <c r="M21" s="70">
        <v>0</v>
      </c>
      <c r="N21" s="71">
        <v>0</v>
      </c>
      <c r="O21" s="71"/>
      <c r="P21" s="82">
        <v>0</v>
      </c>
      <c r="Q21" s="71"/>
      <c r="R21" s="71"/>
      <c r="S21" s="71"/>
      <c r="T21" s="70">
        <v>0</v>
      </c>
      <c r="U21" s="72">
        <v>0</v>
      </c>
      <c r="V21" s="70"/>
      <c r="W21" s="70">
        <v>0</v>
      </c>
      <c r="X21" s="70">
        <f>+'[24]21-22'!$W$62</f>
        <v>45000</v>
      </c>
      <c r="Y21" s="70">
        <v>0</v>
      </c>
      <c r="Z21" s="70">
        <v>0</v>
      </c>
      <c r="AA21" s="70">
        <f>'[21]21-22'!$AM$62</f>
        <v>-45000</v>
      </c>
      <c r="AB21" s="70">
        <f>'[27]21-22'!$AR$62</f>
        <v>0</v>
      </c>
      <c r="AC21" s="70"/>
      <c r="AD21" s="70"/>
      <c r="AE21" s="70"/>
      <c r="AF21" s="70"/>
      <c r="AG21" s="70"/>
      <c r="AH21" s="89">
        <f>SUM(V21:AG21)</f>
        <v>0</v>
      </c>
      <c r="AI21" s="73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6"/>
      <c r="BH21" s="76"/>
      <c r="BI21" s="76"/>
      <c r="BJ21" s="76"/>
      <c r="BK21" s="76"/>
      <c r="BL21" s="76"/>
    </row>
    <row r="22" spans="2:64" s="17" customFormat="1" ht="13.15" hidden="1" customHeight="1" x14ac:dyDescent="0.3">
      <c r="B22" s="16"/>
      <c r="C22" s="79" t="str">
        <f>+'[22]21-22'!$A$65</f>
        <v>Payments in terms of section 16(1) of the PFMA</v>
      </c>
      <c r="D22" s="68"/>
      <c r="F22" s="51"/>
      <c r="G22" s="90">
        <v>0</v>
      </c>
      <c r="H22" s="7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/>
      <c r="O22" s="90"/>
      <c r="P22" s="82">
        <v>0</v>
      </c>
      <c r="Q22" s="90"/>
      <c r="R22" s="90"/>
      <c r="S22" s="90"/>
      <c r="T22" s="90">
        <f>SUM(T23)</f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/>
      <c r="AC22" s="90"/>
      <c r="AD22" s="90"/>
      <c r="AE22" s="90"/>
      <c r="AF22" s="90"/>
      <c r="AG22" s="90"/>
      <c r="AH22" s="90">
        <f>SUM(AH23)</f>
        <v>0</v>
      </c>
      <c r="AI22" s="46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8"/>
      <c r="BH22" s="58"/>
      <c r="BI22" s="58"/>
      <c r="BJ22" s="58"/>
      <c r="BK22" s="58"/>
      <c r="BL22" s="58"/>
    </row>
    <row r="23" spans="2:64" s="68" customFormat="1" ht="13" hidden="1" x14ac:dyDescent="0.3">
      <c r="B23" s="85"/>
      <c r="D23" s="86" t="s">
        <v>33</v>
      </c>
      <c r="F23" s="87"/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/>
      <c r="O23" s="70"/>
      <c r="P23" s="82">
        <v>0</v>
      </c>
      <c r="Q23" s="70"/>
      <c r="R23" s="71"/>
      <c r="S23" s="71"/>
      <c r="T23" s="71">
        <f>SUM(H23:S23)</f>
        <v>0</v>
      </c>
      <c r="U23" s="72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/>
      <c r="AC23" s="70"/>
      <c r="AD23" s="70"/>
      <c r="AE23" s="70"/>
      <c r="AF23" s="70"/>
      <c r="AG23" s="70"/>
      <c r="AH23" s="91">
        <f>SUM(V23:AG23)</f>
        <v>0</v>
      </c>
      <c r="AI23" s="73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6"/>
      <c r="BH23" s="76"/>
      <c r="BI23" s="76"/>
      <c r="BJ23" s="76"/>
      <c r="BK23" s="76"/>
      <c r="BL23" s="76"/>
    </row>
    <row r="24" spans="2:64" s="17" customFormat="1" ht="13" hidden="1" x14ac:dyDescent="0.3">
      <c r="B24" s="14"/>
      <c r="D24" s="17" t="s">
        <v>34</v>
      </c>
      <c r="F24" s="19"/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/>
      <c r="O24" s="90"/>
      <c r="P24" s="82">
        <v>0</v>
      </c>
      <c r="Q24" s="90"/>
      <c r="R24" s="90"/>
      <c r="S24" s="90"/>
      <c r="T24" s="90">
        <f>SUM(T25:T25)</f>
        <v>0</v>
      </c>
      <c r="U24" s="90">
        <v>0</v>
      </c>
      <c r="V24" s="90">
        <f>+'[22]21-22'!$M$67</f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/>
      <c r="AC24" s="90"/>
      <c r="AD24" s="90"/>
      <c r="AE24" s="90"/>
      <c r="AF24" s="90"/>
      <c r="AG24" s="90"/>
      <c r="AH24" s="90">
        <f>SUM(AH25:AH25)</f>
        <v>0</v>
      </c>
      <c r="AI24" s="46"/>
      <c r="AJ24" s="4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8"/>
      <c r="BH24" s="58"/>
      <c r="BI24" s="58"/>
      <c r="BJ24" s="58"/>
      <c r="BK24" s="58"/>
      <c r="BL24" s="58"/>
    </row>
    <row r="25" spans="2:64" s="68" customFormat="1" ht="13" hidden="1" x14ac:dyDescent="0.3">
      <c r="B25" s="62"/>
      <c r="D25" s="86" t="s">
        <v>33</v>
      </c>
      <c r="F25" s="69"/>
      <c r="G25" s="70">
        <v>0</v>
      </c>
      <c r="H25" s="70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/>
      <c r="O25" s="71"/>
      <c r="P25" s="82">
        <v>0</v>
      </c>
      <c r="Q25" s="71"/>
      <c r="R25" s="71"/>
      <c r="S25" s="71"/>
      <c r="T25" s="71">
        <f>SUM(H25:S25)</f>
        <v>0</v>
      </c>
      <c r="U25" s="72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/>
      <c r="AC25" s="70"/>
      <c r="AD25" s="70"/>
      <c r="AE25" s="70"/>
      <c r="AF25" s="70"/>
      <c r="AG25" s="70"/>
      <c r="AH25" s="91">
        <v>0</v>
      </c>
      <c r="AI25" s="73"/>
      <c r="AJ25" s="74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6"/>
      <c r="BH25" s="76"/>
      <c r="BI25" s="76"/>
      <c r="BJ25" s="76"/>
      <c r="BK25" s="76"/>
      <c r="BL25" s="76"/>
    </row>
    <row r="26" spans="2:64" s="68" customFormat="1" ht="13" hidden="1" x14ac:dyDescent="0.3">
      <c r="B26" s="62"/>
      <c r="C26" s="17" t="s">
        <v>35</v>
      </c>
      <c r="D26" s="86"/>
      <c r="F26" s="69"/>
      <c r="G26" s="70">
        <v>0</v>
      </c>
      <c r="H26" s="70"/>
      <c r="I26" s="71"/>
      <c r="J26" s="71"/>
      <c r="K26" s="71"/>
      <c r="L26" s="71"/>
      <c r="M26" s="71"/>
      <c r="N26" s="71">
        <v>0</v>
      </c>
      <c r="O26" s="71">
        <v>0</v>
      </c>
      <c r="P26" s="82">
        <v>0</v>
      </c>
      <c r="Q26" s="71"/>
      <c r="R26" s="71"/>
      <c r="S26" s="71"/>
      <c r="T26" s="71">
        <v>0</v>
      </c>
      <c r="U26" s="72">
        <v>0</v>
      </c>
      <c r="V26" s="70"/>
      <c r="W26" s="70"/>
      <c r="X26" s="70"/>
      <c r="Y26" s="70"/>
      <c r="Z26" s="70"/>
      <c r="AA26" s="70"/>
      <c r="AB26" s="70">
        <v>0</v>
      </c>
      <c r="AC26" s="70">
        <v>0</v>
      </c>
      <c r="AD26" s="70"/>
      <c r="AE26" s="70"/>
      <c r="AF26" s="70"/>
      <c r="AG26" s="70"/>
      <c r="AH26" s="91">
        <v>0</v>
      </c>
      <c r="AI26" s="73"/>
      <c r="AJ26" s="74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6"/>
      <c r="BH26" s="76"/>
      <c r="BI26" s="76"/>
      <c r="BJ26" s="76"/>
      <c r="BK26" s="76"/>
      <c r="BL26" s="76"/>
    </row>
    <row r="27" spans="2:64" s="68" customFormat="1" ht="13" x14ac:dyDescent="0.3">
      <c r="B27" s="92"/>
      <c r="C27" s="93" t="str">
        <f>+'[12]22-23'!$A$65</f>
        <v>Provisional allocations not assigned to votes</v>
      </c>
      <c r="D27" s="86"/>
      <c r="F27" s="69"/>
      <c r="G27" s="90">
        <f>+'[11]22-23'!$I$70</f>
        <v>150509</v>
      </c>
      <c r="H27" s="70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82">
        <v>0</v>
      </c>
      <c r="Q27" s="71">
        <v>0</v>
      </c>
      <c r="R27" s="71"/>
      <c r="S27" s="71"/>
      <c r="T27" s="71">
        <v>0</v>
      </c>
      <c r="U27" s="72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/>
      <c r="AG27" s="70"/>
      <c r="AH27" s="91">
        <v>0</v>
      </c>
      <c r="AI27" s="73"/>
      <c r="AJ27" s="74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6"/>
      <c r="BH27" s="76"/>
      <c r="BI27" s="76"/>
      <c r="BJ27" s="76"/>
      <c r="BK27" s="76"/>
      <c r="BL27" s="76"/>
    </row>
    <row r="28" spans="2:64" s="6" customFormat="1" ht="13" hidden="1" x14ac:dyDescent="0.3">
      <c r="B28" s="62"/>
      <c r="C28" s="93" t="str">
        <f>+'[12]22-23'!$A$66</f>
        <v>Infrastructure Fund not assigned to votes</v>
      </c>
      <c r="F28" s="19"/>
      <c r="G28" s="90">
        <f>+'[18]22-23'!$I$70</f>
        <v>0</v>
      </c>
      <c r="H28" s="90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82">
        <v>0</v>
      </c>
      <c r="Q28" s="94">
        <v>0</v>
      </c>
      <c r="R28" s="94">
        <v>0</v>
      </c>
      <c r="S28" s="94">
        <v>0</v>
      </c>
      <c r="T28" s="94">
        <v>0</v>
      </c>
      <c r="U28" s="95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/>
      <c r="AD28" s="70">
        <v>0</v>
      </c>
      <c r="AE28" s="90"/>
      <c r="AF28" s="90"/>
      <c r="AG28" s="90"/>
      <c r="AH28" s="96">
        <v>0</v>
      </c>
      <c r="AI28" s="97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50"/>
      <c r="BH28" s="50"/>
      <c r="BI28" s="50"/>
      <c r="BJ28" s="50"/>
      <c r="BK28" s="50"/>
      <c r="BL28" s="50"/>
    </row>
    <row r="29" spans="2:64" s="6" customFormat="1" ht="13" x14ac:dyDescent="0.3">
      <c r="B29" s="62"/>
      <c r="C29" s="93" t="str">
        <f>+'[18]22-23'!$A$71</f>
        <v>Contingency reserve</v>
      </c>
      <c r="F29" s="19"/>
      <c r="G29" s="90">
        <f>+'[11]22-23'!$I$72</f>
        <v>5000000</v>
      </c>
      <c r="H29" s="90"/>
      <c r="I29" s="94"/>
      <c r="J29" s="94"/>
      <c r="K29" s="94"/>
      <c r="L29" s="94"/>
      <c r="M29" s="94"/>
      <c r="N29" s="94">
        <v>0</v>
      </c>
      <c r="O29" s="94">
        <v>0</v>
      </c>
      <c r="P29" s="82">
        <v>0</v>
      </c>
      <c r="Q29" s="94">
        <v>0</v>
      </c>
      <c r="R29" s="94"/>
      <c r="S29" s="94"/>
      <c r="T29" s="94">
        <v>0</v>
      </c>
      <c r="U29" s="95">
        <v>0</v>
      </c>
      <c r="V29" s="90"/>
      <c r="W29" s="90"/>
      <c r="X29" s="90"/>
      <c r="Y29" s="90"/>
      <c r="Z29" s="90"/>
      <c r="AA29" s="90"/>
      <c r="AB29" s="90">
        <v>0</v>
      </c>
      <c r="AC29" s="90">
        <v>0</v>
      </c>
      <c r="AD29" s="70">
        <v>0</v>
      </c>
      <c r="AE29" s="90">
        <v>0</v>
      </c>
      <c r="AF29" s="90"/>
      <c r="AG29" s="90"/>
      <c r="AH29" s="96">
        <v>0</v>
      </c>
      <c r="AI29" s="97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50"/>
      <c r="BH29" s="50"/>
      <c r="BI29" s="50"/>
      <c r="BJ29" s="50"/>
      <c r="BK29" s="50"/>
      <c r="BL29" s="50"/>
    </row>
    <row r="30" spans="2:64" s="6" customFormat="1" ht="13" x14ac:dyDescent="0.3">
      <c r="B30" s="62"/>
      <c r="C30" s="93" t="str">
        <f>+'[18]22-23'!$A$72</f>
        <v>National government projected underspending</v>
      </c>
      <c r="F30" s="19"/>
      <c r="G30" s="90">
        <f>+'[11]22-23'!$I$73</f>
        <v>-3917343</v>
      </c>
      <c r="H30" s="90"/>
      <c r="I30" s="94"/>
      <c r="J30" s="94"/>
      <c r="K30" s="94"/>
      <c r="L30" s="94"/>
      <c r="M30" s="94"/>
      <c r="N30" s="94">
        <v>0</v>
      </c>
      <c r="O30" s="94">
        <v>0</v>
      </c>
      <c r="P30" s="82">
        <v>0</v>
      </c>
      <c r="Q30" s="45">
        <v>0</v>
      </c>
      <c r="R30" s="45"/>
      <c r="S30" s="45"/>
      <c r="T30" s="94">
        <v>0</v>
      </c>
      <c r="U30" s="95">
        <v>0</v>
      </c>
      <c r="V30" s="90"/>
      <c r="W30" s="90"/>
      <c r="X30" s="90"/>
      <c r="Y30" s="90"/>
      <c r="Z30" s="90"/>
      <c r="AA30" s="90"/>
      <c r="AB30" s="90">
        <v>0</v>
      </c>
      <c r="AC30" s="90">
        <v>0</v>
      </c>
      <c r="AD30" s="70">
        <v>0</v>
      </c>
      <c r="AE30" s="90">
        <v>0</v>
      </c>
      <c r="AF30" s="90"/>
      <c r="AG30" s="90"/>
      <c r="AH30" s="96">
        <v>0</v>
      </c>
      <c r="AI30" s="97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50"/>
      <c r="BH30" s="50"/>
      <c r="BI30" s="50"/>
      <c r="BJ30" s="50"/>
      <c r="BK30" s="50"/>
      <c r="BL30" s="50"/>
    </row>
    <row r="31" spans="2:64" s="6" customFormat="1" ht="13" x14ac:dyDescent="0.3">
      <c r="B31" s="62"/>
      <c r="C31" s="93" t="str">
        <f>+'[18]22-23'!$A$73</f>
        <v>Local government repayment to the National Revenue Fund</v>
      </c>
      <c r="F31" s="19"/>
      <c r="G31" s="90">
        <f>+'[11]22-23'!$I$74</f>
        <v>-2000000</v>
      </c>
      <c r="H31" s="90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70">
        <v>0</v>
      </c>
      <c r="AE31" s="90">
        <v>0</v>
      </c>
      <c r="AF31" s="90"/>
      <c r="AG31" s="90"/>
      <c r="AH31" s="96">
        <v>0</v>
      </c>
      <c r="AI31" s="97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50"/>
      <c r="BH31" s="50"/>
      <c r="BI31" s="50"/>
      <c r="BJ31" s="50"/>
      <c r="BK31" s="50"/>
      <c r="BL31" s="50"/>
    </row>
    <row r="32" spans="2:64" s="6" customFormat="1" ht="13" x14ac:dyDescent="0.3">
      <c r="B32" s="62"/>
      <c r="C32" s="93"/>
      <c r="F32" s="19"/>
      <c r="G32" s="90"/>
      <c r="H32" s="90"/>
      <c r="I32" s="45"/>
      <c r="J32" s="45"/>
      <c r="K32" s="94"/>
      <c r="L32" s="94"/>
      <c r="M32" s="45"/>
      <c r="N32" s="94"/>
      <c r="O32" s="45"/>
      <c r="P32" s="45"/>
      <c r="Q32" s="45"/>
      <c r="R32" s="45"/>
      <c r="S32" s="45"/>
      <c r="T32" s="94"/>
      <c r="U32" s="95"/>
      <c r="V32" s="90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5"/>
      <c r="AI32" s="97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50"/>
      <c r="BH32" s="50"/>
      <c r="BI32" s="50"/>
      <c r="BJ32" s="50"/>
      <c r="BK32" s="50"/>
      <c r="BL32" s="50"/>
    </row>
    <row r="33" spans="2:78" s="17" customFormat="1" ht="13" x14ac:dyDescent="0.3">
      <c r="B33" s="14" t="s">
        <v>36</v>
      </c>
      <c r="C33" s="6"/>
      <c r="D33" s="6"/>
      <c r="E33" s="6"/>
      <c r="F33" s="19"/>
      <c r="G33" s="98">
        <f>+G6-G8</f>
        <v>-323735701.13398695</v>
      </c>
      <c r="H33" s="98">
        <f>+H6-H8+1</f>
        <v>-45209504.228009999</v>
      </c>
      <c r="I33" s="98">
        <f t="shared" ref="I33:S33" si="5">+I6-I8</f>
        <v>-17130039.535180017</v>
      </c>
      <c r="J33" s="98">
        <f t="shared" si="5"/>
        <v>73838288.758350015</v>
      </c>
      <c r="K33" s="98">
        <f t="shared" si="5"/>
        <v>-129522787.92117003</v>
      </c>
      <c r="L33" s="98">
        <f t="shared" si="5"/>
        <v>-42665317.334039986</v>
      </c>
      <c r="M33" s="98">
        <f t="shared" si="5"/>
        <v>-3292694.9214299917</v>
      </c>
      <c r="N33" s="98">
        <f t="shared" si="5"/>
        <v>-40564982.798259988</v>
      </c>
      <c r="O33" s="98">
        <f t="shared" si="5"/>
        <v>-23520188.267400011</v>
      </c>
      <c r="P33" s="98">
        <f t="shared" si="5"/>
        <v>44970578.323530018</v>
      </c>
      <c r="Q33" s="98">
        <f t="shared" si="5"/>
        <v>-88800829.439150006</v>
      </c>
      <c r="R33" s="98">
        <f t="shared" si="5"/>
        <v>0</v>
      </c>
      <c r="S33" s="98">
        <f t="shared" si="5"/>
        <v>0</v>
      </c>
      <c r="T33" s="99">
        <f>+T6-T8</f>
        <v>-271897477.36276007</v>
      </c>
      <c r="U33" s="99">
        <f>(+U6-U8)</f>
        <v>-323134461.71103001</v>
      </c>
      <c r="V33" s="98">
        <f t="shared" ref="V33:AF33" si="6">+V6-V8</f>
        <v>-80363106.219140023</v>
      </c>
      <c r="W33" s="98">
        <f t="shared" si="6"/>
        <v>-5443714.0081700236</v>
      </c>
      <c r="X33" s="98">
        <f t="shared" si="6"/>
        <v>63147812.633889973</v>
      </c>
      <c r="Y33" s="98">
        <f t="shared" si="6"/>
        <v>-133237815.09893997</v>
      </c>
      <c r="Z33" s="98">
        <f t="shared" si="6"/>
        <v>-39271319.986003995</v>
      </c>
      <c r="AA33" s="98">
        <f t="shared" si="6"/>
        <v>-7282332.3801300079</v>
      </c>
      <c r="AB33" s="98">
        <f t="shared" si="6"/>
        <v>-36796929.613659993</v>
      </c>
      <c r="AC33" s="98">
        <f t="shared" si="6"/>
        <v>-21781581.319769949</v>
      </c>
      <c r="AD33" s="98">
        <f t="shared" si="6"/>
        <v>41889213.438980013</v>
      </c>
      <c r="AE33" s="98">
        <f t="shared" si="6"/>
        <v>-65925976.546049997</v>
      </c>
      <c r="AF33" s="98">
        <f t="shared" si="6"/>
        <v>0</v>
      </c>
      <c r="AG33" s="98">
        <f>+AG6-AG8-3</f>
        <v>-3</v>
      </c>
      <c r="AH33" s="100">
        <f>+AH6-AH8</f>
        <v>-285065749.09899402</v>
      </c>
      <c r="AI33" s="46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50"/>
      <c r="BH33" s="50"/>
      <c r="BI33" s="50"/>
      <c r="BJ33" s="50"/>
      <c r="BK33" s="50"/>
      <c r="BL33" s="50"/>
      <c r="BM33" s="58"/>
      <c r="BN33" s="58"/>
    </row>
    <row r="34" spans="2:78" s="17" customFormat="1" ht="13" x14ac:dyDescent="0.3">
      <c r="B34" s="16"/>
      <c r="F34" s="19"/>
      <c r="G34" s="101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3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4"/>
      <c r="AI34" s="46"/>
      <c r="AJ34" s="4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8"/>
      <c r="BH34" s="58"/>
      <c r="BI34" s="58"/>
      <c r="BJ34" s="58"/>
      <c r="BK34" s="58"/>
      <c r="BL34" s="58"/>
    </row>
    <row r="35" spans="2:78" s="17" customFormat="1" ht="13" x14ac:dyDescent="0.3">
      <c r="B35" s="14"/>
      <c r="C35" s="6"/>
      <c r="F35" s="69"/>
      <c r="G35" s="105"/>
      <c r="H35" s="105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8"/>
      <c r="AI35" s="46"/>
      <c r="AJ35" s="4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8"/>
      <c r="BH35" s="58"/>
      <c r="BI35" s="58"/>
      <c r="BJ35" s="58"/>
      <c r="BK35" s="58"/>
      <c r="BL35" s="58"/>
    </row>
    <row r="36" spans="2:78" s="17" customFormat="1" ht="13" x14ac:dyDescent="0.3">
      <c r="B36" s="14" t="s">
        <v>37</v>
      </c>
      <c r="C36" s="6"/>
      <c r="F36" s="69"/>
      <c r="G36" s="109"/>
      <c r="H36" s="10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1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12"/>
      <c r="AI36" s="46"/>
      <c r="AJ36" s="4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8"/>
      <c r="BH36" s="58"/>
      <c r="BI36" s="58"/>
      <c r="BJ36" s="58"/>
      <c r="BK36" s="58"/>
      <c r="BL36" s="58"/>
    </row>
    <row r="37" spans="2:78" s="17" customFormat="1" ht="13" x14ac:dyDescent="0.3">
      <c r="B37" s="14"/>
      <c r="C37" s="6"/>
      <c r="F37" s="69"/>
      <c r="G37" s="109"/>
      <c r="H37" s="10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12"/>
      <c r="AI37" s="46"/>
      <c r="AJ37" s="4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8"/>
      <c r="BH37" s="58"/>
      <c r="BI37" s="58"/>
      <c r="BJ37" s="58"/>
      <c r="BK37" s="58"/>
      <c r="BL37" s="58"/>
    </row>
    <row r="38" spans="2:78" s="17" customFormat="1" ht="13" x14ac:dyDescent="0.3">
      <c r="B38" s="14" t="s">
        <v>38</v>
      </c>
      <c r="C38" s="67"/>
      <c r="E38" s="113"/>
      <c r="F38" s="19">
        <v>3</v>
      </c>
      <c r="G38" s="63">
        <f>+[31]Summary!$H$13</f>
        <v>-3400000</v>
      </c>
      <c r="H38" s="63">
        <f>+[32]Summary!$M$13</f>
        <v>1030450</v>
      </c>
      <c r="I38" s="63">
        <f>+[33]Summary!$R$13</f>
        <v>-592737</v>
      </c>
      <c r="J38" s="63">
        <f>[34]Summary!$W$13</f>
        <v>3367677</v>
      </c>
      <c r="K38" s="63">
        <f>[35]Summary!$AB$13</f>
        <v>2072474</v>
      </c>
      <c r="L38" s="63">
        <f>[36]Summary!$AG$13</f>
        <v>-3444064</v>
      </c>
      <c r="M38" s="63">
        <f>[37]Summary!$AL$13</f>
        <v>-6180235</v>
      </c>
      <c r="N38" s="63">
        <f>[38]Summary!$AQ$13</f>
        <v>-7686538</v>
      </c>
      <c r="O38" s="63">
        <f>+[31]Summary!$AV$13</f>
        <v>-9814498</v>
      </c>
      <c r="P38" s="63">
        <f>+[39]Summary!$BA$13</f>
        <v>-4357236</v>
      </c>
      <c r="Q38" s="63">
        <f>[40]Summary!$BF$13</f>
        <v>-4717097</v>
      </c>
      <c r="R38" s="63"/>
      <c r="S38" s="63"/>
      <c r="T38" s="60">
        <f>SUM(H38:S38)</f>
        <v>-30321804</v>
      </c>
      <c r="U38" s="44">
        <f>+[38]Summary!$BZ$13</f>
        <v>-7954770</v>
      </c>
      <c r="V38" s="37">
        <f>+[32]Summary!$CE$13</f>
        <v>9415800</v>
      </c>
      <c r="W38" s="37">
        <f>+[33]Summary!$CJ$13</f>
        <v>-6660753</v>
      </c>
      <c r="X38" s="37">
        <f>[34]Summary!$CO$13</f>
        <v>5151867</v>
      </c>
      <c r="Y38" s="37">
        <f>[35]Summary!$CT$13</f>
        <v>-7112395</v>
      </c>
      <c r="Z38" s="37">
        <f>[36]Summary!$CY$13</f>
        <v>-2312355</v>
      </c>
      <c r="AA38" s="37">
        <f>[37]Summary!$DD$13</f>
        <v>2272137</v>
      </c>
      <c r="AB38" s="37">
        <f>[38]Summary!$DI$13</f>
        <v>-3832432</v>
      </c>
      <c r="AC38" s="37">
        <f>+[31]Summary!$DN$13</f>
        <v>-3742209</v>
      </c>
      <c r="AD38" s="37">
        <f>+[39]Summary!$DS$13</f>
        <v>-1384946</v>
      </c>
      <c r="AE38" s="37">
        <f>[40]Summary!$DX$13</f>
        <v>429685</v>
      </c>
      <c r="AF38" s="37">
        <f>+[41]summary!$EC$13</f>
        <v>-13560314</v>
      </c>
      <c r="AG38" s="37">
        <f>+[32]Summary!$CE$13</f>
        <v>9415800</v>
      </c>
      <c r="AH38" s="61">
        <f>SUM(V38:AE39)</f>
        <v>-7775601</v>
      </c>
      <c r="AI38" s="46"/>
      <c r="AJ38" s="49">
        <f>+[42]summary!$H$13</f>
        <v>9000000</v>
      </c>
      <c r="AK38" s="49">
        <f>+[42]summary!$AQ$13</f>
        <v>-3832432</v>
      </c>
      <c r="AL38" s="49">
        <f>+[42]summary!$BU$13</f>
        <v>-3078131</v>
      </c>
      <c r="AM38" s="49">
        <f>+[42]summary!$BZ$13</f>
        <v>95325424</v>
      </c>
      <c r="AN38" s="49">
        <f>+[42]summary!$DI$13</f>
        <v>31098565</v>
      </c>
      <c r="AO38" s="49">
        <f>+[42]summary!$EM$13</f>
        <v>118004808</v>
      </c>
      <c r="AP38" s="49">
        <f>AJ38-G38</f>
        <v>12400000</v>
      </c>
      <c r="AQ38" s="49">
        <f>+AK38-N38</f>
        <v>3854106</v>
      </c>
      <c r="AR38" s="49">
        <f>+AL38-T38</f>
        <v>27243673</v>
      </c>
      <c r="AS38" s="49">
        <v>0</v>
      </c>
      <c r="AT38" s="49">
        <f>+AN38-AB38</f>
        <v>34930997</v>
      </c>
      <c r="AU38" s="49">
        <f>+AO38-AH38</f>
        <v>125780409</v>
      </c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</row>
    <row r="39" spans="2:78" s="17" customFormat="1" ht="13" x14ac:dyDescent="0.3">
      <c r="B39" s="14"/>
      <c r="C39" s="67"/>
      <c r="F39" s="1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45"/>
      <c r="U39" s="64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5"/>
      <c r="AI39" s="46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</row>
    <row r="40" spans="2:78" s="17" customFormat="1" ht="13" x14ac:dyDescent="0.3">
      <c r="B40" s="14" t="s">
        <v>39</v>
      </c>
      <c r="C40" s="67"/>
      <c r="F40" s="19">
        <v>3</v>
      </c>
      <c r="G40" s="63">
        <f>+[31]Summary!$H$23</f>
        <v>227774514</v>
      </c>
      <c r="H40" s="63">
        <f>+[32]Summary!$M$23</f>
        <v>20015505</v>
      </c>
      <c r="I40" s="63">
        <f>+[33]Summary!$R$23</f>
        <v>25455403</v>
      </c>
      <c r="J40" s="63">
        <f>[34]Summary!$W$23</f>
        <v>23742808</v>
      </c>
      <c r="K40" s="63">
        <f>[35]Summary!$AB$23</f>
        <v>45716848</v>
      </c>
      <c r="L40" s="63">
        <f>[36]Summary!$AG$23</f>
        <v>29377866</v>
      </c>
      <c r="M40" s="63">
        <f>[37]Summary!$AL$23</f>
        <v>33075335</v>
      </c>
      <c r="N40" s="63">
        <f>[38]Summary!$AQ$23</f>
        <v>28660775</v>
      </c>
      <c r="O40" s="63">
        <f>+[31]Summary!$AV$23</f>
        <v>30014600</v>
      </c>
      <c r="P40" s="63">
        <f>+[39]Summary!$BA$23</f>
        <v>14711827</v>
      </c>
      <c r="Q40" s="63">
        <f>[40]Summary!$BF$23</f>
        <v>16486408</v>
      </c>
      <c r="R40" s="63"/>
      <c r="S40" s="63"/>
      <c r="T40" s="60">
        <f>SUM(H40:S40)</f>
        <v>267257375</v>
      </c>
      <c r="U40" s="44">
        <f>+[38]Summary!$BZ$23</f>
        <v>228921382</v>
      </c>
      <c r="V40" s="37">
        <f>+[32]Summary!$CE$23</f>
        <v>26656371</v>
      </c>
      <c r="W40" s="37">
        <f>+[33]Summary!$CJ$23</f>
        <v>26132793</v>
      </c>
      <c r="X40" s="37">
        <f>[34]Summary!$CO$23</f>
        <v>23736909</v>
      </c>
      <c r="Y40" s="37">
        <f>[35]Summary!$CT$23</f>
        <v>28680625</v>
      </c>
      <c r="Z40" s="37">
        <f>[36]Summary!$CY$23</f>
        <v>23457599</v>
      </c>
      <c r="AA40" s="37">
        <f>[37]Summary!$DD$23</f>
        <v>21280959</v>
      </c>
      <c r="AB40" s="37">
        <f>[38]Summary!$DI$23</f>
        <v>27957835</v>
      </c>
      <c r="AC40" s="37">
        <f>+[31]Summary!$DN$23</f>
        <v>19605231</v>
      </c>
      <c r="AD40" s="37">
        <f>+[39]Summary!$DS$23</f>
        <v>20296122</v>
      </c>
      <c r="AE40" s="37">
        <f>[40]Summary!$DX$23</f>
        <v>-39139018</v>
      </c>
      <c r="AF40" s="37">
        <f>+[41]summary!$EC$23</f>
        <v>42446719</v>
      </c>
      <c r="AG40" s="37">
        <f>+[32]Summary!$CE$23</f>
        <v>26656371</v>
      </c>
      <c r="AH40" s="61">
        <f>SUM(V40:AE41)</f>
        <v>178665426</v>
      </c>
      <c r="AI40" s="46"/>
      <c r="AJ40" s="49">
        <f>+[42]summary!$H$23</f>
        <v>319185000</v>
      </c>
      <c r="AK40" s="49">
        <f>+[42]summary!$AQ$23</f>
        <v>27957835</v>
      </c>
      <c r="AL40" s="49">
        <f>+[42]summary!$BU$23</f>
        <v>177903091</v>
      </c>
      <c r="AM40" s="49">
        <f>+[42]summary!$BZ$23</f>
        <v>470195262.74399996</v>
      </c>
      <c r="AN40" s="49">
        <f>+[42]summary!$DI$23</f>
        <v>50571945</v>
      </c>
      <c r="AO40" s="49">
        <f>+[42]summary!$EM$23</f>
        <v>315721651.74399996</v>
      </c>
      <c r="AP40" s="49">
        <f>AJ40-G40</f>
        <v>91410486</v>
      </c>
      <c r="AQ40" s="49">
        <f>+AK40-N40</f>
        <v>-702940</v>
      </c>
      <c r="AR40" s="49">
        <f>+AL40-T40</f>
        <v>-89354284</v>
      </c>
      <c r="AS40" s="49">
        <v>0</v>
      </c>
      <c r="AT40" s="49">
        <f>+AN40-AB40</f>
        <v>22614110</v>
      </c>
      <c r="AU40" s="49">
        <f>+AO40-AH40</f>
        <v>137056225.74399996</v>
      </c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</row>
    <row r="41" spans="2:78" s="17" customFormat="1" ht="13" x14ac:dyDescent="0.3">
      <c r="B41" s="16"/>
      <c r="F41" s="1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5"/>
      <c r="U41" s="56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/>
      <c r="AI41" s="46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</row>
    <row r="42" spans="2:78" s="17" customFormat="1" ht="13" x14ac:dyDescent="0.3">
      <c r="B42" s="14" t="s">
        <v>40</v>
      </c>
      <c r="C42" s="67"/>
      <c r="F42" s="19">
        <v>3</v>
      </c>
      <c r="G42" s="37">
        <f>+[31]Summary!$H$40</f>
        <v>58059400</v>
      </c>
      <c r="H42" s="37">
        <f>+[32]Summary!$M$40</f>
        <v>46626420</v>
      </c>
      <c r="I42" s="37">
        <f>+[33]Summary!$R$40</f>
        <v>-15761600</v>
      </c>
      <c r="J42" s="37">
        <f>[34]Summary!$W$40</f>
        <v>0</v>
      </c>
      <c r="K42" s="37">
        <f>[35]Summary!$AB$40</f>
        <v>0</v>
      </c>
      <c r="L42" s="37">
        <f>[36]Summary!$AG$40</f>
        <v>0</v>
      </c>
      <c r="M42" s="37">
        <f>[37]Summary!$AL$40</f>
        <v>6790681</v>
      </c>
      <c r="N42" s="37">
        <f>[38]Summary!$AQ$40</f>
        <v>0</v>
      </c>
      <c r="O42" s="37">
        <f>+[31]Summary!$AV$40</f>
        <v>0</v>
      </c>
      <c r="P42" s="37">
        <f>+[39]Summary!$BA$40</f>
        <v>5451574</v>
      </c>
      <c r="Q42" s="37">
        <f>[40]Summary!$BF$40</f>
        <v>5596913</v>
      </c>
      <c r="R42" s="37"/>
      <c r="S42" s="37"/>
      <c r="T42" s="60">
        <f>SUM(H42:S42)</f>
        <v>48703988</v>
      </c>
      <c r="U42" s="44">
        <f>+[38]Summary!$BZ$40</f>
        <v>27396681</v>
      </c>
      <c r="V42" s="37">
        <f>+[32]Summary!$CE$40</f>
        <v>0</v>
      </c>
      <c r="W42" s="37">
        <f>+[33]Summary!$CJ$40</f>
        <v>-6054</v>
      </c>
      <c r="X42" s="37">
        <f>[34]Summary!$CO$40</f>
        <v>14088400</v>
      </c>
      <c r="Y42" s="37">
        <f>[35]Summary!$CT$40</f>
        <v>0</v>
      </c>
      <c r="Z42" s="37">
        <f>[36]Summary!$CY$40</f>
        <v>0</v>
      </c>
      <c r="AA42" s="37">
        <f>[37]Summary!$DD$40</f>
        <v>-3912780</v>
      </c>
      <c r="AB42" s="37">
        <f>[38]Summary!$DI$40</f>
        <v>0</v>
      </c>
      <c r="AC42" s="37">
        <f>+[31]Summary!$DN$40</f>
        <v>6098240</v>
      </c>
      <c r="AD42" s="37">
        <f>+[39]Summary!$DS$40</f>
        <v>0</v>
      </c>
      <c r="AE42" s="37">
        <f>[40]Summary!$DX$40</f>
        <v>0</v>
      </c>
      <c r="AF42" s="37">
        <f>+[41]summary!$EC$44</f>
        <v>0</v>
      </c>
      <c r="AG42" s="37">
        <f>+[32]Summary!$CE$40</f>
        <v>0</v>
      </c>
      <c r="AH42" s="61">
        <f>SUM(V42:AE43)</f>
        <v>16267806</v>
      </c>
      <c r="AI42" s="114"/>
      <c r="AJ42" s="49">
        <f>+[42]summary!$H$44</f>
        <v>41795000</v>
      </c>
      <c r="AK42" s="49">
        <f>+[42]summary!$AQ$44</f>
        <v>0</v>
      </c>
      <c r="AL42" s="49">
        <f>+[42]summary!$BU$44</f>
        <v>10169566</v>
      </c>
      <c r="AM42" s="49">
        <f>+[42]summary!$BZ$44</f>
        <v>77503430</v>
      </c>
      <c r="AN42" s="49">
        <f>+[42]summary!$DI$44</f>
        <v>5008164</v>
      </c>
      <c r="AO42" s="49">
        <f>+[42]summary!$EM$44</f>
        <v>77510397</v>
      </c>
      <c r="AP42" s="49">
        <f>AJ42-G42</f>
        <v>-16264400</v>
      </c>
      <c r="AQ42" s="49">
        <f>+AK42-N42</f>
        <v>0</v>
      </c>
      <c r="AR42" s="49">
        <f>+AL42-T42</f>
        <v>-38534422</v>
      </c>
      <c r="AS42" s="49">
        <v>0</v>
      </c>
      <c r="AT42" s="49">
        <f>+AN42-AB42</f>
        <v>5008164</v>
      </c>
      <c r="AU42" s="49">
        <f>+AO42-AH42</f>
        <v>61242591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</row>
    <row r="43" spans="2:78" s="17" customFormat="1" ht="13" x14ac:dyDescent="0.3">
      <c r="B43" s="14"/>
      <c r="C43" s="67"/>
      <c r="F43" s="51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5"/>
      <c r="U43" s="5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/>
      <c r="AI43" s="114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</row>
    <row r="44" spans="2:78" s="17" customFormat="1" ht="13" x14ac:dyDescent="0.3">
      <c r="B44" s="14" t="s">
        <v>41</v>
      </c>
      <c r="C44" s="67"/>
      <c r="F44" s="19">
        <v>3</v>
      </c>
      <c r="G44" s="37">
        <f>+[31]Summary!$H$63</f>
        <v>41301787.13398695</v>
      </c>
      <c r="H44" s="37">
        <f>+[32]Summary!$M$63</f>
        <v>-22462869.771990001</v>
      </c>
      <c r="I44" s="37">
        <f>+[33]Summary!$R$63</f>
        <v>8028973.5351800174</v>
      </c>
      <c r="J44" s="37">
        <f>+[43]Summary!$W$63</f>
        <v>-100948773.75835001</v>
      </c>
      <c r="K44" s="37">
        <f>[35]Summary!$AB$63</f>
        <v>81733465.921170026</v>
      </c>
      <c r="L44" s="37">
        <f>[36]Summary!$AG$63</f>
        <v>16731515.334039986</v>
      </c>
      <c r="M44" s="37">
        <f>[37]Summary!$AL$63</f>
        <v>-30393086.078570008</v>
      </c>
      <c r="N44" s="37">
        <f>[38]Summary!$AQ$63</f>
        <v>19590745.798259988</v>
      </c>
      <c r="O44" s="37">
        <f>+[31]Summary!$AV$63</f>
        <v>3320086.2674000114</v>
      </c>
      <c r="P44" s="37">
        <f>+[39]Summary!$BA$63</f>
        <v>-60776743.323530018</v>
      </c>
      <c r="Q44" s="37">
        <f>[40]Summary!$BF$63</f>
        <v>71434605.439150006</v>
      </c>
      <c r="R44" s="37"/>
      <c r="S44" s="37"/>
      <c r="T44" s="60">
        <f>SUM(H44:S44)</f>
        <v>-13742080.637240008</v>
      </c>
      <c r="U44" s="44">
        <f>+[38]Summary!$BZ$63</f>
        <v>74771168.711030006</v>
      </c>
      <c r="V44" s="37">
        <f>+[32]Summary!$CE$63</f>
        <v>44290935.219140023</v>
      </c>
      <c r="W44" s="37">
        <f>+[33]Summary!$CJ$63</f>
        <v>-14022271.991829976</v>
      </c>
      <c r="X44" s="37">
        <f>[34]Summary!$CO$63</f>
        <v>-106124988.63388997</v>
      </c>
      <c r="Y44" s="37">
        <f>[35]Summary!$CT$63</f>
        <v>111669585.09893996</v>
      </c>
      <c r="Z44" s="37">
        <f>[36]Summary!$CY$63</f>
        <v>18126075.986003995</v>
      </c>
      <c r="AA44" s="37">
        <f>[37]Summary!$DD$63</f>
        <v>-12357983.619869992</v>
      </c>
      <c r="AB44" s="37">
        <f>[38]Summary!$DI$63</f>
        <v>12671526.501660004</v>
      </c>
      <c r="AC44" s="37">
        <f>+[31]Summary!$DN$63</f>
        <v>-179680.68023005128</v>
      </c>
      <c r="AD44" s="37">
        <f>+[39]Summary!$DS$63</f>
        <v>-60800389.438979983</v>
      </c>
      <c r="AE44" s="37">
        <f>[40]Summary!$DX$63</f>
        <v>104635309.54605</v>
      </c>
      <c r="AF44" s="37">
        <f>+[41]summary!$EC$67</f>
        <v>-16055785.20701997</v>
      </c>
      <c r="AG44" s="37">
        <f>+[32]Summary!$CE$63</f>
        <v>44290935.219140023</v>
      </c>
      <c r="AH44" s="61">
        <f>SUM(V44:AE45)</f>
        <v>97908117.986993998</v>
      </c>
      <c r="AI44" s="114"/>
      <c r="AJ44" s="49">
        <f>+[42]summary!$H$67</f>
        <v>112600025.47646379</v>
      </c>
      <c r="AK44" s="49">
        <f>+[42]summary!$AQ$67</f>
        <v>12671526.501660004</v>
      </c>
      <c r="AL44" s="49">
        <f>+[42]summary!$BU$67</f>
        <v>54252878.560154036</v>
      </c>
      <c r="AM44" s="49">
        <f>+[42]summary!$BZ$67</f>
        <v>-92375236.557159662</v>
      </c>
      <c r="AN44" s="49">
        <f>+[42]summary!$DI$67</f>
        <v>-36949546.152860001</v>
      </c>
      <c r="AO44" s="49">
        <f>+[42]summary!$EM$67</f>
        <v>-94615765.652539998</v>
      </c>
      <c r="AP44" s="49">
        <f>AJ44-G44</f>
        <v>71298238.342476845</v>
      </c>
      <c r="AQ44" s="49">
        <f>+AK44-N44</f>
        <v>-6919219.2965999842</v>
      </c>
      <c r="AR44" s="49">
        <f>+AL44-T44</f>
        <v>67994959.197394043</v>
      </c>
      <c r="AS44" s="49">
        <v>0</v>
      </c>
      <c r="AT44" s="49">
        <f>+AN44-AB44</f>
        <v>-49621072.654520005</v>
      </c>
      <c r="AU44" s="49">
        <f>+AO44-AH44</f>
        <v>-192523883.639534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</row>
    <row r="45" spans="2:78" s="17" customFormat="1" ht="13" x14ac:dyDescent="0.3">
      <c r="B45" s="14"/>
      <c r="C45" s="67"/>
      <c r="F45" s="19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7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8"/>
      <c r="AI45" s="114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</row>
    <row r="46" spans="2:78" s="17" customFormat="1" ht="13" x14ac:dyDescent="0.3">
      <c r="B46" s="14" t="s">
        <v>42</v>
      </c>
      <c r="C46" s="6"/>
      <c r="D46" s="6"/>
      <c r="E46" s="6"/>
      <c r="F46" s="51"/>
      <c r="G46" s="119">
        <f>+G38+G40+G42+G44</f>
        <v>323735701.13398695</v>
      </c>
      <c r="H46" s="119">
        <f>+H38+H40+H42+H44</f>
        <v>45209505.228009999</v>
      </c>
      <c r="I46" s="20">
        <f t="shared" ref="I46:S46" si="7">+I38+I40+I42+I44</f>
        <v>17130039.535180017</v>
      </c>
      <c r="J46" s="20">
        <f>+J38+J40+J42+J44</f>
        <v>-73838288.758350015</v>
      </c>
      <c r="K46" s="20">
        <f>+K38+K40+K42+K44</f>
        <v>129522787.92117003</v>
      </c>
      <c r="L46" s="20">
        <f>+L38+L40+L42+L44</f>
        <v>42665317.334039986</v>
      </c>
      <c r="M46" s="20">
        <f>+M38+M40+M42+M44</f>
        <v>3292694.9214299917</v>
      </c>
      <c r="N46" s="20">
        <f t="shared" si="7"/>
        <v>40564982.798259988</v>
      </c>
      <c r="O46" s="20">
        <f t="shared" si="7"/>
        <v>23520188.267400011</v>
      </c>
      <c r="P46" s="21">
        <f t="shared" si="7"/>
        <v>-44970578.323530018</v>
      </c>
      <c r="Q46" s="20">
        <f t="shared" si="7"/>
        <v>88800829.439150006</v>
      </c>
      <c r="R46" s="20">
        <f t="shared" si="7"/>
        <v>0</v>
      </c>
      <c r="S46" s="20">
        <f t="shared" si="7"/>
        <v>0</v>
      </c>
      <c r="T46" s="21">
        <f>+T38+T40+T42+T44</f>
        <v>271897478.36276001</v>
      </c>
      <c r="U46" s="21">
        <f>+U38+U40+U42+U44</f>
        <v>323134461.71103001</v>
      </c>
      <c r="V46" s="119">
        <f>+V38+V40+V42+V44</f>
        <v>80363106.219140023</v>
      </c>
      <c r="W46" s="119">
        <f t="shared" ref="W46:AF46" si="8">+W38+W40+W42+W44</f>
        <v>5443714.0081700236</v>
      </c>
      <c r="X46" s="21">
        <f t="shared" si="8"/>
        <v>-63147812.633889973</v>
      </c>
      <c r="Y46" s="119">
        <f>+Y38+Y40+Y42+Y44</f>
        <v>133237815.09893996</v>
      </c>
      <c r="Z46" s="119">
        <f t="shared" si="8"/>
        <v>39271319.986003995</v>
      </c>
      <c r="AA46" s="119">
        <f>+AA38+AA40+AA42+AA44</f>
        <v>7282332.3801300079</v>
      </c>
      <c r="AB46" s="119">
        <f t="shared" si="8"/>
        <v>36796929.501660004</v>
      </c>
      <c r="AC46" s="119">
        <f t="shared" si="8"/>
        <v>21781581.319769949</v>
      </c>
      <c r="AD46" s="20">
        <f t="shared" si="8"/>
        <v>-41889213.438979983</v>
      </c>
      <c r="AE46" s="119">
        <f t="shared" si="8"/>
        <v>65925976.546049997</v>
      </c>
      <c r="AF46" s="119">
        <f t="shared" si="8"/>
        <v>12830619.79298003</v>
      </c>
      <c r="AG46" s="119">
        <f>+AG38+AG40+AG42+AG44</f>
        <v>80363106.219140023</v>
      </c>
      <c r="AH46" s="120">
        <f>+AH38+AH40+AH42+AH44</f>
        <v>285065748.98699403</v>
      </c>
      <c r="AI46" s="114"/>
      <c r="AJ46" s="49">
        <f>+[42]summary!$H$77</f>
        <v>482580025.47646379</v>
      </c>
      <c r="AK46" s="49">
        <f>+[42]summary!$AQ$77</f>
        <v>36796929.501660004</v>
      </c>
      <c r="AL46" s="49">
        <f>+[42]summary!$BU$77</f>
        <v>239247404.56015402</v>
      </c>
      <c r="AM46" s="49">
        <f>+[42]summary!$BZ$77</f>
        <v>550648880.1868403</v>
      </c>
      <c r="AN46" s="49">
        <f>+[42]summary!$DI$77</f>
        <v>49729127.847139999</v>
      </c>
      <c r="AO46" s="49">
        <f>+[42]summary!$EM$77</f>
        <v>416621091.09145999</v>
      </c>
      <c r="AP46" s="49">
        <f>AJ46-G46</f>
        <v>158844324.34247684</v>
      </c>
      <c r="AQ46" s="49">
        <f>+AK46-N46</f>
        <v>-3768053.2965999842</v>
      </c>
      <c r="AR46" s="49">
        <f>+AL46-T46</f>
        <v>-32650073.802605987</v>
      </c>
      <c r="AS46" s="49">
        <v>0</v>
      </c>
      <c r="AT46" s="49">
        <f>+AN46-AB46</f>
        <v>12932198.345479995</v>
      </c>
      <c r="AU46" s="49">
        <f>+AO46-AH46</f>
        <v>131555342.10446596</v>
      </c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</row>
    <row r="47" spans="2:78" s="17" customFormat="1" ht="13" x14ac:dyDescent="0.3">
      <c r="B47" s="121"/>
      <c r="C47" s="122"/>
      <c r="D47" s="122"/>
      <c r="E47" s="122"/>
      <c r="F47" s="123"/>
      <c r="G47" s="124"/>
      <c r="H47" s="124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7"/>
      <c r="AI47" s="46"/>
      <c r="AJ47" s="50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</row>
    <row r="48" spans="2:78" s="68" customFormat="1" ht="13" x14ac:dyDescent="0.3">
      <c r="B48" s="128" t="s">
        <v>43</v>
      </c>
      <c r="F48" s="129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76"/>
      <c r="AJ48" s="131"/>
      <c r="AK48" s="76"/>
      <c r="AL48" s="76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6"/>
      <c r="BH48" s="76"/>
      <c r="BI48" s="76"/>
      <c r="BJ48" s="76"/>
      <c r="BK48" s="76"/>
      <c r="BL48" s="76"/>
    </row>
    <row r="49" spans="2:64" s="68" customFormat="1" ht="13" x14ac:dyDescent="0.3">
      <c r="B49" s="128"/>
      <c r="F49" s="129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76"/>
      <c r="AJ49" s="131"/>
      <c r="AK49" s="76"/>
      <c r="AL49" s="76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6"/>
      <c r="BH49" s="76"/>
      <c r="BI49" s="76"/>
      <c r="BJ49" s="76"/>
      <c r="BK49" s="76"/>
      <c r="BL49" s="76"/>
    </row>
    <row r="50" spans="2:64" x14ac:dyDescent="0.25"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2"/>
      <c r="AJ50" s="1"/>
      <c r="AK50" s="2"/>
      <c r="AL50" s="2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2"/>
      <c r="BH50" s="2"/>
      <c r="BI50" s="2"/>
      <c r="BJ50" s="2"/>
      <c r="BK50" s="2"/>
      <c r="BL50" s="2"/>
    </row>
    <row r="51" spans="2:64" x14ac:dyDescent="0.2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34"/>
      <c r="V51" s="134"/>
      <c r="W51" s="1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2"/>
      <c r="AI51" s="2"/>
      <c r="AJ51" s="1"/>
      <c r="AK51" s="2"/>
      <c r="AL51" s="2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2"/>
      <c r="BH51" s="2"/>
      <c r="BI51" s="2"/>
      <c r="BJ51" s="2"/>
      <c r="BK51" s="2"/>
      <c r="BL51" s="2"/>
    </row>
    <row r="52" spans="2:64" x14ac:dyDescent="0.2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35"/>
      <c r="V52" s="135"/>
      <c r="W52" s="13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2"/>
      <c r="AI52" s="2"/>
      <c r="AJ52" s="1"/>
      <c r="AK52" s="2"/>
      <c r="AL52" s="2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2"/>
      <c r="BH52" s="2"/>
      <c r="BI52" s="2"/>
      <c r="BJ52" s="2"/>
      <c r="BK52" s="2"/>
      <c r="BL52" s="2"/>
    </row>
    <row r="53" spans="2:64" x14ac:dyDescent="0.2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"/>
      <c r="AI53" s="2"/>
      <c r="AJ53" s="1"/>
      <c r="AK53" s="2"/>
      <c r="AL53" s="2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2"/>
      <c r="BH53" s="2"/>
      <c r="BI53" s="2"/>
      <c r="BJ53" s="2"/>
      <c r="BK53" s="2"/>
      <c r="BL53" s="2"/>
    </row>
    <row r="54" spans="2:64" x14ac:dyDescent="0.25"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549"/>
      <c r="V54" s="549"/>
      <c r="W54" s="54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2"/>
      <c r="AI54" s="2"/>
      <c r="AJ54" s="1"/>
      <c r="AK54" s="2"/>
      <c r="AL54" s="2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2"/>
      <c r="BH54" s="2"/>
      <c r="BI54" s="2"/>
      <c r="BJ54" s="2"/>
      <c r="BK54" s="2"/>
      <c r="BL54" s="2"/>
    </row>
    <row r="55" spans="2:64" x14ac:dyDescent="0.25"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2"/>
      <c r="AI55" s="2"/>
      <c r="AJ55" s="1"/>
      <c r="AK55" s="2"/>
      <c r="AL55" s="2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2"/>
      <c r="BH55" s="2"/>
      <c r="BI55" s="2"/>
      <c r="BJ55" s="2"/>
      <c r="BK55" s="2"/>
      <c r="BL55" s="2"/>
    </row>
    <row r="56" spans="2:64" x14ac:dyDescent="0.25"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"/>
      <c r="AI56" s="2"/>
      <c r="AJ56" s="1"/>
      <c r="AK56" s="2"/>
      <c r="AL56" s="2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2"/>
      <c r="BH56" s="2"/>
      <c r="BI56" s="2"/>
      <c r="BJ56" s="2"/>
      <c r="BK56" s="2"/>
      <c r="BL56" s="2"/>
    </row>
    <row r="57" spans="2:64" x14ac:dyDescent="0.25"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2"/>
      <c r="AI57" s="2"/>
      <c r="AJ57" s="1"/>
      <c r="AK57" s="2"/>
      <c r="AL57" s="2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2"/>
      <c r="BH57" s="2"/>
      <c r="BI57" s="2"/>
      <c r="BJ57" s="2"/>
      <c r="BK57" s="2"/>
      <c r="BL57" s="2"/>
    </row>
    <row r="58" spans="2:64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2"/>
      <c r="AI58" s="2"/>
      <c r="AJ58" s="1"/>
      <c r="AK58" s="2"/>
      <c r="AL58" s="2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2"/>
      <c r="BH58" s="2"/>
      <c r="BI58" s="2"/>
      <c r="BJ58" s="2"/>
      <c r="BK58" s="2"/>
      <c r="BL58" s="2"/>
    </row>
    <row r="59" spans="2:64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2"/>
      <c r="AI59" s="2"/>
      <c r="AJ59" s="1"/>
      <c r="AK59" s="2"/>
      <c r="AL59" s="2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2"/>
      <c r="BH59" s="2"/>
      <c r="BI59" s="2"/>
      <c r="BJ59" s="2"/>
      <c r="BK59" s="2"/>
      <c r="BL59" s="2"/>
    </row>
    <row r="60" spans="2:64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2"/>
      <c r="AI60" s="2"/>
      <c r="AJ60" s="1"/>
      <c r="AK60" s="2"/>
      <c r="AL60" s="2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2"/>
      <c r="BH60" s="2"/>
      <c r="BI60" s="2"/>
      <c r="BJ60" s="2"/>
      <c r="BK60" s="2"/>
      <c r="BL60" s="2"/>
    </row>
    <row r="61" spans="2:64" x14ac:dyDescent="0.25"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2"/>
      <c r="AI61" s="2"/>
      <c r="AJ61" s="1"/>
      <c r="AK61" s="2"/>
      <c r="AL61" s="2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2"/>
      <c r="BH61" s="2"/>
      <c r="BI61" s="2"/>
      <c r="BJ61" s="2"/>
      <c r="BK61" s="2"/>
      <c r="BL61" s="2"/>
    </row>
    <row r="62" spans="2:64" x14ac:dyDescent="0.2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2"/>
      <c r="AI62" s="2"/>
      <c r="AJ62" s="1"/>
      <c r="AK62" s="2"/>
      <c r="AL62" s="2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2"/>
      <c r="BH62" s="2"/>
      <c r="BI62" s="2"/>
      <c r="BJ62" s="2"/>
      <c r="BK62" s="2"/>
      <c r="BL62" s="2"/>
    </row>
    <row r="63" spans="2:64" x14ac:dyDescent="0.2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2"/>
      <c r="AI63" s="2"/>
      <c r="AJ63" s="1"/>
      <c r="AK63" s="2"/>
      <c r="AL63" s="2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2"/>
      <c r="BH63" s="2"/>
      <c r="BI63" s="2"/>
      <c r="BJ63" s="2"/>
      <c r="BK63" s="2"/>
      <c r="BL63" s="2"/>
    </row>
    <row r="64" spans="2:64" x14ac:dyDescent="0.25"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"/>
      <c r="AI64" s="2"/>
      <c r="AJ64" s="1"/>
      <c r="AK64" s="2"/>
      <c r="AL64" s="2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2"/>
      <c r="BH64" s="2"/>
      <c r="BI64" s="2"/>
      <c r="BJ64" s="2"/>
      <c r="BK64" s="2"/>
      <c r="BL64" s="2"/>
    </row>
    <row r="65" spans="7:64" x14ac:dyDescent="0.25"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"/>
      <c r="AI65" s="2"/>
      <c r="AJ65" s="1"/>
      <c r="AK65" s="2"/>
      <c r="AL65" s="2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2"/>
      <c r="BH65" s="2"/>
      <c r="BI65" s="2"/>
      <c r="BJ65" s="2"/>
      <c r="BK65" s="2"/>
      <c r="BL65" s="2"/>
    </row>
    <row r="66" spans="7:64" x14ac:dyDescent="0.25"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"/>
      <c r="AI66" s="2"/>
      <c r="AJ66" s="1"/>
      <c r="AK66" s="2"/>
      <c r="AL66" s="2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2"/>
      <c r="BH66" s="2"/>
      <c r="BI66" s="2"/>
      <c r="BJ66" s="2"/>
      <c r="BK66" s="2"/>
      <c r="BL66" s="2"/>
    </row>
    <row r="67" spans="7:64" x14ac:dyDescent="0.25"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"/>
      <c r="AI67" s="2"/>
      <c r="AJ67" s="1"/>
      <c r="AK67" s="2"/>
      <c r="AL67" s="2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2"/>
      <c r="BH67" s="2"/>
      <c r="BI67" s="2"/>
      <c r="BJ67" s="2"/>
      <c r="BK67" s="2"/>
      <c r="BL67" s="2"/>
    </row>
    <row r="68" spans="7:64" x14ac:dyDescent="0.25"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"/>
      <c r="AI68" s="2"/>
      <c r="AJ68" s="1"/>
      <c r="AK68" s="2"/>
      <c r="AL68" s="2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2"/>
      <c r="BH68" s="2"/>
      <c r="BI68" s="2"/>
      <c r="BJ68" s="2"/>
      <c r="BK68" s="2"/>
      <c r="BL68" s="2"/>
    </row>
    <row r="69" spans="7:64" x14ac:dyDescent="0.25"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2"/>
      <c r="AI69" s="2"/>
      <c r="AJ69" s="1"/>
      <c r="AK69" s="2"/>
      <c r="AL69" s="2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2"/>
      <c r="BH69" s="2"/>
      <c r="BI69" s="2"/>
      <c r="BJ69" s="2"/>
      <c r="BK69" s="2"/>
      <c r="BL69" s="2"/>
    </row>
    <row r="70" spans="7:64" x14ac:dyDescent="0.25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2"/>
      <c r="AI70" s="2"/>
      <c r="AJ70" s="1"/>
      <c r="AK70" s="2"/>
      <c r="AL70" s="2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2"/>
      <c r="BH70" s="2"/>
      <c r="BI70" s="2"/>
      <c r="BJ70" s="2"/>
      <c r="BK70" s="2"/>
      <c r="BL70" s="2"/>
    </row>
    <row r="71" spans="7:64" x14ac:dyDescent="0.25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2"/>
      <c r="AI71" s="2"/>
      <c r="AJ71" s="1"/>
      <c r="AK71" s="2"/>
      <c r="AL71" s="2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2"/>
      <c r="BH71" s="2"/>
      <c r="BI71" s="2"/>
      <c r="BJ71" s="2"/>
      <c r="BK71" s="2"/>
      <c r="BL71" s="2"/>
    </row>
    <row r="72" spans="7:64" x14ac:dyDescent="0.25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2"/>
      <c r="AI72" s="2"/>
      <c r="AJ72" s="1"/>
      <c r="AK72" s="2"/>
      <c r="AL72" s="2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2"/>
      <c r="BH72" s="2"/>
      <c r="BI72" s="2"/>
      <c r="BJ72" s="2"/>
      <c r="BK72" s="2"/>
      <c r="BL72" s="2"/>
    </row>
    <row r="73" spans="7:64" x14ac:dyDescent="0.25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2"/>
      <c r="AI73" s="2"/>
      <c r="AJ73" s="1"/>
      <c r="AK73" s="2"/>
      <c r="AL73" s="2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2"/>
      <c r="BH73" s="2"/>
      <c r="BI73" s="2"/>
      <c r="BJ73" s="2"/>
      <c r="BK73" s="2"/>
      <c r="BL73" s="2"/>
    </row>
    <row r="74" spans="7:64" x14ac:dyDescent="0.25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2"/>
      <c r="AI74" s="2"/>
      <c r="AJ74" s="1"/>
      <c r="AK74" s="2"/>
      <c r="AL74" s="2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2"/>
      <c r="BH74" s="2"/>
      <c r="BI74" s="2"/>
      <c r="BJ74" s="2"/>
      <c r="BK74" s="2"/>
      <c r="BL74" s="2"/>
    </row>
    <row r="75" spans="7:64" x14ac:dyDescent="0.25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2"/>
      <c r="AI75" s="2"/>
      <c r="AJ75" s="1"/>
      <c r="AK75" s="2"/>
      <c r="AL75" s="2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2"/>
      <c r="BH75" s="2"/>
      <c r="BI75" s="2"/>
      <c r="BJ75" s="2"/>
      <c r="BK75" s="2"/>
      <c r="BL75" s="2"/>
    </row>
    <row r="76" spans="7:64" x14ac:dyDescent="0.25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2"/>
      <c r="AI76" s="2"/>
      <c r="AJ76" s="1"/>
      <c r="AK76" s="2"/>
      <c r="AL76" s="2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2"/>
      <c r="BH76" s="2"/>
      <c r="BI76" s="2"/>
      <c r="BJ76" s="2"/>
      <c r="BK76" s="2"/>
      <c r="BL76" s="2"/>
    </row>
    <row r="77" spans="7:64" x14ac:dyDescent="0.25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2"/>
      <c r="AI77" s="2"/>
      <c r="AJ77" s="1"/>
      <c r="AK77" s="2"/>
      <c r="AL77" s="2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2"/>
      <c r="BH77" s="2"/>
      <c r="BI77" s="2"/>
      <c r="BJ77" s="2"/>
      <c r="BK77" s="2"/>
      <c r="BL77" s="2"/>
    </row>
    <row r="78" spans="7:64" x14ac:dyDescent="0.25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2"/>
      <c r="AI78" s="2"/>
      <c r="AJ78" s="1"/>
      <c r="AK78" s="2"/>
      <c r="AL78" s="2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2"/>
      <c r="BH78" s="2"/>
      <c r="BI78" s="2"/>
      <c r="BJ78" s="2"/>
      <c r="BK78" s="2"/>
      <c r="BL78" s="2"/>
    </row>
    <row r="79" spans="7:64" x14ac:dyDescent="0.25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2"/>
      <c r="AI79" s="2"/>
      <c r="AJ79" s="1"/>
      <c r="AK79" s="2"/>
      <c r="AL79" s="2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2"/>
      <c r="BH79" s="2"/>
      <c r="BI79" s="2"/>
      <c r="BJ79" s="2"/>
      <c r="BK79" s="2"/>
      <c r="BL79" s="2"/>
    </row>
    <row r="80" spans="7:64" x14ac:dyDescent="0.25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2"/>
      <c r="AI80" s="2"/>
      <c r="AJ80" s="1"/>
      <c r="AK80" s="2"/>
      <c r="AL80" s="2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2"/>
      <c r="BH80" s="2"/>
      <c r="BI80" s="2"/>
      <c r="BJ80" s="2"/>
      <c r="BK80" s="2"/>
      <c r="BL80" s="2"/>
    </row>
    <row r="81" spans="7:64" x14ac:dyDescent="0.25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2"/>
      <c r="AI81" s="2"/>
      <c r="AJ81" s="1"/>
      <c r="AK81" s="2"/>
      <c r="AL81" s="2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2"/>
      <c r="BH81" s="2"/>
      <c r="BI81" s="2"/>
      <c r="BJ81" s="2"/>
      <c r="BK81" s="2"/>
      <c r="BL81" s="2"/>
    </row>
    <row r="82" spans="7:64" x14ac:dyDescent="0.25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2"/>
      <c r="AI82" s="2"/>
      <c r="AJ82" s="1"/>
      <c r="AK82" s="2"/>
      <c r="AL82" s="2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2"/>
      <c r="BH82" s="2"/>
      <c r="BI82" s="2"/>
      <c r="BJ82" s="2"/>
      <c r="BK82" s="2"/>
      <c r="BL82" s="2"/>
    </row>
    <row r="83" spans="7:64" x14ac:dyDescent="0.25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2"/>
      <c r="AI83" s="2"/>
      <c r="AJ83" s="1"/>
      <c r="AK83" s="2"/>
      <c r="AL83" s="2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2"/>
      <c r="BH83" s="2"/>
      <c r="BI83" s="2"/>
      <c r="BJ83" s="2"/>
      <c r="BK83" s="2"/>
      <c r="BL83" s="2"/>
    </row>
    <row r="84" spans="7:64" x14ac:dyDescent="0.25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2"/>
      <c r="AI84" s="2"/>
      <c r="AJ84" s="1"/>
      <c r="AK84" s="2"/>
      <c r="AL84" s="2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2"/>
      <c r="BH84" s="2"/>
      <c r="BI84" s="2"/>
      <c r="BJ84" s="2"/>
      <c r="BK84" s="2"/>
      <c r="BL84" s="2"/>
    </row>
    <row r="85" spans="7:64" x14ac:dyDescent="0.25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2"/>
      <c r="AI85" s="2"/>
      <c r="AJ85" s="1"/>
      <c r="AK85" s="2"/>
      <c r="AL85" s="2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2"/>
      <c r="BH85" s="2"/>
      <c r="BI85" s="2"/>
      <c r="BJ85" s="2"/>
      <c r="BK85" s="2"/>
      <c r="BL85" s="2"/>
    </row>
    <row r="86" spans="7:64" x14ac:dyDescent="0.25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2"/>
      <c r="AI86" s="2"/>
      <c r="AJ86" s="1"/>
      <c r="AK86" s="2"/>
      <c r="AL86" s="2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2"/>
      <c r="BH86" s="2"/>
      <c r="BI86" s="2"/>
      <c r="BJ86" s="2"/>
      <c r="BK86" s="2"/>
      <c r="BL86" s="2"/>
    </row>
    <row r="87" spans="7:64" x14ac:dyDescent="0.25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2"/>
      <c r="AI87" s="2"/>
      <c r="AJ87" s="1"/>
      <c r="AK87" s="2"/>
      <c r="AL87" s="2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2"/>
      <c r="BH87" s="2"/>
      <c r="BI87" s="2"/>
      <c r="BJ87" s="2"/>
      <c r="BK87" s="2"/>
      <c r="BL87" s="2"/>
    </row>
    <row r="88" spans="7:64" x14ac:dyDescent="0.25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2"/>
      <c r="AI88" s="2"/>
      <c r="AJ88" s="1"/>
      <c r="AK88" s="2"/>
      <c r="AL88" s="2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2"/>
      <c r="BH88" s="2"/>
      <c r="BI88" s="2"/>
      <c r="BJ88" s="2"/>
      <c r="BK88" s="2"/>
      <c r="BL88" s="2"/>
    </row>
    <row r="89" spans="7:64" x14ac:dyDescent="0.25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2"/>
      <c r="AI89" s="2"/>
      <c r="AJ89" s="1"/>
      <c r="AK89" s="2"/>
      <c r="AL89" s="2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2"/>
      <c r="BH89" s="2"/>
      <c r="BI89" s="2"/>
      <c r="BJ89" s="2"/>
      <c r="BK89" s="2"/>
      <c r="BL89" s="2"/>
    </row>
    <row r="90" spans="7:64" x14ac:dyDescent="0.25"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2"/>
      <c r="AI90" s="2"/>
      <c r="AJ90" s="1"/>
      <c r="AK90" s="2"/>
      <c r="AL90" s="2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2"/>
      <c r="BH90" s="2"/>
      <c r="BI90" s="2"/>
      <c r="BJ90" s="2"/>
      <c r="BK90" s="2"/>
      <c r="BL90" s="2"/>
    </row>
    <row r="91" spans="7:64" x14ac:dyDescent="0.25"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2"/>
      <c r="AI91" s="2"/>
      <c r="AJ91" s="1"/>
      <c r="AK91" s="2"/>
      <c r="AL91" s="2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2"/>
      <c r="BH91" s="2"/>
      <c r="BI91" s="2"/>
      <c r="BJ91" s="2"/>
      <c r="BK91" s="2"/>
      <c r="BL91" s="2"/>
    </row>
    <row r="92" spans="7:64" x14ac:dyDescent="0.25"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2"/>
      <c r="AI92" s="2"/>
      <c r="AJ92" s="1"/>
      <c r="AK92" s="2"/>
      <c r="AL92" s="2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2"/>
      <c r="BH92" s="2"/>
      <c r="BI92" s="2"/>
      <c r="BJ92" s="2"/>
      <c r="BK92" s="2"/>
      <c r="BL92" s="2"/>
    </row>
    <row r="93" spans="7:64" x14ac:dyDescent="0.25"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2"/>
      <c r="AI93" s="2"/>
      <c r="AJ93" s="1"/>
      <c r="AK93" s="2"/>
      <c r="AL93" s="2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2"/>
      <c r="BH93" s="2"/>
      <c r="BI93" s="2"/>
      <c r="BJ93" s="2"/>
      <c r="BK93" s="2"/>
      <c r="BL93" s="2"/>
    </row>
    <row r="94" spans="7:64" x14ac:dyDescent="0.25"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2"/>
      <c r="AI94" s="2"/>
      <c r="AJ94" s="1"/>
      <c r="AK94" s="2"/>
      <c r="AL94" s="2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2"/>
      <c r="BH94" s="2"/>
      <c r="BI94" s="2"/>
      <c r="BJ94" s="2"/>
      <c r="BK94" s="2"/>
      <c r="BL94" s="2"/>
    </row>
    <row r="95" spans="7:64" x14ac:dyDescent="0.25"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2"/>
      <c r="AI95" s="2"/>
      <c r="AJ95" s="1"/>
      <c r="AK95" s="2"/>
      <c r="AL95" s="2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2"/>
      <c r="BH95" s="2"/>
      <c r="BI95" s="2"/>
      <c r="BJ95" s="2"/>
      <c r="BK95" s="2"/>
      <c r="BL95" s="2"/>
    </row>
    <row r="96" spans="7:64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2"/>
      <c r="AI96" s="2"/>
      <c r="AJ96" s="1"/>
      <c r="AK96" s="2"/>
      <c r="AL96" s="2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2"/>
      <c r="BH96" s="2"/>
      <c r="BI96" s="2"/>
      <c r="BJ96" s="2"/>
      <c r="BK96" s="2"/>
      <c r="BL96" s="2"/>
    </row>
    <row r="97" spans="7:64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"/>
      <c r="AI97" s="2"/>
      <c r="AJ97" s="1"/>
      <c r="AK97" s="2"/>
      <c r="AL97" s="2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2"/>
      <c r="BH97" s="2"/>
      <c r="BI97" s="2"/>
      <c r="BJ97" s="2"/>
      <c r="BK97" s="2"/>
      <c r="BL97" s="2"/>
    </row>
    <row r="98" spans="7:64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"/>
      <c r="AI98" s="2"/>
      <c r="AJ98" s="1"/>
      <c r="AK98" s="2"/>
      <c r="AL98" s="2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2"/>
      <c r="BH98" s="2"/>
      <c r="BI98" s="2"/>
      <c r="BJ98" s="2"/>
      <c r="BK98" s="2"/>
      <c r="BL98" s="2"/>
    </row>
    <row r="99" spans="7:64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2"/>
      <c r="AI99" s="2"/>
      <c r="AJ99" s="1"/>
      <c r="AK99" s="2"/>
      <c r="AL99" s="2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2"/>
      <c r="BH99" s="2"/>
      <c r="BI99" s="2"/>
      <c r="BJ99" s="2"/>
      <c r="BK99" s="2"/>
      <c r="BL99" s="2"/>
    </row>
    <row r="100" spans="7:64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2"/>
      <c r="AI100" s="2"/>
      <c r="AJ100" s="1"/>
      <c r="AK100" s="2"/>
      <c r="AL100" s="2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2"/>
      <c r="BH100" s="2"/>
      <c r="BI100" s="2"/>
      <c r="BJ100" s="2"/>
      <c r="BK100" s="2"/>
      <c r="BL100" s="2"/>
    </row>
    <row r="101" spans="7:64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2"/>
      <c r="AI101" s="2"/>
      <c r="AJ101" s="1"/>
      <c r="AK101" s="2"/>
      <c r="AL101" s="2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2"/>
      <c r="BH101" s="2"/>
      <c r="BI101" s="2"/>
      <c r="BJ101" s="2"/>
      <c r="BK101" s="2"/>
      <c r="BL101" s="2"/>
    </row>
    <row r="102" spans="7:64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2"/>
      <c r="AI102" s="2"/>
      <c r="AJ102" s="1"/>
      <c r="AK102" s="2"/>
      <c r="AL102" s="2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2"/>
      <c r="BH102" s="2"/>
      <c r="BI102" s="2"/>
      <c r="BJ102" s="2"/>
      <c r="BK102" s="2"/>
      <c r="BL102" s="2"/>
    </row>
    <row r="103" spans="7:64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2"/>
      <c r="AI103" s="2"/>
      <c r="AJ103" s="1"/>
      <c r="AK103" s="2"/>
      <c r="AL103" s="2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2"/>
      <c r="BH103" s="2"/>
      <c r="BI103" s="2"/>
      <c r="BJ103" s="2"/>
      <c r="BK103" s="2"/>
      <c r="BL103" s="2"/>
    </row>
    <row r="104" spans="7:64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2"/>
      <c r="AI104" s="2"/>
      <c r="AJ104" s="1"/>
      <c r="AK104" s="2"/>
      <c r="AL104" s="2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2"/>
      <c r="BH104" s="2"/>
      <c r="BI104" s="2"/>
      <c r="BJ104" s="2"/>
      <c r="BK104" s="2"/>
      <c r="BL104" s="2"/>
    </row>
    <row r="105" spans="7:64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2"/>
      <c r="AI105" s="2"/>
      <c r="AJ105" s="1"/>
      <c r="AK105" s="2"/>
      <c r="AL105" s="2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2"/>
      <c r="BH105" s="2"/>
      <c r="BI105" s="2"/>
      <c r="BJ105" s="2"/>
      <c r="BK105" s="2"/>
      <c r="BL105" s="2"/>
    </row>
    <row r="106" spans="7:64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2"/>
      <c r="AI106" s="2"/>
      <c r="AJ106" s="1"/>
      <c r="AK106" s="2"/>
      <c r="AL106" s="2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2"/>
      <c r="BH106" s="2"/>
      <c r="BI106" s="2"/>
      <c r="BJ106" s="2"/>
      <c r="BK106" s="2"/>
      <c r="BL106" s="2"/>
    </row>
    <row r="107" spans="7:64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2"/>
      <c r="AI107" s="2"/>
      <c r="AJ107" s="1"/>
      <c r="AK107" s="2"/>
      <c r="AL107" s="2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2"/>
      <c r="BH107" s="2"/>
      <c r="BI107" s="2"/>
      <c r="BJ107" s="2"/>
      <c r="BK107" s="2"/>
      <c r="BL107" s="2"/>
    </row>
    <row r="108" spans="7:64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2"/>
      <c r="AI108" s="2"/>
      <c r="AJ108" s="1"/>
      <c r="AK108" s="2"/>
      <c r="AL108" s="2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2"/>
      <c r="BH108" s="2"/>
      <c r="BI108" s="2"/>
      <c r="BJ108" s="2"/>
      <c r="BK108" s="2"/>
      <c r="BL108" s="2"/>
    </row>
    <row r="109" spans="7:64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2"/>
      <c r="AI109" s="2"/>
      <c r="AJ109" s="1"/>
      <c r="AK109" s="2"/>
      <c r="AL109" s="2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2"/>
      <c r="BH109" s="2"/>
      <c r="BI109" s="2"/>
      <c r="BJ109" s="2"/>
      <c r="BK109" s="2"/>
      <c r="BL109" s="2"/>
    </row>
    <row r="110" spans="7:64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1"/>
      <c r="AK110" s="2"/>
      <c r="AL110" s="2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2"/>
      <c r="BH110" s="2"/>
      <c r="BI110" s="2"/>
      <c r="BJ110" s="2"/>
      <c r="BK110" s="2"/>
      <c r="BL110" s="2"/>
    </row>
    <row r="111" spans="7:64" x14ac:dyDescent="0.2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1"/>
      <c r="AK111" s="2"/>
      <c r="AL111" s="2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2"/>
      <c r="BH111" s="2"/>
      <c r="BI111" s="2"/>
      <c r="BJ111" s="2"/>
      <c r="BK111" s="2"/>
      <c r="BL111" s="2"/>
    </row>
    <row r="112" spans="7:64" x14ac:dyDescent="0.2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1"/>
      <c r="AK112" s="2"/>
      <c r="AL112" s="2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2"/>
      <c r="BH112" s="2"/>
      <c r="BI112" s="2"/>
      <c r="BJ112" s="2"/>
      <c r="BK112" s="2"/>
      <c r="BL112" s="2"/>
    </row>
    <row r="113" spans="7:64" x14ac:dyDescent="0.2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1"/>
      <c r="AK113" s="2"/>
      <c r="AL113" s="2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2"/>
      <c r="BH113" s="2"/>
      <c r="BI113" s="2"/>
      <c r="BJ113" s="2"/>
      <c r="BK113" s="2"/>
      <c r="BL113" s="2"/>
    </row>
    <row r="114" spans="7:64" x14ac:dyDescent="0.2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1"/>
      <c r="AK114" s="2"/>
      <c r="AL114" s="2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2"/>
      <c r="BH114" s="2"/>
      <c r="BI114" s="2"/>
      <c r="BJ114" s="2"/>
      <c r="BK114" s="2"/>
      <c r="BL114" s="2"/>
    </row>
    <row r="115" spans="7:64" x14ac:dyDescent="0.2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1"/>
      <c r="AK115" s="2"/>
      <c r="AL115" s="2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2"/>
      <c r="BH115" s="2"/>
      <c r="BI115" s="2"/>
      <c r="BJ115" s="2"/>
      <c r="BK115" s="2"/>
      <c r="BL115" s="2"/>
    </row>
    <row r="116" spans="7:64" x14ac:dyDescent="0.2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1"/>
      <c r="AK116" s="2"/>
      <c r="AL116" s="2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2"/>
      <c r="BH116" s="2"/>
      <c r="BI116" s="2"/>
      <c r="BJ116" s="2"/>
      <c r="BK116" s="2"/>
      <c r="BL116" s="2"/>
    </row>
    <row r="117" spans="7:64" x14ac:dyDescent="0.2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1"/>
      <c r="AK117" s="2"/>
      <c r="AL117" s="2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2"/>
      <c r="BH117" s="2"/>
      <c r="BI117" s="2"/>
      <c r="BJ117" s="2"/>
      <c r="BK117" s="2"/>
      <c r="BL117" s="2"/>
    </row>
    <row r="118" spans="7:64" x14ac:dyDescent="0.2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1"/>
      <c r="AK118" s="2"/>
      <c r="AL118" s="2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2"/>
      <c r="BH118" s="2"/>
      <c r="BI118" s="2"/>
      <c r="BJ118" s="2"/>
      <c r="BK118" s="2"/>
      <c r="BL118" s="2"/>
    </row>
    <row r="119" spans="7:64" x14ac:dyDescent="0.2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1"/>
      <c r="AK119" s="2"/>
      <c r="AL119" s="2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2"/>
      <c r="BH119" s="2"/>
      <c r="BI119" s="2"/>
      <c r="BJ119" s="2"/>
      <c r="BK119" s="2"/>
      <c r="BL119" s="2"/>
    </row>
    <row r="120" spans="7:64" x14ac:dyDescent="0.2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1"/>
      <c r="AK120" s="2"/>
      <c r="AL120" s="2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2"/>
      <c r="BH120" s="2"/>
      <c r="BI120" s="2"/>
      <c r="BJ120" s="2"/>
      <c r="BK120" s="2"/>
      <c r="BL120" s="2"/>
    </row>
    <row r="121" spans="7:64" x14ac:dyDescent="0.2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1"/>
      <c r="AK121" s="2"/>
      <c r="AL121" s="2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2"/>
      <c r="BH121" s="2"/>
      <c r="BI121" s="2"/>
      <c r="BJ121" s="2"/>
      <c r="BK121" s="2"/>
      <c r="BL121" s="2"/>
    </row>
    <row r="122" spans="7:64" x14ac:dyDescent="0.2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1"/>
      <c r="AK122" s="2"/>
      <c r="AL122" s="2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2"/>
      <c r="BH122" s="2"/>
      <c r="BI122" s="2"/>
      <c r="BJ122" s="2"/>
      <c r="BK122" s="2"/>
      <c r="BL122" s="2"/>
    </row>
    <row r="123" spans="7:64" x14ac:dyDescent="0.2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1"/>
      <c r="AK123" s="2"/>
      <c r="AL123" s="2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2"/>
      <c r="BH123" s="2"/>
      <c r="BI123" s="2"/>
      <c r="BJ123" s="2"/>
      <c r="BK123" s="2"/>
      <c r="BL123" s="2"/>
    </row>
    <row r="124" spans="7:64" x14ac:dyDescent="0.2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1"/>
      <c r="AK124" s="2"/>
      <c r="AL124" s="2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2"/>
      <c r="BH124" s="2"/>
      <c r="BI124" s="2"/>
      <c r="BJ124" s="2"/>
      <c r="BK124" s="2"/>
      <c r="BL124" s="2"/>
    </row>
    <row r="125" spans="7:64" x14ac:dyDescent="0.2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1"/>
      <c r="AK125" s="2"/>
      <c r="AL125" s="2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2"/>
      <c r="BH125" s="2"/>
      <c r="BI125" s="2"/>
      <c r="BJ125" s="2"/>
      <c r="BK125" s="2"/>
      <c r="BL125" s="2"/>
    </row>
    <row r="126" spans="7:64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1"/>
      <c r="AK126" s="2"/>
      <c r="AL126" s="2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2"/>
      <c r="BH126" s="2"/>
      <c r="BI126" s="2"/>
      <c r="BJ126" s="2"/>
      <c r="BK126" s="2"/>
      <c r="BL126" s="2"/>
    </row>
    <row r="127" spans="7:64" x14ac:dyDescent="0.2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1"/>
      <c r="AK127" s="2"/>
      <c r="AL127" s="2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2"/>
      <c r="BH127" s="2"/>
      <c r="BI127" s="2"/>
      <c r="BJ127" s="2"/>
      <c r="BK127" s="2"/>
      <c r="BL127" s="2"/>
    </row>
    <row r="128" spans="7:64" x14ac:dyDescent="0.2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1"/>
      <c r="AK128" s="2"/>
      <c r="AL128" s="2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2"/>
      <c r="BH128" s="2"/>
      <c r="BI128" s="2"/>
      <c r="BJ128" s="2"/>
      <c r="BK128" s="2"/>
      <c r="BL128" s="2"/>
    </row>
    <row r="129" spans="7:64" x14ac:dyDescent="0.2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1"/>
      <c r="AK129" s="2"/>
      <c r="AL129" s="2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2"/>
      <c r="BH129" s="2"/>
      <c r="BI129" s="2"/>
      <c r="BJ129" s="2"/>
      <c r="BK129" s="2"/>
      <c r="BL129" s="2"/>
    </row>
    <row r="130" spans="7:64" x14ac:dyDescent="0.2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1"/>
      <c r="AK130" s="2"/>
      <c r="AL130" s="2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2"/>
      <c r="BH130" s="2"/>
      <c r="BI130" s="2"/>
      <c r="BJ130" s="2"/>
      <c r="BK130" s="2"/>
      <c r="BL130" s="2"/>
    </row>
    <row r="131" spans="7:64" x14ac:dyDescent="0.2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1"/>
      <c r="AK131" s="2"/>
      <c r="AL131" s="2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2"/>
      <c r="BH131" s="2"/>
      <c r="BI131" s="2"/>
      <c r="BJ131" s="2"/>
      <c r="BK131" s="2"/>
      <c r="BL131" s="2"/>
    </row>
    <row r="132" spans="7:64" x14ac:dyDescent="0.2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1"/>
      <c r="AK132" s="2"/>
      <c r="AL132" s="2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2"/>
      <c r="BH132" s="2"/>
      <c r="BI132" s="2"/>
      <c r="BJ132" s="2"/>
      <c r="BK132" s="2"/>
      <c r="BL132" s="2"/>
    </row>
    <row r="133" spans="7:64" x14ac:dyDescent="0.2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1"/>
      <c r="AK133" s="2"/>
      <c r="AL133" s="2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2"/>
      <c r="BH133" s="2"/>
      <c r="BI133" s="2"/>
      <c r="BJ133" s="2"/>
      <c r="BK133" s="2"/>
      <c r="BL133" s="2"/>
    </row>
    <row r="134" spans="7:64" x14ac:dyDescent="0.2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1"/>
      <c r="AK134" s="2"/>
      <c r="AL134" s="2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2"/>
      <c r="BH134" s="2"/>
      <c r="BI134" s="2"/>
      <c r="BJ134" s="2"/>
      <c r="BK134" s="2"/>
      <c r="BL134" s="2"/>
    </row>
    <row r="135" spans="7:64" x14ac:dyDescent="0.2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1"/>
      <c r="AK135" s="2"/>
      <c r="AL135" s="2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2"/>
      <c r="BH135" s="2"/>
      <c r="BI135" s="2"/>
      <c r="BJ135" s="2"/>
      <c r="BK135" s="2"/>
      <c r="BL135" s="2"/>
    </row>
    <row r="136" spans="7:64" x14ac:dyDescent="0.25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1"/>
      <c r="AK136" s="2"/>
      <c r="AL136" s="2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2"/>
      <c r="BH136" s="2"/>
      <c r="BI136" s="2"/>
      <c r="BJ136" s="2"/>
      <c r="BK136" s="2"/>
      <c r="BL136" s="2"/>
    </row>
    <row r="137" spans="7:64" x14ac:dyDescent="0.25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1"/>
      <c r="AK137" s="2"/>
      <c r="AL137" s="2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2"/>
      <c r="BH137" s="2"/>
      <c r="BI137" s="2"/>
      <c r="BJ137" s="2"/>
      <c r="BK137" s="2"/>
      <c r="BL137" s="2"/>
    </row>
    <row r="138" spans="7:64" x14ac:dyDescent="0.25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1"/>
      <c r="AK138" s="2"/>
      <c r="AL138" s="2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2"/>
      <c r="BH138" s="2"/>
      <c r="BI138" s="2"/>
      <c r="BJ138" s="2"/>
      <c r="BK138" s="2"/>
      <c r="BL138" s="2"/>
    </row>
    <row r="139" spans="7:64" x14ac:dyDescent="0.25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1"/>
      <c r="AK139" s="2"/>
      <c r="AL139" s="2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2"/>
      <c r="BH139" s="2"/>
      <c r="BI139" s="2"/>
      <c r="BJ139" s="2"/>
      <c r="BK139" s="2"/>
      <c r="BL139" s="2"/>
    </row>
    <row r="140" spans="7:64" x14ac:dyDescent="0.25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1"/>
      <c r="AK140" s="2"/>
      <c r="AL140" s="2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2"/>
      <c r="BH140" s="2"/>
      <c r="BI140" s="2"/>
      <c r="BJ140" s="2"/>
      <c r="BK140" s="2"/>
      <c r="BL140" s="2"/>
    </row>
    <row r="141" spans="7:64" x14ac:dyDescent="0.25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1"/>
      <c r="AK141" s="2"/>
      <c r="AL141" s="2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2"/>
      <c r="BH141" s="2"/>
      <c r="BI141" s="2"/>
      <c r="BJ141" s="2"/>
      <c r="BK141" s="2"/>
      <c r="BL141" s="2"/>
    </row>
    <row r="142" spans="7:64" x14ac:dyDescent="0.25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1"/>
      <c r="AK142" s="2"/>
      <c r="AL142" s="2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2"/>
      <c r="BH142" s="2"/>
      <c r="BI142" s="2"/>
      <c r="BJ142" s="2"/>
      <c r="BK142" s="2"/>
      <c r="BL142" s="2"/>
    </row>
    <row r="143" spans="7:64" x14ac:dyDescent="0.25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1"/>
      <c r="AK143" s="2"/>
      <c r="AL143" s="2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2"/>
      <c r="BH143" s="2"/>
      <c r="BI143" s="2"/>
      <c r="BJ143" s="2"/>
      <c r="BK143" s="2"/>
      <c r="BL143" s="2"/>
    </row>
    <row r="144" spans="7:64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1"/>
      <c r="AK144" s="2"/>
      <c r="AL144" s="2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2"/>
      <c r="BH144" s="2"/>
      <c r="BI144" s="2"/>
      <c r="BJ144" s="2"/>
      <c r="BK144" s="2"/>
      <c r="BL144" s="2"/>
    </row>
    <row r="145" spans="7:64" x14ac:dyDescent="0.25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1"/>
      <c r="AK145" s="2"/>
      <c r="AL145" s="2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2"/>
      <c r="BH145" s="2"/>
      <c r="BI145" s="2"/>
      <c r="BJ145" s="2"/>
      <c r="BK145" s="2"/>
      <c r="BL145" s="2"/>
    </row>
    <row r="146" spans="7:64" x14ac:dyDescent="0.25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1"/>
      <c r="AK146" s="2"/>
      <c r="AL146" s="2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2"/>
      <c r="BH146" s="2"/>
      <c r="BI146" s="2"/>
      <c r="BJ146" s="2"/>
      <c r="BK146" s="2"/>
      <c r="BL146" s="2"/>
    </row>
    <row r="147" spans="7:64" x14ac:dyDescent="0.25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1"/>
      <c r="AK147" s="2"/>
      <c r="AL147" s="2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2"/>
      <c r="BH147" s="2"/>
      <c r="BI147" s="2"/>
      <c r="BJ147" s="2"/>
      <c r="BK147" s="2"/>
      <c r="BL147" s="2"/>
    </row>
    <row r="148" spans="7:64" x14ac:dyDescent="0.25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1"/>
      <c r="AK148" s="2"/>
      <c r="AL148" s="2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2"/>
      <c r="BH148" s="2"/>
      <c r="BI148" s="2"/>
      <c r="BJ148" s="2"/>
      <c r="BK148" s="2"/>
      <c r="BL148" s="2"/>
    </row>
    <row r="149" spans="7:64" x14ac:dyDescent="0.25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1"/>
      <c r="AK149" s="2"/>
      <c r="AL149" s="2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2"/>
      <c r="BH149" s="2"/>
      <c r="BI149" s="2"/>
      <c r="BJ149" s="2"/>
      <c r="BK149" s="2"/>
      <c r="BL149" s="2"/>
    </row>
    <row r="150" spans="7:64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1"/>
      <c r="AK150" s="2"/>
      <c r="AL150" s="2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2"/>
      <c r="BH150" s="2"/>
      <c r="BI150" s="2"/>
      <c r="BJ150" s="2"/>
      <c r="BK150" s="2"/>
      <c r="BL150" s="2"/>
    </row>
    <row r="151" spans="7:64" x14ac:dyDescent="0.25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1"/>
      <c r="AK151" s="2"/>
      <c r="AL151" s="2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2"/>
      <c r="BH151" s="2"/>
      <c r="BI151" s="2"/>
      <c r="BJ151" s="2"/>
      <c r="BK151" s="2"/>
      <c r="BL151" s="2"/>
    </row>
    <row r="152" spans="7:64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1"/>
      <c r="AK152" s="2"/>
      <c r="AL152" s="2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2"/>
      <c r="BH152" s="2"/>
      <c r="BI152" s="2"/>
      <c r="BJ152" s="2"/>
      <c r="BK152" s="2"/>
      <c r="BL152" s="2"/>
    </row>
    <row r="153" spans="7:64" x14ac:dyDescent="0.25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1"/>
      <c r="AK153" s="2"/>
      <c r="AL153" s="2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2"/>
      <c r="BH153" s="2"/>
      <c r="BI153" s="2"/>
      <c r="BJ153" s="2"/>
      <c r="BK153" s="2"/>
      <c r="BL153" s="2"/>
    </row>
    <row r="154" spans="7:64" x14ac:dyDescent="0.25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1"/>
      <c r="AK154" s="2"/>
      <c r="AL154" s="2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2"/>
      <c r="BH154" s="2"/>
      <c r="BI154" s="2"/>
      <c r="BJ154" s="2"/>
      <c r="BK154" s="2"/>
      <c r="BL154" s="2"/>
    </row>
    <row r="155" spans="7:64" x14ac:dyDescent="0.25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1"/>
      <c r="AK155" s="2"/>
      <c r="AL155" s="2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2"/>
      <c r="BH155" s="2"/>
      <c r="BI155" s="2"/>
      <c r="BJ155" s="2"/>
      <c r="BK155" s="2"/>
      <c r="BL155" s="2"/>
    </row>
    <row r="156" spans="7:64" x14ac:dyDescent="0.25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1"/>
      <c r="AK156" s="2"/>
      <c r="AL156" s="2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2"/>
      <c r="BH156" s="2"/>
      <c r="BI156" s="2"/>
      <c r="BJ156" s="2"/>
      <c r="BK156" s="2"/>
      <c r="BL156" s="2"/>
    </row>
    <row r="157" spans="7:64" x14ac:dyDescent="0.25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1"/>
      <c r="AK157" s="2"/>
      <c r="AL157" s="2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2"/>
      <c r="BH157" s="2"/>
      <c r="BI157" s="2"/>
      <c r="BJ157" s="2"/>
      <c r="BK157" s="2"/>
      <c r="BL157" s="2"/>
    </row>
    <row r="158" spans="7:64" x14ac:dyDescent="0.25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1"/>
      <c r="AK158" s="2"/>
      <c r="AL158" s="2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2"/>
      <c r="BH158" s="2"/>
      <c r="BI158" s="2"/>
      <c r="BJ158" s="2"/>
      <c r="BK158" s="2"/>
      <c r="BL158" s="2"/>
    </row>
    <row r="159" spans="7:64" x14ac:dyDescent="0.25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1"/>
      <c r="AK159" s="2"/>
      <c r="AL159" s="2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2"/>
      <c r="BH159" s="2"/>
      <c r="BI159" s="2"/>
      <c r="BJ159" s="2"/>
      <c r="BK159" s="2"/>
      <c r="BL159" s="2"/>
    </row>
    <row r="160" spans="7:64" x14ac:dyDescent="0.25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1"/>
      <c r="AK160" s="2"/>
      <c r="AL160" s="2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2"/>
      <c r="BH160" s="2"/>
      <c r="BI160" s="2"/>
      <c r="BJ160" s="2"/>
      <c r="BK160" s="2"/>
      <c r="BL160" s="2"/>
    </row>
    <row r="161" spans="7:64" x14ac:dyDescent="0.25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1"/>
      <c r="AK161" s="2"/>
      <c r="AL161" s="2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2"/>
      <c r="BH161" s="2"/>
      <c r="BI161" s="2"/>
      <c r="BJ161" s="2"/>
      <c r="BK161" s="2"/>
      <c r="BL161" s="2"/>
    </row>
    <row r="162" spans="7:64" x14ac:dyDescent="0.25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1"/>
      <c r="AK162" s="2"/>
      <c r="AL162" s="2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2"/>
      <c r="BH162" s="2"/>
      <c r="BI162" s="2"/>
      <c r="BJ162" s="2"/>
      <c r="BK162" s="2"/>
      <c r="BL162" s="2"/>
    </row>
    <row r="163" spans="7:64" x14ac:dyDescent="0.25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1"/>
      <c r="AK163" s="2"/>
      <c r="AL163" s="2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2"/>
      <c r="BH163" s="2"/>
      <c r="BI163" s="2"/>
      <c r="BJ163" s="2"/>
      <c r="BK163" s="2"/>
      <c r="BL163" s="2"/>
    </row>
    <row r="164" spans="7:64" x14ac:dyDescent="0.25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1"/>
      <c r="AK164" s="2"/>
      <c r="AL164" s="2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2"/>
      <c r="BH164" s="2"/>
      <c r="BI164" s="2"/>
      <c r="BJ164" s="2"/>
      <c r="BK164" s="2"/>
      <c r="BL164" s="2"/>
    </row>
    <row r="165" spans="7:64" x14ac:dyDescent="0.25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1"/>
      <c r="AK165" s="2"/>
      <c r="AL165" s="2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2"/>
      <c r="BH165" s="2"/>
      <c r="BI165" s="2"/>
      <c r="BJ165" s="2"/>
      <c r="BK165" s="2"/>
      <c r="BL165" s="2"/>
    </row>
    <row r="166" spans="7:64" x14ac:dyDescent="0.25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1"/>
      <c r="AK166" s="2"/>
      <c r="AL166" s="2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2"/>
      <c r="BH166" s="2"/>
      <c r="BI166" s="2"/>
      <c r="BJ166" s="2"/>
      <c r="BK166" s="2"/>
      <c r="BL166" s="2"/>
    </row>
    <row r="167" spans="7:64" x14ac:dyDescent="0.25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1"/>
      <c r="AK167" s="2"/>
      <c r="AL167" s="2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2"/>
      <c r="BH167" s="2"/>
      <c r="BI167" s="2"/>
      <c r="BJ167" s="2"/>
      <c r="BK167" s="2"/>
      <c r="BL167" s="2"/>
    </row>
    <row r="168" spans="7:64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1"/>
      <c r="AK168" s="2"/>
      <c r="AL168" s="2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2"/>
      <c r="BH168" s="2"/>
      <c r="BI168" s="2"/>
      <c r="BJ168" s="2"/>
      <c r="BK168" s="2"/>
      <c r="BL168" s="2"/>
    </row>
    <row r="169" spans="7:64" x14ac:dyDescent="0.25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1"/>
      <c r="AK169" s="2"/>
      <c r="AL169" s="2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2"/>
      <c r="BH169" s="2"/>
      <c r="BI169" s="2"/>
      <c r="BJ169" s="2"/>
      <c r="BK169" s="2"/>
      <c r="BL169" s="2"/>
    </row>
    <row r="170" spans="7:64" x14ac:dyDescent="0.25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1"/>
      <c r="AK170" s="2"/>
      <c r="AL170" s="2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2"/>
      <c r="BH170" s="2"/>
      <c r="BI170" s="2"/>
      <c r="BJ170" s="2"/>
      <c r="BK170" s="2"/>
      <c r="BL170" s="2"/>
    </row>
    <row r="171" spans="7:64" x14ac:dyDescent="0.25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1"/>
      <c r="AK171" s="2"/>
      <c r="AL171" s="2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2"/>
      <c r="BH171" s="2"/>
      <c r="BI171" s="2"/>
      <c r="BJ171" s="2"/>
      <c r="BK171" s="2"/>
      <c r="BL171" s="2"/>
    </row>
    <row r="172" spans="7:64" x14ac:dyDescent="0.25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1"/>
      <c r="AK172" s="2"/>
      <c r="AL172" s="2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2"/>
      <c r="BH172" s="2"/>
      <c r="BI172" s="2"/>
      <c r="BJ172" s="2"/>
      <c r="BK172" s="2"/>
      <c r="BL172" s="2"/>
    </row>
    <row r="173" spans="7:64" x14ac:dyDescent="0.25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1"/>
      <c r="AK173" s="2"/>
      <c r="AL173" s="2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2"/>
      <c r="BH173" s="2"/>
      <c r="BI173" s="2"/>
      <c r="BJ173" s="2"/>
      <c r="BK173" s="2"/>
      <c r="BL173" s="2"/>
    </row>
    <row r="174" spans="7:64" x14ac:dyDescent="0.25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1"/>
      <c r="AK174" s="2"/>
      <c r="AL174" s="2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2"/>
      <c r="BH174" s="2"/>
      <c r="BI174" s="2"/>
      <c r="BJ174" s="2"/>
      <c r="BK174" s="2"/>
      <c r="BL174" s="2"/>
    </row>
    <row r="175" spans="7:64" x14ac:dyDescent="0.25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1"/>
      <c r="AK175" s="2"/>
      <c r="AL175" s="2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2"/>
      <c r="BH175" s="2"/>
      <c r="BI175" s="2"/>
      <c r="BJ175" s="2"/>
      <c r="BK175" s="2"/>
      <c r="BL175" s="2"/>
    </row>
    <row r="176" spans="7:64" x14ac:dyDescent="0.25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1"/>
      <c r="AK176" s="2"/>
      <c r="AL176" s="2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2"/>
      <c r="BH176" s="2"/>
      <c r="BI176" s="2"/>
      <c r="BJ176" s="2"/>
      <c r="BK176" s="2"/>
      <c r="BL176" s="2"/>
    </row>
    <row r="177" spans="7:64" x14ac:dyDescent="0.25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1"/>
      <c r="AK177" s="2"/>
      <c r="AL177" s="2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2"/>
      <c r="BH177" s="2"/>
      <c r="BI177" s="2"/>
      <c r="BJ177" s="2"/>
      <c r="BK177" s="2"/>
      <c r="BL177" s="2"/>
    </row>
    <row r="178" spans="7:64" x14ac:dyDescent="0.25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1"/>
      <c r="AK178" s="2"/>
      <c r="AL178" s="2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2"/>
      <c r="BH178" s="2"/>
      <c r="BI178" s="2"/>
      <c r="BJ178" s="2"/>
      <c r="BK178" s="2"/>
      <c r="BL178" s="2"/>
    </row>
    <row r="179" spans="7:64" x14ac:dyDescent="0.25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1"/>
      <c r="AK179" s="2"/>
      <c r="AL179" s="2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2"/>
      <c r="BH179" s="2"/>
      <c r="BI179" s="2"/>
      <c r="BJ179" s="2"/>
      <c r="BK179" s="2"/>
      <c r="BL179" s="2"/>
    </row>
    <row r="180" spans="7:64" x14ac:dyDescent="0.25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1"/>
      <c r="AK180" s="2"/>
      <c r="AL180" s="2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2"/>
      <c r="BH180" s="2"/>
      <c r="BI180" s="2"/>
      <c r="BJ180" s="2"/>
      <c r="BK180" s="2"/>
      <c r="BL180" s="2"/>
    </row>
    <row r="181" spans="7:64" x14ac:dyDescent="0.25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1"/>
      <c r="AK181" s="2"/>
      <c r="AL181" s="2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2"/>
      <c r="BH181" s="2"/>
      <c r="BI181" s="2"/>
      <c r="BJ181" s="2"/>
      <c r="BK181" s="2"/>
      <c r="BL181" s="2"/>
    </row>
    <row r="182" spans="7:64" x14ac:dyDescent="0.25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1"/>
      <c r="AK182" s="2"/>
      <c r="AL182" s="2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2"/>
      <c r="BH182" s="2"/>
      <c r="BI182" s="2"/>
      <c r="BJ182" s="2"/>
      <c r="BK182" s="2"/>
      <c r="BL182" s="2"/>
    </row>
    <row r="183" spans="7:64" x14ac:dyDescent="0.25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1"/>
      <c r="AK183" s="2"/>
      <c r="AL183" s="2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2"/>
      <c r="BH183" s="2"/>
      <c r="BI183" s="2"/>
      <c r="BJ183" s="2"/>
      <c r="BK183" s="2"/>
      <c r="BL183" s="2"/>
    </row>
    <row r="184" spans="7:64" x14ac:dyDescent="0.25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1"/>
      <c r="AK184" s="2"/>
      <c r="AL184" s="2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2"/>
      <c r="BH184" s="2"/>
      <c r="BI184" s="2"/>
      <c r="BJ184" s="2"/>
      <c r="BK184" s="2"/>
      <c r="BL184" s="2"/>
    </row>
    <row r="185" spans="7:64" x14ac:dyDescent="0.25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1"/>
      <c r="AK185" s="2"/>
      <c r="AL185" s="2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2"/>
      <c r="BH185" s="2"/>
      <c r="BI185" s="2"/>
      <c r="BJ185" s="2"/>
      <c r="BK185" s="2"/>
      <c r="BL185" s="2"/>
    </row>
    <row r="186" spans="7:64" x14ac:dyDescent="0.25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1"/>
      <c r="AK186" s="2"/>
      <c r="AL186" s="2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2"/>
      <c r="BH186" s="2"/>
      <c r="BI186" s="2"/>
      <c r="BJ186" s="2"/>
      <c r="BK186" s="2"/>
      <c r="BL186" s="2"/>
    </row>
    <row r="187" spans="7:64" x14ac:dyDescent="0.25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1"/>
      <c r="AK187" s="2"/>
      <c r="AL187" s="2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2"/>
      <c r="BH187" s="2"/>
      <c r="BI187" s="2"/>
      <c r="BJ187" s="2"/>
      <c r="BK187" s="2"/>
      <c r="BL187" s="2"/>
    </row>
    <row r="188" spans="7:64" x14ac:dyDescent="0.25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1"/>
      <c r="AK188" s="2"/>
      <c r="AL188" s="2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2"/>
      <c r="BH188" s="2"/>
      <c r="BI188" s="2"/>
      <c r="BJ188" s="2"/>
      <c r="BK188" s="2"/>
      <c r="BL188" s="2"/>
    </row>
    <row r="189" spans="7:64" x14ac:dyDescent="0.25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1"/>
      <c r="AK189" s="2"/>
      <c r="AL189" s="2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2"/>
      <c r="BH189" s="2"/>
      <c r="BI189" s="2"/>
      <c r="BJ189" s="2"/>
      <c r="BK189" s="2"/>
      <c r="BL189" s="2"/>
    </row>
    <row r="190" spans="7:64" x14ac:dyDescent="0.25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1"/>
      <c r="AK190" s="2"/>
      <c r="AL190" s="2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2"/>
      <c r="BH190" s="2"/>
      <c r="BI190" s="2"/>
      <c r="BJ190" s="2"/>
      <c r="BK190" s="2"/>
      <c r="BL190" s="2"/>
    </row>
    <row r="191" spans="7:64" x14ac:dyDescent="0.25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1"/>
      <c r="AK191" s="2"/>
      <c r="AL191" s="2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2"/>
      <c r="BH191" s="2"/>
      <c r="BI191" s="2"/>
      <c r="BJ191" s="2"/>
      <c r="BK191" s="2"/>
      <c r="BL191" s="2"/>
    </row>
    <row r="192" spans="7:64" x14ac:dyDescent="0.25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1"/>
      <c r="AK192" s="2"/>
      <c r="AL192" s="2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2"/>
      <c r="BH192" s="2"/>
      <c r="BI192" s="2"/>
      <c r="BJ192" s="2"/>
      <c r="BK192" s="2"/>
      <c r="BL192" s="2"/>
    </row>
    <row r="193" spans="7:64" x14ac:dyDescent="0.25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1"/>
      <c r="AK193" s="2"/>
      <c r="AL193" s="2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2"/>
      <c r="BH193" s="2"/>
      <c r="BI193" s="2"/>
      <c r="BJ193" s="2"/>
      <c r="BK193" s="2"/>
      <c r="BL193" s="2"/>
    </row>
    <row r="194" spans="7:64" x14ac:dyDescent="0.25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1"/>
      <c r="AK194" s="2"/>
      <c r="AL194" s="2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2"/>
      <c r="BH194" s="2"/>
      <c r="BI194" s="2"/>
      <c r="BJ194" s="2"/>
      <c r="BK194" s="2"/>
      <c r="BL194" s="2"/>
    </row>
    <row r="195" spans="7:64" x14ac:dyDescent="0.25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1"/>
      <c r="AK195" s="2"/>
      <c r="AL195" s="2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2"/>
      <c r="BH195" s="2"/>
      <c r="BI195" s="2"/>
      <c r="BJ195" s="2"/>
      <c r="BK195" s="2"/>
      <c r="BL195" s="2"/>
    </row>
    <row r="196" spans="7:64" x14ac:dyDescent="0.25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1"/>
      <c r="AK196" s="2"/>
      <c r="AL196" s="2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2"/>
      <c r="BH196" s="2"/>
      <c r="BI196" s="2"/>
      <c r="BJ196" s="2"/>
      <c r="BK196" s="2"/>
      <c r="BL196" s="2"/>
    </row>
    <row r="197" spans="7:64" x14ac:dyDescent="0.25"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1"/>
      <c r="AK197" s="2"/>
      <c r="AL197" s="2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2"/>
      <c r="BH197" s="2"/>
      <c r="BI197" s="2"/>
      <c r="BJ197" s="2"/>
      <c r="BK197" s="2"/>
      <c r="BL197" s="2"/>
    </row>
    <row r="198" spans="7:64" x14ac:dyDescent="0.25"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1"/>
      <c r="AK198" s="2"/>
      <c r="AL198" s="2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2"/>
      <c r="BH198" s="2"/>
      <c r="BI198" s="2"/>
      <c r="BJ198" s="2"/>
      <c r="BK198" s="2"/>
      <c r="BL198" s="2"/>
    </row>
    <row r="199" spans="7:64" x14ac:dyDescent="0.25"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1"/>
      <c r="AK199" s="2"/>
      <c r="AL199" s="2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2"/>
      <c r="BH199" s="2"/>
      <c r="BI199" s="2"/>
      <c r="BJ199" s="2"/>
      <c r="BK199" s="2"/>
      <c r="BL199" s="2"/>
    </row>
    <row r="200" spans="7:64" x14ac:dyDescent="0.25"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1"/>
      <c r="AK200" s="2"/>
      <c r="AL200" s="2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2"/>
      <c r="BH200" s="2"/>
      <c r="BI200" s="2"/>
      <c r="BJ200" s="2"/>
      <c r="BK200" s="2"/>
      <c r="BL200" s="2"/>
    </row>
    <row r="201" spans="7:64" x14ac:dyDescent="0.25"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1"/>
      <c r="AK201" s="2"/>
      <c r="AL201" s="2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2"/>
      <c r="BH201" s="2"/>
      <c r="BI201" s="2"/>
      <c r="BJ201" s="2"/>
      <c r="BK201" s="2"/>
      <c r="BL201" s="2"/>
    </row>
    <row r="202" spans="7:64" x14ac:dyDescent="0.25"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1"/>
      <c r="AK202" s="2"/>
      <c r="AL202" s="2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2"/>
      <c r="BH202" s="2"/>
      <c r="BI202" s="2"/>
      <c r="BJ202" s="2"/>
      <c r="BK202" s="2"/>
      <c r="BL202" s="2"/>
    </row>
    <row r="203" spans="7:64" x14ac:dyDescent="0.25"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1"/>
      <c r="AK203" s="2"/>
      <c r="AL203" s="2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2"/>
      <c r="BH203" s="2"/>
      <c r="BI203" s="2"/>
      <c r="BJ203" s="2"/>
      <c r="BK203" s="2"/>
      <c r="BL203" s="2"/>
    </row>
    <row r="204" spans="7:64" x14ac:dyDescent="0.25"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1"/>
      <c r="AK204" s="2"/>
      <c r="AL204" s="2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2"/>
      <c r="BH204" s="2"/>
      <c r="BI204" s="2"/>
      <c r="BJ204" s="2"/>
      <c r="BK204" s="2"/>
      <c r="BL204" s="2"/>
    </row>
    <row r="205" spans="7:64" x14ac:dyDescent="0.25"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1"/>
      <c r="AK205" s="2"/>
      <c r="AL205" s="2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2"/>
      <c r="BH205" s="2"/>
      <c r="BI205" s="2"/>
      <c r="BJ205" s="2"/>
      <c r="BK205" s="2"/>
      <c r="BL205" s="2"/>
    </row>
    <row r="206" spans="7:64" x14ac:dyDescent="0.25"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1"/>
      <c r="AK206" s="2"/>
      <c r="AL206" s="2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2"/>
      <c r="BH206" s="2"/>
      <c r="BI206" s="2"/>
      <c r="BJ206" s="2"/>
      <c r="BK206" s="2"/>
      <c r="BL206" s="2"/>
    </row>
    <row r="207" spans="7:64" x14ac:dyDescent="0.25"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1"/>
      <c r="AK207" s="2"/>
      <c r="AL207" s="2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2"/>
      <c r="BH207" s="2"/>
      <c r="BI207" s="2"/>
      <c r="BJ207" s="2"/>
      <c r="BK207" s="2"/>
      <c r="BL207" s="2"/>
    </row>
    <row r="208" spans="7:64" x14ac:dyDescent="0.25"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1"/>
      <c r="AK208" s="2"/>
      <c r="AL208" s="2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2"/>
      <c r="BH208" s="2"/>
      <c r="BI208" s="2"/>
      <c r="BJ208" s="2"/>
      <c r="BK208" s="2"/>
      <c r="BL208" s="2"/>
    </row>
    <row r="209" spans="7:64" x14ac:dyDescent="0.25"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1"/>
      <c r="AK209" s="2"/>
      <c r="AL209" s="2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2"/>
      <c r="BH209" s="2"/>
      <c r="BI209" s="2"/>
      <c r="BJ209" s="2"/>
      <c r="BK209" s="2"/>
      <c r="BL209" s="2"/>
    </row>
    <row r="210" spans="7:64" x14ac:dyDescent="0.25"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1"/>
      <c r="AK210" s="2"/>
      <c r="AL210" s="2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2"/>
      <c r="BH210" s="2"/>
      <c r="BI210" s="2"/>
      <c r="BJ210" s="2"/>
      <c r="BK210" s="2"/>
      <c r="BL210" s="2"/>
    </row>
    <row r="211" spans="7:64" x14ac:dyDescent="0.25"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1"/>
      <c r="AK211" s="2"/>
      <c r="AL211" s="2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2"/>
      <c r="BH211" s="2"/>
      <c r="BI211" s="2"/>
      <c r="BJ211" s="2"/>
      <c r="BK211" s="2"/>
      <c r="BL211" s="2"/>
    </row>
    <row r="212" spans="7:64" x14ac:dyDescent="0.25"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1"/>
      <c r="AK212" s="2"/>
      <c r="AL212" s="2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2"/>
      <c r="BH212" s="2"/>
      <c r="BI212" s="2"/>
      <c r="BJ212" s="2"/>
      <c r="BK212" s="2"/>
      <c r="BL212" s="2"/>
    </row>
    <row r="213" spans="7:64" x14ac:dyDescent="0.25"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1"/>
      <c r="AK213" s="2"/>
      <c r="AL213" s="2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2"/>
      <c r="BH213" s="2"/>
      <c r="BI213" s="2"/>
      <c r="BJ213" s="2"/>
      <c r="BK213" s="2"/>
      <c r="BL213" s="2"/>
    </row>
    <row r="214" spans="7:64" x14ac:dyDescent="0.25"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1"/>
      <c r="AK214" s="2"/>
      <c r="AL214" s="2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2"/>
      <c r="BH214" s="2"/>
      <c r="BI214" s="2"/>
      <c r="BJ214" s="2"/>
      <c r="BK214" s="2"/>
      <c r="BL214" s="2"/>
    </row>
    <row r="215" spans="7:64" x14ac:dyDescent="0.25"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1"/>
      <c r="AK215" s="2"/>
      <c r="AL215" s="2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2"/>
      <c r="BH215" s="2"/>
      <c r="BI215" s="2"/>
      <c r="BJ215" s="2"/>
      <c r="BK215" s="2"/>
      <c r="BL215" s="2"/>
    </row>
    <row r="216" spans="7:64" x14ac:dyDescent="0.25"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1"/>
      <c r="AK216" s="2"/>
      <c r="AL216" s="2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2"/>
      <c r="BH216" s="2"/>
      <c r="BI216" s="2"/>
      <c r="BJ216" s="2"/>
      <c r="BK216" s="2"/>
      <c r="BL216" s="2"/>
    </row>
    <row r="217" spans="7:64" x14ac:dyDescent="0.25"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1"/>
      <c r="AK217" s="2"/>
      <c r="AL217" s="2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2"/>
      <c r="BH217" s="2"/>
      <c r="BI217" s="2"/>
      <c r="BJ217" s="2"/>
      <c r="BK217" s="2"/>
      <c r="BL217" s="2"/>
    </row>
    <row r="218" spans="7:64" x14ac:dyDescent="0.25"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1"/>
      <c r="AK218" s="2"/>
      <c r="AL218" s="2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2"/>
      <c r="BH218" s="2"/>
      <c r="BI218" s="2"/>
      <c r="BJ218" s="2"/>
      <c r="BK218" s="2"/>
      <c r="BL218" s="2"/>
    </row>
    <row r="219" spans="7:64" x14ac:dyDescent="0.25"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1"/>
      <c r="AK219" s="2"/>
      <c r="AL219" s="2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2"/>
      <c r="BH219" s="2"/>
      <c r="BI219" s="2"/>
      <c r="BJ219" s="2"/>
      <c r="BK219" s="2"/>
      <c r="BL219" s="2"/>
    </row>
    <row r="220" spans="7:64" x14ac:dyDescent="0.25"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1"/>
      <c r="AK220" s="2"/>
      <c r="AL220" s="2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2"/>
      <c r="BH220" s="2"/>
      <c r="BI220" s="2"/>
      <c r="BJ220" s="2"/>
      <c r="BK220" s="2"/>
      <c r="BL220" s="2"/>
    </row>
    <row r="221" spans="7:64" x14ac:dyDescent="0.25"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1"/>
      <c r="AK221" s="2"/>
      <c r="AL221" s="2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2"/>
      <c r="BH221" s="2"/>
      <c r="BI221" s="2"/>
      <c r="BJ221" s="2"/>
      <c r="BK221" s="2"/>
      <c r="BL221" s="2"/>
    </row>
    <row r="222" spans="7:64" x14ac:dyDescent="0.25"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1"/>
      <c r="AK222" s="2"/>
      <c r="AL222" s="2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2"/>
      <c r="BH222" s="2"/>
      <c r="BI222" s="2"/>
      <c r="BJ222" s="2"/>
      <c r="BK222" s="2"/>
      <c r="BL222" s="2"/>
    </row>
    <row r="223" spans="7:64" x14ac:dyDescent="0.25"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1"/>
      <c r="AK223" s="2"/>
      <c r="AL223" s="2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2"/>
      <c r="BH223" s="2"/>
      <c r="BI223" s="2"/>
      <c r="BJ223" s="2"/>
      <c r="BK223" s="2"/>
      <c r="BL223" s="2"/>
    </row>
    <row r="224" spans="7:64" x14ac:dyDescent="0.25"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1"/>
      <c r="AK224" s="2"/>
      <c r="AL224" s="2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2"/>
      <c r="BH224" s="2"/>
      <c r="BI224" s="2"/>
      <c r="BJ224" s="2"/>
      <c r="BK224" s="2"/>
      <c r="BL224" s="2"/>
    </row>
    <row r="225" spans="7:64" x14ac:dyDescent="0.25"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1"/>
      <c r="AK225" s="2"/>
      <c r="AL225" s="2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2"/>
      <c r="BH225" s="2"/>
      <c r="BI225" s="2"/>
      <c r="BJ225" s="2"/>
      <c r="BK225" s="2"/>
      <c r="BL225" s="2"/>
    </row>
    <row r="226" spans="7:64" x14ac:dyDescent="0.25"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1"/>
      <c r="AK226" s="2"/>
      <c r="AL226" s="2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2"/>
      <c r="BH226" s="2"/>
      <c r="BI226" s="2"/>
      <c r="BJ226" s="2"/>
      <c r="BK226" s="2"/>
      <c r="BL226" s="2"/>
    </row>
    <row r="227" spans="7:64" x14ac:dyDescent="0.25"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1"/>
      <c r="AK227" s="2"/>
      <c r="AL227" s="2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2"/>
      <c r="BH227" s="2"/>
      <c r="BI227" s="2"/>
      <c r="BJ227" s="2"/>
      <c r="BK227" s="2"/>
      <c r="BL227" s="2"/>
    </row>
    <row r="228" spans="7:64" x14ac:dyDescent="0.25"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1"/>
      <c r="AK228" s="2"/>
      <c r="AL228" s="2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2"/>
      <c r="BH228" s="2"/>
      <c r="BI228" s="2"/>
      <c r="BJ228" s="2"/>
      <c r="BK228" s="2"/>
      <c r="BL228" s="2"/>
    </row>
    <row r="229" spans="7:64" x14ac:dyDescent="0.25"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1"/>
      <c r="AK229" s="2"/>
      <c r="AL229" s="2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2"/>
      <c r="BH229" s="2"/>
      <c r="BI229" s="2"/>
      <c r="BJ229" s="2"/>
      <c r="BK229" s="2"/>
      <c r="BL229" s="2"/>
    </row>
    <row r="230" spans="7:64" x14ac:dyDescent="0.25"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1"/>
      <c r="AK230" s="2"/>
      <c r="AL230" s="2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2"/>
      <c r="BH230" s="2"/>
      <c r="BI230" s="2"/>
      <c r="BJ230" s="2"/>
      <c r="BK230" s="2"/>
      <c r="BL230" s="2"/>
    </row>
    <row r="231" spans="7:64" x14ac:dyDescent="0.25"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1"/>
      <c r="AK231" s="2"/>
      <c r="AL231" s="2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2"/>
      <c r="BH231" s="2"/>
      <c r="BI231" s="2"/>
      <c r="BJ231" s="2"/>
      <c r="BK231" s="2"/>
      <c r="BL231" s="2"/>
    </row>
    <row r="232" spans="7:64" x14ac:dyDescent="0.25"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1"/>
      <c r="AK232" s="2"/>
      <c r="AL232" s="2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2"/>
      <c r="BH232" s="2"/>
      <c r="BI232" s="2"/>
      <c r="BJ232" s="2"/>
      <c r="BK232" s="2"/>
      <c r="BL232" s="2"/>
    </row>
    <row r="233" spans="7:64" x14ac:dyDescent="0.25"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1"/>
      <c r="AK233" s="2"/>
      <c r="AL233" s="2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2"/>
      <c r="BH233" s="2"/>
      <c r="BI233" s="2"/>
      <c r="BJ233" s="2"/>
      <c r="BK233" s="2"/>
      <c r="BL233" s="2"/>
    </row>
    <row r="234" spans="7:64" x14ac:dyDescent="0.25"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1"/>
      <c r="AK234" s="2"/>
      <c r="AL234" s="2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2"/>
      <c r="BH234" s="2"/>
      <c r="BI234" s="2"/>
      <c r="BJ234" s="2"/>
      <c r="BK234" s="2"/>
      <c r="BL234" s="2"/>
    </row>
  </sheetData>
  <mergeCells count="5">
    <mergeCell ref="U54:W54"/>
    <mergeCell ref="G2:T2"/>
    <mergeCell ref="U2:AH2"/>
    <mergeCell ref="AK5:AX5"/>
    <mergeCell ref="AZ5:BC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3FFD-1F6D-4130-9331-A0374066D35A}">
  <sheetPr>
    <pageSetUpPr fitToPage="1"/>
  </sheetPr>
  <dimension ref="A1:BR550"/>
  <sheetViews>
    <sheetView view="pageBreakPreview" topLeftCell="A123" zoomScale="124" zoomScaleNormal="100" zoomScaleSheetLayoutView="124" workbookViewId="0">
      <selection activeCell="H21" sqref="H21"/>
    </sheetView>
  </sheetViews>
  <sheetFormatPr defaultColWidth="9.26953125" defaultRowHeight="13" x14ac:dyDescent="0.3"/>
  <cols>
    <col min="1" max="4" width="0.7265625" style="136" customWidth="1"/>
    <col min="5" max="5" width="50.7265625" style="136" customWidth="1"/>
    <col min="6" max="6" width="3.453125" style="136" customWidth="1"/>
    <col min="7" max="7" width="3.54296875" style="136" customWidth="1"/>
    <col min="8" max="8" width="13.7265625" style="136" customWidth="1"/>
    <col min="9" max="11" width="11.7265625" style="136" hidden="1" customWidth="1"/>
    <col min="12" max="14" width="14.26953125" style="136" hidden="1" customWidth="1"/>
    <col min="15" max="15" width="15.7265625" style="136" hidden="1" customWidth="1"/>
    <col min="16" max="17" width="13.7265625" style="136" hidden="1" customWidth="1"/>
    <col min="18" max="18" width="12.7265625" style="136" customWidth="1"/>
    <col min="19" max="19" width="11.7265625" style="136" hidden="1" customWidth="1"/>
    <col min="20" max="20" width="9.26953125" style="136" hidden="1" customWidth="1"/>
    <col min="21" max="21" width="13.7265625" style="136" customWidth="1"/>
    <col min="22" max="22" width="13.7265625" style="144" customWidth="1"/>
    <col min="23" max="23" width="11.26953125" style="136" hidden="1" customWidth="1"/>
    <col min="24" max="24" width="11.453125" style="136" hidden="1" customWidth="1"/>
    <col min="25" max="25" width="12.26953125" style="136" hidden="1" customWidth="1"/>
    <col min="26" max="26" width="10.453125" style="136" hidden="1" customWidth="1"/>
    <col min="27" max="27" width="11" style="136" hidden="1" customWidth="1"/>
    <col min="28" max="29" width="15.7265625" style="136" hidden="1" customWidth="1"/>
    <col min="30" max="30" width="13.7265625" style="136" hidden="1" customWidth="1"/>
    <col min="31" max="31" width="12.54296875" style="136" hidden="1" customWidth="1"/>
    <col min="32" max="32" width="12.7265625" style="136" customWidth="1"/>
    <col min="33" max="33" width="13.26953125" style="136" hidden="1" customWidth="1"/>
    <col min="34" max="34" width="13.7265625" style="136" hidden="1" customWidth="1"/>
    <col min="35" max="35" width="13.453125" style="136" customWidth="1"/>
    <col min="36" max="36" width="4.26953125" style="136" customWidth="1"/>
    <col min="37" max="37" width="13.7265625" style="136" hidden="1" customWidth="1"/>
    <col min="38" max="44" width="13.7265625" style="136" customWidth="1"/>
    <col min="45" max="45" width="9.54296875" style="136" customWidth="1"/>
    <col min="46" max="46" width="12.54296875" style="136" bestFit="1" customWidth="1"/>
    <col min="47" max="16384" width="9.26953125" style="136"/>
  </cols>
  <sheetData>
    <row r="1" spans="1:37" ht="12.75" customHeight="1" x14ac:dyDescent="0.3">
      <c r="V1" s="136"/>
    </row>
    <row r="2" spans="1:37" ht="12.75" customHeight="1" x14ac:dyDescent="0.3">
      <c r="A2" s="137" t="s">
        <v>44</v>
      </c>
      <c r="B2" s="137"/>
      <c r="C2" s="137"/>
      <c r="D2" s="138"/>
      <c r="F2" s="137"/>
      <c r="G2" s="138"/>
      <c r="U2" s="138"/>
      <c r="V2" s="136"/>
    </row>
    <row r="3" spans="1:37" ht="12.75" customHeight="1" x14ac:dyDescent="0.3">
      <c r="A3" s="139"/>
      <c r="B3" s="140"/>
      <c r="C3" s="140"/>
      <c r="D3" s="140"/>
      <c r="E3" s="140"/>
      <c r="F3" s="140"/>
      <c r="G3" s="141"/>
      <c r="H3" s="574" t="s">
        <v>1</v>
      </c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6"/>
      <c r="V3" s="574" t="s">
        <v>2</v>
      </c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  <c r="AI3" s="577"/>
      <c r="AJ3" s="144"/>
    </row>
    <row r="4" spans="1:37" ht="12.75" customHeight="1" x14ac:dyDescent="0.3">
      <c r="A4" s="144"/>
      <c r="C4" s="42"/>
      <c r="E4" s="42"/>
      <c r="F4" s="42"/>
      <c r="G4" s="145"/>
      <c r="H4" s="146" t="s">
        <v>3</v>
      </c>
      <c r="I4" s="147" t="s">
        <v>4</v>
      </c>
      <c r="J4" s="147" t="s">
        <v>5</v>
      </c>
      <c r="K4" s="147" t="s">
        <v>6</v>
      </c>
      <c r="L4" s="147" t="s">
        <v>7</v>
      </c>
      <c r="M4" s="147" t="s">
        <v>8</v>
      </c>
      <c r="N4" s="147" t="s">
        <v>9</v>
      </c>
      <c r="O4" s="147" t="s">
        <v>10</v>
      </c>
      <c r="P4" s="147" t="s">
        <v>11</v>
      </c>
      <c r="Q4" s="147" t="s">
        <v>12</v>
      </c>
      <c r="R4" s="147" t="s">
        <v>13</v>
      </c>
      <c r="S4" s="147" t="s">
        <v>14</v>
      </c>
      <c r="T4" s="147" t="s">
        <v>15</v>
      </c>
      <c r="U4" s="148" t="s">
        <v>16</v>
      </c>
      <c r="V4" s="149" t="s">
        <v>17</v>
      </c>
      <c r="W4" s="147" t="s">
        <v>4</v>
      </c>
      <c r="X4" s="147" t="s">
        <v>5</v>
      </c>
      <c r="Y4" s="147" t="s">
        <v>6</v>
      </c>
      <c r="Z4" s="147" t="s">
        <v>7</v>
      </c>
      <c r="AA4" s="147" t="s">
        <v>8</v>
      </c>
      <c r="AB4" s="147" t="s">
        <v>9</v>
      </c>
      <c r="AC4" s="147" t="s">
        <v>10</v>
      </c>
      <c r="AD4" s="147" t="s">
        <v>11</v>
      </c>
      <c r="AE4" s="147" t="s">
        <v>12</v>
      </c>
      <c r="AF4" s="147" t="s">
        <v>13</v>
      </c>
      <c r="AG4" s="147" t="s">
        <v>14</v>
      </c>
      <c r="AH4" s="147" t="s">
        <v>15</v>
      </c>
      <c r="AI4" s="148" t="s">
        <v>16</v>
      </c>
      <c r="AJ4" s="144"/>
    </row>
    <row r="5" spans="1:37" ht="12.75" customHeight="1" x14ac:dyDescent="0.3">
      <c r="A5" s="150" t="s">
        <v>18</v>
      </c>
      <c r="B5" s="151"/>
      <c r="C5" s="151"/>
      <c r="D5" s="151"/>
      <c r="E5" s="151"/>
      <c r="F5" s="151"/>
      <c r="G5" s="152"/>
      <c r="H5" s="153" t="s">
        <v>20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5"/>
      <c r="V5" s="156" t="s">
        <v>45</v>
      </c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5"/>
      <c r="AJ5" s="144"/>
    </row>
    <row r="6" spans="1:37" s="159" customFormat="1" ht="12.75" customHeight="1" x14ac:dyDescent="0.3">
      <c r="A6" s="157"/>
      <c r="B6" s="42" t="s">
        <v>46</v>
      </c>
      <c r="C6" s="158"/>
      <c r="E6" s="158"/>
      <c r="F6" s="160"/>
      <c r="G6" s="161"/>
      <c r="H6" s="162">
        <f t="shared" ref="H6:T6" si="0">+H7+H14+H15+H16+H17+H20+H21+H18</f>
        <v>970367028.78000009</v>
      </c>
      <c r="I6" s="162">
        <f t="shared" si="0"/>
        <v>56487756.352540001</v>
      </c>
      <c r="J6" s="162">
        <f t="shared" si="0"/>
        <v>53444582.78012</v>
      </c>
      <c r="K6" s="162">
        <f t="shared" si="0"/>
        <v>156382866.64514002</v>
      </c>
      <c r="L6" s="162">
        <f t="shared" si="0"/>
        <v>39648489.165269993</v>
      </c>
      <c r="M6" s="162">
        <f t="shared" si="0"/>
        <v>84878582.525029987</v>
      </c>
      <c r="N6" s="162">
        <f t="shared" si="0"/>
        <v>74952422.333840013</v>
      </c>
      <c r="O6" s="162">
        <f t="shared" si="0"/>
        <v>54017604.07508</v>
      </c>
      <c r="P6" s="162">
        <f t="shared" si="0"/>
        <v>55837366.606019989</v>
      </c>
      <c r="Q6" s="162">
        <f t="shared" si="0"/>
        <v>152427305.16129002</v>
      </c>
      <c r="R6" s="162">
        <f t="shared" si="0"/>
        <v>58373928.451399989</v>
      </c>
      <c r="S6" s="162">
        <f t="shared" si="0"/>
        <v>0</v>
      </c>
      <c r="T6" s="162">
        <f t="shared" si="0"/>
        <v>0</v>
      </c>
      <c r="U6" s="148">
        <f>+U7+U14+U15+U16+U17+U20+U21+U18</f>
        <v>786450904.09573007</v>
      </c>
      <c r="V6" s="163">
        <f>+V7+V14+V15+V16+V17+V20+V21+V18</f>
        <v>912870032.1300801</v>
      </c>
      <c r="W6" s="162">
        <f t="shared" ref="W6:AG6" si="1">+W7+W14+W15+W16+W17+W20+W21+W18</f>
        <v>50217090.634829998</v>
      </c>
      <c r="X6" s="162">
        <f t="shared" si="1"/>
        <v>45605323.451879993</v>
      </c>
      <c r="Y6" s="162">
        <f t="shared" si="1"/>
        <v>139818581.66467997</v>
      </c>
      <c r="Z6" s="162">
        <f t="shared" si="1"/>
        <v>40650706.005350001</v>
      </c>
      <c r="AA6" s="162">
        <f t="shared" si="1"/>
        <v>75426495.879580006</v>
      </c>
      <c r="AB6" s="162">
        <f t="shared" si="1"/>
        <v>76117880.327350006</v>
      </c>
      <c r="AC6" s="162">
        <f t="shared" si="1"/>
        <v>53274355.78413</v>
      </c>
      <c r="AD6" s="162">
        <f t="shared" si="1"/>
        <v>47405947.734550022</v>
      </c>
      <c r="AE6" s="162">
        <f t="shared" si="1"/>
        <v>143728052.55599001</v>
      </c>
      <c r="AF6" s="162">
        <f t="shared" si="1"/>
        <v>53195400.491199978</v>
      </c>
      <c r="AG6" s="162">
        <f t="shared" si="1"/>
        <v>102853769.16248998</v>
      </c>
      <c r="AH6" s="162">
        <f>+AH7+AH14+AH15+AH16+AH17+AH20+AH21+AH18-1</f>
        <v>84576427.438050032</v>
      </c>
      <c r="AI6" s="162">
        <f>+AI7+AI14+AI15+AI16+AI17+AI20+AI21+AI18</f>
        <v>725439835.52953982</v>
      </c>
      <c r="AJ6" s="164"/>
      <c r="AK6" s="159">
        <f>V6-AI6</f>
        <v>187430196.60054028</v>
      </c>
    </row>
    <row r="7" spans="1:37" ht="12.75" customHeight="1" x14ac:dyDescent="0.3">
      <c r="A7" s="144"/>
      <c r="C7" s="42" t="s">
        <v>47</v>
      </c>
      <c r="D7" s="42"/>
      <c r="E7" s="42"/>
      <c r="F7" s="42"/>
      <c r="G7" s="145"/>
      <c r="H7" s="165">
        <f>(+H8+H9+H10+H11+H12)</f>
        <v>596092902.29700005</v>
      </c>
      <c r="I7" s="165">
        <f t="shared" ref="I7:T7" si="2">(+I8+I9+I10+I11+I12)</f>
        <v>50614584.828339994</v>
      </c>
      <c r="J7" s="165">
        <f t="shared" si="2"/>
        <v>46430286.613189995</v>
      </c>
      <c r="K7" s="165">
        <f t="shared" si="2"/>
        <v>45033475.400590003</v>
      </c>
      <c r="L7" s="165">
        <f t="shared" si="2"/>
        <v>35492458.697759993</v>
      </c>
      <c r="M7" s="165">
        <f t="shared" si="2"/>
        <v>53009809.120149985</v>
      </c>
      <c r="N7" s="165">
        <f t="shared" si="2"/>
        <v>47499131.663070008</v>
      </c>
      <c r="O7" s="165">
        <f t="shared" si="2"/>
        <v>45441250.619539991</v>
      </c>
      <c r="P7" s="165">
        <f t="shared" si="2"/>
        <v>48677718.843999982</v>
      </c>
      <c r="Q7" s="165">
        <f t="shared" si="2"/>
        <v>53123970.477730028</v>
      </c>
      <c r="R7" s="165">
        <f t="shared" si="2"/>
        <v>53319021.298879974</v>
      </c>
      <c r="S7" s="165">
        <f t="shared" si="2"/>
        <v>0</v>
      </c>
      <c r="T7" s="165">
        <f t="shared" si="2"/>
        <v>0</v>
      </c>
      <c r="U7" s="166">
        <f>(+U8+U9+U10+U11+U12)</f>
        <v>478641707.56324989</v>
      </c>
      <c r="V7" s="167">
        <f>(+V8+V9+V10+V11+V12)</f>
        <v>553951487.55897009</v>
      </c>
      <c r="W7" s="165">
        <f>(+W8+W9+W10+W11+W12)</f>
        <v>44724379.019879997</v>
      </c>
      <c r="X7" s="165">
        <f>(+X8+X9+X10+X11+X12)</f>
        <v>41449183.379599996</v>
      </c>
      <c r="Y7" s="165">
        <f>(+Y8+Y9+Y10+Y11+Y12)-1</f>
        <v>41843727.02826</v>
      </c>
      <c r="Z7" s="165">
        <f t="shared" ref="Z7:AE7" si="3">(+Z8+Z9+Z10+Z11+Z12)</f>
        <v>37022952.227739997</v>
      </c>
      <c r="AA7" s="165">
        <f t="shared" si="3"/>
        <v>47624478.327700004</v>
      </c>
      <c r="AB7" s="165">
        <f t="shared" si="3"/>
        <v>45639505.13852001</v>
      </c>
      <c r="AC7" s="165">
        <f t="shared" si="3"/>
        <v>43356081.18376001</v>
      </c>
      <c r="AD7" s="165">
        <f t="shared" si="3"/>
        <v>41753897.008390009</v>
      </c>
      <c r="AE7" s="165">
        <f t="shared" si="3"/>
        <v>47752445.990640014</v>
      </c>
      <c r="AF7" s="165">
        <f>(+AF8+AF9+AF10+AF11+AF12)</f>
        <v>49865878.249529988</v>
      </c>
      <c r="AG7" s="165">
        <f>(+AG8+AG9+AG10+AG11+AG12)</f>
        <v>61138709.65859998</v>
      </c>
      <c r="AH7" s="165">
        <f>(+AH8+AH9+AH10+AH11+AH12)</f>
        <v>51780249.683140039</v>
      </c>
      <c r="AI7" s="165">
        <f>(+AI8+AI9+AI10+AI11+AI12)</f>
        <v>441032528.55402005</v>
      </c>
      <c r="AJ7" s="144"/>
      <c r="AK7" s="136">
        <f>V7-AI7</f>
        <v>112918959.00495005</v>
      </c>
    </row>
    <row r="8" spans="1:37" s="170" customFormat="1" ht="12.75" customHeight="1" x14ac:dyDescent="0.3">
      <c r="A8" s="168"/>
      <c r="B8" s="169"/>
      <c r="C8" s="42"/>
      <c r="D8" s="42"/>
      <c r="E8" s="42" t="s">
        <v>48</v>
      </c>
      <c r="F8" s="42"/>
      <c r="G8" s="42"/>
      <c r="H8" s="171">
        <v>53964502.075999998</v>
      </c>
      <c r="I8" s="171">
        <v>879018.17065999995</v>
      </c>
      <c r="J8" s="171">
        <f>1056635.44909-879018+880691</f>
        <v>1058308.44909</v>
      </c>
      <c r="K8" s="171">
        <f>1041798.40138-1937327+1941046</f>
        <v>1045517.4013800001</v>
      </c>
      <c r="L8" s="171">
        <f>1123917.81139-2982844+2987119</f>
        <v>1128192.8113899999</v>
      </c>
      <c r="M8" s="171">
        <f>11177215.08382-4111037+4116084</f>
        <v>11182262.08382</v>
      </c>
      <c r="N8" s="171">
        <f>2538998.15084-15293299+15297635</f>
        <v>2543334.1508399993</v>
      </c>
      <c r="O8" s="171">
        <f>1806983.61752-17836633+17844541</f>
        <v>1814891.6175200008</v>
      </c>
      <c r="P8" s="171">
        <f>1803421.85525-19651525+19662251</f>
        <v>1814147.855250001</v>
      </c>
      <c r="Q8" s="172">
        <f>1557999.47301-21465673+21469222</f>
        <v>1561548.4730099998</v>
      </c>
      <c r="R8" s="172">
        <f>1937131.22649-23027221+23033051</f>
        <v>1942961.2264899984</v>
      </c>
      <c r="S8" s="172">
        <v>0</v>
      </c>
      <c r="T8" s="172">
        <v>0</v>
      </c>
      <c r="U8" s="166">
        <f>SUM(I8:T8)</f>
        <v>24970182.23945</v>
      </c>
      <c r="V8" s="173">
        <v>44854969.774049997</v>
      </c>
      <c r="W8" s="174">
        <v>894068.71707000013</v>
      </c>
      <c r="X8" s="175">
        <f>935416.87613-894069+896221</f>
        <v>937568.87612999999</v>
      </c>
      <c r="Y8" s="175">
        <f>985338.53715-1831638+1836980</f>
        <v>990680.53714999999</v>
      </c>
      <c r="Z8" s="175">
        <f>1127175.9439-2822318+2824823</f>
        <v>1129680.9439000001</v>
      </c>
      <c r="AA8" s="175">
        <f>10550468.95865-3951999+3960493</f>
        <v>10558962.95865</v>
      </c>
      <c r="AB8" s="175">
        <f>2409419.99559-14510962+14510962</f>
        <v>2409419.9955899995</v>
      </c>
      <c r="AC8" s="175">
        <f>1377627.2954-16920382+16848614</f>
        <v>1305859.2953999992</v>
      </c>
      <c r="AD8" s="175">
        <f>1600948.38739-18226241+18140783</f>
        <v>1515490.3873900007</v>
      </c>
      <c r="AE8" s="175">
        <f>1501935.95197-19741732+19841202</f>
        <v>1601405.9519699998</v>
      </c>
      <c r="AF8" s="175">
        <f>1620372.96753-21343138+21353206</f>
        <v>1630440.967530001</v>
      </c>
      <c r="AG8" s="175">
        <f>19890926.8051-22973579+22982907+1</f>
        <v>19900255.805100001</v>
      </c>
      <c r="AH8" s="175">
        <f>1972561.67496-42873834+42882408</f>
        <v>1981135.6749600023</v>
      </c>
      <c r="AI8" s="176">
        <f>SUM(W8:AF8)</f>
        <v>22973578.630780004</v>
      </c>
      <c r="AJ8" s="168"/>
      <c r="AK8" s="170">
        <f t="shared" ref="AK8:AK62" si="4">V8-AI8</f>
        <v>21881391.143269993</v>
      </c>
    </row>
    <row r="9" spans="1:37" s="170" customFormat="1" ht="12.75" customHeight="1" x14ac:dyDescent="0.3">
      <c r="A9" s="168"/>
      <c r="B9" s="169"/>
      <c r="C9" s="42"/>
      <c r="D9" s="42"/>
      <c r="E9" s="42" t="s">
        <v>49</v>
      </c>
      <c r="F9" s="42"/>
      <c r="G9" s="42"/>
      <c r="H9" s="171">
        <v>586260460.74100006</v>
      </c>
      <c r="I9" s="171">
        <v>51441296.588519998</v>
      </c>
      <c r="J9" s="171">
        <f>46664290.33227-51441297+51441297</f>
        <v>46664290.332269996</v>
      </c>
      <c r="K9" s="171">
        <f>45747090.17222-98105587+98105587</f>
        <v>45747090.172219999</v>
      </c>
      <c r="L9" s="171">
        <f>48025660.0666-143852677+143852677</f>
        <v>48025660.066599995</v>
      </c>
      <c r="M9" s="171">
        <f>45917118.8221-191878337+191878337</f>
        <v>45917118.822099984</v>
      </c>
      <c r="N9" s="171">
        <f>48931957.83563-237795456+237795456</f>
        <v>48931957.83563</v>
      </c>
      <c r="O9" s="171">
        <f>47684494.46543-286727414+286727414</f>
        <v>47684494.465429991</v>
      </c>
      <c r="P9" s="171">
        <f>50070476.24029-334411908+334411908</f>
        <v>50070476.240289986</v>
      </c>
      <c r="Q9" s="172">
        <f>53509286.36194-384482385+384482385</f>
        <v>53509286.361940026</v>
      </c>
      <c r="R9" s="172">
        <f>53335723.39956-437991671+437991671</f>
        <v>53335723.399559975</v>
      </c>
      <c r="S9" s="172">
        <v>0</v>
      </c>
      <c r="T9" s="172">
        <v>0</v>
      </c>
      <c r="U9" s="166">
        <f>SUM(I9:T9)</f>
        <v>491327394.28455991</v>
      </c>
      <c r="V9" s="173">
        <v>549434191.79354012</v>
      </c>
      <c r="W9" s="175">
        <v>45019192.163120002</v>
      </c>
      <c r="X9" s="175">
        <f>41542477.86654-45019192+45019192</f>
        <v>41542477.86654</v>
      </c>
      <c r="Y9" s="175">
        <f>42000206.93183-86561670+86561670</f>
        <v>42000206.931829996</v>
      </c>
      <c r="Z9" s="175">
        <f>45001647.17019-128561877+128561877</f>
        <v>45001647.170190006</v>
      </c>
      <c r="AA9" s="175">
        <f>41716960.85936-173563524+173563524</f>
        <v>41716960.859360009</v>
      </c>
      <c r="AB9" s="175">
        <f>47314094.45265-215280485+215280485</f>
        <v>47314094.452650011</v>
      </c>
      <c r="AC9" s="175">
        <f>46332655.07005-262594579+262594579</f>
        <v>46332655.070050001</v>
      </c>
      <c r="AD9" s="175">
        <f>44977282.10984-308927235+308927235</f>
        <v>44977282.109840006</v>
      </c>
      <c r="AE9" s="175">
        <f>50149587.39604-353904517+353904517</f>
        <v>50149587.396040022</v>
      </c>
      <c r="AF9" s="175">
        <f>50365989.87157-404054104+404054104</f>
        <v>50365989.871569991</v>
      </c>
      <c r="AG9" s="175">
        <f>43418800.84044-454420094+454420094</f>
        <v>43418800.840439975</v>
      </c>
      <c r="AH9" s="175">
        <f>51595297.06191-497838895+497838895</f>
        <v>51595297.061910033</v>
      </c>
      <c r="AI9" s="176">
        <f t="shared" ref="AI9:AI23" si="5">SUM(W9:AF9)</f>
        <v>454420093.89119011</v>
      </c>
      <c r="AJ9" s="168"/>
      <c r="AK9" s="170">
        <f t="shared" si="4"/>
        <v>95014097.902350008</v>
      </c>
    </row>
    <row r="10" spans="1:37" s="170" customFormat="1" ht="12.75" customHeight="1" x14ac:dyDescent="0.3">
      <c r="A10" s="168"/>
      <c r="B10" s="169"/>
      <c r="C10" s="42"/>
      <c r="D10" s="42"/>
      <c r="E10" s="42" t="s">
        <v>50</v>
      </c>
      <c r="F10" s="42"/>
      <c r="G10" s="42"/>
      <c r="H10" s="171">
        <v>-5292063.5659999996</v>
      </c>
      <c r="I10" s="171">
        <v>-411481.32438999997</v>
      </c>
      <c r="J10" s="171">
        <f>-350948.40192-411481+411481</f>
        <v>-350948.40191999997</v>
      </c>
      <c r="K10" s="171">
        <f>-328107.47903-762430+762430</f>
        <v>-328107.47903000005</v>
      </c>
      <c r="L10" s="171">
        <f>-322603.9959-1090537+1090537</f>
        <v>-322603.99589999998</v>
      </c>
      <c r="M10" s="171">
        <f>-423535.89881-1413140+1413140</f>
        <v>-423535.89880999993</v>
      </c>
      <c r="N10" s="171">
        <f>-529403.5606-1836676+1836676</f>
        <v>-529403.56059999997</v>
      </c>
      <c r="O10" s="171">
        <f>-331380.60258-2366080+2366080</f>
        <v>-331380.60258000018</v>
      </c>
      <c r="P10" s="171">
        <f>-360069.01838-2697461+2697461</f>
        <v>-360069.01838000026</v>
      </c>
      <c r="Q10" s="172">
        <f>-388961.80016+3057530-3057530</f>
        <v>-388961.8001600001</v>
      </c>
      <c r="R10" s="172">
        <f>-338080.02021-3446492+3446492</f>
        <v>-338080.02020999976</v>
      </c>
      <c r="S10" s="172">
        <v>0</v>
      </c>
      <c r="T10" s="172">
        <v>0</v>
      </c>
      <c r="U10" s="166">
        <f>SUM(I10:T10)</f>
        <v>-3784572.1019800003</v>
      </c>
      <c r="V10" s="173">
        <v>-4949298.4547199998</v>
      </c>
      <c r="W10" s="175">
        <v>-265443.29178000003</v>
      </c>
      <c r="X10" s="175">
        <f>265443-265443-260352.89185</f>
        <v>-260352.89185000001</v>
      </c>
      <c r="Y10" s="175">
        <f>-285284.18307+525796-525796</f>
        <v>-285284.18307000003</v>
      </c>
      <c r="Z10" s="175">
        <f>-273929.13893+811080-811080</f>
        <v>-273929.13893000002</v>
      </c>
      <c r="AA10" s="175">
        <f>-332321.57207+1085010-1085009</f>
        <v>-332320.57206999999</v>
      </c>
      <c r="AB10" s="175">
        <f>-621146.93999+1417330-1417331</f>
        <v>-621147.93998999998</v>
      </c>
      <c r="AC10" s="175">
        <f>-667937.84293+2038478-2038478</f>
        <v>-667937.84293000004</v>
      </c>
      <c r="AD10" s="175">
        <f>-671129.4934+2706416-2706416</f>
        <v>-671129.49340000004</v>
      </c>
      <c r="AE10" s="175">
        <f>-613742.01115+3377545-3377545</f>
        <v>-613742.01115000015</v>
      </c>
      <c r="AF10" s="175">
        <f>-379757.43313+3991287-3991287</f>
        <v>-379757.43312999979</v>
      </c>
      <c r="AG10" s="175">
        <f>-311715.35865+4371045-4371045</f>
        <v>-311715.35864999983</v>
      </c>
      <c r="AH10" s="175">
        <f>-266538.29777+4682760-4682760</f>
        <v>-266538.29777000006</v>
      </c>
      <c r="AI10" s="176">
        <f t="shared" si="5"/>
        <v>-4371044.7982999999</v>
      </c>
      <c r="AJ10" s="168"/>
      <c r="AK10" s="170">
        <f t="shared" si="4"/>
        <v>-578253.6564199999</v>
      </c>
    </row>
    <row r="11" spans="1:37" s="170" customFormat="1" ht="12.75" customHeight="1" x14ac:dyDescent="0.3">
      <c r="A11" s="168"/>
      <c r="B11" s="169"/>
      <c r="C11" s="42"/>
      <c r="D11" s="42"/>
      <c r="E11" s="42" t="s">
        <v>51</v>
      </c>
      <c r="F11" s="42"/>
      <c r="G11" s="42"/>
      <c r="H11" s="171">
        <v>-848542.02500000002</v>
      </c>
      <c r="I11" s="171">
        <v>-36246.527409999995</v>
      </c>
      <c r="J11" s="171">
        <f>-29180.63976-36247+36247</f>
        <v>-29180.639759999998</v>
      </c>
      <c r="K11" s="171">
        <f>-18846.59918-65427+65427</f>
        <v>-18846.599180000005</v>
      </c>
      <c r="L11" s="171">
        <f>-17508.31474-84274+84274</f>
        <v>-17508.314740000002</v>
      </c>
      <c r="M11" s="171">
        <f>-39060.36824-101783+101783</f>
        <v>-39060.368240000011</v>
      </c>
      <c r="N11" s="171">
        <f>-14797.52535-140843+140843</f>
        <v>-14797.525350000011</v>
      </c>
      <c r="O11" s="171">
        <f>-37421.41234-155641+155641</f>
        <v>-37421.41234000001</v>
      </c>
      <c r="P11" s="171">
        <f>-33799.44444-193061+193061</f>
        <v>-33799.444439999992</v>
      </c>
      <c r="Q11" s="172">
        <f>-31293.91706+226861-226861</f>
        <v>-31293.917060000007</v>
      </c>
      <c r="R11" s="172">
        <f>-34814.65313-258155+258155</f>
        <v>-34814.653129999992</v>
      </c>
      <c r="S11" s="172">
        <v>0</v>
      </c>
      <c r="T11" s="172">
        <v>0</v>
      </c>
      <c r="U11" s="166">
        <f>SUM(I11:T11)</f>
        <v>-292969.40165000001</v>
      </c>
      <c r="V11" s="173">
        <v>-1667567.4344000001</v>
      </c>
      <c r="W11" s="175">
        <v>-23920.50461</v>
      </c>
      <c r="X11" s="175">
        <f>-65446.07962+23921-23921</f>
        <v>-65446.079619999997</v>
      </c>
      <c r="Y11" s="175">
        <f>-32588.16403+89367-89367</f>
        <v>-32588.16403</v>
      </c>
      <c r="Z11" s="175">
        <f>-101367.74247+121955-121955</f>
        <v>-101367.74247</v>
      </c>
      <c r="AA11" s="175">
        <f>-71051.93246+223322-223323</f>
        <v>-71052.932459999982</v>
      </c>
      <c r="AB11" s="175">
        <f>-410581.31012+294375-294374</f>
        <v>-410580.31011999998</v>
      </c>
      <c r="AC11" s="175">
        <f>-308709.0865+704956-704956</f>
        <v>-308709.08649999998</v>
      </c>
      <c r="AD11" s="175">
        <f>-279322.56936+1013665-1013665</f>
        <v>-279322.56936000008</v>
      </c>
      <c r="AE11" s="175">
        <f>-223174.4116+1292987-1292987</f>
        <v>-223174.41159999999</v>
      </c>
      <c r="AF11" s="175">
        <f>-44249.7541+1516162-1516162</f>
        <v>-44249.75410000002</v>
      </c>
      <c r="AG11" s="175">
        <f>-68250.40063+1560412-1560412</f>
        <v>-68250.400630000047</v>
      </c>
      <c r="AH11" s="175">
        <f>-38905.4789+1628662-1628662</f>
        <v>-38905.478899999987</v>
      </c>
      <c r="AI11" s="176">
        <f t="shared" si="5"/>
        <v>-1560411.5548700001</v>
      </c>
      <c r="AJ11" s="168"/>
      <c r="AK11" s="170">
        <f t="shared" si="4"/>
        <v>-107155.87953000003</v>
      </c>
    </row>
    <row r="12" spans="1:37" s="170" customFormat="1" ht="12.75" customHeight="1" x14ac:dyDescent="0.3">
      <c r="A12" s="168"/>
      <c r="B12" s="169"/>
      <c r="C12" s="42"/>
      <c r="D12" s="42"/>
      <c r="E12" s="42" t="s">
        <v>52</v>
      </c>
      <c r="F12" s="42"/>
      <c r="G12" s="42"/>
      <c r="H12" s="171">
        <v>-37991454.928999998</v>
      </c>
      <c r="I12" s="171">
        <v>-1258002.07904</v>
      </c>
      <c r="J12" s="171">
        <f>-912183.12649-1258002+1258002</f>
        <v>-912183.12649000017</v>
      </c>
      <c r="K12" s="171">
        <f>-1412178.0948-2170185+2170185</f>
        <v>-1412178.0948000001</v>
      </c>
      <c r="L12" s="171">
        <f>-13321281.86959-3582363+3582363</f>
        <v>-13321281.869589999</v>
      </c>
      <c r="M12" s="171">
        <f>-3626975.51872-16903645+16903645</f>
        <v>-3626975.518720001</v>
      </c>
      <c r="N12" s="171">
        <f>-3431959.23745-20530621+20530621</f>
        <v>-3431959.2374499999</v>
      </c>
      <c r="O12" s="171">
        <f>-3689333.44849-23962580+23962580</f>
        <v>-3689333.4484900013</v>
      </c>
      <c r="P12" s="171">
        <f>-2813036.78872-27651913+27651913</f>
        <v>-2813036.7887200005</v>
      </c>
      <c r="Q12" s="172">
        <f>-1526608.64+30464950-30464950</f>
        <v>-1526608.6400000006</v>
      </c>
      <c r="R12" s="172">
        <f>-1586768.65383-31991559+31991559</f>
        <v>-1586768.6538299993</v>
      </c>
      <c r="S12" s="172">
        <v>0</v>
      </c>
      <c r="T12" s="172">
        <v>0</v>
      </c>
      <c r="U12" s="166">
        <f>SUM(I12:T12)</f>
        <v>-33578327.45713</v>
      </c>
      <c r="V12" s="173">
        <v>-33720808.119500004</v>
      </c>
      <c r="W12" s="175">
        <v>-899518.06391999999</v>
      </c>
      <c r="X12" s="175">
        <f>-705064.3916+899518-899518</f>
        <v>-705064.39159999997</v>
      </c>
      <c r="Y12" s="175">
        <f>-829287.09362+1604582-1604582</f>
        <v>-829287.09362000006</v>
      </c>
      <c r="Z12" s="175">
        <f>-8733079.00495+2433870-2433870</f>
        <v>-8733079.00495</v>
      </c>
      <c r="AA12" s="175">
        <f>-4248071.98578+11166949-11166949</f>
        <v>-4248071.9857799998</v>
      </c>
      <c r="AB12" s="175">
        <f>-3052281.05961+15415021-15415021</f>
        <v>-3052281.0596099999</v>
      </c>
      <c r="AC12" s="175">
        <f>-3305786.25226+18467302-18467302</f>
        <v>-3305786.2522599995</v>
      </c>
      <c r="AD12" s="175">
        <f>-3788423.42608+21773088-21773088</f>
        <v>-3788423.4260799997</v>
      </c>
      <c r="AE12" s="175">
        <f>-3161630.93462+25561511-25561511</f>
        <v>-3161630.9346200004</v>
      </c>
      <c r="AF12" s="175">
        <f>-1706545.40234+28723142-28723142</f>
        <v>-1706545.4023399986</v>
      </c>
      <c r="AG12" s="175">
        <f>-1800381.22766+30429688-30429688</f>
        <v>-1800381.2276600003</v>
      </c>
      <c r="AH12" s="175">
        <f>-1490739.27706+32230069-32230069</f>
        <v>-1490739.2770599984</v>
      </c>
      <c r="AI12" s="176">
        <f t="shared" si="5"/>
        <v>-30429687.614780001</v>
      </c>
      <c r="AJ12" s="168"/>
      <c r="AK12" s="170">
        <f t="shared" si="4"/>
        <v>-3291120.5047200024</v>
      </c>
    </row>
    <row r="13" spans="1:37" ht="12.75" customHeight="1" x14ac:dyDescent="0.3">
      <c r="A13" s="144"/>
      <c r="C13" s="42" t="s">
        <v>53</v>
      </c>
      <c r="D13" s="42"/>
      <c r="E13" s="42"/>
      <c r="F13" s="42"/>
      <c r="G13" s="4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66"/>
      <c r="V13" s="167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6"/>
      <c r="AJ13" s="144"/>
    </row>
    <row r="14" spans="1:37" s="170" customFormat="1" ht="12.75" customHeight="1" x14ac:dyDescent="0.3">
      <c r="A14" s="168"/>
      <c r="C14" s="42"/>
      <c r="D14" s="42"/>
      <c r="E14" s="42" t="s">
        <v>54</v>
      </c>
      <c r="F14" s="42"/>
      <c r="G14" s="42"/>
      <c r="H14" s="171">
        <v>332745787.92400002</v>
      </c>
      <c r="I14" s="171">
        <v>1445213.9371999998</v>
      </c>
      <c r="J14" s="171">
        <f>2228708.21435-1445214+1447968</f>
        <v>2231462.21435</v>
      </c>
      <c r="K14" s="171">
        <f>108234293.51349-3676676+3725014</f>
        <v>108282631.51349001</v>
      </c>
      <c r="L14" s="171">
        <f>1531191.04432-111959308+111968324</f>
        <v>1540207.0443200022</v>
      </c>
      <c r="M14" s="171">
        <f>29419098.54763-113499515+113518983</f>
        <v>29438566.547629997</v>
      </c>
      <c r="N14" s="171">
        <f>24682789.91005-142938082+142967620</f>
        <v>24712327.910050005</v>
      </c>
      <c r="O14" s="171">
        <f>2337993.03652-167650409+167699977</f>
        <v>2387561.0365200043</v>
      </c>
      <c r="P14" s="171">
        <f>2272928.6694-170037970+170070428</f>
        <v>2305386.6694000065</v>
      </c>
      <c r="Q14" s="172">
        <f>97383268.08134-172343357+172349673</f>
        <v>97389584.08134</v>
      </c>
      <c r="R14" s="172">
        <f>2291938.85958-269732941+269747578</f>
        <v>2306575.8595800102</v>
      </c>
      <c r="S14" s="172">
        <v>0</v>
      </c>
      <c r="T14" s="172">
        <v>0</v>
      </c>
      <c r="U14" s="166">
        <f>SUM(I14:T14)</f>
        <v>272039516.81388009</v>
      </c>
      <c r="V14" s="173">
        <v>320446870.81221992</v>
      </c>
      <c r="W14" s="171">
        <v>1294045.3031299999</v>
      </c>
      <c r="X14" s="171">
        <f>1352177.50582-1294045+1300601</f>
        <v>1358733.5058200001</v>
      </c>
      <c r="Y14" s="171">
        <f>95184183.17512-2652779+2662753</f>
        <v>95194157.175119996</v>
      </c>
      <c r="Z14" s="171">
        <f>995819.01861-97846936+97857322</f>
        <v>1006205.0186100006</v>
      </c>
      <c r="AA14" s="171">
        <f>25716016.2031-98853141+98866925+2</f>
        <v>25729802.203099996</v>
      </c>
      <c r="AB14" s="171">
        <f>27665301.87435-124582943+124582943</f>
        <v>27665301.874349996</v>
      </c>
      <c r="AC14" s="171">
        <f>3950131.64404-152248245+152233357</f>
        <v>3935243.6440399885</v>
      </c>
      <c r="AD14" s="171">
        <f>1786539.60495-156183489+156300640</f>
        <v>1903690.6049500108</v>
      </c>
      <c r="AE14" s="171">
        <f>93784107.0876-158087179+158016070</f>
        <v>93712998.087599993</v>
      </c>
      <c r="AF14" s="171">
        <f>862762.11703-251800177+251809630</f>
        <v>872215.11702999473</v>
      </c>
      <c r="AG14" s="171">
        <f>38752501.74809-252672393+252708876+1</f>
        <v>38788985.748089999</v>
      </c>
      <c r="AH14" s="171">
        <f>28941369.05573-291461378+291505502</f>
        <v>28985493.055729985</v>
      </c>
      <c r="AI14" s="176">
        <f t="shared" si="5"/>
        <v>252672392.53374997</v>
      </c>
      <c r="AJ14" s="168"/>
      <c r="AK14" s="170">
        <f t="shared" si="4"/>
        <v>67774478.27846995</v>
      </c>
    </row>
    <row r="15" spans="1:37" ht="12.75" customHeight="1" x14ac:dyDescent="0.3">
      <c r="A15" s="144"/>
      <c r="C15" s="42"/>
      <c r="D15" s="42"/>
      <c r="E15" s="42" t="s">
        <v>55</v>
      </c>
      <c r="F15" s="42"/>
      <c r="G15" s="42"/>
      <c r="H15" s="172">
        <v>119165.95600000001</v>
      </c>
      <c r="I15" s="172">
        <v>16663.091400000001</v>
      </c>
      <c r="J15" s="172">
        <v>387.51416999999998</v>
      </c>
      <c r="K15" s="172">
        <v>24608.664989999997</v>
      </c>
      <c r="L15" s="172">
        <v>568.66095999999993</v>
      </c>
      <c r="M15" s="172">
        <v>20665.979190000002</v>
      </c>
      <c r="N15" s="172">
        <v>10341.418369999999</v>
      </c>
      <c r="O15" s="172">
        <v>221.26931999999999</v>
      </c>
      <c r="P15" s="172">
        <v>565.27589999999998</v>
      </c>
      <c r="Q15" s="172">
        <v>258.6551</v>
      </c>
      <c r="R15" s="172">
        <v>10499.263730000001</v>
      </c>
      <c r="S15" s="172">
        <v>0</v>
      </c>
      <c r="T15" s="172">
        <v>0</v>
      </c>
      <c r="U15" s="166">
        <f>SUM(I15:T15)</f>
        <v>84779.793130000005</v>
      </c>
      <c r="V15" s="167">
        <v>121292.87706</v>
      </c>
      <c r="W15" s="172">
        <v>10406.92433</v>
      </c>
      <c r="X15" s="172">
        <v>323.42077</v>
      </c>
      <c r="Y15" s="172">
        <v>20701.86721</v>
      </c>
      <c r="Z15" s="172">
        <v>11836.93377</v>
      </c>
      <c r="AA15" s="172">
        <v>23840.409059999998</v>
      </c>
      <c r="AB15" s="172">
        <v>419.55905000000001</v>
      </c>
      <c r="AC15" s="172">
        <v>571.04835000000003</v>
      </c>
      <c r="AD15" s="172">
        <v>30305.258969999999</v>
      </c>
      <c r="AE15" s="172">
        <v>618.55156000000011</v>
      </c>
      <c r="AF15" s="172">
        <v>22407.294620000001</v>
      </c>
      <c r="AG15" s="172">
        <v>-781.99215000000004</v>
      </c>
      <c r="AH15" s="172">
        <v>643.60152000000005</v>
      </c>
      <c r="AI15" s="176">
        <f t="shared" si="5"/>
        <v>121431.26769000001</v>
      </c>
      <c r="AJ15" s="144"/>
      <c r="AK15" s="136">
        <f t="shared" si="4"/>
        <v>-138.39063000000897</v>
      </c>
    </row>
    <row r="16" spans="1:37" ht="12.75" customHeight="1" x14ac:dyDescent="0.3">
      <c r="A16" s="144"/>
      <c r="E16" s="569" t="s">
        <v>56</v>
      </c>
      <c r="F16" s="569"/>
      <c r="G16" s="571"/>
      <c r="H16" s="172">
        <v>36076513.973999999</v>
      </c>
      <c r="I16" s="172">
        <v>4089919.6072199997</v>
      </c>
      <c r="J16" s="172">
        <v>4426783.3002500003</v>
      </c>
      <c r="K16" s="172">
        <v>2773711.9808899998</v>
      </c>
      <c r="L16" s="172">
        <v>2256406.4329599999</v>
      </c>
      <c r="M16" s="172">
        <v>2156220.0672199996</v>
      </c>
      <c r="N16" s="172">
        <v>2371777.8851999999</v>
      </c>
      <c r="O16" s="172">
        <v>5750161.9132899996</v>
      </c>
      <c r="P16" s="172">
        <v>4275458.9103600001</v>
      </c>
      <c r="Q16" s="172">
        <v>1493983.1955599999</v>
      </c>
      <c r="R16" s="172">
        <v>2384678.2415700001</v>
      </c>
      <c r="S16" s="172">
        <v>0</v>
      </c>
      <c r="T16" s="172">
        <v>0</v>
      </c>
      <c r="U16" s="166">
        <f>SUM(I16:T16)</f>
        <v>31979101.534520004</v>
      </c>
      <c r="V16" s="167">
        <v>33308179.005089995</v>
      </c>
      <c r="W16" s="172">
        <v>3847924.76089</v>
      </c>
      <c r="X16" s="172">
        <v>2554458.5228499998</v>
      </c>
      <c r="Y16" s="172">
        <v>1986004.97954</v>
      </c>
      <c r="Z16" s="172">
        <v>2300764.3137699999</v>
      </c>
      <c r="AA16" s="172">
        <v>1794105.5152499999</v>
      </c>
      <c r="AB16" s="172">
        <v>2502269.35684</v>
      </c>
      <c r="AC16" s="172">
        <v>5359946.2902899999</v>
      </c>
      <c r="AD16" s="172">
        <v>3400069.1713700001</v>
      </c>
      <c r="AE16" s="172">
        <v>1624277.34974</v>
      </c>
      <c r="AF16" s="172">
        <v>2190337.5179499998</v>
      </c>
      <c r="AG16" s="172">
        <v>2545516.57932</v>
      </c>
      <c r="AH16" s="172">
        <v>3202504.6472800002</v>
      </c>
      <c r="AI16" s="176">
        <f t="shared" si="5"/>
        <v>27560157.778489996</v>
      </c>
      <c r="AJ16" s="144"/>
      <c r="AK16" s="136">
        <f t="shared" si="4"/>
        <v>5748021.2265999988</v>
      </c>
    </row>
    <row r="17" spans="1:37" ht="12.75" customHeight="1" x14ac:dyDescent="0.3">
      <c r="A17" s="144"/>
      <c r="E17" s="180" t="s">
        <v>57</v>
      </c>
      <c r="F17" s="180"/>
      <c r="G17" s="180"/>
      <c r="H17" s="172">
        <v>637801.90099999995</v>
      </c>
      <c r="I17" s="172">
        <v>76887.930030000003</v>
      </c>
      <c r="J17" s="172">
        <v>57951.848130000006</v>
      </c>
      <c r="K17" s="172">
        <v>42654.747360000001</v>
      </c>
      <c r="L17" s="172">
        <v>58340.391649999998</v>
      </c>
      <c r="M17" s="172">
        <v>37205.917299999994</v>
      </c>
      <c r="N17" s="172">
        <v>69169.482120000001</v>
      </c>
      <c r="O17" s="172">
        <v>84684.321559999997</v>
      </c>
      <c r="P17" s="172">
        <v>45356.482329999999</v>
      </c>
      <c r="Q17" s="172">
        <v>52895.180319999999</v>
      </c>
      <c r="R17" s="172">
        <v>93719.150250000006</v>
      </c>
      <c r="S17" s="172">
        <v>0</v>
      </c>
      <c r="T17" s="172">
        <v>0</v>
      </c>
      <c r="U17" s="166">
        <f>SUM(I17:T17)</f>
        <v>618865.45105000003</v>
      </c>
      <c r="V17" s="167">
        <v>468751.85374999995</v>
      </c>
      <c r="W17" s="172">
        <v>53780.328820000002</v>
      </c>
      <c r="X17" s="172">
        <v>32641.936040000001</v>
      </c>
      <c r="Y17" s="172">
        <v>45672.809420000005</v>
      </c>
      <c r="Z17" s="172">
        <v>35564.451399999998</v>
      </c>
      <c r="AA17" s="172">
        <v>164.68577999999999</v>
      </c>
      <c r="AB17" s="172">
        <v>26952.727289999999</v>
      </c>
      <c r="AC17" s="172">
        <v>78404.499479999999</v>
      </c>
      <c r="AD17" s="172">
        <v>46330.70736</v>
      </c>
      <c r="AE17" s="172">
        <v>18776.655409999999</v>
      </c>
      <c r="AF17" s="172">
        <v>44973.264109999996</v>
      </c>
      <c r="AG17" s="172">
        <v>44620.799049999994</v>
      </c>
      <c r="AH17" s="172">
        <v>40868.989590000005</v>
      </c>
      <c r="AI17" s="176">
        <f t="shared" si="5"/>
        <v>383262.06510999997</v>
      </c>
      <c r="AJ17" s="144"/>
      <c r="AK17" s="136">
        <f t="shared" si="4"/>
        <v>85489.788639999984</v>
      </c>
    </row>
    <row r="18" spans="1:37" ht="12.75" customHeight="1" x14ac:dyDescent="0.3">
      <c r="A18" s="144"/>
      <c r="E18" s="178" t="s">
        <v>58</v>
      </c>
      <c r="F18" s="178"/>
      <c r="G18" s="179"/>
      <c r="H18" s="172">
        <v>0</v>
      </c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  <c r="O18" s="172">
        <v>0</v>
      </c>
      <c r="P18" s="172">
        <v>0</v>
      </c>
      <c r="Q18" s="172">
        <v>0</v>
      </c>
      <c r="R18" s="172">
        <v>0</v>
      </c>
      <c r="S18" s="172">
        <v>0</v>
      </c>
      <c r="T18" s="172">
        <v>0</v>
      </c>
      <c r="U18" s="166">
        <f>SUM(I18:T18)</f>
        <v>0</v>
      </c>
      <c r="V18" s="167">
        <v>-213.26518999999999</v>
      </c>
      <c r="W18" s="165">
        <v>0</v>
      </c>
      <c r="X18" s="165">
        <v>0</v>
      </c>
      <c r="Y18" s="165">
        <v>0</v>
      </c>
      <c r="Z18" s="165">
        <v>0</v>
      </c>
      <c r="AA18" s="165">
        <v>0</v>
      </c>
      <c r="AB18" s="165">
        <v>-213.26518999999999</v>
      </c>
      <c r="AC18" s="165">
        <v>0</v>
      </c>
      <c r="AD18" s="165">
        <v>0</v>
      </c>
      <c r="AE18" s="165">
        <v>0</v>
      </c>
      <c r="AF18" s="165">
        <v>0</v>
      </c>
      <c r="AG18" s="165">
        <v>0</v>
      </c>
      <c r="AH18" s="165">
        <v>0</v>
      </c>
      <c r="AI18" s="176">
        <f t="shared" si="5"/>
        <v>-213.26518999999999</v>
      </c>
      <c r="AJ18" s="144"/>
      <c r="AK18" s="136">
        <f t="shared" si="4"/>
        <v>0</v>
      </c>
    </row>
    <row r="19" spans="1:37" x14ac:dyDescent="0.3">
      <c r="A19" s="144"/>
      <c r="C19" s="136" t="s">
        <v>59</v>
      </c>
      <c r="E19" s="178"/>
      <c r="F19" s="178"/>
      <c r="G19" s="178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66"/>
      <c r="V19" s="167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6"/>
      <c r="AJ19" s="144"/>
    </row>
    <row r="20" spans="1:37" s="170" customFormat="1" ht="12.75" customHeight="1" x14ac:dyDescent="0.3">
      <c r="A20" s="168"/>
      <c r="E20" s="178" t="s">
        <v>60</v>
      </c>
      <c r="F20" s="178"/>
      <c r="G20" s="178"/>
      <c r="H20" s="171">
        <v>4694856.7280000001</v>
      </c>
      <c r="I20" s="171">
        <v>244486.95835000003</v>
      </c>
      <c r="J20" s="171">
        <f>302146.31938-244487+240060</f>
        <v>297719.31938</v>
      </c>
      <c r="K20" s="171">
        <f>277841.33782-542206+490149</f>
        <v>225784.33782000002</v>
      </c>
      <c r="L20" s="171">
        <f>313799.93762-767991+754699</f>
        <v>300507.93761999998</v>
      </c>
      <c r="M20" s="171">
        <f>240627.89354-1068499+1043986</f>
        <v>216114.89353999996</v>
      </c>
      <c r="N20" s="171">
        <f>323548.97503-1284614+1250739</f>
        <v>289673.97502999997</v>
      </c>
      <c r="O20" s="171">
        <f>411199.91485-1574287+1516812</f>
        <v>353724.91485000006</v>
      </c>
      <c r="P20" s="171">
        <f>576064.42403-1928012+1884828</f>
        <v>532880.42402999988</v>
      </c>
      <c r="Q20" s="172">
        <f>376480.57124-2460893+2451026</f>
        <v>366613.57123999996</v>
      </c>
      <c r="R20" s="172">
        <f>279900.63739-2827506+2807040</f>
        <v>259434.63738999981</v>
      </c>
      <c r="S20" s="172">
        <v>0</v>
      </c>
      <c r="T20" s="172">
        <v>0</v>
      </c>
      <c r="U20" s="166">
        <f>SUM(I20:T20)</f>
        <v>3086940.9692499996</v>
      </c>
      <c r="V20" s="173">
        <v>4573663.2881800001</v>
      </c>
      <c r="W20" s="171">
        <v>286554.29778000002</v>
      </c>
      <c r="X20" s="171">
        <f>218690.6868-286554+277846</f>
        <v>209982.6868</v>
      </c>
      <c r="Y20" s="171">
        <f>743633.80513-496537+481221</f>
        <v>728317.80512999999</v>
      </c>
      <c r="Z20" s="171">
        <f>286274.06006-1224855+1211964</f>
        <v>273383.06006000005</v>
      </c>
      <c r="AA20" s="171">
        <f>276384.73869-1498238+1475956+2</f>
        <v>254104.73869000003</v>
      </c>
      <c r="AB20" s="171">
        <f>283644.93649-1752343+1752343</f>
        <v>283644.93648999999</v>
      </c>
      <c r="AC20" s="171">
        <f>457453.11821-2035988+2122644</f>
        <v>544109.11820999999</v>
      </c>
      <c r="AD20" s="171">
        <f>303347.98351-2580097+2548404</f>
        <v>271654.98351000017</v>
      </c>
      <c r="AE20" s="171">
        <f>647296.92104-2851752+2823391</f>
        <v>618935.92103999993</v>
      </c>
      <c r="AF20" s="171">
        <f>219110.04796-3470688+3451167</f>
        <v>199589.04796000011</v>
      </c>
      <c r="AG20" s="171">
        <f>382530.36958-3670277+3624464+1</f>
        <v>336718.36958000017</v>
      </c>
      <c r="AH20" s="171">
        <f>619366.46079-4006995+3954297</f>
        <v>566668.46078999992</v>
      </c>
      <c r="AI20" s="176">
        <f t="shared" si="5"/>
        <v>3670276.5956700006</v>
      </c>
      <c r="AJ20" s="168"/>
      <c r="AK20" s="170">
        <f t="shared" si="4"/>
        <v>903386.6925099995</v>
      </c>
    </row>
    <row r="21" spans="1:37" ht="12.75" customHeight="1" x14ac:dyDescent="0.3">
      <c r="A21" s="144"/>
      <c r="E21" s="178" t="s">
        <v>61</v>
      </c>
      <c r="F21" s="178"/>
      <c r="G21" s="178"/>
      <c r="H21" s="172">
        <v>0</v>
      </c>
      <c r="I21" s="172">
        <v>0</v>
      </c>
      <c r="J21" s="172">
        <v>-8.0293500000000009</v>
      </c>
      <c r="K21" s="172">
        <v>0</v>
      </c>
      <c r="L21" s="172">
        <v>0</v>
      </c>
      <c r="M21" s="172">
        <v>0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0</v>
      </c>
      <c r="T21" s="172">
        <v>0</v>
      </c>
      <c r="U21" s="166">
        <f>SUM(I21:T21)</f>
        <v>-8.0293500000000009</v>
      </c>
      <c r="V21" s="167">
        <v>0</v>
      </c>
      <c r="W21" s="172">
        <v>0</v>
      </c>
      <c r="X21" s="172">
        <v>0</v>
      </c>
      <c r="Y21" s="172">
        <v>0</v>
      </c>
      <c r="Z21" s="172">
        <v>0</v>
      </c>
      <c r="AA21" s="172">
        <v>0</v>
      </c>
      <c r="AB21" s="172">
        <v>0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0</v>
      </c>
      <c r="AI21" s="176">
        <f t="shared" si="5"/>
        <v>0</v>
      </c>
      <c r="AJ21" s="144"/>
      <c r="AK21" s="136">
        <f t="shared" si="4"/>
        <v>0</v>
      </c>
    </row>
    <row r="22" spans="1:37" s="159" customFormat="1" ht="12.75" customHeight="1" x14ac:dyDescent="0.3">
      <c r="A22" s="164"/>
      <c r="B22" s="42" t="s">
        <v>62</v>
      </c>
      <c r="C22" s="158"/>
      <c r="E22" s="181"/>
      <c r="F22" s="181"/>
      <c r="G22" s="182"/>
      <c r="H22" s="183">
        <f>H23</f>
        <v>21238136.607999999</v>
      </c>
      <c r="I22" s="183">
        <f t="shared" ref="I22:T22" si="6">I23</f>
        <v>1660101.22755</v>
      </c>
      <c r="J22" s="183">
        <f t="shared" si="6"/>
        <v>1616941.40891</v>
      </c>
      <c r="K22" s="183">
        <f t="shared" si="6"/>
        <v>1643656.7283399999</v>
      </c>
      <c r="L22" s="183">
        <f t="shared" si="6"/>
        <v>1687752.2746199998</v>
      </c>
      <c r="M22" s="183">
        <f t="shared" si="6"/>
        <v>1674874.8490799998</v>
      </c>
      <c r="N22" s="183">
        <f t="shared" si="6"/>
        <v>1725158.5147599999</v>
      </c>
      <c r="O22" s="183">
        <f t="shared" si="6"/>
        <v>1724532.1867200001</v>
      </c>
      <c r="P22" s="183">
        <f t="shared" si="6"/>
        <v>1707063.5057000001</v>
      </c>
      <c r="Q22" s="183">
        <f t="shared" si="6"/>
        <v>1941924.9640899999</v>
      </c>
      <c r="R22" s="183">
        <f t="shared" si="6"/>
        <v>1901514.1428599998</v>
      </c>
      <c r="S22" s="183">
        <f t="shared" si="6"/>
        <v>0</v>
      </c>
      <c r="T22" s="183">
        <f t="shared" si="6"/>
        <v>0</v>
      </c>
      <c r="U22" s="184">
        <f>U23</f>
        <v>17283519.80263</v>
      </c>
      <c r="V22" s="185">
        <f>V23</f>
        <v>19335916.693800002</v>
      </c>
      <c r="W22" s="183">
        <f t="shared" ref="W22:AH22" si="7">W23</f>
        <v>1480688.5667900001</v>
      </c>
      <c r="X22" s="183">
        <f t="shared" si="7"/>
        <v>1400397.10561</v>
      </c>
      <c r="Y22" s="183">
        <f t="shared" si="7"/>
        <v>1585597.9567499999</v>
      </c>
      <c r="Z22" s="183">
        <f t="shared" si="7"/>
        <v>1641002.49927</v>
      </c>
      <c r="AA22" s="183">
        <f t="shared" si="7"/>
        <v>1525817.7841500002</v>
      </c>
      <c r="AB22" s="183">
        <f t="shared" si="7"/>
        <v>1569624.24917</v>
      </c>
      <c r="AC22" s="183">
        <f t="shared" si="7"/>
        <v>1560205.48367</v>
      </c>
      <c r="AD22" s="183">
        <f t="shared" si="7"/>
        <v>1573798.8357500001</v>
      </c>
      <c r="AE22" s="183">
        <f t="shared" si="7"/>
        <v>1784332.0246600001</v>
      </c>
      <c r="AF22" s="183">
        <f t="shared" si="7"/>
        <v>1757223.2304200002</v>
      </c>
      <c r="AG22" s="183">
        <f t="shared" si="7"/>
        <v>1557918.5514</v>
      </c>
      <c r="AH22" s="183">
        <f t="shared" si="7"/>
        <v>1899310.40616</v>
      </c>
      <c r="AI22" s="183">
        <f>AI23</f>
        <v>15878687.736240001</v>
      </c>
      <c r="AJ22" s="164"/>
      <c r="AK22" s="159">
        <f t="shared" si="4"/>
        <v>3457228.9575600009</v>
      </c>
    </row>
    <row r="23" spans="1:37" ht="12.75" customHeight="1" x14ac:dyDescent="0.3">
      <c r="A23" s="144"/>
      <c r="C23" s="180" t="s">
        <v>63</v>
      </c>
      <c r="F23" s="186"/>
      <c r="G23" s="182"/>
      <c r="H23" s="172">
        <v>21238136.607999999</v>
      </c>
      <c r="I23" s="172">
        <v>1660101.22755</v>
      </c>
      <c r="J23" s="172">
        <v>1616941.40891</v>
      </c>
      <c r="K23" s="172">
        <v>1643656.7283399999</v>
      </c>
      <c r="L23" s="172">
        <v>1687752.2746199998</v>
      </c>
      <c r="M23" s="172">
        <v>1674874.8490799998</v>
      </c>
      <c r="N23" s="172">
        <v>1725158.5147599999</v>
      </c>
      <c r="O23" s="172">
        <v>1724532.1867200001</v>
      </c>
      <c r="P23" s="172">
        <v>1707063.5057000001</v>
      </c>
      <c r="Q23" s="172">
        <v>1941924.9640899999</v>
      </c>
      <c r="R23" s="172">
        <v>1901514.1428599998</v>
      </c>
      <c r="S23" s="172">
        <v>0</v>
      </c>
      <c r="T23" s="172">
        <v>0</v>
      </c>
      <c r="U23" s="187">
        <f>SUM(I23:T23)</f>
        <v>17283519.80263</v>
      </c>
      <c r="V23" s="167">
        <v>19335916.693800002</v>
      </c>
      <c r="W23" s="165">
        <v>1480688.5667900001</v>
      </c>
      <c r="X23" s="165">
        <v>1400397.10561</v>
      </c>
      <c r="Y23" s="165">
        <v>1585597.9567499999</v>
      </c>
      <c r="Z23" s="165">
        <v>1641002.49927</v>
      </c>
      <c r="AA23" s="165">
        <v>1525817.7841500002</v>
      </c>
      <c r="AB23" s="165">
        <v>1569624.24917</v>
      </c>
      <c r="AC23" s="165">
        <v>1560205.48367</v>
      </c>
      <c r="AD23" s="165">
        <v>1573798.8357500001</v>
      </c>
      <c r="AE23" s="165">
        <v>1784332.0246600001</v>
      </c>
      <c r="AF23" s="165">
        <v>1757223.2304200002</v>
      </c>
      <c r="AG23" s="165">
        <v>1557918.5514</v>
      </c>
      <c r="AH23" s="165">
        <v>1899310.40616</v>
      </c>
      <c r="AI23" s="166">
        <f t="shared" si="5"/>
        <v>15878687.736240001</v>
      </c>
      <c r="AJ23" s="144"/>
      <c r="AK23" s="136">
        <f t="shared" si="4"/>
        <v>3457228.9575600009</v>
      </c>
    </row>
    <row r="24" spans="1:37" s="159" customFormat="1" ht="12.75" customHeight="1" x14ac:dyDescent="0.3">
      <c r="A24" s="164"/>
      <c r="B24" s="42" t="s">
        <v>64</v>
      </c>
      <c r="C24" s="158"/>
      <c r="E24" s="181"/>
      <c r="F24" s="181"/>
      <c r="G24" s="182"/>
      <c r="H24" s="183">
        <f>SUM(H25:H30)</f>
        <v>22964930.903999999</v>
      </c>
      <c r="I24" s="183">
        <f t="shared" ref="I24:T24" si="8">SUM(I25:I30)</f>
        <v>1951297.0983799999</v>
      </c>
      <c r="J24" s="183">
        <f t="shared" si="8"/>
        <v>1913878.4097</v>
      </c>
      <c r="K24" s="183">
        <f t="shared" si="8"/>
        <v>1770712.83767</v>
      </c>
      <c r="L24" s="183">
        <f t="shared" si="8"/>
        <v>2044026.54892</v>
      </c>
      <c r="M24" s="183">
        <f t="shared" si="8"/>
        <v>1886664.08901</v>
      </c>
      <c r="N24" s="183">
        <f t="shared" si="8"/>
        <v>1860959.3199499999</v>
      </c>
      <c r="O24" s="183">
        <f t="shared" si="8"/>
        <v>1826814.1424099999</v>
      </c>
      <c r="P24" s="183">
        <f t="shared" si="8"/>
        <v>1803951.3562400001</v>
      </c>
      <c r="Q24" s="183">
        <f t="shared" si="8"/>
        <v>1312416.97159</v>
      </c>
      <c r="R24" s="183">
        <f t="shared" si="8"/>
        <v>1404177.5864200001</v>
      </c>
      <c r="S24" s="183">
        <f t="shared" si="8"/>
        <v>0</v>
      </c>
      <c r="T24" s="183">
        <f t="shared" si="8"/>
        <v>0</v>
      </c>
      <c r="U24" s="184">
        <f>SUM(U25:U30)</f>
        <v>17774898.360289998</v>
      </c>
      <c r="V24" s="185">
        <f>SUM(V25:V30)</f>
        <v>22032794.586159997</v>
      </c>
      <c r="W24" s="183">
        <f t="shared" ref="W24:AG24" si="9">SUM(W25:W30)</f>
        <v>1550996.7067299997</v>
      </c>
      <c r="X24" s="183">
        <f t="shared" si="9"/>
        <v>1729141.79587</v>
      </c>
      <c r="Y24" s="183">
        <f t="shared" si="9"/>
        <v>1636144.3846800001</v>
      </c>
      <c r="Z24" s="183">
        <f t="shared" si="9"/>
        <v>1523096.4728999999</v>
      </c>
      <c r="AA24" s="183">
        <f t="shared" si="9"/>
        <v>1591124.45985</v>
      </c>
      <c r="AB24" s="183">
        <f t="shared" si="9"/>
        <v>3299671.0199699998</v>
      </c>
      <c r="AC24" s="183">
        <f t="shared" si="9"/>
        <v>1913215.63845</v>
      </c>
      <c r="AD24" s="183">
        <f t="shared" si="9"/>
        <v>1807668.4501599998</v>
      </c>
      <c r="AE24" s="183">
        <f t="shared" si="9"/>
        <v>1409103.03207</v>
      </c>
      <c r="AF24" s="183">
        <f t="shared" si="9"/>
        <v>1551647.92851</v>
      </c>
      <c r="AG24" s="183">
        <f t="shared" si="9"/>
        <v>1622751.6283800001</v>
      </c>
      <c r="AH24" s="183">
        <f>SUM(AH25:AH30)</f>
        <v>2398233.0685900003</v>
      </c>
      <c r="AI24" s="183">
        <f>SUM(AI25:AI30)</f>
        <v>18011809.88919</v>
      </c>
      <c r="AJ24" s="164"/>
      <c r="AK24" s="159">
        <f t="shared" si="4"/>
        <v>4020984.6969699971</v>
      </c>
    </row>
    <row r="25" spans="1:37" s="159" customFormat="1" ht="12.75" customHeight="1" x14ac:dyDescent="0.3">
      <c r="A25" s="164"/>
      <c r="B25" s="42"/>
      <c r="C25" s="561" t="s">
        <v>65</v>
      </c>
      <c r="D25" s="561"/>
      <c r="E25" s="561"/>
      <c r="F25" s="561"/>
      <c r="G25" s="56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66"/>
      <c r="V25" s="167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  <c r="AJ25" s="164"/>
    </row>
    <row r="26" spans="1:37" ht="12.75" customHeight="1" x14ac:dyDescent="0.3">
      <c r="A26" s="144"/>
      <c r="E26" s="180" t="s">
        <v>66</v>
      </c>
      <c r="F26" s="180"/>
      <c r="G26" s="182"/>
      <c r="H26" s="172">
        <v>658787.94400000002</v>
      </c>
      <c r="I26" s="172">
        <v>25600.022149999997</v>
      </c>
      <c r="J26" s="172">
        <v>74037.122370000012</v>
      </c>
      <c r="K26" s="172">
        <v>37754.54855</v>
      </c>
      <c r="L26" s="172">
        <v>41266.001299999996</v>
      </c>
      <c r="M26" s="172">
        <v>54616.02289</v>
      </c>
      <c r="N26" s="172">
        <v>26552.485829999998</v>
      </c>
      <c r="O26" s="172">
        <v>23944.790960000002</v>
      </c>
      <c r="P26" s="172">
        <v>30078.305960000002</v>
      </c>
      <c r="Q26" s="172">
        <v>24469.84246</v>
      </c>
      <c r="R26" s="172">
        <v>95039.601720000006</v>
      </c>
      <c r="S26" s="172">
        <v>0</v>
      </c>
      <c r="T26" s="172">
        <v>0</v>
      </c>
      <c r="U26" s="166">
        <f>SUM(I26:T26)</f>
        <v>433358.74419</v>
      </c>
      <c r="V26" s="167">
        <v>635422.77465999988</v>
      </c>
      <c r="W26" s="172">
        <v>42752.488509999996</v>
      </c>
      <c r="X26" s="172">
        <v>44119.625899999999</v>
      </c>
      <c r="Y26" s="172">
        <v>22872.643780000002</v>
      </c>
      <c r="Z26" s="172">
        <v>33376.066070000001</v>
      </c>
      <c r="AA26" s="172">
        <v>24744.884180000001</v>
      </c>
      <c r="AB26" s="172">
        <v>23746.871350000001</v>
      </c>
      <c r="AC26" s="172">
        <v>80865.421629999997</v>
      </c>
      <c r="AD26" s="172">
        <v>40770.322289999996</v>
      </c>
      <c r="AE26" s="172">
        <v>50317.261989999999</v>
      </c>
      <c r="AF26" s="172">
        <v>49664.470549999998</v>
      </c>
      <c r="AG26" s="172">
        <v>48137.900500000003</v>
      </c>
      <c r="AH26" s="172">
        <v>174054.81790999998</v>
      </c>
      <c r="AI26" s="166">
        <f t="shared" ref="AI26:AI27" si="10">SUM(W26:AF26)</f>
        <v>413230.05624999991</v>
      </c>
      <c r="AJ26" s="144"/>
      <c r="AK26" s="136">
        <f t="shared" si="4"/>
        <v>222192.71840999997</v>
      </c>
    </row>
    <row r="27" spans="1:37" ht="12.75" customHeight="1" x14ac:dyDescent="0.3">
      <c r="A27" s="144"/>
      <c r="E27" s="180" t="s">
        <v>67</v>
      </c>
      <c r="F27" s="180"/>
      <c r="G27" s="182"/>
      <c r="H27" s="172">
        <v>3424328.5329999998</v>
      </c>
      <c r="I27" s="172">
        <v>272558.40057</v>
      </c>
      <c r="J27" s="172">
        <v>309852.30497000006</v>
      </c>
      <c r="K27" s="172">
        <v>274216.80638000002</v>
      </c>
      <c r="L27" s="172">
        <v>379884.65922000003</v>
      </c>
      <c r="M27" s="172">
        <v>398721.7635</v>
      </c>
      <c r="N27" s="172">
        <v>420011.56579000002</v>
      </c>
      <c r="O27" s="172">
        <v>270959.95656999998</v>
      </c>
      <c r="P27" s="172">
        <v>244039.81593000001</v>
      </c>
      <c r="Q27" s="172">
        <v>312675.77126000001</v>
      </c>
      <c r="R27" s="172">
        <v>169544.10728</v>
      </c>
      <c r="S27" s="172">
        <v>0</v>
      </c>
      <c r="T27" s="172">
        <v>0</v>
      </c>
      <c r="U27" s="166">
        <f>SUM(I27:T27)</f>
        <v>3052465.1514699999</v>
      </c>
      <c r="V27" s="167">
        <v>3140787.4596900004</v>
      </c>
      <c r="W27" s="172">
        <v>186537.98591999998</v>
      </c>
      <c r="X27" s="172">
        <v>361618.08223</v>
      </c>
      <c r="Y27" s="172">
        <v>194067.57434999998</v>
      </c>
      <c r="Z27" s="172">
        <v>187402.21021000002</v>
      </c>
      <c r="AA27" s="172">
        <v>218869.85594000001</v>
      </c>
      <c r="AB27" s="172">
        <v>345417.72963999998</v>
      </c>
      <c r="AC27" s="172">
        <v>254152.41623</v>
      </c>
      <c r="AD27" s="172">
        <v>240907.85641000001</v>
      </c>
      <c r="AE27" s="172">
        <v>420920.76889000001</v>
      </c>
      <c r="AF27" s="172">
        <v>205457.76580000002</v>
      </c>
      <c r="AG27" s="172">
        <v>269940.66115</v>
      </c>
      <c r="AH27" s="172">
        <v>255494.55291999999</v>
      </c>
      <c r="AI27" s="166">
        <f t="shared" si="10"/>
        <v>2615352.2456200002</v>
      </c>
      <c r="AJ27" s="144"/>
      <c r="AK27" s="136">
        <f t="shared" si="4"/>
        <v>525435.21407000022</v>
      </c>
    </row>
    <row r="28" spans="1:37" x14ac:dyDescent="0.3">
      <c r="A28" s="144"/>
      <c r="C28" s="561" t="s">
        <v>68</v>
      </c>
      <c r="D28" s="561"/>
      <c r="E28" s="561"/>
      <c r="F28" s="561"/>
      <c r="G28" s="56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66"/>
      <c r="V28" s="167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66"/>
      <c r="AJ28" s="144"/>
    </row>
    <row r="29" spans="1:37" ht="12.75" customHeight="1" x14ac:dyDescent="0.3">
      <c r="A29" s="144"/>
      <c r="E29" s="180" t="s">
        <v>69</v>
      </c>
      <c r="F29" s="180"/>
      <c r="G29" s="182" t="s">
        <v>70</v>
      </c>
      <c r="H29" s="172">
        <v>7069379.1619999995</v>
      </c>
      <c r="I29" s="172">
        <v>765315.02598000003</v>
      </c>
      <c r="J29" s="172">
        <v>455601.96260999999</v>
      </c>
      <c r="K29" s="172">
        <v>483301.92552999995</v>
      </c>
      <c r="L29" s="172">
        <v>428748.63607000001</v>
      </c>
      <c r="M29" s="172">
        <v>377671.79012000002</v>
      </c>
      <c r="N29" s="172">
        <v>416326.46333999996</v>
      </c>
      <c r="O29" s="172">
        <v>559683.54961999995</v>
      </c>
      <c r="P29" s="172">
        <v>426568.75205000001</v>
      </c>
      <c r="Q29" s="172">
        <v>437073.61007999995</v>
      </c>
      <c r="R29" s="172">
        <v>334230.11569999997</v>
      </c>
      <c r="S29" s="172">
        <v>0</v>
      </c>
      <c r="T29" s="172">
        <v>0</v>
      </c>
      <c r="U29" s="166">
        <f>SUM(I29:T29)</f>
        <v>4684521.8311000001</v>
      </c>
      <c r="V29" s="167">
        <v>7680453.4656499997</v>
      </c>
      <c r="W29" s="172">
        <v>532295.57363</v>
      </c>
      <c r="X29" s="172">
        <v>406420.15308999998</v>
      </c>
      <c r="Y29" s="172">
        <v>474975.76981000003</v>
      </c>
      <c r="Z29" s="172">
        <v>397718.09085000004</v>
      </c>
      <c r="AA29" s="172">
        <v>493761.89728999999</v>
      </c>
      <c r="AB29" s="172">
        <v>2110120.0587599999</v>
      </c>
      <c r="AC29" s="172">
        <v>640619.06917999999</v>
      </c>
      <c r="AD29" s="172">
        <v>449436.51335000002</v>
      </c>
      <c r="AE29" s="172">
        <v>455337.81135999999</v>
      </c>
      <c r="AF29" s="172">
        <v>439373.54200000002</v>
      </c>
      <c r="AG29" s="172">
        <v>365440.37007</v>
      </c>
      <c r="AH29" s="172">
        <v>914954.61626000004</v>
      </c>
      <c r="AI29" s="166">
        <f t="shared" ref="AI29:AI30" si="11">SUM(W29:AF29)</f>
        <v>6400058.4793199999</v>
      </c>
      <c r="AJ29" s="144"/>
      <c r="AK29" s="136">
        <f t="shared" si="4"/>
        <v>1280394.9863299998</v>
      </c>
    </row>
    <row r="30" spans="1:37" ht="12.75" customHeight="1" x14ac:dyDescent="0.3">
      <c r="A30" s="144"/>
      <c r="E30" s="180" t="s">
        <v>71</v>
      </c>
      <c r="F30" s="180"/>
      <c r="G30" s="182"/>
      <c r="H30" s="172">
        <v>11812435.265000001</v>
      </c>
      <c r="I30" s="172">
        <v>887823.64967999991</v>
      </c>
      <c r="J30" s="172">
        <v>1074387.01975</v>
      </c>
      <c r="K30" s="172">
        <v>975439.55721</v>
      </c>
      <c r="L30" s="172">
        <v>1194127.2523299998</v>
      </c>
      <c r="M30" s="172">
        <v>1055654.5125</v>
      </c>
      <c r="N30" s="172">
        <v>998068.80498999998</v>
      </c>
      <c r="O30" s="172">
        <v>972225.84525999997</v>
      </c>
      <c r="P30" s="172">
        <v>1103264.4823</v>
      </c>
      <c r="Q30" s="172">
        <v>538197.74778999994</v>
      </c>
      <c r="R30" s="172">
        <v>805363.76172000007</v>
      </c>
      <c r="S30" s="172">
        <v>0</v>
      </c>
      <c r="T30" s="172">
        <v>0</v>
      </c>
      <c r="U30" s="166">
        <f>SUM(I30:T30)</f>
        <v>9604552.6335300002</v>
      </c>
      <c r="V30" s="167">
        <v>10576130.886159999</v>
      </c>
      <c r="W30" s="172">
        <v>789410.65866999992</v>
      </c>
      <c r="X30" s="172">
        <v>916983.93464999995</v>
      </c>
      <c r="Y30" s="172">
        <v>944228.39674</v>
      </c>
      <c r="Z30" s="172">
        <v>904600.10577000002</v>
      </c>
      <c r="AA30" s="172">
        <v>853747.82244000002</v>
      </c>
      <c r="AB30" s="172">
        <v>820386.36022000003</v>
      </c>
      <c r="AC30" s="172">
        <v>937578.73141000001</v>
      </c>
      <c r="AD30" s="172">
        <v>1076553.7581099998</v>
      </c>
      <c r="AE30" s="172">
        <v>482527.18982999999</v>
      </c>
      <c r="AF30" s="172">
        <v>857152.15015999996</v>
      </c>
      <c r="AG30" s="172">
        <v>939232.69666000002</v>
      </c>
      <c r="AH30" s="172">
        <v>1053729.0815000001</v>
      </c>
      <c r="AI30" s="166">
        <f t="shared" si="11"/>
        <v>8583169.1079999991</v>
      </c>
      <c r="AJ30" s="144"/>
      <c r="AK30" s="136">
        <f t="shared" si="4"/>
        <v>1992961.7781600002</v>
      </c>
    </row>
    <row r="31" spans="1:37" ht="12.75" customHeight="1" x14ac:dyDescent="0.3">
      <c r="A31" s="144"/>
      <c r="B31" s="42" t="s">
        <v>72</v>
      </c>
      <c r="C31" s="158"/>
      <c r="E31" s="180"/>
      <c r="F31" s="180"/>
      <c r="G31" s="182"/>
      <c r="H31" s="183">
        <f>H32+H36+H37+H47+H48+H49+H55+H56+H57+H58+H59+H60+H61+H64+H62</f>
        <v>592856971.45600009</v>
      </c>
      <c r="I31" s="183">
        <f t="shared" ref="I31:AI31" si="12">I32+I36+I37+I47+I48+I49+I55+I56+I57+I58+I59+I60+I61+I64+I62</f>
        <v>40643406.289640002</v>
      </c>
      <c r="J31" s="183">
        <f t="shared" si="12"/>
        <v>43436047.551559985</v>
      </c>
      <c r="K31" s="183">
        <f t="shared" si="12"/>
        <v>44312205.931900002</v>
      </c>
      <c r="L31" s="183">
        <f t="shared" si="12"/>
        <v>46427522.138519995</v>
      </c>
      <c r="M31" s="183">
        <f t="shared" si="12"/>
        <v>41621526.910510004</v>
      </c>
      <c r="N31" s="183">
        <f t="shared" si="12"/>
        <v>48124348.258830003</v>
      </c>
      <c r="O31" s="183">
        <f t="shared" si="12"/>
        <v>49960929.399520002</v>
      </c>
      <c r="P31" s="183">
        <f t="shared" si="12"/>
        <v>41214600.333399989</v>
      </c>
      <c r="Q31" s="183">
        <f t="shared" si="12"/>
        <v>54333832.87030001</v>
      </c>
      <c r="R31" s="183">
        <f t="shared" si="12"/>
        <v>55436810.049639985</v>
      </c>
      <c r="S31" s="183">
        <f t="shared" si="12"/>
        <v>0</v>
      </c>
      <c r="T31" s="183">
        <f t="shared" si="12"/>
        <v>0</v>
      </c>
      <c r="U31" s="184">
        <f>U32+U36+U37+U47+U48+U49+U55+U56+U57+U58+U59+U60+U61+U64+U62</f>
        <v>465511229.73381996</v>
      </c>
      <c r="V31" s="188">
        <f t="shared" si="12"/>
        <v>549806294.18990004</v>
      </c>
      <c r="W31" s="183">
        <f t="shared" si="12"/>
        <v>40074540.208149999</v>
      </c>
      <c r="X31" s="183">
        <f t="shared" si="12"/>
        <v>42227205.404369995</v>
      </c>
      <c r="Y31" s="183">
        <f t="shared" si="12"/>
        <v>41216335.074339993</v>
      </c>
      <c r="Z31" s="183">
        <f t="shared" si="12"/>
        <v>41829725.350900002</v>
      </c>
      <c r="AA31" s="183">
        <f t="shared" si="12"/>
        <v>38313479.023320004</v>
      </c>
      <c r="AB31" s="183">
        <f t="shared" si="12"/>
        <v>44680353.095910005</v>
      </c>
      <c r="AC31" s="183">
        <f t="shared" si="12"/>
        <v>47264641.258890003</v>
      </c>
      <c r="AD31" s="183">
        <f t="shared" si="12"/>
        <v>49790227.223240033</v>
      </c>
      <c r="AE31" s="183">
        <f t="shared" si="12"/>
        <v>46771822.75238999</v>
      </c>
      <c r="AF31" s="183">
        <f t="shared" si="12"/>
        <v>55366917.61646001</v>
      </c>
      <c r="AG31" s="183">
        <f t="shared" si="12"/>
        <v>40375431.102229998</v>
      </c>
      <c r="AH31" s="183">
        <f t="shared" si="12"/>
        <v>61705216.189849973</v>
      </c>
      <c r="AI31" s="183">
        <f t="shared" si="12"/>
        <v>447535247.00796998</v>
      </c>
      <c r="AJ31" s="144"/>
      <c r="AK31" s="136">
        <f>V31-AI31</f>
        <v>102271047.18193007</v>
      </c>
    </row>
    <row r="32" spans="1:37" s="159" customFormat="1" ht="12.75" customHeight="1" x14ac:dyDescent="0.3">
      <c r="A32" s="164"/>
      <c r="B32" s="136"/>
      <c r="C32" s="180" t="s">
        <v>73</v>
      </c>
      <c r="D32" s="136"/>
      <c r="E32" s="136"/>
      <c r="F32" s="189"/>
      <c r="G32" s="190"/>
      <c r="H32" s="172">
        <f>+H33+H34+H35</f>
        <v>434858777.49199998</v>
      </c>
      <c r="I32" s="172">
        <f t="shared" ref="I32:T32" si="13">+I33+I34+I35</f>
        <v>26673889.369550001</v>
      </c>
      <c r="J32" s="172">
        <f t="shared" si="13"/>
        <v>32739181.415269986</v>
      </c>
      <c r="K32" s="172">
        <f t="shared" si="13"/>
        <v>34645418.176230006</v>
      </c>
      <c r="L32" s="172">
        <f t="shared" si="13"/>
        <v>33851639.098310009</v>
      </c>
      <c r="M32" s="172">
        <f t="shared" si="13"/>
        <v>31789611.648840003</v>
      </c>
      <c r="N32" s="172">
        <f t="shared" si="13"/>
        <v>36041193.301650003</v>
      </c>
      <c r="O32" s="172">
        <f t="shared" si="13"/>
        <v>35795874.321880005</v>
      </c>
      <c r="P32" s="172">
        <f t="shared" si="13"/>
        <v>28243032.395229995</v>
      </c>
      <c r="Q32" s="172">
        <f t="shared" si="13"/>
        <v>40095330.672220007</v>
      </c>
      <c r="R32" s="172">
        <f t="shared" si="13"/>
        <v>39745654.908839986</v>
      </c>
      <c r="S32" s="172">
        <f t="shared" si="13"/>
        <v>0</v>
      </c>
      <c r="T32" s="172">
        <f t="shared" si="13"/>
        <v>0</v>
      </c>
      <c r="U32" s="166">
        <f>+U33+U34+U35</f>
        <v>339620825.30802</v>
      </c>
      <c r="V32" s="167">
        <f>+V33+V34+V35</f>
        <v>390895099.68637013</v>
      </c>
      <c r="W32" s="172">
        <f t="shared" ref="W32:AH32" si="14">+W33+W34+W35</f>
        <v>24681000.811689995</v>
      </c>
      <c r="X32" s="172">
        <f t="shared" si="14"/>
        <v>29801360.176759992</v>
      </c>
      <c r="Y32" s="172">
        <f t="shared" si="14"/>
        <v>29405889.502149988</v>
      </c>
      <c r="Z32" s="172">
        <f t="shared" si="14"/>
        <v>29393861.492539998</v>
      </c>
      <c r="AA32" s="172">
        <f t="shared" si="14"/>
        <v>29440220.02149</v>
      </c>
      <c r="AB32" s="172">
        <f t="shared" si="14"/>
        <v>33008083.052970003</v>
      </c>
      <c r="AC32" s="172">
        <f t="shared" si="14"/>
        <v>32211116.06772</v>
      </c>
      <c r="AD32" s="172">
        <f t="shared" si="14"/>
        <v>35976780.818060011</v>
      </c>
      <c r="AE32" s="172">
        <f t="shared" si="14"/>
        <v>32909280.07328999</v>
      </c>
      <c r="AF32" s="172">
        <f t="shared" si="14"/>
        <v>39145297.510220006</v>
      </c>
      <c r="AG32" s="172">
        <f t="shared" si="14"/>
        <v>27593428.996010005</v>
      </c>
      <c r="AH32" s="172">
        <f t="shared" si="14"/>
        <v>47280613.565989994</v>
      </c>
      <c r="AI32" s="172">
        <f>+AI33+AI34+AI35</f>
        <v>315972889.52689004</v>
      </c>
      <c r="AJ32" s="164"/>
      <c r="AK32" s="159">
        <f>V32-AI32</f>
        <v>74922210.159480095</v>
      </c>
    </row>
    <row r="33" spans="1:37" s="159" customFormat="1" ht="12.75" customHeight="1" x14ac:dyDescent="0.3">
      <c r="A33" s="164"/>
      <c r="C33" s="191"/>
      <c r="D33" s="136"/>
      <c r="E33" s="192" t="s">
        <v>74</v>
      </c>
      <c r="F33" s="189"/>
      <c r="G33" s="182"/>
      <c r="H33" s="172">
        <v>488247936.55299997</v>
      </c>
      <c r="I33" s="172">
        <v>40421052.542730004</v>
      </c>
      <c r="J33" s="172">
        <v>39302166.295719996</v>
      </c>
      <c r="K33" s="172">
        <v>36904608.570310004</v>
      </c>
      <c r="L33" s="172">
        <v>39272350.371420003</v>
      </c>
      <c r="M33" s="172">
        <v>40613894.029760003</v>
      </c>
      <c r="N33" s="172">
        <v>40205120.969619997</v>
      </c>
      <c r="O33" s="172">
        <v>41623490.551789999</v>
      </c>
      <c r="P33" s="172">
        <v>41427759.368519999</v>
      </c>
      <c r="Q33" s="172">
        <v>42384143.088789999</v>
      </c>
      <c r="R33" s="172">
        <v>44176559.595339991</v>
      </c>
      <c r="S33" s="172">
        <v>0</v>
      </c>
      <c r="T33" s="172">
        <v>0</v>
      </c>
      <c r="U33" s="166">
        <f>SUM(I33:T33)</f>
        <v>406331145.384</v>
      </c>
      <c r="V33" s="167">
        <v>448760190.03805</v>
      </c>
      <c r="W33" s="172">
        <v>36233991.638799995</v>
      </c>
      <c r="X33" s="172">
        <v>36639888.552709997</v>
      </c>
      <c r="Y33" s="172">
        <v>34766588.057919994</v>
      </c>
      <c r="Z33" s="172">
        <v>36862273.92667</v>
      </c>
      <c r="AA33" s="172">
        <v>35203039.960859999</v>
      </c>
      <c r="AB33" s="172">
        <v>36860838.893140003</v>
      </c>
      <c r="AC33" s="172">
        <v>37995116.830459997</v>
      </c>
      <c r="AD33" s="172">
        <v>37830403.890810005</v>
      </c>
      <c r="AE33" s="172">
        <v>39304371.156589992</v>
      </c>
      <c r="AF33" s="172">
        <v>41796760.405870005</v>
      </c>
      <c r="AG33" s="172">
        <v>36288462.623320006</v>
      </c>
      <c r="AH33" s="172">
        <v>38978454.100900002</v>
      </c>
      <c r="AI33" s="166">
        <f t="shared" ref="AI33:AI42" si="15">SUM(W33:AF33)</f>
        <v>373493273.31383002</v>
      </c>
      <c r="AJ33" s="164"/>
      <c r="AK33" s="159">
        <f t="shared" si="4"/>
        <v>75266916.724219978</v>
      </c>
    </row>
    <row r="34" spans="1:37" s="159" customFormat="1" ht="12.75" customHeight="1" x14ac:dyDescent="0.3">
      <c r="A34" s="164"/>
      <c r="C34" s="191"/>
      <c r="D34" s="136"/>
      <c r="E34" s="192" t="s">
        <v>75</v>
      </c>
      <c r="F34" s="189"/>
      <c r="G34" s="182"/>
      <c r="H34" s="172">
        <v>246611840.93899998</v>
      </c>
      <c r="I34" s="172">
        <v>6114526.1441299999</v>
      </c>
      <c r="J34" s="172">
        <v>17958841.721289996</v>
      </c>
      <c r="K34" s="172">
        <v>21048649.366850004</v>
      </c>
      <c r="L34" s="172">
        <v>20430475.75299</v>
      </c>
      <c r="M34" s="172">
        <v>21469806.384029999</v>
      </c>
      <c r="N34" s="172">
        <v>22630310.472270001</v>
      </c>
      <c r="O34" s="172">
        <v>21654257.840890002</v>
      </c>
      <c r="P34" s="172">
        <v>21336659.043080002</v>
      </c>
      <c r="Q34" s="172">
        <v>22283228.226030003</v>
      </c>
      <c r="R34" s="172">
        <v>20207329.256170001</v>
      </c>
      <c r="S34" s="172">
        <v>0</v>
      </c>
      <c r="T34" s="172">
        <v>0</v>
      </c>
      <c r="U34" s="166">
        <f>SUM(I34:T34)</f>
        <v>195134084.20773</v>
      </c>
      <c r="V34" s="167">
        <v>204551808.39967</v>
      </c>
      <c r="W34" s="172">
        <v>5280990.3085000003</v>
      </c>
      <c r="X34" s="172">
        <v>14941614.936459998</v>
      </c>
      <c r="Y34" s="172">
        <v>15553951.026659999</v>
      </c>
      <c r="Z34" s="172">
        <v>15162452.885740001</v>
      </c>
      <c r="AA34" s="172">
        <v>15610560.984649999</v>
      </c>
      <c r="AB34" s="172">
        <v>17043019.73195</v>
      </c>
      <c r="AC34" s="172">
        <v>18217796.381930001</v>
      </c>
      <c r="AD34" s="172">
        <v>18346376.17667</v>
      </c>
      <c r="AE34" s="172">
        <v>18240492.96006</v>
      </c>
      <c r="AF34" s="172">
        <v>16410615.232109999</v>
      </c>
      <c r="AG34" s="172">
        <v>18613130.55799</v>
      </c>
      <c r="AH34" s="172">
        <v>31082639.61947</v>
      </c>
      <c r="AI34" s="166">
        <f t="shared" si="15"/>
        <v>154807870.62473002</v>
      </c>
      <c r="AJ34" s="164"/>
      <c r="AK34" s="159">
        <f t="shared" si="4"/>
        <v>49743937.774939984</v>
      </c>
    </row>
    <row r="35" spans="1:37" s="159" customFormat="1" ht="12.75" customHeight="1" x14ac:dyDescent="0.3">
      <c r="A35" s="164"/>
      <c r="C35" s="191"/>
      <c r="D35" s="136"/>
      <c r="E35" s="192" t="s">
        <v>76</v>
      </c>
      <c r="F35" s="189"/>
      <c r="G35" s="190"/>
      <c r="H35" s="172">
        <v>-300001000</v>
      </c>
      <c r="I35" s="172">
        <v>-19861689.317310002</v>
      </c>
      <c r="J35" s="172">
        <v>-24521826.601740003</v>
      </c>
      <c r="K35" s="172">
        <v>-23307839.760930002</v>
      </c>
      <c r="L35" s="172">
        <v>-25851187.026099999</v>
      </c>
      <c r="M35" s="172">
        <v>-30294088.76495</v>
      </c>
      <c r="N35" s="172">
        <v>-26794238.140240002</v>
      </c>
      <c r="O35" s="172">
        <v>-27481874.070799999</v>
      </c>
      <c r="P35" s="172">
        <v>-34521386.016370006</v>
      </c>
      <c r="Q35" s="172">
        <v>-24572040.6426</v>
      </c>
      <c r="R35" s="172">
        <v>-24638233.942669999</v>
      </c>
      <c r="S35" s="172">
        <v>0</v>
      </c>
      <c r="T35" s="172">
        <v>0</v>
      </c>
      <c r="U35" s="166">
        <f>SUM(I35:T35)</f>
        <v>-261844404.28371</v>
      </c>
      <c r="V35" s="167">
        <v>-262416898.75134996</v>
      </c>
      <c r="W35" s="172">
        <v>-16833981.135609999</v>
      </c>
      <c r="X35" s="172">
        <v>-21780143.312410001</v>
      </c>
      <c r="Y35" s="172">
        <v>-20914649.582430001</v>
      </c>
      <c r="Z35" s="172">
        <v>-22630865.319869999</v>
      </c>
      <c r="AA35" s="172">
        <v>-21373380.92402</v>
      </c>
      <c r="AB35" s="172">
        <v>-20895775.57212</v>
      </c>
      <c r="AC35" s="172">
        <v>-24001797.144669998</v>
      </c>
      <c r="AD35" s="172">
        <v>-20199999.249419998</v>
      </c>
      <c r="AE35" s="172">
        <v>-24635584.043360002</v>
      </c>
      <c r="AF35" s="172">
        <v>-19062078.127759997</v>
      </c>
      <c r="AG35" s="172">
        <v>-27308164.1853</v>
      </c>
      <c r="AH35" s="172">
        <v>-22780480.154380001</v>
      </c>
      <c r="AI35" s="166">
        <f t="shared" si="15"/>
        <v>-212328254.41166997</v>
      </c>
      <c r="AJ35" s="164"/>
      <c r="AK35" s="159">
        <f t="shared" si="4"/>
        <v>-50088644.339679986</v>
      </c>
    </row>
    <row r="36" spans="1:37" s="159" customFormat="1" ht="12.75" customHeight="1" x14ac:dyDescent="0.3">
      <c r="A36" s="164"/>
      <c r="B36" s="136"/>
      <c r="C36" s="180" t="s">
        <v>77</v>
      </c>
      <c r="D36" s="180"/>
      <c r="E36" s="180"/>
      <c r="F36" s="180"/>
      <c r="G36" s="182"/>
      <c r="H36" s="172">
        <v>8131.39</v>
      </c>
      <c r="I36" s="172">
        <v>185.20839999999998</v>
      </c>
      <c r="J36" s="172">
        <v>77.842500000000001</v>
      </c>
      <c r="K36" s="172">
        <v>45.777279999999998</v>
      </c>
      <c r="L36" s="172">
        <v>409.89931999999999</v>
      </c>
      <c r="M36" s="172">
        <v>3684.67742</v>
      </c>
      <c r="N36" s="172">
        <v>1406.93445</v>
      </c>
      <c r="O36" s="172">
        <v>387.20425</v>
      </c>
      <c r="P36" s="172">
        <v>35.10183</v>
      </c>
      <c r="Q36" s="172">
        <v>329.19783000000001</v>
      </c>
      <c r="R36" s="172">
        <v>232.19361999999998</v>
      </c>
      <c r="S36" s="172">
        <v>0</v>
      </c>
      <c r="T36" s="172">
        <v>0</v>
      </c>
      <c r="U36" s="166">
        <f>SUM(I36:T36)</f>
        <v>6794.0368999999992</v>
      </c>
      <c r="V36" s="167">
        <v>8793.037409999999</v>
      </c>
      <c r="W36" s="172">
        <v>88.854910000000004</v>
      </c>
      <c r="X36" s="172">
        <v>20.422599999999999</v>
      </c>
      <c r="Y36" s="172">
        <v>105.92266000000001</v>
      </c>
      <c r="Z36" s="172">
        <v>355.29063000000002</v>
      </c>
      <c r="AA36" s="172">
        <v>2268.8097599999996</v>
      </c>
      <c r="AB36" s="172">
        <v>1021.43862</v>
      </c>
      <c r="AC36" s="172">
        <v>111.33059</v>
      </c>
      <c r="AD36" s="172">
        <v>187.94720000000001</v>
      </c>
      <c r="AE36" s="172">
        <v>327.20799</v>
      </c>
      <c r="AF36" s="172">
        <v>107.29404</v>
      </c>
      <c r="AG36" s="172">
        <v>3435.66714</v>
      </c>
      <c r="AH36" s="172">
        <v>762.85127</v>
      </c>
      <c r="AI36" s="166">
        <f t="shared" si="15"/>
        <v>4594.5189999999993</v>
      </c>
      <c r="AJ36" s="164"/>
      <c r="AK36" s="159">
        <f t="shared" si="4"/>
        <v>4198.5184099999997</v>
      </c>
    </row>
    <row r="37" spans="1:37" x14ac:dyDescent="0.3">
      <c r="A37" s="144"/>
      <c r="C37" s="136" t="s">
        <v>78</v>
      </c>
      <c r="E37" s="180"/>
      <c r="F37" s="180"/>
      <c r="G37" s="182"/>
      <c r="H37" s="193">
        <f>SUM(H38:H46)</f>
        <v>55532839.132999994</v>
      </c>
      <c r="I37" s="193">
        <f t="shared" ref="I37:T37" si="16">SUM(I38:I46)</f>
        <v>4416481.5727899997</v>
      </c>
      <c r="J37" s="193">
        <f t="shared" si="16"/>
        <v>3658555.9095899998</v>
      </c>
      <c r="K37" s="193">
        <f t="shared" si="16"/>
        <v>3878971.8547099996</v>
      </c>
      <c r="L37" s="193">
        <f t="shared" si="16"/>
        <v>4584521.77874</v>
      </c>
      <c r="M37" s="193">
        <f t="shared" si="16"/>
        <v>2841924.0774300001</v>
      </c>
      <c r="N37" s="193">
        <f t="shared" si="16"/>
        <v>3980537.9041899997</v>
      </c>
      <c r="O37" s="193">
        <f t="shared" si="16"/>
        <v>4948910.83519</v>
      </c>
      <c r="P37" s="193">
        <f t="shared" si="16"/>
        <v>4338151.4483499993</v>
      </c>
      <c r="Q37" s="193">
        <f t="shared" si="16"/>
        <v>4625407.4854600001</v>
      </c>
      <c r="R37" s="193">
        <f t="shared" si="16"/>
        <v>6592703.7139799995</v>
      </c>
      <c r="S37" s="193">
        <f t="shared" si="16"/>
        <v>0</v>
      </c>
      <c r="T37" s="193">
        <f t="shared" si="16"/>
        <v>0</v>
      </c>
      <c r="U37" s="194">
        <f t="shared" ref="U37:U49" si="17">SUM(I37:T37)</f>
        <v>43866166.580429994</v>
      </c>
      <c r="V37" s="195">
        <f>SUM(V38:V46)</f>
        <v>49705130.313220002</v>
      </c>
      <c r="W37" s="196">
        <f t="shared" ref="W37:AG37" si="18">SUM(W38:W46)</f>
        <v>5662791.3881000001</v>
      </c>
      <c r="X37" s="196">
        <f t="shared" si="18"/>
        <v>3347711.6279100003</v>
      </c>
      <c r="Y37" s="196">
        <f t="shared" si="18"/>
        <v>3109300.4167200001</v>
      </c>
      <c r="Z37" s="196">
        <f t="shared" si="18"/>
        <v>1495187.1123299999</v>
      </c>
      <c r="AA37" s="196">
        <f t="shared" si="18"/>
        <v>1018574.1618600001</v>
      </c>
      <c r="AB37" s="196">
        <f t="shared" si="18"/>
        <v>3479586.3459699997</v>
      </c>
      <c r="AC37" s="196">
        <f t="shared" si="18"/>
        <v>5943555.8825899996</v>
      </c>
      <c r="AD37" s="196">
        <f t="shared" si="18"/>
        <v>4889989.4446999999</v>
      </c>
      <c r="AE37" s="196">
        <f t="shared" si="18"/>
        <v>4163901.0354199996</v>
      </c>
      <c r="AF37" s="196">
        <f t="shared" si="18"/>
        <v>6418411.1761499997</v>
      </c>
      <c r="AG37" s="196">
        <f t="shared" si="18"/>
        <v>4668365.9763900004</v>
      </c>
      <c r="AH37" s="196">
        <f>SUM(AH38:AH46)</f>
        <v>5369517.5925599998</v>
      </c>
      <c r="AI37" s="166">
        <f t="shared" si="15"/>
        <v>39529008.591750003</v>
      </c>
      <c r="AJ37" s="144"/>
      <c r="AK37" s="136">
        <f t="shared" si="4"/>
        <v>10176121.721469998</v>
      </c>
    </row>
    <row r="38" spans="1:37" ht="12.75" customHeight="1" x14ac:dyDescent="0.3">
      <c r="A38" s="144"/>
      <c r="E38" s="180" t="s">
        <v>79</v>
      </c>
      <c r="F38" s="180"/>
      <c r="G38" s="182"/>
      <c r="H38" s="172">
        <v>20133536.890000001</v>
      </c>
      <c r="I38" s="172">
        <v>905445.07671000005</v>
      </c>
      <c r="J38" s="172">
        <v>1687975.8765799999</v>
      </c>
      <c r="K38" s="172">
        <v>1575207.7021300001</v>
      </c>
      <c r="L38" s="172">
        <v>1556757.5407799999</v>
      </c>
      <c r="M38" s="172">
        <v>1655374.37583</v>
      </c>
      <c r="N38" s="172">
        <v>1813958.1386099998</v>
      </c>
      <c r="O38" s="172">
        <v>1828531.8908800001</v>
      </c>
      <c r="P38" s="172">
        <v>1890034.2195899999</v>
      </c>
      <c r="Q38" s="172">
        <v>1896976.0308699999</v>
      </c>
      <c r="R38" s="172">
        <v>1837557.0435500001</v>
      </c>
      <c r="S38" s="172">
        <v>0</v>
      </c>
      <c r="T38" s="172">
        <v>0</v>
      </c>
      <c r="U38" s="166">
        <f t="shared" si="17"/>
        <v>16647817.895529998</v>
      </c>
      <c r="V38" s="167">
        <v>19957814.061209999</v>
      </c>
      <c r="W38" s="172">
        <v>2054344.1757</v>
      </c>
      <c r="X38" s="172">
        <v>1648649.5155999998</v>
      </c>
      <c r="Y38" s="172">
        <v>1624228.0072999999</v>
      </c>
      <c r="Z38" s="172">
        <v>169868.04305000001</v>
      </c>
      <c r="AA38" s="172">
        <v>149896.95355000001</v>
      </c>
      <c r="AB38" s="172">
        <v>1182792.7316300001</v>
      </c>
      <c r="AC38" s="172">
        <v>2695762.6251099999</v>
      </c>
      <c r="AD38" s="172">
        <v>2587203.4013800002</v>
      </c>
      <c r="AE38" s="172">
        <v>1589263.4937499999</v>
      </c>
      <c r="AF38" s="172">
        <v>2011180.6854900001</v>
      </c>
      <c r="AG38" s="172">
        <v>1779122.0365899999</v>
      </c>
      <c r="AH38" s="172">
        <v>2328731.8119999999</v>
      </c>
      <c r="AI38" s="166">
        <f t="shared" si="15"/>
        <v>15713189.63256</v>
      </c>
      <c r="AJ38" s="144"/>
      <c r="AK38" s="136">
        <f t="shared" si="4"/>
        <v>4244624.4286499992</v>
      </c>
    </row>
    <row r="39" spans="1:37" ht="12.75" customHeight="1" x14ac:dyDescent="0.3">
      <c r="A39" s="144"/>
      <c r="E39" s="180" t="s">
        <v>80</v>
      </c>
      <c r="F39" s="180"/>
      <c r="G39" s="182"/>
      <c r="H39" s="172">
        <v>5068.5190000000002</v>
      </c>
      <c r="I39" s="172">
        <v>581.43031999999994</v>
      </c>
      <c r="J39" s="172">
        <v>187.96544</v>
      </c>
      <c r="K39" s="172">
        <v>75.838750000000005</v>
      </c>
      <c r="L39" s="172">
        <v>351.76253000000003</v>
      </c>
      <c r="M39" s="172">
        <v>363.35343999999998</v>
      </c>
      <c r="N39" s="172">
        <v>293.69781999999998</v>
      </c>
      <c r="O39" s="172">
        <v>428.51355000000001</v>
      </c>
      <c r="P39" s="172">
        <v>414.29869000000002</v>
      </c>
      <c r="Q39" s="172">
        <v>257.64774999999997</v>
      </c>
      <c r="R39" s="172">
        <v>625.7550500000001</v>
      </c>
      <c r="S39" s="172">
        <v>0</v>
      </c>
      <c r="T39" s="172">
        <v>0</v>
      </c>
      <c r="U39" s="166">
        <f t="shared" si="17"/>
        <v>3580.2633400000004</v>
      </c>
      <c r="V39" s="167">
        <v>4808.3266599999988</v>
      </c>
      <c r="W39" s="172">
        <v>209.72210000000001</v>
      </c>
      <c r="X39" s="172">
        <v>303.70621999999997</v>
      </c>
      <c r="Y39" s="172">
        <v>680.21839999999997</v>
      </c>
      <c r="Z39" s="172">
        <v>493.01908000000003</v>
      </c>
      <c r="AA39" s="172">
        <v>63.920439999999999</v>
      </c>
      <c r="AB39" s="172">
        <v>622.4390699999999</v>
      </c>
      <c r="AC39" s="172">
        <v>472.62583000000001</v>
      </c>
      <c r="AD39" s="172">
        <v>383.03915999999998</v>
      </c>
      <c r="AE39" s="172">
        <v>444.42993000000001</v>
      </c>
      <c r="AF39" s="172">
        <v>444.68258000000003</v>
      </c>
      <c r="AG39" s="172">
        <v>337.86378000000002</v>
      </c>
      <c r="AH39" s="172">
        <v>298.40315000000004</v>
      </c>
      <c r="AI39" s="166">
        <f t="shared" si="15"/>
        <v>4117.8028099999992</v>
      </c>
      <c r="AJ39" s="144"/>
      <c r="AK39" s="136">
        <f t="shared" si="4"/>
        <v>690.52384999999958</v>
      </c>
    </row>
    <row r="40" spans="1:37" s="159" customFormat="1" ht="12.75" customHeight="1" x14ac:dyDescent="0.3">
      <c r="A40" s="164"/>
      <c r="B40" s="136"/>
      <c r="C40" s="136"/>
      <c r="E40" s="180" t="s">
        <v>81</v>
      </c>
      <c r="F40" s="180"/>
      <c r="G40" s="182"/>
      <c r="H40" s="172">
        <v>6413284.5470000003</v>
      </c>
      <c r="I40" s="172">
        <v>533080.78587999998</v>
      </c>
      <c r="J40" s="172">
        <v>467654.14630000002</v>
      </c>
      <c r="K40" s="172">
        <v>511360.39814</v>
      </c>
      <c r="L40" s="172">
        <v>634365.57529999991</v>
      </c>
      <c r="M40" s="172">
        <v>22802.490579999998</v>
      </c>
      <c r="N40" s="172">
        <v>487481.27289999998</v>
      </c>
      <c r="O40" s="172">
        <v>572067.99277000001</v>
      </c>
      <c r="P40" s="172">
        <v>616989.33005999995</v>
      </c>
      <c r="Q40" s="172">
        <v>585645.02679999999</v>
      </c>
      <c r="R40" s="172">
        <v>666744.88010000007</v>
      </c>
      <c r="S40" s="172">
        <v>0</v>
      </c>
      <c r="T40" s="172">
        <v>0</v>
      </c>
      <c r="U40" s="166">
        <f t="shared" si="17"/>
        <v>5098191.8988299994</v>
      </c>
      <c r="V40" s="167">
        <v>6112700.1493300013</v>
      </c>
      <c r="W40" s="172">
        <v>699480.41840999993</v>
      </c>
      <c r="X40" s="172">
        <v>406583.87522000005</v>
      </c>
      <c r="Y40" s="172">
        <v>395827.80043</v>
      </c>
      <c r="Z40" s="172">
        <v>83078.326480000003</v>
      </c>
      <c r="AA40" s="172">
        <v>25681.187969999999</v>
      </c>
      <c r="AB40" s="172">
        <v>360465.61618999997</v>
      </c>
      <c r="AC40" s="172">
        <v>868262.74664000003</v>
      </c>
      <c r="AD40" s="172">
        <v>512184.91301999998</v>
      </c>
      <c r="AE40" s="172">
        <v>542072.97265999997</v>
      </c>
      <c r="AF40" s="172">
        <v>600421.29047999997</v>
      </c>
      <c r="AG40" s="172">
        <v>1096871.7886700002</v>
      </c>
      <c r="AH40" s="172">
        <v>521378.71867000003</v>
      </c>
      <c r="AI40" s="166">
        <f t="shared" si="15"/>
        <v>4494059.1475</v>
      </c>
      <c r="AJ40" s="164"/>
      <c r="AK40" s="159">
        <f t="shared" si="4"/>
        <v>1618641.0018300014</v>
      </c>
    </row>
    <row r="41" spans="1:37" ht="12.75" customHeight="1" x14ac:dyDescent="0.3">
      <c r="A41" s="144"/>
      <c r="E41" s="180" t="s">
        <v>82</v>
      </c>
      <c r="F41" s="180"/>
      <c r="G41" s="182"/>
      <c r="H41" s="172">
        <v>12643481.705</v>
      </c>
      <c r="I41" s="172">
        <v>1384527.3620199999</v>
      </c>
      <c r="J41" s="172">
        <v>1148846.15488</v>
      </c>
      <c r="K41" s="172">
        <v>1312197.2880299999</v>
      </c>
      <c r="L41" s="172">
        <v>1263655.09482</v>
      </c>
      <c r="M41" s="172">
        <v>488893.50336000003</v>
      </c>
      <c r="N41" s="172">
        <v>1002315.54963</v>
      </c>
      <c r="O41" s="172">
        <v>913561.62369000004</v>
      </c>
      <c r="P41" s="172">
        <v>779463.10254999995</v>
      </c>
      <c r="Q41" s="172">
        <v>1103177.2622100001</v>
      </c>
      <c r="R41" s="172">
        <v>1323406.2467</v>
      </c>
      <c r="S41" s="172">
        <v>0</v>
      </c>
      <c r="T41" s="172">
        <v>0</v>
      </c>
      <c r="U41" s="166">
        <f t="shared" si="17"/>
        <v>10720043.187890001</v>
      </c>
      <c r="V41" s="167">
        <v>11308512.476020001</v>
      </c>
      <c r="W41" s="172">
        <v>1327526.5605500001</v>
      </c>
      <c r="X41" s="172">
        <v>1124797.98422</v>
      </c>
      <c r="Y41" s="172">
        <v>769139.13277000003</v>
      </c>
      <c r="Z41" s="172">
        <v>137155.20616</v>
      </c>
      <c r="AA41" s="172">
        <v>50673.473789999996</v>
      </c>
      <c r="AB41" s="172">
        <v>1186582.0418499999</v>
      </c>
      <c r="AC41" s="172">
        <v>1097685.64316</v>
      </c>
      <c r="AD41" s="172">
        <v>984392.74069000001</v>
      </c>
      <c r="AE41" s="172">
        <v>1130779.77746</v>
      </c>
      <c r="AF41" s="172">
        <v>1064139.4149199999</v>
      </c>
      <c r="AG41" s="172">
        <v>1137552.8441300001</v>
      </c>
      <c r="AH41" s="172">
        <v>1297064.8352699999</v>
      </c>
      <c r="AI41" s="166">
        <f t="shared" si="15"/>
        <v>8872871.9755700007</v>
      </c>
      <c r="AJ41" s="144"/>
      <c r="AK41" s="136">
        <f t="shared" si="4"/>
        <v>2435640.5004500002</v>
      </c>
    </row>
    <row r="42" spans="1:37" ht="12.75" customHeight="1" x14ac:dyDescent="0.3">
      <c r="A42" s="144"/>
      <c r="E42" s="569" t="s">
        <v>83</v>
      </c>
      <c r="F42" s="569"/>
      <c r="G42" s="571"/>
      <c r="H42" s="172">
        <v>12912556.393999999</v>
      </c>
      <c r="I42" s="172">
        <v>1448697.17842</v>
      </c>
      <c r="J42" s="172">
        <v>257756.93937000001</v>
      </c>
      <c r="K42" s="172">
        <v>404144.27419999999</v>
      </c>
      <c r="L42" s="172">
        <v>469731.90049999999</v>
      </c>
      <c r="M42" s="172">
        <v>594407.70371000003</v>
      </c>
      <c r="N42" s="172">
        <v>588560.99100000004</v>
      </c>
      <c r="O42" s="172">
        <v>903590.96554999996</v>
      </c>
      <c r="P42" s="172">
        <v>947537.85331999999</v>
      </c>
      <c r="Q42" s="172">
        <v>586044.63372000004</v>
      </c>
      <c r="R42" s="172">
        <v>2494615.5983800003</v>
      </c>
      <c r="S42" s="172">
        <v>0</v>
      </c>
      <c r="T42" s="172">
        <v>0</v>
      </c>
      <c r="U42" s="166">
        <f t="shared" si="17"/>
        <v>8695088.0381700005</v>
      </c>
      <c r="V42" s="167">
        <v>8958629.7836300004</v>
      </c>
      <c r="W42" s="172">
        <v>1363269.4917899999</v>
      </c>
      <c r="X42" s="172">
        <v>119007.50477</v>
      </c>
      <c r="Y42" s="172">
        <v>244477.73199999999</v>
      </c>
      <c r="Z42" s="172">
        <v>405933.69660000002</v>
      </c>
      <c r="AA42" s="172">
        <v>720130.39247000008</v>
      </c>
      <c r="AB42" s="172">
        <v>663843.74491000001</v>
      </c>
      <c r="AC42" s="172">
        <v>675692.68261000002</v>
      </c>
      <c r="AD42" s="172">
        <v>714376.11759000004</v>
      </c>
      <c r="AE42" s="172">
        <v>800885.85626999999</v>
      </c>
      <c r="AF42" s="172">
        <v>2117296.75526</v>
      </c>
      <c r="AG42" s="172">
        <v>554782.89057000005</v>
      </c>
      <c r="AH42" s="172">
        <v>578932.91878999991</v>
      </c>
      <c r="AI42" s="166">
        <f t="shared" si="15"/>
        <v>7824913.9742700011</v>
      </c>
      <c r="AJ42" s="144"/>
      <c r="AK42" s="136">
        <f t="shared" si="4"/>
        <v>1133715.8093599994</v>
      </c>
    </row>
    <row r="43" spans="1:37" ht="12.75" customHeight="1" x14ac:dyDescent="0.3">
      <c r="A43" s="144"/>
      <c r="E43" s="178" t="s">
        <v>84</v>
      </c>
      <c r="F43" s="178"/>
      <c r="G43" s="179"/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/>
      <c r="T43" s="172"/>
      <c r="U43" s="166">
        <f t="shared" si="17"/>
        <v>0</v>
      </c>
      <c r="V43" s="167">
        <v>0</v>
      </c>
      <c r="W43" s="172">
        <v>0</v>
      </c>
      <c r="X43" s="172">
        <v>0</v>
      </c>
      <c r="Y43" s="172">
        <v>0</v>
      </c>
      <c r="Z43" s="172"/>
      <c r="AA43" s="172">
        <v>0</v>
      </c>
      <c r="AB43" s="172">
        <v>0</v>
      </c>
      <c r="AC43" s="172">
        <v>0</v>
      </c>
      <c r="AD43" s="172">
        <v>0</v>
      </c>
      <c r="AE43" s="172"/>
      <c r="AF43" s="172">
        <v>0</v>
      </c>
      <c r="AG43" s="172"/>
      <c r="AH43" s="172">
        <v>0</v>
      </c>
      <c r="AI43" s="166">
        <f t="shared" ref="AI43" si="19">SUM(W43:AE43)</f>
        <v>0</v>
      </c>
      <c r="AJ43" s="144"/>
      <c r="AK43" s="136">
        <f t="shared" si="4"/>
        <v>0</v>
      </c>
    </row>
    <row r="44" spans="1:37" ht="12.75" customHeight="1" x14ac:dyDescent="0.3">
      <c r="A44" s="144"/>
      <c r="E44" s="180" t="s">
        <v>85</v>
      </c>
      <c r="F44" s="191"/>
      <c r="G44" s="182"/>
      <c r="H44" s="172">
        <v>475200.679</v>
      </c>
      <c r="I44" s="172">
        <v>68901.417950000003</v>
      </c>
      <c r="J44" s="172">
        <v>34757.58008</v>
      </c>
      <c r="K44" s="172">
        <v>20969.701989999998</v>
      </c>
      <c r="L44" s="172">
        <v>21568.202789999999</v>
      </c>
      <c r="M44" s="172">
        <v>22788.251</v>
      </c>
      <c r="N44" s="172">
        <v>30931.837889999999</v>
      </c>
      <c r="O44" s="172">
        <v>58270.217530000002</v>
      </c>
      <c r="P44" s="172">
        <v>42996.146670000002</v>
      </c>
      <c r="Q44" s="172">
        <v>26741.112209999999</v>
      </c>
      <c r="R44" s="172">
        <v>16007.37458</v>
      </c>
      <c r="S44" s="172">
        <v>0</v>
      </c>
      <c r="T44" s="172">
        <v>0</v>
      </c>
      <c r="U44" s="166">
        <f t="shared" si="17"/>
        <v>343931.84268999996</v>
      </c>
      <c r="V44" s="167">
        <v>413154.33510000003</v>
      </c>
      <c r="W44" s="172">
        <v>111293.15998000001</v>
      </c>
      <c r="X44" s="172">
        <v>27149.98963</v>
      </c>
      <c r="Y44" s="172">
        <v>11903.650380000001</v>
      </c>
      <c r="Z44" s="172">
        <v>15330.082619999999</v>
      </c>
      <c r="AA44" s="172">
        <v>15715.68014</v>
      </c>
      <c r="AB44" s="172">
        <v>26382.921559999999</v>
      </c>
      <c r="AC44" s="172">
        <v>40182.281539999996</v>
      </c>
      <c r="AD44" s="172">
        <v>28078.612450000001</v>
      </c>
      <c r="AE44" s="172">
        <v>34497.506110000002</v>
      </c>
      <c r="AF44" s="172">
        <v>44728.400479999997</v>
      </c>
      <c r="AG44" s="172">
        <v>37287.659289999996</v>
      </c>
      <c r="AH44" s="172">
        <v>20604.390920000002</v>
      </c>
      <c r="AI44" s="166">
        <f t="shared" ref="AI44:AI49" si="20">SUM(W44:AF44)</f>
        <v>355262.28489000007</v>
      </c>
      <c r="AJ44" s="144"/>
      <c r="AK44" s="136">
        <f t="shared" si="4"/>
        <v>57892.050209999958</v>
      </c>
    </row>
    <row r="45" spans="1:37" ht="12.75" customHeight="1" x14ac:dyDescent="0.3">
      <c r="A45" s="144"/>
      <c r="E45" s="180" t="s">
        <v>86</v>
      </c>
      <c r="F45" s="191"/>
      <c r="G45" s="182" t="s">
        <v>87</v>
      </c>
      <c r="H45" s="172">
        <v>945272.97400000005</v>
      </c>
      <c r="I45" s="172">
        <v>65179.002280000001</v>
      </c>
      <c r="J45" s="172">
        <v>61377.246939999997</v>
      </c>
      <c r="K45" s="172">
        <v>55016.651469999997</v>
      </c>
      <c r="L45" s="172">
        <v>60041.767209999998</v>
      </c>
      <c r="M45" s="172">
        <v>57294.399509999996</v>
      </c>
      <c r="N45" s="172">
        <v>56996.416340000003</v>
      </c>
      <c r="O45" s="172">
        <v>53302.862420000005</v>
      </c>
      <c r="P45" s="172">
        <v>60716.497470000002</v>
      </c>
      <c r="Q45" s="172">
        <v>56574.940289999999</v>
      </c>
      <c r="R45" s="172">
        <v>57030.351210000001</v>
      </c>
      <c r="S45" s="172">
        <v>0</v>
      </c>
      <c r="T45" s="172">
        <v>0</v>
      </c>
      <c r="U45" s="166">
        <f t="shared" si="17"/>
        <v>583530.13513999991</v>
      </c>
      <c r="V45" s="167">
        <v>745552.0478099999</v>
      </c>
      <c r="W45" s="172">
        <v>106667.85956999999</v>
      </c>
      <c r="X45" s="172">
        <v>21219.052250000001</v>
      </c>
      <c r="Y45" s="172">
        <v>63043.875439999996</v>
      </c>
      <c r="Z45" s="172">
        <v>61846.223520000007</v>
      </c>
      <c r="AA45" s="172">
        <v>56412.553500000002</v>
      </c>
      <c r="AB45" s="172">
        <v>58896.850760000001</v>
      </c>
      <c r="AC45" s="172">
        <v>61447.388619999998</v>
      </c>
      <c r="AD45" s="172">
        <v>63370.620409999996</v>
      </c>
      <c r="AE45" s="172">
        <v>65956.999240000005</v>
      </c>
      <c r="AF45" s="172">
        <v>61092.365229999996</v>
      </c>
      <c r="AG45" s="172">
        <v>62410.893360000002</v>
      </c>
      <c r="AH45" s="172">
        <v>63187.365909999993</v>
      </c>
      <c r="AI45" s="166">
        <f t="shared" si="20"/>
        <v>619953.78853999998</v>
      </c>
      <c r="AJ45" s="144"/>
      <c r="AK45" s="136">
        <f t="shared" si="4"/>
        <v>125598.25926999992</v>
      </c>
    </row>
    <row r="46" spans="1:37" ht="12.75" customHeight="1" x14ac:dyDescent="0.3">
      <c r="A46" s="144"/>
      <c r="E46" s="561" t="s">
        <v>88</v>
      </c>
      <c r="F46" s="561"/>
      <c r="G46" s="182" t="s">
        <v>89</v>
      </c>
      <c r="H46" s="193">
        <v>2004437.425</v>
      </c>
      <c r="I46" s="193">
        <v>10069.319210000001</v>
      </c>
      <c r="J46" s="193">
        <v>0</v>
      </c>
      <c r="K46" s="193">
        <v>0</v>
      </c>
      <c r="L46" s="193">
        <v>578049.93480999989</v>
      </c>
      <c r="M46" s="193">
        <v>0</v>
      </c>
      <c r="N46" s="193">
        <v>0</v>
      </c>
      <c r="O46" s="193">
        <v>619156.76879999996</v>
      </c>
      <c r="P46" s="193">
        <v>0</v>
      </c>
      <c r="Q46" s="193">
        <v>369990.83160999999</v>
      </c>
      <c r="R46" s="193">
        <v>196716.46440999999</v>
      </c>
      <c r="S46" s="193">
        <v>0</v>
      </c>
      <c r="T46" s="193">
        <v>0</v>
      </c>
      <c r="U46" s="194">
        <f t="shared" si="17"/>
        <v>1773983.3188399998</v>
      </c>
      <c r="V46" s="167">
        <v>2203959.1334600002</v>
      </c>
      <c r="W46" s="193">
        <v>0</v>
      </c>
      <c r="X46" s="193">
        <v>0</v>
      </c>
      <c r="Y46" s="193">
        <v>0</v>
      </c>
      <c r="Z46" s="193">
        <v>621482.51482000004</v>
      </c>
      <c r="AA46" s="193">
        <v>0</v>
      </c>
      <c r="AB46" s="193">
        <v>0</v>
      </c>
      <c r="AC46" s="193">
        <v>504049.88907999999</v>
      </c>
      <c r="AD46" s="193">
        <v>0</v>
      </c>
      <c r="AE46" s="193">
        <v>0</v>
      </c>
      <c r="AF46" s="193">
        <v>519107.58171</v>
      </c>
      <c r="AG46" s="193">
        <v>0</v>
      </c>
      <c r="AH46" s="193">
        <v>559319.14785000007</v>
      </c>
      <c r="AI46" s="166">
        <f t="shared" si="20"/>
        <v>1644639.9856100001</v>
      </c>
      <c r="AJ46" s="144"/>
      <c r="AK46" s="136">
        <f t="shared" si="4"/>
        <v>559319.14785000007</v>
      </c>
    </row>
    <row r="47" spans="1:37" ht="12.75" customHeight="1" x14ac:dyDescent="0.3">
      <c r="A47" s="144"/>
      <c r="C47" s="136" t="s">
        <v>90</v>
      </c>
      <c r="F47" s="191"/>
      <c r="G47" s="182"/>
      <c r="H47" s="172">
        <v>4807260.8059999999</v>
      </c>
      <c r="I47" s="172">
        <v>1490960.95741</v>
      </c>
      <c r="J47" s="172">
        <v>-19669.311229999999</v>
      </c>
      <c r="K47" s="172">
        <v>384.78935999999999</v>
      </c>
      <c r="L47" s="172">
        <v>722989.58889999997</v>
      </c>
      <c r="M47" s="172">
        <v>1519.5155300000001</v>
      </c>
      <c r="N47" s="172">
        <v>-631.55714999999998</v>
      </c>
      <c r="O47" s="172">
        <v>942524.94272000005</v>
      </c>
      <c r="P47" s="172">
        <v>297.51749000000001</v>
      </c>
      <c r="Q47" s="172">
        <v>2389.7070400000002</v>
      </c>
      <c r="R47" s="172">
        <v>1198601.2793800002</v>
      </c>
      <c r="S47" s="172">
        <v>0</v>
      </c>
      <c r="T47" s="172">
        <v>0</v>
      </c>
      <c r="U47" s="166">
        <f t="shared" si="17"/>
        <v>4339367.4294499997</v>
      </c>
      <c r="V47" s="167">
        <v>4725139.5199999996</v>
      </c>
      <c r="W47" s="172">
        <v>1124207.6377099999</v>
      </c>
      <c r="X47" s="172">
        <v>3714.8087099999998</v>
      </c>
      <c r="Y47" s="172">
        <v>-5.5259499999999999</v>
      </c>
      <c r="Z47" s="172">
        <v>1402705.9733800001</v>
      </c>
      <c r="AA47" s="172">
        <v>2255.3430199999998</v>
      </c>
      <c r="AB47" s="172">
        <v>484.63628999999997</v>
      </c>
      <c r="AC47" s="172">
        <v>1005646.9985499999</v>
      </c>
      <c r="AD47" s="172">
        <v>1636.30018</v>
      </c>
      <c r="AE47" s="172">
        <v>510.03229999999996</v>
      </c>
      <c r="AF47" s="172">
        <v>1135215.42493</v>
      </c>
      <c r="AG47" s="172">
        <v>27487.205449999998</v>
      </c>
      <c r="AH47" s="172">
        <v>21280.685430000001</v>
      </c>
      <c r="AI47" s="166">
        <f t="shared" si="20"/>
        <v>4676371.6291199997</v>
      </c>
      <c r="AJ47" s="144"/>
      <c r="AK47" s="136">
        <f t="shared" si="4"/>
        <v>48767.890879999846</v>
      </c>
    </row>
    <row r="48" spans="1:37" ht="12.75" customHeight="1" x14ac:dyDescent="0.3">
      <c r="A48" s="144"/>
      <c r="C48" s="136" t="s">
        <v>91</v>
      </c>
      <c r="F48" s="191"/>
      <c r="G48" s="182"/>
      <c r="H48" s="172">
        <v>2266591.4939999999</v>
      </c>
      <c r="I48" s="172">
        <v>228405.77165000001</v>
      </c>
      <c r="J48" s="172">
        <v>152257.77334000001</v>
      </c>
      <c r="K48" s="172">
        <v>155509.64734</v>
      </c>
      <c r="L48" s="172">
        <v>125970.03737999999</v>
      </c>
      <c r="M48" s="172">
        <v>127097.72557</v>
      </c>
      <c r="N48" s="172">
        <v>175699.97627000001</v>
      </c>
      <c r="O48" s="172">
        <v>184406.95541999998</v>
      </c>
      <c r="P48" s="172">
        <v>232587.70514999999</v>
      </c>
      <c r="Q48" s="172">
        <v>209198.18539</v>
      </c>
      <c r="R48" s="172">
        <v>220373.00933999999</v>
      </c>
      <c r="S48" s="172">
        <v>0</v>
      </c>
      <c r="T48" s="172">
        <v>0</v>
      </c>
      <c r="U48" s="166">
        <f t="shared" si="17"/>
        <v>1811506.7868499998</v>
      </c>
      <c r="V48" s="167">
        <v>2182322.6912199999</v>
      </c>
      <c r="W48" s="172">
        <v>217617.45878000002</v>
      </c>
      <c r="X48" s="172">
        <v>184318.22055</v>
      </c>
      <c r="Y48" s="172">
        <v>152890.56371000002</v>
      </c>
      <c r="Z48" s="172">
        <v>126379.49868999999</v>
      </c>
      <c r="AA48" s="172">
        <v>139251.26006999999</v>
      </c>
      <c r="AB48" s="172">
        <v>167249.28449000002</v>
      </c>
      <c r="AC48" s="172">
        <v>204774.77987</v>
      </c>
      <c r="AD48" s="172">
        <v>204515.29966999998</v>
      </c>
      <c r="AE48" s="172">
        <v>231747.68683000002</v>
      </c>
      <c r="AF48" s="172">
        <v>209822.59438999998</v>
      </c>
      <c r="AG48" s="172">
        <v>170377.77656999999</v>
      </c>
      <c r="AH48" s="172">
        <v>173378.26759999999</v>
      </c>
      <c r="AI48" s="166">
        <f t="shared" si="20"/>
        <v>1838566.64705</v>
      </c>
      <c r="AJ48" s="144"/>
      <c r="AK48" s="136">
        <f t="shared" si="4"/>
        <v>343756.04416999989</v>
      </c>
    </row>
    <row r="49" spans="1:37" ht="12.75" customHeight="1" x14ac:dyDescent="0.3">
      <c r="A49" s="144"/>
      <c r="C49" s="136" t="s">
        <v>92</v>
      </c>
      <c r="F49" s="191"/>
      <c r="G49" s="182"/>
      <c r="H49" s="172">
        <v>80635125.681999996</v>
      </c>
      <c r="I49" s="172">
        <v>6818533.0492599988</v>
      </c>
      <c r="J49" s="172">
        <v>6023535.9782300014</v>
      </c>
      <c r="K49" s="172">
        <v>4497401.4950899994</v>
      </c>
      <c r="L49" s="172">
        <v>4517132.5756200003</v>
      </c>
      <c r="M49" s="172">
        <v>5786006.7037599999</v>
      </c>
      <c r="N49" s="172">
        <v>6756385.9239999996</v>
      </c>
      <c r="O49" s="172">
        <v>7050619.1953199999</v>
      </c>
      <c r="P49" s="172">
        <v>7474890.93958</v>
      </c>
      <c r="Q49" s="172">
        <v>8281546.0388500001</v>
      </c>
      <c r="R49" s="172">
        <v>6681535.6667200001</v>
      </c>
      <c r="S49" s="172">
        <v>0</v>
      </c>
      <c r="T49" s="172">
        <v>0</v>
      </c>
      <c r="U49" s="166">
        <f t="shared" si="17"/>
        <v>63887587.56643001</v>
      </c>
      <c r="V49" s="167">
        <v>88889069.80103001</v>
      </c>
      <c r="W49" s="172">
        <v>7490910.3474100009</v>
      </c>
      <c r="X49" s="172">
        <v>8042912.75098</v>
      </c>
      <c r="Y49" s="172">
        <v>7475850.7639800003</v>
      </c>
      <c r="Z49" s="172">
        <v>7057685.3285700008</v>
      </c>
      <c r="AA49" s="172">
        <v>6709773.7492399998</v>
      </c>
      <c r="AB49" s="172">
        <v>6957391.3669800004</v>
      </c>
      <c r="AC49" s="172">
        <v>6844378.91555</v>
      </c>
      <c r="AD49" s="172">
        <v>7657848.0398000004</v>
      </c>
      <c r="AE49" s="172">
        <v>8422619.1763099991</v>
      </c>
      <c r="AF49" s="172">
        <v>7465284.4105500001</v>
      </c>
      <c r="AG49" s="172">
        <v>7045536.5112000015</v>
      </c>
      <c r="AH49" s="172">
        <v>7713869.3854199983</v>
      </c>
      <c r="AI49" s="166">
        <f t="shared" si="20"/>
        <v>74124654.849370003</v>
      </c>
      <c r="AJ49" s="144"/>
      <c r="AK49" s="136">
        <f t="shared" si="4"/>
        <v>14764414.951660007</v>
      </c>
    </row>
    <row r="50" spans="1:37" ht="12.75" customHeight="1" x14ac:dyDescent="0.3">
      <c r="A50" s="144"/>
      <c r="E50" s="197" t="s">
        <v>93</v>
      </c>
      <c r="F50" s="191"/>
      <c r="G50" s="18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66"/>
      <c r="V50" s="167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6"/>
      <c r="AJ50" s="144"/>
    </row>
    <row r="51" spans="1:37" s="159" customFormat="1" ht="12.75" customHeight="1" x14ac:dyDescent="0.3">
      <c r="A51" s="164"/>
      <c r="E51" s="159" t="s">
        <v>94</v>
      </c>
      <c r="F51" s="191"/>
      <c r="G51" s="182"/>
      <c r="H51" s="198">
        <f>SUM(H52:H53)</f>
        <v>2446914.2919999999</v>
      </c>
      <c r="I51" s="198">
        <f t="shared" ref="I51:AG51" si="21">SUM(I52:I53)</f>
        <v>280398.79680000001</v>
      </c>
      <c r="J51" s="198">
        <f t="shared" si="21"/>
        <v>251308.03902999999</v>
      </c>
      <c r="K51" s="198">
        <f t="shared" si="21"/>
        <v>198875.32008999999</v>
      </c>
      <c r="L51" s="198">
        <f t="shared" si="21"/>
        <v>188883.95955</v>
      </c>
      <c r="M51" s="198">
        <f t="shared" si="21"/>
        <v>171577.09216</v>
      </c>
      <c r="N51" s="198">
        <f t="shared" si="21"/>
        <v>170061.13024</v>
      </c>
      <c r="O51" s="198">
        <f t="shared" si="21"/>
        <v>183364.25448</v>
      </c>
      <c r="P51" s="198">
        <f t="shared" si="21"/>
        <v>193578.71187000003</v>
      </c>
      <c r="Q51" s="198">
        <f t="shared" si="21"/>
        <v>201851.52460999999</v>
      </c>
      <c r="R51" s="198">
        <f t="shared" si="21"/>
        <v>175191.16878000001</v>
      </c>
      <c r="S51" s="198">
        <f t="shared" si="21"/>
        <v>0</v>
      </c>
      <c r="T51" s="198">
        <f t="shared" si="21"/>
        <v>0</v>
      </c>
      <c r="U51" s="199">
        <f t="shared" si="21"/>
        <v>2015089.9976099997</v>
      </c>
      <c r="V51" s="200">
        <f>SUM(V52:V53)</f>
        <v>2038849.2125000004</v>
      </c>
      <c r="W51" s="145">
        <f t="shared" si="21"/>
        <v>161341.53461</v>
      </c>
      <c r="X51" s="145">
        <f t="shared" si="21"/>
        <v>173457.68121000001</v>
      </c>
      <c r="Y51" s="145">
        <f t="shared" si="21"/>
        <v>170535.56320999999</v>
      </c>
      <c r="Z51" s="145">
        <f t="shared" si="21"/>
        <v>162155.59121000001</v>
      </c>
      <c r="AA51" s="145">
        <f t="shared" si="21"/>
        <v>159276.23003000001</v>
      </c>
      <c r="AB51" s="145">
        <f t="shared" si="21"/>
        <v>168470.37724</v>
      </c>
      <c r="AC51" s="145">
        <f t="shared" si="21"/>
        <v>163254.38028000001</v>
      </c>
      <c r="AD51" s="145">
        <f t="shared" si="21"/>
        <v>176411.95843999999</v>
      </c>
      <c r="AE51" s="145">
        <f t="shared" si="21"/>
        <v>186584.43885000001</v>
      </c>
      <c r="AF51" s="145">
        <f t="shared" si="21"/>
        <v>173011.30585</v>
      </c>
      <c r="AG51" s="145">
        <f t="shared" si="21"/>
        <v>164025.42741</v>
      </c>
      <c r="AH51" s="145">
        <f>SUM(AH52:AH53)</f>
        <v>180324.72416000001</v>
      </c>
      <c r="AI51" s="145">
        <f t="shared" ref="AI51:AI53" si="22">SUM(W51:AF51)</f>
        <v>1694499.0609300002</v>
      </c>
      <c r="AJ51" s="164"/>
      <c r="AK51" s="159">
        <f t="shared" si="4"/>
        <v>344350.15157000022</v>
      </c>
    </row>
    <row r="52" spans="1:37" s="159" customFormat="1" ht="12.75" customHeight="1" x14ac:dyDescent="0.3">
      <c r="A52" s="164"/>
      <c r="E52" s="201" t="s">
        <v>95</v>
      </c>
      <c r="F52" s="191"/>
      <c r="G52" s="182"/>
      <c r="H52" s="198">
        <v>1990640.277</v>
      </c>
      <c r="I52" s="198">
        <v>247798.47219999999</v>
      </c>
      <c r="J52" s="198">
        <v>200302.15018999999</v>
      </c>
      <c r="K52" s="198">
        <v>146658.68414</v>
      </c>
      <c r="L52" s="198">
        <v>140212.62424999999</v>
      </c>
      <c r="M52" s="198">
        <v>112988.51167000001</v>
      </c>
      <c r="N52" s="198">
        <v>116551.63205</v>
      </c>
      <c r="O52" s="198">
        <v>131684.87351999999</v>
      </c>
      <c r="P52" s="198">
        <v>144901.71633000002</v>
      </c>
      <c r="Q52" s="198">
        <v>132523.54723</v>
      </c>
      <c r="R52" s="198">
        <v>134434.4859</v>
      </c>
      <c r="S52" s="198">
        <v>0</v>
      </c>
      <c r="T52" s="198">
        <v>0</v>
      </c>
      <c r="U52" s="199">
        <f>SUM(I52:T52)</f>
        <v>1508056.6974799999</v>
      </c>
      <c r="V52" s="200">
        <v>1596559.6478100002</v>
      </c>
      <c r="W52" s="198">
        <v>129769.10166</v>
      </c>
      <c r="X52" s="198">
        <v>136364.0575</v>
      </c>
      <c r="Y52" s="198">
        <v>128012.258</v>
      </c>
      <c r="Z52" s="198">
        <v>130931.99612000001</v>
      </c>
      <c r="AA52" s="198">
        <v>128326.41029</v>
      </c>
      <c r="AB52" s="198">
        <v>130177.72054000001</v>
      </c>
      <c r="AC52" s="198">
        <v>134446.89864</v>
      </c>
      <c r="AD52" s="198">
        <v>138397.14030999999</v>
      </c>
      <c r="AE52" s="198">
        <v>138733.68256000002</v>
      </c>
      <c r="AF52" s="198">
        <v>136435.96431000001</v>
      </c>
      <c r="AG52" s="198">
        <v>135299.94182000001</v>
      </c>
      <c r="AH52" s="198">
        <v>129664.47606</v>
      </c>
      <c r="AI52" s="199">
        <f t="shared" si="22"/>
        <v>1331595.2299300001</v>
      </c>
      <c r="AJ52" s="164"/>
      <c r="AK52" s="159">
        <f t="shared" si="4"/>
        <v>264964.41788000008</v>
      </c>
    </row>
    <row r="53" spans="1:37" s="159" customFormat="1" ht="12.75" customHeight="1" x14ac:dyDescent="0.3">
      <c r="A53" s="164"/>
      <c r="E53" s="201" t="s">
        <v>96</v>
      </c>
      <c r="F53" s="191"/>
      <c r="G53" s="182"/>
      <c r="H53" s="202">
        <v>456274.01500000001</v>
      </c>
      <c r="I53" s="202">
        <v>32600.3246</v>
      </c>
      <c r="J53" s="202">
        <v>51005.888840000007</v>
      </c>
      <c r="K53" s="202">
        <v>52216.635950000004</v>
      </c>
      <c r="L53" s="202">
        <v>48671.335299999999</v>
      </c>
      <c r="M53" s="202">
        <v>58588.58049</v>
      </c>
      <c r="N53" s="202">
        <v>53509.498189999998</v>
      </c>
      <c r="O53" s="202">
        <v>51679.380960000002</v>
      </c>
      <c r="P53" s="202">
        <v>48676.995539999996</v>
      </c>
      <c r="Q53" s="202">
        <v>69327.977379999997</v>
      </c>
      <c r="R53" s="202">
        <v>40756.68288</v>
      </c>
      <c r="S53" s="202">
        <v>0</v>
      </c>
      <c r="T53" s="202">
        <v>0</v>
      </c>
      <c r="U53" s="203">
        <f>SUM(I53:T53)</f>
        <v>507033.30012999993</v>
      </c>
      <c r="V53" s="200">
        <v>442289.56469000003</v>
      </c>
      <c r="W53" s="202">
        <v>31572.432949999999</v>
      </c>
      <c r="X53" s="202">
        <v>37093.62371</v>
      </c>
      <c r="Y53" s="202">
        <v>42523.305209999999</v>
      </c>
      <c r="Z53" s="202">
        <v>31223.595089999999</v>
      </c>
      <c r="AA53" s="202">
        <v>30949.819739999999</v>
      </c>
      <c r="AB53" s="202">
        <v>38292.6567</v>
      </c>
      <c r="AC53" s="202">
        <v>28807.481640000002</v>
      </c>
      <c r="AD53" s="202">
        <v>38014.81813</v>
      </c>
      <c r="AE53" s="202">
        <v>47850.756289999998</v>
      </c>
      <c r="AF53" s="202">
        <v>36575.341540000001</v>
      </c>
      <c r="AG53" s="202">
        <v>28725.48559</v>
      </c>
      <c r="AH53" s="202">
        <v>50660.248100000004</v>
      </c>
      <c r="AI53" s="199">
        <f t="shared" si="22"/>
        <v>362903.83100000001</v>
      </c>
      <c r="AJ53" s="164"/>
      <c r="AK53" s="159">
        <f t="shared" si="4"/>
        <v>79385.733690000023</v>
      </c>
    </row>
    <row r="54" spans="1:37" ht="12.75" customHeight="1" x14ac:dyDescent="0.3">
      <c r="A54" s="144"/>
      <c r="C54" s="561" t="s">
        <v>97</v>
      </c>
      <c r="D54" s="561"/>
      <c r="E54" s="561"/>
      <c r="F54" s="561"/>
      <c r="G54" s="56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66"/>
      <c r="V54" s="167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6"/>
      <c r="AJ54" s="144"/>
    </row>
    <row r="55" spans="1:37" ht="12.75" customHeight="1" x14ac:dyDescent="0.3">
      <c r="A55" s="144"/>
      <c r="E55" s="180" t="s">
        <v>98</v>
      </c>
      <c r="F55" s="180"/>
      <c r="G55" s="182"/>
      <c r="H55" s="172">
        <v>461991.71899999998</v>
      </c>
      <c r="I55" s="172">
        <v>55989.531670000004</v>
      </c>
      <c r="J55" s="172">
        <v>61753.557890000004</v>
      </c>
      <c r="K55" s="172">
        <v>55309.85</v>
      </c>
      <c r="L55" s="172">
        <v>59021.759380000003</v>
      </c>
      <c r="M55" s="172">
        <v>59221.292670000003</v>
      </c>
      <c r="N55" s="172">
        <v>67428.544379999992</v>
      </c>
      <c r="O55" s="172">
        <v>65440.008479999997</v>
      </c>
      <c r="P55" s="172">
        <v>66547.032909999994</v>
      </c>
      <c r="Q55" s="172">
        <v>66020.473450000005</v>
      </c>
      <c r="R55" s="172">
        <v>87339.109680000009</v>
      </c>
      <c r="S55" s="172">
        <v>0</v>
      </c>
      <c r="T55" s="172">
        <v>0</v>
      </c>
      <c r="U55" s="166">
        <f t="shared" ref="U55:U62" si="23">SUM(I55:T55)</f>
        <v>644071.16051000007</v>
      </c>
      <c r="V55" s="167">
        <v>285087.88130000001</v>
      </c>
      <c r="W55" s="172">
        <v>12969.658029999999</v>
      </c>
      <c r="X55" s="172">
        <v>15289.539199999999</v>
      </c>
      <c r="Y55" s="172">
        <v>16196.321400000001</v>
      </c>
      <c r="Z55" s="172">
        <v>17399.960709999999</v>
      </c>
      <c r="AA55" s="172">
        <v>16551.292730000001</v>
      </c>
      <c r="AB55" s="172">
        <v>19521.784299999999</v>
      </c>
      <c r="AC55" s="172">
        <v>22779.87</v>
      </c>
      <c r="AD55" s="172">
        <v>29963.66114</v>
      </c>
      <c r="AE55" s="172">
        <v>35685.796539999996</v>
      </c>
      <c r="AF55" s="172">
        <v>26535.145920000003</v>
      </c>
      <c r="AG55" s="172">
        <v>33883.588790000002</v>
      </c>
      <c r="AH55" s="172">
        <v>38311.262539999996</v>
      </c>
      <c r="AI55" s="166">
        <f t="shared" ref="AI55:AI62" si="24">SUM(W55:AF55)</f>
        <v>212893.02997</v>
      </c>
      <c r="AJ55" s="144"/>
      <c r="AK55" s="136">
        <f t="shared" si="4"/>
        <v>72194.851330000005</v>
      </c>
    </row>
    <row r="56" spans="1:37" ht="12.75" customHeight="1" x14ac:dyDescent="0.3">
      <c r="A56" s="144"/>
      <c r="E56" s="180" t="s">
        <v>99</v>
      </c>
      <c r="F56" s="180"/>
      <c r="G56" s="182"/>
      <c r="H56" s="193">
        <v>707496.63300000003</v>
      </c>
      <c r="I56" s="193">
        <v>476.25900999999999</v>
      </c>
      <c r="J56" s="193">
        <v>5480.7833499999997</v>
      </c>
      <c r="K56" s="193">
        <v>167912.42283000002</v>
      </c>
      <c r="L56" s="193">
        <v>1225.8779999999999</v>
      </c>
      <c r="M56" s="193">
        <v>1172.78394</v>
      </c>
      <c r="N56" s="193">
        <v>165727.11959000002</v>
      </c>
      <c r="O56" s="193">
        <v>1857.3910800000001</v>
      </c>
      <c r="P56" s="193">
        <v>1711.1148999999998</v>
      </c>
      <c r="Q56" s="193">
        <v>202925.76921999999</v>
      </c>
      <c r="R56" s="193">
        <v>2211.2006499999998</v>
      </c>
      <c r="S56" s="193">
        <v>0</v>
      </c>
      <c r="T56" s="193">
        <v>0</v>
      </c>
      <c r="U56" s="194">
        <f t="shared" si="23"/>
        <v>550700.72256999998</v>
      </c>
      <c r="V56" s="167">
        <v>658216.22823999997</v>
      </c>
      <c r="W56" s="193">
        <v>731.83299999999997</v>
      </c>
      <c r="X56" s="193">
        <v>385.7955</v>
      </c>
      <c r="Y56" s="193">
        <v>146630.85649999999</v>
      </c>
      <c r="Z56" s="193">
        <v>10654.241</v>
      </c>
      <c r="AA56" s="193">
        <v>703.2595</v>
      </c>
      <c r="AB56" s="193">
        <v>145353.49074000001</v>
      </c>
      <c r="AC56" s="193">
        <v>3969.9324999999999</v>
      </c>
      <c r="AD56" s="193">
        <v>777.88599999999997</v>
      </c>
      <c r="AE56" s="193">
        <v>186482.29800000001</v>
      </c>
      <c r="AF56" s="193">
        <v>642.07349999999997</v>
      </c>
      <c r="AG56" s="193">
        <v>663.197</v>
      </c>
      <c r="AH56" s="193">
        <v>161141.36499999999</v>
      </c>
      <c r="AI56" s="166">
        <f t="shared" si="24"/>
        <v>496331.66623999999</v>
      </c>
      <c r="AJ56" s="144"/>
      <c r="AK56" s="136">
        <f t="shared" si="4"/>
        <v>161884.56199999998</v>
      </c>
    </row>
    <row r="57" spans="1:37" ht="12.75" customHeight="1" x14ac:dyDescent="0.3">
      <c r="A57" s="144"/>
      <c r="E57" s="180" t="s">
        <v>100</v>
      </c>
      <c r="F57" s="180"/>
      <c r="G57" s="182"/>
      <c r="H57" s="193">
        <v>8027722.8930000002</v>
      </c>
      <c r="I57" s="193">
        <v>648439.72436999995</v>
      </c>
      <c r="J57" s="193">
        <v>610507.45800999994</v>
      </c>
      <c r="K57" s="193">
        <v>667773.97060999996</v>
      </c>
      <c r="L57" s="193">
        <v>666716.51095000003</v>
      </c>
      <c r="M57" s="193">
        <v>669795.15197999997</v>
      </c>
      <c r="N57" s="193">
        <v>675435.08213</v>
      </c>
      <c r="O57" s="193">
        <v>594472.02945999999</v>
      </c>
      <c r="P57" s="193">
        <v>624560.84308000002</v>
      </c>
      <c r="Q57" s="193">
        <v>594830.76764999994</v>
      </c>
      <c r="R57" s="193">
        <v>538662.72788000002</v>
      </c>
      <c r="S57" s="193">
        <v>0</v>
      </c>
      <c r="T57" s="193">
        <v>0</v>
      </c>
      <c r="U57" s="194">
        <f t="shared" si="23"/>
        <v>6291194.2661199998</v>
      </c>
      <c r="V57" s="167">
        <v>7890564.6360199992</v>
      </c>
      <c r="W57" s="193">
        <v>665293.37997999997</v>
      </c>
      <c r="X57" s="193">
        <v>659508.82715000003</v>
      </c>
      <c r="Y57" s="193">
        <v>705018.64833</v>
      </c>
      <c r="Z57" s="193">
        <v>703731.44083000009</v>
      </c>
      <c r="AA57" s="193">
        <v>725569.67767</v>
      </c>
      <c r="AB57" s="193">
        <v>694019.97589999996</v>
      </c>
      <c r="AC57" s="193">
        <v>644550.0867000001</v>
      </c>
      <c r="AD57" s="193">
        <v>647581.43452000001</v>
      </c>
      <c r="AE57" s="193">
        <v>621473.93023000006</v>
      </c>
      <c r="AF57" s="193">
        <v>603808.60850999993</v>
      </c>
      <c r="AG57" s="193">
        <v>622309.40685999999</v>
      </c>
      <c r="AH57" s="193">
        <v>597699.21934000007</v>
      </c>
      <c r="AI57" s="166">
        <f t="shared" si="24"/>
        <v>6670556.0098199993</v>
      </c>
      <c r="AJ57" s="144"/>
      <c r="AK57" s="136">
        <f t="shared" si="4"/>
        <v>1220008.6261999998</v>
      </c>
    </row>
    <row r="58" spans="1:37" ht="12.75" customHeight="1" x14ac:dyDescent="0.3">
      <c r="A58" s="144"/>
      <c r="E58" s="180" t="s">
        <v>101</v>
      </c>
      <c r="F58" s="180"/>
      <c r="G58" s="165"/>
      <c r="H58" s="193">
        <v>25671.269</v>
      </c>
      <c r="I58" s="193">
        <v>312.12180000000001</v>
      </c>
      <c r="J58" s="193">
        <v>4661.4049999999997</v>
      </c>
      <c r="K58" s="193">
        <v>1868.5650000000001</v>
      </c>
      <c r="L58" s="193">
        <v>2138.37</v>
      </c>
      <c r="M58" s="193">
        <v>2436.6149999999998</v>
      </c>
      <c r="N58" s="193">
        <v>2576.4610400000001</v>
      </c>
      <c r="O58" s="193">
        <v>1355.4889599999999</v>
      </c>
      <c r="P58" s="193">
        <v>2256.5574700000002</v>
      </c>
      <c r="Q58" s="193">
        <v>1723.7103400000001</v>
      </c>
      <c r="R58" s="193">
        <v>922.05</v>
      </c>
      <c r="S58" s="193">
        <v>0</v>
      </c>
      <c r="T58" s="193">
        <v>0</v>
      </c>
      <c r="U58" s="194">
        <f t="shared" si="23"/>
        <v>20251.344610000004</v>
      </c>
      <c r="V58" s="167">
        <v>23344.745600000006</v>
      </c>
      <c r="W58" s="193">
        <v>353.47224</v>
      </c>
      <c r="X58" s="193">
        <v>2789.63627</v>
      </c>
      <c r="Y58" s="193">
        <v>1930.3</v>
      </c>
      <c r="Z58" s="193">
        <v>2411.3119999999999</v>
      </c>
      <c r="AA58" s="193">
        <v>1458.79</v>
      </c>
      <c r="AB58" s="193">
        <v>1973.42</v>
      </c>
      <c r="AC58" s="193">
        <v>2228.7399999999998</v>
      </c>
      <c r="AD58" s="193">
        <v>2829.63</v>
      </c>
      <c r="AE58" s="193">
        <v>1920.63</v>
      </c>
      <c r="AF58" s="193">
        <v>730.78800000000001</v>
      </c>
      <c r="AG58" s="193">
        <v>1666.1638899999998</v>
      </c>
      <c r="AH58" s="193">
        <v>3408.33</v>
      </c>
      <c r="AI58" s="166">
        <f t="shared" si="24"/>
        <v>18626.718510000002</v>
      </c>
      <c r="AJ58" s="144"/>
      <c r="AK58" s="136">
        <f t="shared" si="4"/>
        <v>4718.0270900000032</v>
      </c>
    </row>
    <row r="59" spans="1:37" ht="12.75" customHeight="1" x14ac:dyDescent="0.3">
      <c r="A59" s="144"/>
      <c r="E59" s="569" t="s">
        <v>102</v>
      </c>
      <c r="F59" s="569"/>
      <c r="G59" s="165"/>
      <c r="H59" s="193">
        <v>2334516.1</v>
      </c>
      <c r="I59" s="193">
        <v>232734.59733000002</v>
      </c>
      <c r="J59" s="193">
        <v>152730.6073</v>
      </c>
      <c r="K59" s="193">
        <v>191260.90663999997</v>
      </c>
      <c r="L59" s="193">
        <v>263666.10323000001</v>
      </c>
      <c r="M59" s="193">
        <v>200051.27158999999</v>
      </c>
      <c r="N59" s="193">
        <v>197339.07579</v>
      </c>
      <c r="O59" s="193">
        <v>274267.7133</v>
      </c>
      <c r="P59" s="193">
        <v>179054.51705000002</v>
      </c>
      <c r="Q59" s="193">
        <v>199517.16039999999</v>
      </c>
      <c r="R59" s="193">
        <v>279588.23142000003</v>
      </c>
      <c r="S59" s="193">
        <v>0</v>
      </c>
      <c r="T59" s="193">
        <v>0</v>
      </c>
      <c r="U59" s="194">
        <f t="shared" si="23"/>
        <v>2170210.1840499998</v>
      </c>
      <c r="V59" s="167">
        <v>2173480.78045</v>
      </c>
      <c r="W59" s="193">
        <v>142961.32235</v>
      </c>
      <c r="X59" s="193">
        <v>116487.88055</v>
      </c>
      <c r="Y59" s="193">
        <v>142899.02322999999</v>
      </c>
      <c r="Z59" s="193">
        <v>110396.87809</v>
      </c>
      <c r="AA59" s="193">
        <v>279465.76329999999</v>
      </c>
      <c r="AB59" s="193">
        <v>135075.71093</v>
      </c>
      <c r="AC59" s="193">
        <v>266118.78905000002</v>
      </c>
      <c r="AD59" s="193">
        <v>127617.68234999999</v>
      </c>
      <c r="AE59" s="193">
        <v>146368.56175999998</v>
      </c>
      <c r="AF59" s="193">
        <v>270286.06143</v>
      </c>
      <c r="AG59" s="193">
        <v>159562.49906</v>
      </c>
      <c r="AH59" s="193">
        <v>276170.40835000004</v>
      </c>
      <c r="AI59" s="166">
        <f t="shared" si="24"/>
        <v>1737677.6730399998</v>
      </c>
      <c r="AJ59" s="144"/>
      <c r="AK59" s="136">
        <f t="shared" si="4"/>
        <v>435803.10741000017</v>
      </c>
    </row>
    <row r="60" spans="1:37" ht="12.75" customHeight="1" x14ac:dyDescent="0.3">
      <c r="A60" s="144"/>
      <c r="E60" s="180" t="s">
        <v>103</v>
      </c>
      <c r="G60" s="165"/>
      <c r="H60" s="193">
        <v>789399.43400000001</v>
      </c>
      <c r="I60" s="193">
        <v>70963.989429999987</v>
      </c>
      <c r="J60" s="193">
        <v>46907.581899999997</v>
      </c>
      <c r="K60" s="193">
        <v>48167.197719999996</v>
      </c>
      <c r="L60" s="193">
        <v>98958.685889999979</v>
      </c>
      <c r="M60" s="193">
        <v>55412.388399999996</v>
      </c>
      <c r="N60" s="193">
        <v>56846.919430000002</v>
      </c>
      <c r="O60" s="193">
        <v>90912.230710000003</v>
      </c>
      <c r="P60" s="193">
        <v>36012.487630000003</v>
      </c>
      <c r="Q60" s="193">
        <v>43128.67684</v>
      </c>
      <c r="R60" s="193">
        <v>86189.081919999997</v>
      </c>
      <c r="S60" s="193">
        <v>0</v>
      </c>
      <c r="T60" s="193">
        <v>0</v>
      </c>
      <c r="U60" s="194">
        <f t="shared" si="23"/>
        <v>633499.23986999993</v>
      </c>
      <c r="V60" s="167">
        <v>714926.79894999997</v>
      </c>
      <c r="W60" s="193">
        <v>69269.891870000007</v>
      </c>
      <c r="X60" s="193">
        <v>42303.12844</v>
      </c>
      <c r="Y60" s="193">
        <v>42435.082340000001</v>
      </c>
      <c r="Z60" s="193">
        <v>91078.854290000003</v>
      </c>
      <c r="AA60" s="193">
        <v>46073.647490000003</v>
      </c>
      <c r="AB60" s="193">
        <v>44531.689310000002</v>
      </c>
      <c r="AC60" s="193">
        <v>92303.863030000008</v>
      </c>
      <c r="AD60" s="193">
        <v>44739.19657</v>
      </c>
      <c r="AE60" s="193">
        <v>50286.677539999997</v>
      </c>
      <c r="AF60" s="193">
        <v>90189.149150000012</v>
      </c>
      <c r="AG60" s="193">
        <v>40822.601649999997</v>
      </c>
      <c r="AH60" s="193">
        <v>61701.665659999999</v>
      </c>
      <c r="AI60" s="166">
        <f t="shared" si="24"/>
        <v>613211.18003000005</v>
      </c>
      <c r="AJ60" s="144"/>
      <c r="AK60" s="136">
        <f t="shared" si="4"/>
        <v>101715.61891999992</v>
      </c>
    </row>
    <row r="61" spans="1:37" ht="12.75" customHeight="1" x14ac:dyDescent="0.3">
      <c r="A61" s="144"/>
      <c r="E61" s="180" t="s">
        <v>104</v>
      </c>
      <c r="F61" s="180"/>
      <c r="G61" s="165"/>
      <c r="H61" s="193">
        <v>0</v>
      </c>
      <c r="I61" s="193">
        <v>0</v>
      </c>
      <c r="J61" s="193"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4">
        <f t="shared" si="23"/>
        <v>0</v>
      </c>
      <c r="V61" s="167">
        <v>0</v>
      </c>
      <c r="W61" s="193">
        <v>0</v>
      </c>
      <c r="X61" s="193">
        <v>0</v>
      </c>
      <c r="Y61" s="193">
        <v>0</v>
      </c>
      <c r="Z61" s="193">
        <v>0</v>
      </c>
      <c r="AA61" s="193">
        <v>0</v>
      </c>
      <c r="AB61" s="193">
        <v>0</v>
      </c>
      <c r="AC61" s="193">
        <v>0</v>
      </c>
      <c r="AD61" s="193">
        <v>0</v>
      </c>
      <c r="AE61" s="193">
        <v>0</v>
      </c>
      <c r="AF61" s="193">
        <v>0</v>
      </c>
      <c r="AG61" s="193">
        <v>0</v>
      </c>
      <c r="AH61" s="193">
        <v>0</v>
      </c>
      <c r="AI61" s="166">
        <f t="shared" si="24"/>
        <v>0</v>
      </c>
      <c r="AJ61" s="144"/>
      <c r="AK61" s="136">
        <f t="shared" si="4"/>
        <v>0</v>
      </c>
    </row>
    <row r="62" spans="1:37" ht="12.75" customHeight="1" x14ac:dyDescent="0.3">
      <c r="A62" s="144"/>
      <c r="E62" s="180" t="s">
        <v>105</v>
      </c>
      <c r="F62" s="180"/>
      <c r="G62" s="165"/>
      <c r="H62" s="193">
        <v>2126626.3620000002</v>
      </c>
      <c r="I62" s="193">
        <v>4629.0451900000007</v>
      </c>
      <c r="J62" s="193">
        <v>22.038550000000001</v>
      </c>
      <c r="K62" s="193">
        <v>1088.7866799999999</v>
      </c>
      <c r="L62" s="193">
        <v>1532747.3365999998</v>
      </c>
      <c r="M62" s="193">
        <v>19986.560430000001</v>
      </c>
      <c r="N62" s="193">
        <v>4402.5730599999997</v>
      </c>
      <c r="O62" s="193">
        <v>3984.8846800000001</v>
      </c>
      <c r="P62" s="193">
        <v>4694.1964699999999</v>
      </c>
      <c r="Q62" s="193">
        <v>10927.75576</v>
      </c>
      <c r="R62" s="193">
        <v>1383.4290700000001</v>
      </c>
      <c r="S62" s="193">
        <v>0</v>
      </c>
      <c r="T62" s="193">
        <v>0</v>
      </c>
      <c r="U62" s="194">
        <f t="shared" si="23"/>
        <v>1583866.6064900002</v>
      </c>
      <c r="V62" s="167">
        <v>1397618.0503899995</v>
      </c>
      <c r="W62" s="193">
        <v>6344.1520799999998</v>
      </c>
      <c r="X62" s="193">
        <v>9490.2669000000005</v>
      </c>
      <c r="Y62" s="193">
        <v>17188.950820000002</v>
      </c>
      <c r="Z62" s="193">
        <v>1415771.6405799999</v>
      </c>
      <c r="AA62" s="193">
        <v>-129408.70140999999</v>
      </c>
      <c r="AB62" s="193">
        <v>20339.960019999999</v>
      </c>
      <c r="AC62" s="193">
        <v>23106.00274</v>
      </c>
      <c r="AD62" s="193">
        <v>19321.137070000001</v>
      </c>
      <c r="AE62" s="193">
        <v>1219.64618</v>
      </c>
      <c r="AF62" s="193">
        <v>30.108900000000002</v>
      </c>
      <c r="AG62" s="193">
        <v>7891.5122199999996</v>
      </c>
      <c r="AH62" s="193">
        <v>6323.3742899999997</v>
      </c>
      <c r="AI62" s="166">
        <f t="shared" si="24"/>
        <v>1383403.1638799997</v>
      </c>
      <c r="AJ62" s="144"/>
      <c r="AK62" s="136">
        <f t="shared" si="4"/>
        <v>14214.886509999866</v>
      </c>
    </row>
    <row r="63" spans="1:37" ht="12.75" customHeight="1" x14ac:dyDescent="0.3">
      <c r="A63" s="144"/>
      <c r="C63" s="136" t="s">
        <v>59</v>
      </c>
      <c r="E63" s="180"/>
      <c r="F63" s="180"/>
      <c r="G63" s="165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66"/>
      <c r="V63" s="167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6"/>
      <c r="AJ63" s="144"/>
    </row>
    <row r="64" spans="1:37" ht="12.75" customHeight="1" x14ac:dyDescent="0.3">
      <c r="A64" s="144"/>
      <c r="E64" s="180" t="s">
        <v>106</v>
      </c>
      <c r="F64" s="180"/>
      <c r="G64" s="165"/>
      <c r="H64" s="172">
        <v>274821.049</v>
      </c>
      <c r="I64" s="172">
        <v>1405.09178</v>
      </c>
      <c r="J64" s="172">
        <v>44.511859999999999</v>
      </c>
      <c r="K64" s="172">
        <v>1092.4924099999998</v>
      </c>
      <c r="L64" s="172">
        <v>384.51620000000003</v>
      </c>
      <c r="M64" s="172">
        <v>63606.497950000004</v>
      </c>
      <c r="N64" s="172">
        <v>0</v>
      </c>
      <c r="O64" s="172">
        <v>5916.1980700000004</v>
      </c>
      <c r="P64" s="172">
        <v>10768.476259999999</v>
      </c>
      <c r="Q64" s="172">
        <v>557.26985000000002</v>
      </c>
      <c r="R64" s="172">
        <v>1413.44714</v>
      </c>
      <c r="S64" s="172">
        <v>0</v>
      </c>
      <c r="T64" s="172">
        <v>0</v>
      </c>
      <c r="U64" s="166">
        <f>SUM(I64:T64)</f>
        <v>85188.501520000005</v>
      </c>
      <c r="V64" s="167">
        <v>257500.01969999998</v>
      </c>
      <c r="W64" s="172">
        <v>0</v>
      </c>
      <c r="X64" s="172">
        <v>912.32285000000002</v>
      </c>
      <c r="Y64" s="172">
        <v>4.2484500000000001</v>
      </c>
      <c r="Z64" s="172">
        <v>2106.3272599999996</v>
      </c>
      <c r="AA64" s="172">
        <v>60721.948600000003</v>
      </c>
      <c r="AB64" s="172">
        <v>5720.9393899999995</v>
      </c>
      <c r="AC64" s="172">
        <v>0</v>
      </c>
      <c r="AD64" s="172">
        <v>186438.74597999998</v>
      </c>
      <c r="AE64" s="172">
        <v>0</v>
      </c>
      <c r="AF64" s="172">
        <v>557.27076999999997</v>
      </c>
      <c r="AG64" s="172">
        <v>0</v>
      </c>
      <c r="AH64" s="172">
        <v>1038.2164</v>
      </c>
      <c r="AI64" s="166">
        <f t="shared" ref="AI64" si="25">SUM(W64:AF64)</f>
        <v>256461.80329999997</v>
      </c>
      <c r="AJ64" s="144"/>
      <c r="AK64" s="136">
        <f>AK49-AK62</f>
        <v>14750200.065150008</v>
      </c>
    </row>
    <row r="65" spans="1:37" s="159" customFormat="1" ht="12.75" customHeight="1" x14ac:dyDescent="0.3">
      <c r="A65" s="204"/>
      <c r="B65" s="42" t="s">
        <v>107</v>
      </c>
      <c r="C65" s="158"/>
      <c r="E65" s="181"/>
      <c r="F65" s="181"/>
      <c r="G65" s="182"/>
      <c r="H65" s="183">
        <f>SUM(H67:H73)</f>
        <v>74490447.440000013</v>
      </c>
      <c r="I65" s="183">
        <f t="shared" ref="I65:T65" si="26">SUM(I67:I73)</f>
        <v>2677328.3715899996</v>
      </c>
      <c r="J65" s="183">
        <f t="shared" si="26"/>
        <v>4767156.7342099994</v>
      </c>
      <c r="K65" s="183">
        <f t="shared" si="26"/>
        <v>5801274.7881000005</v>
      </c>
      <c r="L65" s="183">
        <f t="shared" si="26"/>
        <v>6364509.2139699999</v>
      </c>
      <c r="M65" s="183">
        <f t="shared" si="26"/>
        <v>6665937.1647000005</v>
      </c>
      <c r="N65" s="183">
        <f t="shared" si="26"/>
        <v>6772835.5864199987</v>
      </c>
      <c r="O65" s="183">
        <f t="shared" si="26"/>
        <v>6578268.0598400012</v>
      </c>
      <c r="P65" s="183">
        <f t="shared" si="26"/>
        <v>6217064.0145700006</v>
      </c>
      <c r="Q65" s="183">
        <f t="shared" si="26"/>
        <v>6796934.78847</v>
      </c>
      <c r="R65" s="183">
        <f t="shared" si="26"/>
        <v>7013251.290529999</v>
      </c>
      <c r="S65" s="183">
        <f t="shared" si="26"/>
        <v>0</v>
      </c>
      <c r="T65" s="183">
        <f t="shared" si="26"/>
        <v>0</v>
      </c>
      <c r="U65" s="184">
        <f>SUM(U67:U73)</f>
        <v>59654560.012399986</v>
      </c>
      <c r="V65" s="185">
        <f>SUM(V67:V73)</f>
        <v>59719264.621459998</v>
      </c>
      <c r="W65" s="183">
        <f t="shared" ref="W65:AI65" si="27">SUM(W67:W73)</f>
        <v>2123465.7925</v>
      </c>
      <c r="X65" s="183">
        <f t="shared" si="27"/>
        <v>3809711.6095099999</v>
      </c>
      <c r="Y65" s="183">
        <f t="shared" si="27"/>
        <v>3989700.9687899994</v>
      </c>
      <c r="Z65" s="183">
        <f t="shared" si="27"/>
        <v>4090666.0342700002</v>
      </c>
      <c r="AA65" s="183">
        <f t="shared" si="27"/>
        <v>4416705.4751099991</v>
      </c>
      <c r="AB65" s="183">
        <f t="shared" si="27"/>
        <v>4963352.3481400004</v>
      </c>
      <c r="AC65" s="183">
        <f t="shared" si="27"/>
        <v>5618609.3486800008</v>
      </c>
      <c r="AD65" s="183">
        <f t="shared" si="27"/>
        <v>5280845.2534100004</v>
      </c>
      <c r="AE65" s="183">
        <f t="shared" si="27"/>
        <v>5609979.6144199986</v>
      </c>
      <c r="AF65" s="183">
        <f t="shared" si="27"/>
        <v>5420340.1090800008</v>
      </c>
      <c r="AG65" s="183">
        <f t="shared" si="27"/>
        <v>5642045.9520000005</v>
      </c>
      <c r="AH65" s="183">
        <f t="shared" si="27"/>
        <v>8947119.6620799974</v>
      </c>
      <c r="AI65" s="183">
        <f t="shared" si="27"/>
        <v>45323376.553909995</v>
      </c>
      <c r="AJ65" s="164"/>
      <c r="AK65" s="136">
        <f>AK50-AK63</f>
        <v>0</v>
      </c>
    </row>
    <row r="66" spans="1:37" s="159" customFormat="1" ht="12.75" customHeight="1" x14ac:dyDescent="0.3">
      <c r="A66" s="204"/>
      <c r="B66" s="42"/>
      <c r="C66" s="136" t="s">
        <v>108</v>
      </c>
      <c r="E66" s="181"/>
      <c r="F66" s="181"/>
      <c r="G66" s="18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66"/>
      <c r="V66" s="167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6"/>
      <c r="AJ66" s="164"/>
    </row>
    <row r="67" spans="1:37" s="159" customFormat="1" ht="12.75" customHeight="1" x14ac:dyDescent="0.3">
      <c r="A67" s="204"/>
      <c r="B67" s="136"/>
      <c r="E67" s="136" t="s">
        <v>109</v>
      </c>
      <c r="F67" s="180"/>
      <c r="G67" s="182"/>
      <c r="H67" s="172">
        <v>63972700.523000002</v>
      </c>
      <c r="I67" s="172">
        <v>2392753.48679</v>
      </c>
      <c r="J67" s="172">
        <v>4071818.7859299998</v>
      </c>
      <c r="K67" s="172">
        <v>4934558.6743000001</v>
      </c>
      <c r="L67" s="172">
        <v>5533913.5941799991</v>
      </c>
      <c r="M67" s="172">
        <v>5757235.2431100002</v>
      </c>
      <c r="N67" s="172">
        <v>5819648.0370099992</v>
      </c>
      <c r="O67" s="172">
        <v>5593408.9695000006</v>
      </c>
      <c r="P67" s="172">
        <v>5175480.6787599996</v>
      </c>
      <c r="Q67" s="172">
        <v>5454011.5056400001</v>
      </c>
      <c r="R67" s="172">
        <v>5990738.4367699996</v>
      </c>
      <c r="S67" s="172">
        <v>0</v>
      </c>
      <c r="T67" s="172">
        <v>0</v>
      </c>
      <c r="U67" s="166">
        <f>SUM(I67:T67)</f>
        <v>50723567.411989994</v>
      </c>
      <c r="V67" s="167">
        <v>50047187.501680002</v>
      </c>
      <c r="W67" s="172">
        <v>1646043.6016900002</v>
      </c>
      <c r="X67" s="172">
        <v>3435728.1277999999</v>
      </c>
      <c r="Y67" s="172">
        <v>3376625.0070199999</v>
      </c>
      <c r="Z67" s="172">
        <v>3510453.3057200001</v>
      </c>
      <c r="AA67" s="172">
        <v>3777312.13638</v>
      </c>
      <c r="AB67" s="172">
        <v>3842038.3116899999</v>
      </c>
      <c r="AC67" s="172">
        <v>4680874.5270800004</v>
      </c>
      <c r="AD67" s="172">
        <v>4225863.13356</v>
      </c>
      <c r="AE67" s="172">
        <v>4446132.7716699997</v>
      </c>
      <c r="AF67" s="172">
        <v>4710021.8865099996</v>
      </c>
      <c r="AG67" s="172">
        <v>4779288.63925</v>
      </c>
      <c r="AH67" s="172">
        <v>7625836.9857299998</v>
      </c>
      <c r="AI67" s="166">
        <f t="shared" ref="AI67:AI69" si="28">SUM(W67:AF67)</f>
        <v>37651092.809119999</v>
      </c>
      <c r="AJ67" s="164"/>
      <c r="AK67" s="159">
        <f>V67-AI67</f>
        <v>12396094.692560002</v>
      </c>
    </row>
    <row r="68" spans="1:37" ht="12.75" customHeight="1" x14ac:dyDescent="0.3">
      <c r="A68" s="144"/>
      <c r="E68" s="136" t="s">
        <v>110</v>
      </c>
      <c r="F68" s="180"/>
      <c r="G68" s="190"/>
      <c r="H68" s="193">
        <v>8630697.6309999991</v>
      </c>
      <c r="I68" s="193">
        <v>111384.01167999998</v>
      </c>
      <c r="J68" s="193">
        <v>497382.69390000001</v>
      </c>
      <c r="K68" s="193">
        <v>686288.90659999999</v>
      </c>
      <c r="L68" s="193">
        <v>621081.35008</v>
      </c>
      <c r="M68" s="193">
        <v>713612.57559000002</v>
      </c>
      <c r="N68" s="193">
        <v>692108.63354999991</v>
      </c>
      <c r="O68" s="193">
        <v>808474.69320999994</v>
      </c>
      <c r="P68" s="193">
        <v>739239.82413000008</v>
      </c>
      <c r="Q68" s="193">
        <v>1137958.7182900002</v>
      </c>
      <c r="R68" s="193">
        <v>745925.45687999984</v>
      </c>
      <c r="S68" s="193">
        <v>0</v>
      </c>
      <c r="T68" s="193">
        <v>0</v>
      </c>
      <c r="U68" s="194">
        <f>SUM(I68:T68)</f>
        <v>6753456.8639099998</v>
      </c>
      <c r="V68" s="167">
        <v>7946570.5578099992</v>
      </c>
      <c r="W68" s="193">
        <v>76443.347009999998</v>
      </c>
      <c r="X68" s="193">
        <v>505719.98535999999</v>
      </c>
      <c r="Y68" s="193">
        <v>488912.25962999999</v>
      </c>
      <c r="Z68" s="193">
        <v>469788.97292999999</v>
      </c>
      <c r="AA68" s="193">
        <v>532323.14001999993</v>
      </c>
      <c r="AB68" s="193">
        <v>808756.38957999996</v>
      </c>
      <c r="AC68" s="193">
        <v>861180.66826999991</v>
      </c>
      <c r="AD68" s="193">
        <v>806997.27020999999</v>
      </c>
      <c r="AE68" s="193">
        <v>823667.44611000002</v>
      </c>
      <c r="AF68" s="193">
        <v>749455.5996800001</v>
      </c>
      <c r="AG68" s="193">
        <v>719610.02274000004</v>
      </c>
      <c r="AH68" s="193">
        <v>1103940.6066300001</v>
      </c>
      <c r="AI68" s="166">
        <f t="shared" si="28"/>
        <v>6123245.0787999993</v>
      </c>
      <c r="AJ68" s="144"/>
      <c r="AK68" s="136">
        <f>V68-AI68</f>
        <v>1823325.4790099999</v>
      </c>
    </row>
    <row r="69" spans="1:37" ht="12.75" customHeight="1" x14ac:dyDescent="0.3">
      <c r="A69" s="144"/>
      <c r="C69" s="136" t="s">
        <v>111</v>
      </c>
      <c r="G69" s="190"/>
      <c r="H69" s="193">
        <v>93872.062000000005</v>
      </c>
      <c r="I69" s="193">
        <v>3284.8394700000003</v>
      </c>
      <c r="J69" s="193">
        <v>8588.084429999999</v>
      </c>
      <c r="K69" s="193">
        <v>7313.3212199999998</v>
      </c>
      <c r="L69" s="193">
        <v>10042.298130000001</v>
      </c>
      <c r="M69" s="193">
        <v>5723.3942000000006</v>
      </c>
      <c r="N69" s="193">
        <v>8058.9395999999997</v>
      </c>
      <c r="O69" s="193">
        <v>10083.69448</v>
      </c>
      <c r="P69" s="193">
        <v>13741.97401</v>
      </c>
      <c r="Q69" s="193">
        <v>10163.052439999999</v>
      </c>
      <c r="R69" s="193">
        <v>9964.93361</v>
      </c>
      <c r="S69" s="193">
        <v>0</v>
      </c>
      <c r="T69" s="193">
        <v>0</v>
      </c>
      <c r="U69" s="194">
        <f>SUM(I69:T69)</f>
        <v>86964.531589999999</v>
      </c>
      <c r="V69" s="167">
        <v>77509.569959999993</v>
      </c>
      <c r="W69" s="193">
        <v>4035.0144599999999</v>
      </c>
      <c r="X69" s="193">
        <v>7108.6841799999993</v>
      </c>
      <c r="Y69" s="193">
        <v>7363.3798799999995</v>
      </c>
      <c r="Z69" s="193">
        <v>5436.8234000000002</v>
      </c>
      <c r="AA69" s="193">
        <v>7679.6530300000004</v>
      </c>
      <c r="AB69" s="193">
        <v>5530.6732199999997</v>
      </c>
      <c r="AC69" s="193">
        <v>4572.36103</v>
      </c>
      <c r="AD69" s="193">
        <v>6134.9164299999993</v>
      </c>
      <c r="AE69" s="193">
        <v>7113.30933</v>
      </c>
      <c r="AF69" s="193">
        <v>5322.4118099999996</v>
      </c>
      <c r="AG69" s="193">
        <v>7646.1474900000003</v>
      </c>
      <c r="AH69" s="193">
        <v>9566.1956999999984</v>
      </c>
      <c r="AI69" s="166">
        <f t="shared" si="28"/>
        <v>60297.226770000001</v>
      </c>
      <c r="AJ69" s="144"/>
      <c r="AK69" s="136">
        <f>V69-AI69</f>
        <v>17212.343189999992</v>
      </c>
    </row>
    <row r="70" spans="1:37" s="159" customFormat="1" ht="12.75" customHeight="1" x14ac:dyDescent="0.3">
      <c r="A70" s="204"/>
      <c r="B70" s="136"/>
      <c r="C70" s="136" t="s">
        <v>59</v>
      </c>
      <c r="E70" s="136"/>
      <c r="F70" s="180"/>
      <c r="G70" s="18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66"/>
      <c r="V70" s="167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66"/>
      <c r="AJ70" s="164"/>
    </row>
    <row r="71" spans="1:37" ht="12.75" customHeight="1" x14ac:dyDescent="0.3">
      <c r="A71" s="144"/>
      <c r="E71" s="136" t="s">
        <v>112</v>
      </c>
      <c r="G71" s="182"/>
      <c r="H71" s="172">
        <v>1101934.388</v>
      </c>
      <c r="I71" s="172">
        <v>99306.142049999995</v>
      </c>
      <c r="J71" s="172">
        <v>105191.87031999999</v>
      </c>
      <c r="K71" s="172">
        <v>102067.13559000001</v>
      </c>
      <c r="L71" s="172">
        <v>130498.64524</v>
      </c>
      <c r="M71" s="172">
        <v>117985.20955</v>
      </c>
      <c r="N71" s="172">
        <v>142588.02384000001</v>
      </c>
      <c r="O71" s="172">
        <v>85297.987880000015</v>
      </c>
      <c r="P71" s="172">
        <v>166364.96627999999</v>
      </c>
      <c r="Q71" s="172">
        <v>100215.40241</v>
      </c>
      <c r="R71" s="172">
        <v>207407.59654</v>
      </c>
      <c r="S71" s="172">
        <v>0</v>
      </c>
      <c r="T71" s="172">
        <v>0</v>
      </c>
      <c r="U71" s="166">
        <f>SUM(I71:T71)</f>
        <v>1256922.9797000003</v>
      </c>
      <c r="V71" s="167">
        <v>1070567.8217700003</v>
      </c>
      <c r="W71" s="172">
        <v>383668.89516999997</v>
      </c>
      <c r="X71" s="172">
        <v>-148880.30622999999</v>
      </c>
      <c r="Y71" s="172">
        <v>116800.32226</v>
      </c>
      <c r="Z71" s="172">
        <v>102422.45981999999</v>
      </c>
      <c r="AA71" s="172">
        <v>91559.73676</v>
      </c>
      <c r="AB71" s="172">
        <v>257294.94347</v>
      </c>
      <c r="AC71" s="172">
        <v>26772.418729999998</v>
      </c>
      <c r="AD71" s="172">
        <v>199473.43585000001</v>
      </c>
      <c r="AE71" s="172">
        <v>239933.53840000002</v>
      </c>
      <c r="AF71" s="172">
        <v>-93868.771669999987</v>
      </c>
      <c r="AG71" s="172">
        <v>41457.406869999999</v>
      </c>
      <c r="AH71" s="172">
        <v>38120.70794</v>
      </c>
      <c r="AI71" s="166">
        <f t="shared" ref="AI71:AI73" si="29">SUM(W71:AF71)</f>
        <v>1175176.6725600001</v>
      </c>
      <c r="AJ71" s="144"/>
      <c r="AK71" s="136">
        <f t="shared" ref="AK71:AK81" si="30">V71-AI71</f>
        <v>-104608.85078999982</v>
      </c>
    </row>
    <row r="72" spans="1:37" ht="12.75" customHeight="1" x14ac:dyDescent="0.3">
      <c r="A72" s="144"/>
      <c r="E72" s="136" t="s">
        <v>113</v>
      </c>
      <c r="F72" s="180"/>
      <c r="G72" s="182"/>
      <c r="H72" s="193">
        <v>166578.79699999999</v>
      </c>
      <c r="I72" s="193">
        <v>7433.2690599999996</v>
      </c>
      <c r="J72" s="193">
        <v>7813.0823499999997</v>
      </c>
      <c r="K72" s="193">
        <v>1137.52827</v>
      </c>
      <c r="L72" s="193">
        <v>784.92665</v>
      </c>
      <c r="M72" s="193">
        <v>3274.3193999999999</v>
      </c>
      <c r="N72" s="193">
        <v>40691.838090000005</v>
      </c>
      <c r="O72" s="193">
        <v>20826.24222</v>
      </c>
      <c r="P72" s="193">
        <v>8394.1123100000004</v>
      </c>
      <c r="Q72" s="193">
        <v>8390.7556700000005</v>
      </c>
      <c r="R72" s="193">
        <v>189.65110999999999</v>
      </c>
      <c r="S72" s="193">
        <v>0</v>
      </c>
      <c r="T72" s="193">
        <v>0</v>
      </c>
      <c r="U72" s="194">
        <f>SUM(I72:T72)</f>
        <v>98935.725130000006</v>
      </c>
      <c r="V72" s="167">
        <v>169992.38238000002</v>
      </c>
      <c r="W72" s="193">
        <v>13274.93417</v>
      </c>
      <c r="X72" s="193">
        <v>10035.118400000001</v>
      </c>
      <c r="Y72" s="193">
        <v>0</v>
      </c>
      <c r="Z72" s="193">
        <v>2564.4724000000001</v>
      </c>
      <c r="AA72" s="193">
        <v>0</v>
      </c>
      <c r="AB72" s="193">
        <v>28328.484190000003</v>
      </c>
      <c r="AC72" s="193">
        <v>13963.236199999999</v>
      </c>
      <c r="AD72" s="193">
        <v>0</v>
      </c>
      <c r="AE72" s="193">
        <v>14781.683349999999</v>
      </c>
      <c r="AF72" s="193">
        <v>0</v>
      </c>
      <c r="AG72" s="193">
        <v>13788.465609999999</v>
      </c>
      <c r="AH72" s="193">
        <v>73255.988060000003</v>
      </c>
      <c r="AI72" s="166">
        <f t="shared" si="29"/>
        <v>82947.928710000007</v>
      </c>
      <c r="AJ72" s="144"/>
      <c r="AK72" s="136">
        <f t="shared" si="30"/>
        <v>87044.453670000017</v>
      </c>
    </row>
    <row r="73" spans="1:37" s="159" customFormat="1" ht="12.75" customHeight="1" x14ac:dyDescent="0.3">
      <c r="A73" s="204"/>
      <c r="B73" s="136"/>
      <c r="E73" s="136" t="s">
        <v>114</v>
      </c>
      <c r="F73" s="180"/>
      <c r="G73" s="182"/>
      <c r="H73" s="172">
        <v>524664.03899999999</v>
      </c>
      <c r="I73" s="172">
        <v>63166.622539999997</v>
      </c>
      <c r="J73" s="172">
        <v>76362.217279999997</v>
      </c>
      <c r="K73" s="172">
        <v>69909.222120000006</v>
      </c>
      <c r="L73" s="172">
        <v>68188.399689999991</v>
      </c>
      <c r="M73" s="172">
        <v>68106.422849999988</v>
      </c>
      <c r="N73" s="172">
        <v>69740.114329999997</v>
      </c>
      <c r="O73" s="172">
        <v>60176.472549999999</v>
      </c>
      <c r="P73" s="172">
        <v>113842.45908</v>
      </c>
      <c r="Q73" s="172">
        <v>86195.354019999999</v>
      </c>
      <c r="R73" s="172">
        <v>59025.215619999995</v>
      </c>
      <c r="S73" s="172">
        <v>0</v>
      </c>
      <c r="T73" s="172">
        <v>0</v>
      </c>
      <c r="U73" s="194">
        <f>SUM(I73:T73)</f>
        <v>734712.50008000003</v>
      </c>
      <c r="V73" s="167">
        <v>407436.78785999998</v>
      </c>
      <c r="W73" s="172">
        <v>0</v>
      </c>
      <c r="X73" s="172">
        <v>0</v>
      </c>
      <c r="Y73" s="172">
        <v>0</v>
      </c>
      <c r="Z73" s="172">
        <v>0</v>
      </c>
      <c r="AA73" s="172">
        <v>7830.8089199999995</v>
      </c>
      <c r="AB73" s="172">
        <v>21403.545989999999</v>
      </c>
      <c r="AC73" s="172">
        <v>31246.13737</v>
      </c>
      <c r="AD73" s="172">
        <v>42376.497360000001</v>
      </c>
      <c r="AE73" s="172">
        <v>78350.865560000006</v>
      </c>
      <c r="AF73" s="172">
        <v>49408.982750000003</v>
      </c>
      <c r="AG73" s="172">
        <v>80255.270040000003</v>
      </c>
      <c r="AH73" s="172">
        <v>96399.178019999992</v>
      </c>
      <c r="AI73" s="166">
        <f t="shared" si="29"/>
        <v>230616.83794999999</v>
      </c>
      <c r="AJ73" s="164"/>
      <c r="AK73" s="159">
        <f t="shared" si="30"/>
        <v>176819.94991</v>
      </c>
    </row>
    <row r="74" spans="1:37" s="159" customFormat="1" ht="12.75" customHeight="1" x14ac:dyDescent="0.3">
      <c r="A74" s="164"/>
      <c r="B74" s="42" t="s">
        <v>115</v>
      </c>
      <c r="G74" s="182"/>
      <c r="H74" s="183">
        <f>H75</f>
        <v>0</v>
      </c>
      <c r="I74" s="183">
        <f t="shared" ref="I74:T74" si="31">I75</f>
        <v>0</v>
      </c>
      <c r="J74" s="183">
        <f t="shared" si="31"/>
        <v>0</v>
      </c>
      <c r="K74" s="183">
        <f t="shared" si="31"/>
        <v>0</v>
      </c>
      <c r="L74" s="183">
        <f t="shared" si="31"/>
        <v>0</v>
      </c>
      <c r="M74" s="183">
        <f t="shared" si="31"/>
        <v>0</v>
      </c>
      <c r="N74" s="183">
        <f t="shared" si="31"/>
        <v>0</v>
      </c>
      <c r="O74" s="183">
        <f t="shared" si="31"/>
        <v>0</v>
      </c>
      <c r="P74" s="183">
        <f t="shared" si="31"/>
        <v>0</v>
      </c>
      <c r="Q74" s="183">
        <f t="shared" si="31"/>
        <v>0</v>
      </c>
      <c r="R74" s="183">
        <f t="shared" si="31"/>
        <v>0</v>
      </c>
      <c r="S74" s="183">
        <f t="shared" si="31"/>
        <v>0</v>
      </c>
      <c r="T74" s="183">
        <f t="shared" si="31"/>
        <v>0</v>
      </c>
      <c r="U74" s="184">
        <f>U75</f>
        <v>0</v>
      </c>
      <c r="V74" s="185">
        <v>0</v>
      </c>
      <c r="W74" s="183">
        <f t="shared" ref="W74:AH74" si="32">W75</f>
        <v>0</v>
      </c>
      <c r="X74" s="183">
        <f t="shared" si="32"/>
        <v>0</v>
      </c>
      <c r="Y74" s="183">
        <f t="shared" si="32"/>
        <v>0</v>
      </c>
      <c r="Z74" s="183">
        <f t="shared" si="32"/>
        <v>0</v>
      </c>
      <c r="AA74" s="183">
        <f t="shared" si="32"/>
        <v>0</v>
      </c>
      <c r="AB74" s="183">
        <f t="shared" si="32"/>
        <v>0</v>
      </c>
      <c r="AC74" s="183">
        <f t="shared" si="32"/>
        <v>0</v>
      </c>
      <c r="AD74" s="183">
        <f t="shared" si="32"/>
        <v>0</v>
      </c>
      <c r="AE74" s="183">
        <f t="shared" si="32"/>
        <v>0</v>
      </c>
      <c r="AF74" s="183">
        <f t="shared" si="32"/>
        <v>0</v>
      </c>
      <c r="AG74" s="183">
        <f t="shared" si="32"/>
        <v>0</v>
      </c>
      <c r="AH74" s="183">
        <f t="shared" si="32"/>
        <v>0</v>
      </c>
      <c r="AI74" s="184">
        <f>AI75</f>
        <v>0</v>
      </c>
      <c r="AJ74" s="164"/>
      <c r="AK74" s="159">
        <f t="shared" si="30"/>
        <v>0</v>
      </c>
    </row>
    <row r="75" spans="1:37" ht="12.75" customHeight="1" x14ac:dyDescent="0.3">
      <c r="A75" s="144"/>
      <c r="C75" s="136" t="s">
        <v>116</v>
      </c>
      <c r="G75" s="182"/>
      <c r="H75" s="172">
        <v>0</v>
      </c>
      <c r="I75" s="172">
        <v>0</v>
      </c>
      <c r="J75" s="172">
        <v>0</v>
      </c>
      <c r="K75" s="172">
        <v>0</v>
      </c>
      <c r="L75" s="172">
        <v>0</v>
      </c>
      <c r="M75" s="172">
        <v>0</v>
      </c>
      <c r="N75" s="172">
        <v>0</v>
      </c>
      <c r="O75" s="172">
        <v>0</v>
      </c>
      <c r="P75" s="172">
        <v>0</v>
      </c>
      <c r="Q75" s="172">
        <v>0</v>
      </c>
      <c r="R75" s="172">
        <v>0</v>
      </c>
      <c r="S75" s="172">
        <v>0</v>
      </c>
      <c r="T75" s="172">
        <v>0</v>
      </c>
      <c r="U75" s="166">
        <f>SUM(I75:T75)</f>
        <v>0</v>
      </c>
      <c r="V75" s="167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66">
        <f t="shared" ref="AI75:AI76" si="33">SUM(W75:AF75)</f>
        <v>0</v>
      </c>
      <c r="AJ75" s="144"/>
      <c r="AK75" s="136">
        <f t="shared" si="30"/>
        <v>0</v>
      </c>
    </row>
    <row r="76" spans="1:37" s="169" customFormat="1" ht="12.75" customHeight="1" x14ac:dyDescent="0.3">
      <c r="A76" s="205"/>
      <c r="B76" s="169" t="s">
        <v>117</v>
      </c>
      <c r="G76" s="206" t="s">
        <v>118</v>
      </c>
      <c r="H76" s="207">
        <v>0</v>
      </c>
      <c r="I76" s="207">
        <v>109.13464999999999</v>
      </c>
      <c r="J76" s="207">
        <v>-409.00695000000002</v>
      </c>
      <c r="K76" s="207">
        <f>-503.25047-300+300</f>
        <v>-503.25046999999995</v>
      </c>
      <c r="L76" s="207">
        <f>-1729.63682-803+803</f>
        <v>-1729.6368199999997</v>
      </c>
      <c r="M76" s="207">
        <f>4837.87479-2533+2533</f>
        <v>4837.8747899999998</v>
      </c>
      <c r="N76" s="207">
        <f>-4648.0449-2305+2305</f>
        <v>-4648.0448999999999</v>
      </c>
      <c r="O76" s="207">
        <f>4417.35217-2343+2343</f>
        <v>4417.3521700000001</v>
      </c>
      <c r="P76" s="207">
        <v>-395.31718000000001</v>
      </c>
      <c r="Q76" s="208">
        <f>-602.81933-1679+1679</f>
        <v>-602.81933000000026</v>
      </c>
      <c r="R76" s="208">
        <f>67.05775-1076+1076</f>
        <v>67.057749999999942</v>
      </c>
      <c r="S76" s="208">
        <v>0</v>
      </c>
      <c r="T76" s="208">
        <v>0</v>
      </c>
      <c r="U76" s="209">
        <f>SUM(I76:T76)</f>
        <v>1143.3437100000001</v>
      </c>
      <c r="V76" s="210">
        <v>-10057.395880000002</v>
      </c>
      <c r="W76" s="207">
        <v>-8256.0231899999999</v>
      </c>
      <c r="X76" s="207">
        <f>-13.88015+8256-8256</f>
        <v>-13.880150000000867</v>
      </c>
      <c r="Y76" s="207">
        <f>276.89816-8270+8270</f>
        <v>276.89815999999973</v>
      </c>
      <c r="Z76" s="207">
        <f>-1857.54033+7993-7993</f>
        <v>-1857.5403299999998</v>
      </c>
      <c r="AA76" s="207">
        <f>4415.151336+9851-9851</f>
        <v>4415.151335999999</v>
      </c>
      <c r="AB76" s="207">
        <f>-463.28181+5435-5435</f>
        <v>-463.28181000000041</v>
      </c>
      <c r="AC76" s="207">
        <f>-5386.47323+5899-5899</f>
        <v>-5386.4732299999996</v>
      </c>
      <c r="AD76" s="207">
        <f>118.00586-11825+11825</f>
        <v>118.0058599999993</v>
      </c>
      <c r="AE76" s="207">
        <f>345.4968+11167-11167</f>
        <v>345.4968000000008</v>
      </c>
      <c r="AF76" s="207">
        <f>866.84147+10822-10822</f>
        <v>866.84146999999939</v>
      </c>
      <c r="AG76" s="207">
        <f>-235.2495+9955-9955</f>
        <v>-235.2494999999999</v>
      </c>
      <c r="AH76" s="207">
        <f>131.20871+10190-10190</f>
        <v>131.20871000000079</v>
      </c>
      <c r="AI76" s="211">
        <f t="shared" si="33"/>
        <v>-9954.8050840000014</v>
      </c>
      <c r="AJ76" s="205"/>
      <c r="AK76" s="169">
        <f t="shared" si="30"/>
        <v>-102.59079600000041</v>
      </c>
    </row>
    <row r="77" spans="1:37" ht="12.75" customHeight="1" x14ac:dyDescent="0.3">
      <c r="A77" s="212"/>
      <c r="B77" s="213" t="s">
        <v>119</v>
      </c>
      <c r="C77" s="214"/>
      <c r="D77" s="214"/>
      <c r="E77" s="214"/>
      <c r="F77" s="214"/>
      <c r="G77" s="215"/>
      <c r="H77" s="216">
        <f>H6+H22+H24+H31+H65+H74+H76</f>
        <v>1681917515.1880002</v>
      </c>
      <c r="I77" s="183">
        <f t="shared" ref="I77:T77" si="34">I6+I22+I24+I31+I65+I74+I76</f>
        <v>103419998.47435001</v>
      </c>
      <c r="J77" s="183">
        <f t="shared" si="34"/>
        <v>105178197.87754998</v>
      </c>
      <c r="K77" s="183">
        <f t="shared" si="34"/>
        <v>209910213.68068001</v>
      </c>
      <c r="L77" s="183">
        <f>L6+L22+L24+L31+L65+L74+L76</f>
        <v>96170569.704479977</v>
      </c>
      <c r="M77" s="183">
        <f t="shared" si="34"/>
        <v>136732423.41312</v>
      </c>
      <c r="N77" s="183">
        <f t="shared" si="34"/>
        <v>133431075.96890002</v>
      </c>
      <c r="O77" s="183">
        <f t="shared" si="34"/>
        <v>114112565.21574001</v>
      </c>
      <c r="P77" s="183">
        <f t="shared" si="34"/>
        <v>106779650.49874999</v>
      </c>
      <c r="Q77" s="183">
        <f t="shared" si="34"/>
        <v>216811811.93641001</v>
      </c>
      <c r="R77" s="183">
        <f t="shared" si="34"/>
        <v>124129748.57859997</v>
      </c>
      <c r="S77" s="183">
        <f t="shared" si="34"/>
        <v>0</v>
      </c>
      <c r="T77" s="183">
        <f t="shared" si="34"/>
        <v>0</v>
      </c>
      <c r="U77" s="184">
        <f>U6+U22+U24+U31+U65+U74+U76</f>
        <v>1346676255.3485799</v>
      </c>
      <c r="V77" s="217">
        <f>V6+V22+V24+V31+V65+V74+V76</f>
        <v>1563754244.82552</v>
      </c>
      <c r="W77" s="218">
        <f>W6+W22+W24+W31+W65+W74+W76</f>
        <v>95438525.885809988</v>
      </c>
      <c r="X77" s="183">
        <f t="shared" ref="X77:AH77" si="35">X6+X22+X24+X31+X65+X74+X76</f>
        <v>94771765.487089977</v>
      </c>
      <c r="Y77" s="183">
        <f t="shared" si="35"/>
        <v>188246636.94739997</v>
      </c>
      <c r="Z77" s="183">
        <f t="shared" si="35"/>
        <v>89733338.822360024</v>
      </c>
      <c r="AA77" s="183">
        <f t="shared" si="35"/>
        <v>121278037.77334601</v>
      </c>
      <c r="AB77" s="183">
        <f>AB6+AB22+AB24+AB31+AB65+AB74+AB76</f>
        <v>130630417.75873001</v>
      </c>
      <c r="AC77" s="183">
        <f t="shared" si="35"/>
        <v>109625641.04059</v>
      </c>
      <c r="AD77" s="183">
        <f t="shared" si="35"/>
        <v>105858605.50297005</v>
      </c>
      <c r="AE77" s="183">
        <f t="shared" si="35"/>
        <v>199303635.47633001</v>
      </c>
      <c r="AF77" s="183">
        <f t="shared" si="35"/>
        <v>117292396.21714</v>
      </c>
      <c r="AG77" s="183">
        <f t="shared" si="35"/>
        <v>152051681.14699996</v>
      </c>
      <c r="AH77" s="183">
        <f t="shared" si="35"/>
        <v>159526437.97343999</v>
      </c>
      <c r="AI77" s="183">
        <f>AI6+AI22+AI24+AI31+AI65+AI74+AI76</f>
        <v>1252179001.9117658</v>
      </c>
      <c r="AJ77" s="144"/>
      <c r="AK77" s="42">
        <f t="shared" si="30"/>
        <v>311575242.91375422</v>
      </c>
    </row>
    <row r="78" spans="1:37" ht="12.75" customHeight="1" x14ac:dyDescent="0.3">
      <c r="A78" s="144"/>
      <c r="B78" s="42" t="s">
        <v>120</v>
      </c>
      <c r="E78" s="180"/>
      <c r="F78" s="180"/>
      <c r="G78" s="182" t="s">
        <v>121</v>
      </c>
      <c r="H78" s="219">
        <v>-43683418</v>
      </c>
      <c r="I78" s="219">
        <v>-10920855</v>
      </c>
      <c r="J78" s="219">
        <v>0</v>
      </c>
      <c r="K78" s="219">
        <v>0</v>
      </c>
      <c r="L78" s="219">
        <v>-10920854</v>
      </c>
      <c r="M78" s="219">
        <v>0</v>
      </c>
      <c r="N78" s="219">
        <v>0</v>
      </c>
      <c r="O78" s="219">
        <v>-10920854</v>
      </c>
      <c r="P78" s="219">
        <v>0</v>
      </c>
      <c r="Q78" s="219">
        <v>0</v>
      </c>
      <c r="R78" s="219">
        <v>-10920854</v>
      </c>
      <c r="S78" s="219">
        <v>0</v>
      </c>
      <c r="T78" s="219">
        <v>0</v>
      </c>
      <c r="U78" s="220">
        <f>SUM(I78:T78)</f>
        <v>-43683417</v>
      </c>
      <c r="V78" s="221">
        <v>-45966212</v>
      </c>
      <c r="W78" s="219">
        <v>-11491553</v>
      </c>
      <c r="X78" s="219">
        <v>0</v>
      </c>
      <c r="Y78" s="219">
        <v>0</v>
      </c>
      <c r="Z78" s="219">
        <v>-11491553</v>
      </c>
      <c r="AA78" s="219">
        <v>0</v>
      </c>
      <c r="AB78" s="219">
        <v>0</v>
      </c>
      <c r="AC78" s="219">
        <v>-11491553</v>
      </c>
      <c r="AD78" s="219">
        <v>0</v>
      </c>
      <c r="AE78" s="219">
        <v>0</v>
      </c>
      <c r="AF78" s="219">
        <v>-11491553</v>
      </c>
      <c r="AG78" s="219">
        <v>0</v>
      </c>
      <c r="AH78" s="219">
        <v>0</v>
      </c>
      <c r="AI78" s="47">
        <f t="shared" ref="AI78" si="36">SUM(W78:AF78)</f>
        <v>-45966212</v>
      </c>
      <c r="AJ78" s="144"/>
      <c r="AK78" s="136">
        <f t="shared" si="30"/>
        <v>0</v>
      </c>
    </row>
    <row r="79" spans="1:37" ht="12.75" customHeight="1" x14ac:dyDescent="0.3">
      <c r="A79" s="222"/>
      <c r="B79" s="48" t="s">
        <v>122</v>
      </c>
      <c r="C79" s="223"/>
      <c r="D79" s="223"/>
      <c r="E79" s="224"/>
      <c r="F79" s="224"/>
      <c r="G79" s="225"/>
      <c r="H79" s="226">
        <f>H77+H78</f>
        <v>1638234097.1880002</v>
      </c>
      <c r="I79" s="226">
        <f t="shared" ref="I79:AG79" si="37">I77+I78</f>
        <v>92499143.474350005</v>
      </c>
      <c r="J79" s="226">
        <f t="shared" si="37"/>
        <v>105178197.87754998</v>
      </c>
      <c r="K79" s="226">
        <f t="shared" si="37"/>
        <v>209910213.68068001</v>
      </c>
      <c r="L79" s="226">
        <f t="shared" si="37"/>
        <v>85249715.704479977</v>
      </c>
      <c r="M79" s="226">
        <f t="shared" si="37"/>
        <v>136732423.41312</v>
      </c>
      <c r="N79" s="226">
        <f t="shared" si="37"/>
        <v>133431075.96890002</v>
      </c>
      <c r="O79" s="226">
        <f t="shared" si="37"/>
        <v>103191711.21574001</v>
      </c>
      <c r="P79" s="226">
        <f t="shared" si="37"/>
        <v>106779650.49874999</v>
      </c>
      <c r="Q79" s="226">
        <f t="shared" si="37"/>
        <v>216811811.93641001</v>
      </c>
      <c r="R79" s="226">
        <f t="shared" si="37"/>
        <v>113208894.57859997</v>
      </c>
      <c r="S79" s="226">
        <f t="shared" si="37"/>
        <v>0</v>
      </c>
      <c r="T79" s="226">
        <f t="shared" si="37"/>
        <v>0</v>
      </c>
      <c r="U79" s="227">
        <f t="shared" si="37"/>
        <v>1302992838.3485799</v>
      </c>
      <c r="V79" s="228">
        <f t="shared" si="37"/>
        <v>1517788032.82552</v>
      </c>
      <c r="W79" s="229">
        <f t="shared" si="37"/>
        <v>83946972.885809988</v>
      </c>
      <c r="X79" s="229">
        <f t="shared" si="37"/>
        <v>94771765.487089977</v>
      </c>
      <c r="Y79" s="229">
        <f t="shared" si="37"/>
        <v>188246636.94739997</v>
      </c>
      <c r="Z79" s="229">
        <f t="shared" si="37"/>
        <v>78241785.822360024</v>
      </c>
      <c r="AA79" s="229">
        <f t="shared" si="37"/>
        <v>121278037.77334601</v>
      </c>
      <c r="AB79" s="229">
        <f t="shared" si="37"/>
        <v>130630417.75873001</v>
      </c>
      <c r="AC79" s="229">
        <f t="shared" si="37"/>
        <v>98134088.040590003</v>
      </c>
      <c r="AD79" s="229">
        <f t="shared" si="37"/>
        <v>105858605.50297005</v>
      </c>
      <c r="AE79" s="229">
        <f t="shared" si="37"/>
        <v>199303635.47633001</v>
      </c>
      <c r="AF79" s="229">
        <f t="shared" si="37"/>
        <v>105800843.21714</v>
      </c>
      <c r="AG79" s="229">
        <f t="shared" si="37"/>
        <v>152051681.14699996</v>
      </c>
      <c r="AH79" s="229">
        <f>AH77+AH78</f>
        <v>159526437.97343999</v>
      </c>
      <c r="AI79" s="229">
        <f>AI77+AI78</f>
        <v>1206212789.9117658</v>
      </c>
      <c r="AJ79" s="144"/>
      <c r="AK79" s="42">
        <f t="shared" si="30"/>
        <v>311575242.91375422</v>
      </c>
    </row>
    <row r="80" spans="1:37" ht="12.75" hidden="1" customHeight="1" x14ac:dyDescent="0.3">
      <c r="A80" s="144"/>
      <c r="B80" s="42"/>
      <c r="E80" s="180"/>
      <c r="F80" s="180"/>
      <c r="G80" s="182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188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4"/>
      <c r="AJ80" s="144"/>
      <c r="AK80" s="42">
        <f t="shared" si="30"/>
        <v>0</v>
      </c>
    </row>
    <row r="81" spans="1:38" ht="12.75" hidden="1" customHeight="1" x14ac:dyDescent="0.3">
      <c r="A81" s="230"/>
      <c r="B81" s="138"/>
      <c r="C81" s="138"/>
      <c r="D81" s="138"/>
      <c r="E81" s="138"/>
      <c r="F81" s="138"/>
      <c r="G81" s="231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5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4"/>
      <c r="AJ81" s="144"/>
      <c r="AK81" s="42">
        <f t="shared" si="30"/>
        <v>0</v>
      </c>
    </row>
    <row r="82" spans="1:38" ht="12.75" customHeight="1" x14ac:dyDescent="0.3">
      <c r="A82" s="144"/>
      <c r="B82" s="42" t="s">
        <v>123</v>
      </c>
      <c r="C82" s="42"/>
      <c r="E82" s="180"/>
      <c r="F82" s="180"/>
      <c r="G82" s="182"/>
      <c r="H82" s="232">
        <f>SUM(H83:H98)-H96</f>
        <v>56258024.678012811</v>
      </c>
      <c r="I82" s="232">
        <f>SUM(I83:I98)-I96</f>
        <v>784740.80111</v>
      </c>
      <c r="J82" s="232">
        <f t="shared" ref="J82:U82" si="38">SUM(J83:J98)-J96</f>
        <v>1333936.5392700001</v>
      </c>
      <c r="K82" s="232">
        <f t="shared" si="38"/>
        <v>14279470.077669997</v>
      </c>
      <c r="L82" s="232">
        <f t="shared" si="38"/>
        <v>885659.38835000014</v>
      </c>
      <c r="M82" s="232">
        <f t="shared" si="38"/>
        <v>1904846.2528399997</v>
      </c>
      <c r="N82" s="232">
        <f>SUM(N83:N98)-N96</f>
        <v>2419793.18267</v>
      </c>
      <c r="O82" s="232">
        <f t="shared" si="38"/>
        <v>1931288.9859999998</v>
      </c>
      <c r="P82" s="232">
        <f t="shared" si="38"/>
        <v>1473122.2338500002</v>
      </c>
      <c r="Q82" s="232">
        <f t="shared" si="38"/>
        <v>11413678.470120002</v>
      </c>
      <c r="R82" s="232">
        <f t="shared" si="38"/>
        <v>1257122.3502600002</v>
      </c>
      <c r="S82" s="232">
        <f t="shared" si="38"/>
        <v>0</v>
      </c>
      <c r="T82" s="232">
        <f t="shared" si="38"/>
        <v>0</v>
      </c>
      <c r="U82" s="232">
        <f t="shared" si="38"/>
        <v>37683658.282139987</v>
      </c>
      <c r="V82" s="163">
        <f>SUM(V83:V98)-V96</f>
        <v>46528732.46345</v>
      </c>
      <c r="W82" s="162">
        <f t="shared" ref="W82:AI82" si="39">SUM(W83:W98)-W96</f>
        <v>1574340.1420899997</v>
      </c>
      <c r="X82" s="162">
        <f t="shared" si="39"/>
        <v>974769.50474</v>
      </c>
      <c r="Y82" s="162">
        <f t="shared" si="39"/>
        <v>16025868.686490001</v>
      </c>
      <c r="Z82" s="162">
        <f t="shared" si="39"/>
        <v>1534848.0786999997</v>
      </c>
      <c r="AA82" s="162">
        <f t="shared" si="39"/>
        <v>1845189.7406500001</v>
      </c>
      <c r="AB82" s="162">
        <f t="shared" si="39"/>
        <v>2448533.9801400006</v>
      </c>
      <c r="AC82" s="162">
        <f t="shared" si="39"/>
        <v>1058133.3457500001</v>
      </c>
      <c r="AD82" s="162">
        <f t="shared" si="39"/>
        <v>577637.17726000003</v>
      </c>
      <c r="AE82" s="162">
        <f t="shared" si="39"/>
        <v>12636624.821649998</v>
      </c>
      <c r="AF82" s="162">
        <f t="shared" si="39"/>
        <v>1253429.2368100001</v>
      </c>
      <c r="AG82" s="162">
        <f t="shared" si="39"/>
        <v>1797204.73872</v>
      </c>
      <c r="AH82" s="162">
        <f t="shared" si="39"/>
        <v>1757259.13448</v>
      </c>
      <c r="AI82" s="162">
        <f t="shared" si="39"/>
        <v>39929374.714279994</v>
      </c>
      <c r="AJ82" s="144"/>
      <c r="AK82" s="42">
        <f>V82-AI82</f>
        <v>6599357.7491700053</v>
      </c>
    </row>
    <row r="83" spans="1:38" ht="12.75" customHeight="1" x14ac:dyDescent="0.3">
      <c r="A83" s="144"/>
      <c r="C83" s="570" t="s">
        <v>124</v>
      </c>
      <c r="D83" s="570"/>
      <c r="E83" s="570"/>
      <c r="F83" s="570"/>
      <c r="G83" s="18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67"/>
      <c r="W83" s="183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6"/>
      <c r="AJ83" s="144"/>
    </row>
    <row r="84" spans="1:38" ht="12.75" customHeight="1" x14ac:dyDescent="0.3">
      <c r="A84" s="144"/>
      <c r="E84" s="136" t="s">
        <v>125</v>
      </c>
      <c r="F84" s="180"/>
      <c r="G84" s="182" t="s">
        <v>126</v>
      </c>
      <c r="H84" s="172">
        <v>187751.35682793579</v>
      </c>
      <c r="I84" s="172">
        <v>4148.7809900000002</v>
      </c>
      <c r="J84" s="172">
        <v>4113.9657000000007</v>
      </c>
      <c r="K84" s="172">
        <v>4200.7635799999998</v>
      </c>
      <c r="L84" s="172">
        <v>4331.9187299999994</v>
      </c>
      <c r="M84" s="172">
        <v>4112.2418499999994</v>
      </c>
      <c r="N84" s="172">
        <v>4224.5048799999986</v>
      </c>
      <c r="O84" s="172">
        <v>4195.89887</v>
      </c>
      <c r="P84" s="172">
        <v>6457.4525700000004</v>
      </c>
      <c r="Q84" s="172">
        <v>13653.187519999999</v>
      </c>
      <c r="R84" s="172">
        <v>9554.8001100000001</v>
      </c>
      <c r="S84" s="172">
        <v>0</v>
      </c>
      <c r="T84" s="172">
        <v>0</v>
      </c>
      <c r="U84" s="172">
        <f>SUM(I84:T84)</f>
        <v>58993.51479999999</v>
      </c>
      <c r="V84" s="167">
        <v>47922</v>
      </c>
      <c r="W84" s="172">
        <v>4025.08052</v>
      </c>
      <c r="X84" s="172">
        <v>4340.7107900000001</v>
      </c>
      <c r="Y84" s="172">
        <f>4054.67582+-29.04+-28.9200000000001</f>
        <v>3996.7158199999999</v>
      </c>
      <c r="Z84" s="172">
        <f>4065.71386+29.04+28.9200000000001+28.77</f>
        <v>4152.4438600000003</v>
      </c>
      <c r="AA84" s="172">
        <v>3827.63094</v>
      </c>
      <c r="AB84" s="172">
        <f>4239.3215+421.889470000002</f>
        <v>4661.2109700000019</v>
      </c>
      <c r="AC84" s="172">
        <v>4202.6867200000006</v>
      </c>
      <c r="AD84" s="172">
        <f>4156.2839+-155.550000000001</f>
        <v>4000.7338999999993</v>
      </c>
      <c r="AE84" s="172">
        <f>4076.21184+177.360000000008</f>
        <v>4253.5718400000078</v>
      </c>
      <c r="AF84" s="172">
        <v>4136.7701500000003</v>
      </c>
      <c r="AG84" s="172">
        <v>4481.4750999999997</v>
      </c>
      <c r="AH84" s="172">
        <v>4323.7571899999994</v>
      </c>
      <c r="AI84" s="166">
        <f t="shared" ref="AI84:AI90" si="40">SUM(W84:AF84)</f>
        <v>41597.555510000006</v>
      </c>
      <c r="AJ84" s="144"/>
      <c r="AK84" s="136">
        <f t="shared" ref="AK84:AK90" si="41">V84-AI84</f>
        <v>6324.4444899999944</v>
      </c>
    </row>
    <row r="85" spans="1:38" ht="12.75" customHeight="1" x14ac:dyDescent="0.3">
      <c r="A85" s="144"/>
      <c r="B85" s="42"/>
      <c r="E85" s="177" t="s">
        <v>127</v>
      </c>
      <c r="F85" s="180"/>
      <c r="G85" s="182"/>
      <c r="H85" s="172">
        <v>6500</v>
      </c>
      <c r="I85" s="172">
        <v>0</v>
      </c>
      <c r="J85" s="172">
        <v>155.5</v>
      </c>
      <c r="K85" s="172">
        <v>725.5</v>
      </c>
      <c r="L85" s="172">
        <v>912.62199999999996</v>
      </c>
      <c r="M85" s="172">
        <v>384.5</v>
      </c>
      <c r="N85" s="172">
        <v>639</v>
      </c>
      <c r="O85" s="172">
        <v>551.5</v>
      </c>
      <c r="P85" s="172">
        <v>719.23500000000001</v>
      </c>
      <c r="Q85" s="172">
        <v>0</v>
      </c>
      <c r="R85" s="172">
        <v>1681.5</v>
      </c>
      <c r="S85" s="172">
        <v>0</v>
      </c>
      <c r="T85" s="172">
        <v>0</v>
      </c>
      <c r="U85" s="172">
        <f>SUM(I85:T85)</f>
        <v>5769.357</v>
      </c>
      <c r="V85" s="167">
        <v>6907</v>
      </c>
      <c r="W85" s="172">
        <v>335</v>
      </c>
      <c r="X85" s="172">
        <v>259.5</v>
      </c>
      <c r="Y85" s="172">
        <v>202.5</v>
      </c>
      <c r="Z85" s="172">
        <v>0</v>
      </c>
      <c r="AA85" s="172">
        <v>292.5</v>
      </c>
      <c r="AB85" s="172">
        <v>0</v>
      </c>
      <c r="AC85" s="172">
        <v>212.5</v>
      </c>
      <c r="AD85" s="172">
        <v>-1302</v>
      </c>
      <c r="AE85" s="172">
        <f>1077+2747.75001</f>
        <v>3824.7500100000002</v>
      </c>
      <c r="AF85" s="172">
        <v>1633.5</v>
      </c>
      <c r="AG85" s="172">
        <v>692.2</v>
      </c>
      <c r="AH85" s="172">
        <v>409.75</v>
      </c>
      <c r="AI85" s="166">
        <f t="shared" si="40"/>
        <v>5458.2500099999997</v>
      </c>
      <c r="AJ85" s="144"/>
      <c r="AK85" s="136">
        <f t="shared" si="41"/>
        <v>1448.7499900000003</v>
      </c>
    </row>
    <row r="86" spans="1:38" ht="12.75" customHeight="1" x14ac:dyDescent="0.3">
      <c r="A86" s="144"/>
      <c r="E86" s="136" t="s">
        <v>128</v>
      </c>
      <c r="G86" s="145"/>
      <c r="H86" s="172">
        <v>950240.86235209974</v>
      </c>
      <c r="I86" s="172">
        <v>21627.064659999996</v>
      </c>
      <c r="J86" s="172">
        <v>31196.26645000001</v>
      </c>
      <c r="K86" s="172">
        <v>27746.280170000002</v>
      </c>
      <c r="L86" s="172">
        <v>32991.019429999978</v>
      </c>
      <c r="M86" s="172">
        <v>35893.280520000015</v>
      </c>
      <c r="N86" s="172">
        <v>38988.859619999974</v>
      </c>
      <c r="O86" s="172">
        <v>39236.652720000006</v>
      </c>
      <c r="P86" s="172">
        <v>35713.756679999962</v>
      </c>
      <c r="Q86" s="172">
        <v>26320.982339999988</v>
      </c>
      <c r="R86" s="172">
        <v>25548.008119999977</v>
      </c>
      <c r="S86" s="172">
        <v>0</v>
      </c>
      <c r="T86" s="172">
        <v>0</v>
      </c>
      <c r="U86" s="172">
        <f t="shared" ref="U86:U115" si="42">SUM(I86:T86)</f>
        <v>315262.17070999992</v>
      </c>
      <c r="V86" s="167">
        <v>1035585</v>
      </c>
      <c r="W86" s="172">
        <v>25174.898080000003</v>
      </c>
      <c r="X86" s="172">
        <v>33490.946200000006</v>
      </c>
      <c r="Y86" s="172">
        <f>18602.39992+-0.069999999999709+0.382600000004459</f>
        <v>18602.712520000005</v>
      </c>
      <c r="Z86" s="172">
        <f>14814.79893+0.069999999999709+0.069999999999709</f>
        <v>14814.93893</v>
      </c>
      <c r="AA86" s="172">
        <v>33625.765360000005</v>
      </c>
      <c r="AB86" s="172">
        <v>45878.606679999997</v>
      </c>
      <c r="AC86" s="172">
        <v>27730.617460000001</v>
      </c>
      <c r="AD86" s="172">
        <f>33957.01088+-0.484999999993306</f>
        <v>33956.525880000008</v>
      </c>
      <c r="AE86" s="172">
        <f>24441.25734+0.685000000026776</f>
        <v>24441.942340000027</v>
      </c>
      <c r="AF86" s="172">
        <v>16669.065619999998</v>
      </c>
      <c r="AG86" s="172">
        <v>40378.591169999985</v>
      </c>
      <c r="AH86" s="172">
        <v>18746.18957000001</v>
      </c>
      <c r="AI86" s="166">
        <f t="shared" si="40"/>
        <v>274386.01907000004</v>
      </c>
      <c r="AJ86" s="144"/>
      <c r="AK86" s="136">
        <f t="shared" si="41"/>
        <v>761198.98092999996</v>
      </c>
    </row>
    <row r="87" spans="1:38" ht="12.75" customHeight="1" x14ac:dyDescent="0.3">
      <c r="A87" s="144"/>
      <c r="B87" s="42"/>
      <c r="E87" s="136" t="s">
        <v>129</v>
      </c>
      <c r="G87" s="145"/>
      <c r="H87" s="172">
        <v>4311112.0608199649</v>
      </c>
      <c r="I87" s="172">
        <v>188924.28717</v>
      </c>
      <c r="J87" s="172">
        <v>273878.02815000003</v>
      </c>
      <c r="K87" s="172">
        <v>183022.69881</v>
      </c>
      <c r="L87" s="172">
        <v>176756.3649000001</v>
      </c>
      <c r="M87" s="172">
        <v>374591.08783999988</v>
      </c>
      <c r="N87" s="172">
        <v>200385.7923200001</v>
      </c>
      <c r="O87" s="172">
        <v>147748.10013000001</v>
      </c>
      <c r="P87" s="172">
        <v>161226.27373999998</v>
      </c>
      <c r="Q87" s="172">
        <v>117583.04390999999</v>
      </c>
      <c r="R87" s="172">
        <v>187968.63670000003</v>
      </c>
      <c r="S87" s="172">
        <v>0</v>
      </c>
      <c r="T87" s="172">
        <v>0</v>
      </c>
      <c r="U87" s="172">
        <f t="shared" si="42"/>
        <v>2012084.3136700001</v>
      </c>
      <c r="V87" s="167">
        <v>1724094</v>
      </c>
      <c r="W87" s="172">
        <v>82575.708879999991</v>
      </c>
      <c r="X87" s="172">
        <v>45075.50488</v>
      </c>
      <c r="Y87" s="172">
        <f>130322.02953+-27.7919500000135+204891.44098</f>
        <v>335185.67856000003</v>
      </c>
      <c r="Z87" s="172">
        <f>83331.28413+27.7919500000135+27.8382100000163+28.3854000000138</f>
        <v>83415.299690000043</v>
      </c>
      <c r="AA87" s="172">
        <v>64070.08860999997</v>
      </c>
      <c r="AB87" s="172">
        <f>63732.80149+189.159910000162</f>
        <v>63921.96140000016</v>
      </c>
      <c r="AC87" s="172">
        <v>82433.508750000008</v>
      </c>
      <c r="AD87" s="172">
        <f>69467.66029+-135.670760000015</f>
        <v>69331.989529999992</v>
      </c>
      <c r="AE87" s="172">
        <f>157243.86291+163.079200000036</f>
        <v>157406.94211000003</v>
      </c>
      <c r="AF87" s="172">
        <v>170568.07594000007</v>
      </c>
      <c r="AG87" s="172">
        <v>260102.73587999999</v>
      </c>
      <c r="AH87" s="172">
        <v>259022.44919999997</v>
      </c>
      <c r="AI87" s="166">
        <f t="shared" si="40"/>
        <v>1153984.7583500003</v>
      </c>
      <c r="AJ87" s="144"/>
      <c r="AK87" s="136">
        <f t="shared" si="41"/>
        <v>570109.24164999975</v>
      </c>
    </row>
    <row r="88" spans="1:38" ht="12.75" customHeight="1" x14ac:dyDescent="0.3">
      <c r="A88" s="144"/>
      <c r="E88" s="569" t="s">
        <v>130</v>
      </c>
      <c r="F88" s="569"/>
      <c r="G88" s="571"/>
      <c r="H88" s="172">
        <v>10410.100000000002</v>
      </c>
      <c r="I88" s="172">
        <v>326.12315000000007</v>
      </c>
      <c r="J88" s="172">
        <v>735.75850000000003</v>
      </c>
      <c r="K88" s="172">
        <v>492.41593999999998</v>
      </c>
      <c r="L88" s="172">
        <v>435.54575999999997</v>
      </c>
      <c r="M88" s="172">
        <v>1436.6704900000002</v>
      </c>
      <c r="N88" s="172">
        <v>906.11764000000005</v>
      </c>
      <c r="O88" s="172">
        <v>948.08901000000003</v>
      </c>
      <c r="P88" s="172">
        <v>1150.60088</v>
      </c>
      <c r="Q88" s="172">
        <v>3965.0863999999997</v>
      </c>
      <c r="R88" s="172">
        <v>400.94770999999997</v>
      </c>
      <c r="S88" s="172">
        <v>0</v>
      </c>
      <c r="T88" s="172">
        <v>0</v>
      </c>
      <c r="U88" s="172">
        <f t="shared" si="42"/>
        <v>10797.35548</v>
      </c>
      <c r="V88" s="167">
        <v>7414</v>
      </c>
      <c r="W88" s="172">
        <v>408.60711000000003</v>
      </c>
      <c r="X88" s="172">
        <v>525.02211</v>
      </c>
      <c r="Y88" s="172">
        <f>1047.25897+18.9648000000001</f>
        <v>1066.2237700000003</v>
      </c>
      <c r="Z88" s="172">
        <v>302.04973999999999</v>
      </c>
      <c r="AA88" s="172">
        <v>293.09063000000009</v>
      </c>
      <c r="AB88" s="172">
        <v>596.40501000000006</v>
      </c>
      <c r="AC88" s="172">
        <v>829.26593000000014</v>
      </c>
      <c r="AD88" s="172">
        <f>467.44726+-21.098</f>
        <v>446.34926000000002</v>
      </c>
      <c r="AE88" s="172">
        <f>601.52474+32.7979999999998</f>
        <v>634.32273999999973</v>
      </c>
      <c r="AF88" s="172">
        <v>408.71972999999991</v>
      </c>
      <c r="AG88" s="172">
        <v>700.19335000000001</v>
      </c>
      <c r="AH88" s="172">
        <v>353.89690000000007</v>
      </c>
      <c r="AI88" s="166">
        <f t="shared" si="40"/>
        <v>5510.0560299999997</v>
      </c>
      <c r="AJ88" s="144"/>
      <c r="AK88" s="136">
        <f t="shared" si="41"/>
        <v>1903.9439700000003</v>
      </c>
    </row>
    <row r="89" spans="1:38" s="42" customFormat="1" ht="12.75" customHeight="1" x14ac:dyDescent="0.3">
      <c r="A89" s="234"/>
      <c r="C89" s="42" t="s">
        <v>131</v>
      </c>
      <c r="F89" s="189"/>
      <c r="G89" s="235"/>
      <c r="H89" s="216">
        <v>646229</v>
      </c>
      <c r="I89" s="216">
        <v>72964.009470000005</v>
      </c>
      <c r="J89" s="216">
        <v>27635.111440000001</v>
      </c>
      <c r="K89" s="216">
        <v>49320.257619999997</v>
      </c>
      <c r="L89" s="216">
        <v>67922.929529999994</v>
      </c>
      <c r="M89" s="216">
        <v>-18803.927170000003</v>
      </c>
      <c r="N89" s="216">
        <v>22471.826519999999</v>
      </c>
      <c r="O89" s="216">
        <v>124045.69632999999</v>
      </c>
      <c r="P89" s="216">
        <v>15.639719999999999</v>
      </c>
      <c r="Q89" s="216">
        <v>45881.812109999999</v>
      </c>
      <c r="R89" s="216">
        <v>45044.586149999996</v>
      </c>
      <c r="S89" s="216">
        <v>0</v>
      </c>
      <c r="T89" s="216">
        <v>0</v>
      </c>
      <c r="U89" s="236">
        <f t="shared" si="42"/>
        <v>436497.94171999994</v>
      </c>
      <c r="V89" s="188">
        <v>363953</v>
      </c>
      <c r="W89" s="216">
        <v>88071.722890000005</v>
      </c>
      <c r="X89" s="216">
        <v>0</v>
      </c>
      <c r="Y89" s="216">
        <v>48325.60441</v>
      </c>
      <c r="Z89" s="216">
        <v>15972.355240000001</v>
      </c>
      <c r="AA89" s="216">
        <v>14015.123019999999</v>
      </c>
      <c r="AB89" s="216">
        <v>0</v>
      </c>
      <c r="AC89" s="216">
        <v>0</v>
      </c>
      <c r="AD89" s="216">
        <v>2925.8369600000001</v>
      </c>
      <c r="AE89" s="216">
        <v>93198.263680000004</v>
      </c>
      <c r="AF89" s="216">
        <v>81793.240909999993</v>
      </c>
      <c r="AG89" s="216">
        <v>9544.9167900000011</v>
      </c>
      <c r="AH89" s="216">
        <v>0</v>
      </c>
      <c r="AI89" s="47">
        <f t="shared" si="40"/>
        <v>344302.14710999996</v>
      </c>
      <c r="AJ89" s="234"/>
      <c r="AK89" s="42">
        <f t="shared" si="41"/>
        <v>19650.852890000038</v>
      </c>
    </row>
    <row r="90" spans="1:38" s="42" customFormat="1" ht="12.75" customHeight="1" x14ac:dyDescent="0.3">
      <c r="A90" s="234"/>
      <c r="C90" s="42" t="s">
        <v>132</v>
      </c>
      <c r="G90" s="237"/>
      <c r="H90" s="236">
        <v>458384.01</v>
      </c>
      <c r="I90" s="236">
        <v>4944.2306899999994</v>
      </c>
      <c r="J90" s="236">
        <v>11615.533230000001</v>
      </c>
      <c r="K90" s="236">
        <v>8389.6159100000004</v>
      </c>
      <c r="L90" s="236">
        <v>50465.366669999996</v>
      </c>
      <c r="M90" s="236">
        <v>107933.55918</v>
      </c>
      <c r="N90" s="236">
        <v>25131.354039999998</v>
      </c>
      <c r="O90" s="236">
        <v>23600.007880000001</v>
      </c>
      <c r="P90" s="236">
        <v>27957.441080000001</v>
      </c>
      <c r="Q90" s="236">
        <v>21867.271920000003</v>
      </c>
      <c r="R90" s="236">
        <v>20492.136060000001</v>
      </c>
      <c r="S90" s="236">
        <v>0</v>
      </c>
      <c r="T90" s="236">
        <v>0</v>
      </c>
      <c r="U90" s="236">
        <f t="shared" si="42"/>
        <v>302396.51665999996</v>
      </c>
      <c r="V90" s="185">
        <v>355042</v>
      </c>
      <c r="W90" s="236">
        <v>12978.735769999999</v>
      </c>
      <c r="X90" s="236">
        <v>10279.012769999999</v>
      </c>
      <c r="Y90" s="236">
        <f>7701.94834+131.1</f>
        <v>7833.0483400000003</v>
      </c>
      <c r="Z90" s="236">
        <v>54291.195930000002</v>
      </c>
      <c r="AA90" s="236">
        <v>14919.820490000002</v>
      </c>
      <c r="AB90" s="236">
        <v>9674.080539999999</v>
      </c>
      <c r="AC90" s="236">
        <v>16955.708909999998</v>
      </c>
      <c r="AD90" s="236">
        <f>11020.66829+-41293</f>
        <v>-30272.331709999999</v>
      </c>
      <c r="AE90" s="236">
        <f>16150.24986+42567.75</f>
        <v>58717.999859999996</v>
      </c>
      <c r="AF90" s="236">
        <v>47648.641870000007</v>
      </c>
      <c r="AG90" s="236">
        <v>24793.364710000002</v>
      </c>
      <c r="AH90" s="236">
        <v>36253.965499999998</v>
      </c>
      <c r="AI90" s="47">
        <f t="shared" si="40"/>
        <v>203025.91277</v>
      </c>
      <c r="AJ90" s="234"/>
      <c r="AK90" s="42">
        <f t="shared" si="41"/>
        <v>152016.08723</v>
      </c>
    </row>
    <row r="91" spans="1:38" s="42" customFormat="1" ht="12.75" customHeight="1" x14ac:dyDescent="0.3">
      <c r="A91" s="234"/>
      <c r="C91" s="42" t="s">
        <v>133</v>
      </c>
      <c r="E91" s="189"/>
      <c r="F91" s="189"/>
      <c r="G91" s="238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172"/>
      <c r="V91" s="188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39"/>
      <c r="AJ91" s="234"/>
    </row>
    <row r="92" spans="1:38" ht="12.75" customHeight="1" x14ac:dyDescent="0.3">
      <c r="A92" s="144"/>
      <c r="E92" s="180" t="s">
        <v>134</v>
      </c>
      <c r="F92" s="180"/>
      <c r="G92" s="182"/>
      <c r="H92" s="193">
        <v>7353082.1934153195</v>
      </c>
      <c r="I92" s="193">
        <v>400375.49115000002</v>
      </c>
      <c r="J92" s="193">
        <v>300412.96178999997</v>
      </c>
      <c r="K92" s="193">
        <v>359595.21045000001</v>
      </c>
      <c r="L92" s="193">
        <v>306784.56241000007</v>
      </c>
      <c r="M92" s="193">
        <v>849642.37699999998</v>
      </c>
      <c r="N92" s="193">
        <v>556834.48130999994</v>
      </c>
      <c r="O92" s="193">
        <v>614580.2766499999</v>
      </c>
      <c r="P92" s="193">
        <v>683177.65161000006</v>
      </c>
      <c r="Q92" s="193">
        <v>653460.50572999986</v>
      </c>
      <c r="R92" s="193">
        <v>681460.72672000004</v>
      </c>
      <c r="S92" s="193">
        <v>0</v>
      </c>
      <c r="T92" s="193">
        <v>0</v>
      </c>
      <c r="U92" s="172">
        <f t="shared" si="42"/>
        <v>5406324.2448199997</v>
      </c>
      <c r="V92" s="195">
        <v>5525082</v>
      </c>
      <c r="W92" s="193">
        <v>643855.09164</v>
      </c>
      <c r="X92" s="193">
        <v>447788.82767999999</v>
      </c>
      <c r="Y92" s="193">
        <f>445627.26637+-1.55378999991808+208.923300000024</f>
        <v>445834.63588000013</v>
      </c>
      <c r="Z92" s="193">
        <f>454361.13429+1.55378999991808+3.79425999999512+0.754199999966659</f>
        <v>454367.2365399999</v>
      </c>
      <c r="AA92" s="193">
        <v>576574.62450999999</v>
      </c>
      <c r="AB92" s="193">
        <f>393908.85372+38.4712400003336</f>
        <v>393947.32496000035</v>
      </c>
      <c r="AC92" s="193">
        <v>399291.94710000005</v>
      </c>
      <c r="AD92" s="193">
        <f>397836.39258+-58.6721599999582</f>
        <v>397777.72042000003</v>
      </c>
      <c r="AE92" s="193">
        <f>284815.2115+356.53921999922</f>
        <v>285171.7507199992</v>
      </c>
      <c r="AF92" s="193">
        <v>483797.81029999995</v>
      </c>
      <c r="AG92" s="193">
        <v>617314.86083999998</v>
      </c>
      <c r="AH92" s="193">
        <v>362521.42229000002</v>
      </c>
      <c r="AI92" s="166">
        <f t="shared" ref="AI92:AI94" si="43">SUM(W92:AF92)</f>
        <v>4528406.9697499992</v>
      </c>
      <c r="AJ92" s="144"/>
      <c r="AK92" s="136">
        <f>V92-AI92</f>
        <v>996675.03025000077</v>
      </c>
    </row>
    <row r="93" spans="1:38" ht="12.75" customHeight="1" x14ac:dyDescent="0.3">
      <c r="A93" s="144"/>
      <c r="B93" s="42"/>
      <c r="E93" s="180" t="s">
        <v>135</v>
      </c>
      <c r="F93" s="180"/>
      <c r="G93" s="182"/>
      <c r="H93" s="172">
        <v>674208.28216799325</v>
      </c>
      <c r="I93" s="172">
        <v>0</v>
      </c>
      <c r="J93" s="172">
        <v>0</v>
      </c>
      <c r="K93" s="172">
        <v>32.545839999999998</v>
      </c>
      <c r="L93" s="172">
        <v>0</v>
      </c>
      <c r="M93" s="172">
        <v>0</v>
      </c>
      <c r="N93" s="172">
        <v>0</v>
      </c>
      <c r="O93" s="172">
        <v>0</v>
      </c>
      <c r="P93" s="172">
        <v>0</v>
      </c>
      <c r="Q93" s="172">
        <v>25.733919999999998</v>
      </c>
      <c r="R93" s="172">
        <v>0</v>
      </c>
      <c r="S93" s="172">
        <v>0</v>
      </c>
      <c r="T93" s="172">
        <v>0</v>
      </c>
      <c r="U93" s="172">
        <f t="shared" si="42"/>
        <v>58.279759999999996</v>
      </c>
      <c r="V93" s="167">
        <v>63</v>
      </c>
      <c r="W93" s="172">
        <v>0</v>
      </c>
      <c r="X93" s="172">
        <v>0</v>
      </c>
      <c r="Y93" s="172">
        <v>31.032080000000001</v>
      </c>
      <c r="Z93" s="172">
        <v>0</v>
      </c>
      <c r="AA93" s="172">
        <v>0</v>
      </c>
      <c r="AB93" s="172">
        <v>0</v>
      </c>
      <c r="AC93" s="172">
        <v>0</v>
      </c>
      <c r="AD93" s="172">
        <v>0</v>
      </c>
      <c r="AE93" s="172">
        <v>31.788959999999999</v>
      </c>
      <c r="AF93" s="172">
        <v>0</v>
      </c>
      <c r="AG93" s="172">
        <v>0</v>
      </c>
      <c r="AH93" s="172">
        <v>0</v>
      </c>
      <c r="AI93" s="166">
        <f t="shared" si="43"/>
        <v>62.821039999999996</v>
      </c>
      <c r="AJ93" s="144"/>
      <c r="AK93" s="136">
        <f>V93-AI93</f>
        <v>0.17896000000000356</v>
      </c>
    </row>
    <row r="94" spans="1:38" ht="12.65" customHeight="1" x14ac:dyDescent="0.3">
      <c r="A94" s="144"/>
      <c r="E94" s="180" t="s">
        <v>136</v>
      </c>
      <c r="F94" s="180"/>
      <c r="G94" s="182"/>
      <c r="H94" s="172">
        <v>25935728.792429503</v>
      </c>
      <c r="I94" s="172">
        <v>24270.223520000003</v>
      </c>
      <c r="J94" s="172">
        <v>6905.7486600000002</v>
      </c>
      <c r="K94" s="172">
        <v>13489248.426179999</v>
      </c>
      <c r="L94" s="172">
        <v>-36421.92484</v>
      </c>
      <c r="M94" s="172">
        <v>365968.51500000001</v>
      </c>
      <c r="N94" s="172">
        <v>372756.47608999995</v>
      </c>
      <c r="O94" s="172">
        <v>65459.416880000004</v>
      </c>
      <c r="P94" s="172">
        <v>41617.619290000002</v>
      </c>
      <c r="Q94" s="172">
        <v>10238685.481549999</v>
      </c>
      <c r="R94" s="172">
        <v>14387.636120000001</v>
      </c>
      <c r="S94" s="172">
        <v>0</v>
      </c>
      <c r="T94" s="172">
        <v>0</v>
      </c>
      <c r="U94" s="172">
        <f t="shared" si="42"/>
        <v>24582877.618449997</v>
      </c>
      <c r="V94" s="167">
        <v>28355264.833140001</v>
      </c>
      <c r="W94" s="172">
        <v>-9038.5219500000057</v>
      </c>
      <c r="X94" s="172">
        <v>-633.20784999999989</v>
      </c>
      <c r="Y94" s="172">
        <v>14651730.391899999</v>
      </c>
      <c r="Z94" s="172">
        <v>188474.68791000001</v>
      </c>
      <c r="AA94" s="172">
        <v>634542.62227000005</v>
      </c>
      <c r="AB94" s="172">
        <v>471660.69427000004</v>
      </c>
      <c r="AC94" s="172">
        <v>55942.445890000003</v>
      </c>
      <c r="AD94" s="172">
        <v>-8006.7988499999983</v>
      </c>
      <c r="AE94" s="172">
        <v>11453106.112799998</v>
      </c>
      <c r="AF94" s="172">
        <v>5599.49683</v>
      </c>
      <c r="AG94" s="172">
        <v>452885.59088999999</v>
      </c>
      <c r="AH94" s="172">
        <v>456907.57406999997</v>
      </c>
      <c r="AI94" s="166">
        <f t="shared" si="43"/>
        <v>27443377.923219997</v>
      </c>
      <c r="AJ94" s="144"/>
      <c r="AK94" s="136">
        <f>V94-AI94</f>
        <v>911886.90992000327</v>
      </c>
    </row>
    <row r="95" spans="1:38" s="159" customFormat="1" ht="12.75" customHeight="1" x14ac:dyDescent="0.3">
      <c r="A95" s="164"/>
      <c r="E95" s="191" t="s">
        <v>137</v>
      </c>
      <c r="F95" s="191"/>
      <c r="G95" s="182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72"/>
      <c r="V95" s="200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86"/>
      <c r="AJ95" s="164"/>
      <c r="AL95" s="136"/>
    </row>
    <row r="96" spans="1:38" s="159" customFormat="1" ht="12.75" customHeight="1" x14ac:dyDescent="0.3">
      <c r="A96" s="164"/>
      <c r="E96" s="240" t="s">
        <v>138</v>
      </c>
      <c r="F96" s="191"/>
      <c r="G96" s="182"/>
      <c r="H96" s="198">
        <v>25916151.168461956</v>
      </c>
      <c r="I96" s="198">
        <v>23120.61896</v>
      </c>
      <c r="J96" s="198">
        <v>6115.7377800000004</v>
      </c>
      <c r="K96" s="198">
        <v>13488410.21226</v>
      </c>
      <c r="L96" s="198">
        <v>-37994</v>
      </c>
      <c r="M96" s="198">
        <v>363395.38380000001</v>
      </c>
      <c r="N96" s="198">
        <v>371584.78214999998</v>
      </c>
      <c r="O96" s="198">
        <v>62787.922469999998</v>
      </c>
      <c r="P96" s="198">
        <v>38392.489869999998</v>
      </c>
      <c r="Q96" s="198">
        <v>10238979.549899999</v>
      </c>
      <c r="R96" s="198">
        <v>12977.77439</v>
      </c>
      <c r="S96" s="198">
        <v>0</v>
      </c>
      <c r="T96" s="198">
        <v>0</v>
      </c>
      <c r="U96" s="198">
        <f t="shared" si="42"/>
        <v>24567770.471580002</v>
      </c>
      <c r="V96" s="200">
        <v>28456419.46345</v>
      </c>
      <c r="W96" s="198">
        <v>-9987.3230100000073</v>
      </c>
      <c r="X96" s="198">
        <v>-774.34923000000003</v>
      </c>
      <c r="Y96" s="198">
        <v>14651461.97773</v>
      </c>
      <c r="Z96" s="198">
        <v>187706.67908999999</v>
      </c>
      <c r="AA96" s="198">
        <v>631953.02820000006</v>
      </c>
      <c r="AB96" s="198">
        <v>470711.52487000002</v>
      </c>
      <c r="AC96" s="198">
        <v>54702.3969</v>
      </c>
      <c r="AD96" s="198">
        <v>-9667.7237799999984</v>
      </c>
      <c r="AE96" s="198">
        <v>11452411</v>
      </c>
      <c r="AF96" s="198">
        <v>2874.6102500000002</v>
      </c>
      <c r="AG96" s="198">
        <v>451530.69045999995</v>
      </c>
      <c r="AH96" s="198">
        <v>456413.46986000001</v>
      </c>
      <c r="AI96" s="199">
        <f t="shared" ref="AI96:AI98" si="44">SUM(W96:AF96)</f>
        <v>27431391.821020003</v>
      </c>
      <c r="AJ96" s="164"/>
      <c r="AK96" s="159">
        <f t="shared" ref="AK96:AK116" si="45">V96-AI96</f>
        <v>1025027.6424299963</v>
      </c>
    </row>
    <row r="97" spans="1:46" s="42" customFormat="1" x14ac:dyDescent="0.3">
      <c r="A97" s="234"/>
      <c r="C97" s="42" t="s">
        <v>139</v>
      </c>
      <c r="E97" s="189"/>
      <c r="F97" s="189"/>
      <c r="G97" s="235"/>
      <c r="H97" s="236">
        <v>127168.00000000001</v>
      </c>
      <c r="I97" s="236">
        <v>648.45547999999997</v>
      </c>
      <c r="J97" s="236">
        <v>9410.3842700000023</v>
      </c>
      <c r="K97" s="236">
        <v>4465.9521199999999</v>
      </c>
      <c r="L97" s="236">
        <v>19775.105940000001</v>
      </c>
      <c r="M97" s="236">
        <v>29685.003519999998</v>
      </c>
      <c r="N97" s="236">
        <v>13430.45118</v>
      </c>
      <c r="O97" s="236">
        <v>9953.8799799999997</v>
      </c>
      <c r="P97" s="236">
        <v>26676.260639999997</v>
      </c>
      <c r="Q97" s="236">
        <v>11597.4825</v>
      </c>
      <c r="R97" s="236">
        <v>12815.105500000001</v>
      </c>
      <c r="S97" s="236">
        <v>0</v>
      </c>
      <c r="T97" s="236">
        <v>0</v>
      </c>
      <c r="U97" s="236">
        <f t="shared" si="42"/>
        <v>138458.08112999998</v>
      </c>
      <c r="V97" s="185">
        <v>136301</v>
      </c>
      <c r="W97" s="236">
        <v>16749.364280000002</v>
      </c>
      <c r="X97" s="236">
        <v>2053.2682100000006</v>
      </c>
      <c r="Y97" s="236">
        <f>25016.18468+-1.5</f>
        <v>25014.684679999998</v>
      </c>
      <c r="Z97" s="236">
        <v>542.55731000000003</v>
      </c>
      <c r="AA97" s="236">
        <v>-846.5163</v>
      </c>
      <c r="AB97" s="236">
        <f>4959.25335+1208.25555</f>
        <v>6167.5088999999998</v>
      </c>
      <c r="AC97" s="236">
        <v>2779.1560200000004</v>
      </c>
      <c r="AD97" s="236">
        <v>32908.715529999994</v>
      </c>
      <c r="AE97" s="236">
        <v>9704.0099699999992</v>
      </c>
      <c r="AF97" s="236">
        <v>8075.5596799999994</v>
      </c>
      <c r="AG97" s="236">
        <v>7885.41831</v>
      </c>
      <c r="AH97" s="236">
        <v>1967.7465100000002</v>
      </c>
      <c r="AI97" s="47">
        <f t="shared" si="44"/>
        <v>103148.30828</v>
      </c>
      <c r="AJ97" s="234"/>
      <c r="AK97" s="42">
        <f t="shared" si="45"/>
        <v>33152.691720000003</v>
      </c>
      <c r="AT97" s="186"/>
    </row>
    <row r="98" spans="1:46" s="42" customFormat="1" ht="12" customHeight="1" x14ac:dyDescent="0.3">
      <c r="A98" s="234"/>
      <c r="C98" s="42" t="s">
        <v>140</v>
      </c>
      <c r="G98" s="235"/>
      <c r="H98" s="237">
        <v>15597210.02</v>
      </c>
      <c r="I98" s="237">
        <f>SUM(I99:I102)+I115</f>
        <v>66512.134829999995</v>
      </c>
      <c r="J98" s="237">
        <f>SUM(J99:J102)+J115</f>
        <v>667877.28107999999</v>
      </c>
      <c r="K98" s="237">
        <f>SUM(K99:K102)+K115</f>
        <v>152230.41105</v>
      </c>
      <c r="L98" s="237">
        <v>261705.87781999999</v>
      </c>
      <c r="M98" s="237">
        <v>154002.94461000001</v>
      </c>
      <c r="N98" s="237">
        <v>1184024.31907</v>
      </c>
      <c r="O98" s="237">
        <v>900969.46754999994</v>
      </c>
      <c r="P98" s="237">
        <v>488410.30264000001</v>
      </c>
      <c r="Q98" s="237">
        <v>280637.88222000003</v>
      </c>
      <c r="R98" s="237">
        <v>257768.26707</v>
      </c>
      <c r="S98" s="237">
        <v>0</v>
      </c>
      <c r="T98" s="237">
        <v>0</v>
      </c>
      <c r="U98" s="236">
        <f t="shared" si="42"/>
        <v>4414138.8879399998</v>
      </c>
      <c r="V98" s="185">
        <v>8971104.630309999</v>
      </c>
      <c r="W98" s="237">
        <f t="shared" ref="W98:AB98" si="46">SUM(W99:W102)+W115</f>
        <v>709204.45487000002</v>
      </c>
      <c r="X98" s="237">
        <f t="shared" si="46"/>
        <v>431589.91995000001</v>
      </c>
      <c r="Y98" s="237">
        <f t="shared" si="46"/>
        <v>488045.45853</v>
      </c>
      <c r="Z98" s="237">
        <f t="shared" si="46"/>
        <v>718515.31354999996</v>
      </c>
      <c r="AA98" s="237">
        <f t="shared" si="46"/>
        <v>503874.99111999996</v>
      </c>
      <c r="AB98" s="237">
        <f t="shared" si="46"/>
        <v>1452026.18741</v>
      </c>
      <c r="AC98" s="237">
        <f t="shared" ref="AC98:AH98" si="47">SUM(AC99:AC102)+AC115</f>
        <v>467755.50897000002</v>
      </c>
      <c r="AD98" s="237">
        <f t="shared" si="47"/>
        <v>75870.436340000015</v>
      </c>
      <c r="AE98" s="237">
        <f t="shared" si="47"/>
        <v>546133.36661999999</v>
      </c>
      <c r="AF98" s="237">
        <f t="shared" si="47"/>
        <v>433098.35577999998</v>
      </c>
      <c r="AG98" s="237">
        <f t="shared" si="47"/>
        <v>378425.39168</v>
      </c>
      <c r="AH98" s="237">
        <f t="shared" si="47"/>
        <v>616752.38324999996</v>
      </c>
      <c r="AI98" s="47">
        <f t="shared" si="44"/>
        <v>5826113.9931400008</v>
      </c>
      <c r="AJ98" s="234"/>
      <c r="AK98" s="42">
        <f t="shared" si="45"/>
        <v>3144990.6371699981</v>
      </c>
    </row>
    <row r="99" spans="1:46" ht="12" hidden="1" customHeight="1" x14ac:dyDescent="0.3">
      <c r="A99" s="144"/>
      <c r="E99" s="136" t="s">
        <v>141</v>
      </c>
      <c r="G99" s="241"/>
      <c r="H99" s="172"/>
      <c r="I99" s="172">
        <v>0</v>
      </c>
      <c r="J99" s="172">
        <v>0</v>
      </c>
      <c r="K99" s="172">
        <v>0</v>
      </c>
      <c r="L99" s="172">
        <v>0</v>
      </c>
      <c r="M99" s="172">
        <v>0</v>
      </c>
      <c r="N99" s="172">
        <v>0</v>
      </c>
      <c r="O99" s="172">
        <v>0</v>
      </c>
      <c r="P99" s="172">
        <v>0</v>
      </c>
      <c r="Q99" s="187">
        <v>0</v>
      </c>
      <c r="R99" s="242">
        <v>0</v>
      </c>
      <c r="S99" s="165">
        <v>0</v>
      </c>
      <c r="T99" s="172">
        <v>0</v>
      </c>
      <c r="U99" s="172">
        <f t="shared" si="42"/>
        <v>0</v>
      </c>
      <c r="V99" s="167">
        <v>0</v>
      </c>
      <c r="W99" s="172">
        <v>0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66">
        <f t="shared" ref="AI99:AI113" si="48">SUM(W99:AB99)</f>
        <v>0</v>
      </c>
      <c r="AJ99" s="144"/>
      <c r="AK99" s="136">
        <f t="shared" si="45"/>
        <v>0</v>
      </c>
    </row>
    <row r="100" spans="1:46" ht="12.75" hidden="1" customHeight="1" x14ac:dyDescent="0.3">
      <c r="A100" s="144"/>
      <c r="E100" s="178" t="s">
        <v>142</v>
      </c>
      <c r="F100" s="243"/>
      <c r="G100" s="180"/>
      <c r="H100" s="244"/>
      <c r="I100" s="244">
        <v>0</v>
      </c>
      <c r="J100" s="244">
        <v>919.69304</v>
      </c>
      <c r="K100" s="244">
        <v>0</v>
      </c>
      <c r="L100" s="244">
        <v>0</v>
      </c>
      <c r="M100" s="244">
        <v>0</v>
      </c>
      <c r="N100" s="244">
        <v>3931.7554100000002</v>
      </c>
      <c r="O100" s="244">
        <v>0</v>
      </c>
      <c r="P100" s="244">
        <v>2428.3332400000004</v>
      </c>
      <c r="Q100" s="245">
        <v>191.17755</v>
      </c>
      <c r="R100" s="246">
        <v>2433.8332399999999</v>
      </c>
      <c r="S100" s="247">
        <v>0</v>
      </c>
      <c r="T100" s="244">
        <v>0</v>
      </c>
      <c r="U100" s="172">
        <f t="shared" si="42"/>
        <v>9904.7924800000001</v>
      </c>
      <c r="V100" s="248">
        <v>9730.6832200000008</v>
      </c>
      <c r="W100" s="244">
        <v>0</v>
      </c>
      <c r="X100" s="244">
        <v>0</v>
      </c>
      <c r="Y100" s="244">
        <v>1533.4691</v>
      </c>
      <c r="Z100" s="244">
        <v>0</v>
      </c>
      <c r="AA100" s="244">
        <v>0</v>
      </c>
      <c r="AB100" s="244">
        <v>0</v>
      </c>
      <c r="AC100" s="244">
        <v>0</v>
      </c>
      <c r="AD100" s="244">
        <v>0</v>
      </c>
      <c r="AE100" s="244">
        <v>1556.0973300000001</v>
      </c>
      <c r="AF100" s="244">
        <v>2.8799000000000001</v>
      </c>
      <c r="AG100" s="244">
        <v>3885.3331800000001</v>
      </c>
      <c r="AH100" s="244">
        <v>2752.90371</v>
      </c>
      <c r="AI100" s="166">
        <f t="shared" si="48"/>
        <v>1533.4691</v>
      </c>
      <c r="AJ100" s="144"/>
      <c r="AK100" s="136">
        <f t="shared" si="45"/>
        <v>8197.2141200000005</v>
      </c>
    </row>
    <row r="101" spans="1:46" ht="12.75" hidden="1" customHeight="1" x14ac:dyDescent="0.3">
      <c r="A101" s="144"/>
      <c r="E101" s="180" t="s">
        <v>143</v>
      </c>
      <c r="F101" s="243"/>
      <c r="G101" s="180"/>
      <c r="H101" s="244"/>
      <c r="I101" s="244">
        <v>22876.802069999998</v>
      </c>
      <c r="J101" s="244">
        <v>23542.47393</v>
      </c>
      <c r="K101" s="244">
        <v>19012.823179999999</v>
      </c>
      <c r="L101" s="244">
        <v>28461.335880000002</v>
      </c>
      <c r="M101" s="244">
        <v>32191.512700000003</v>
      </c>
      <c r="N101" s="244">
        <v>33640.719199999992</v>
      </c>
      <c r="O101" s="244">
        <v>41181.807899999993</v>
      </c>
      <c r="P101" s="244">
        <v>25499.194139999989</v>
      </c>
      <c r="Q101" s="245">
        <v>16725.846739999997</v>
      </c>
      <c r="R101" s="246">
        <v>31090.826830000002</v>
      </c>
      <c r="S101" s="247">
        <v>0</v>
      </c>
      <c r="T101" s="244">
        <v>0</v>
      </c>
      <c r="U101" s="172">
        <f t="shared" si="42"/>
        <v>274223.34256999998</v>
      </c>
      <c r="V101" s="248">
        <v>287833.20795000001</v>
      </c>
      <c r="W101" s="244">
        <v>21618.282630000002</v>
      </c>
      <c r="X101" s="244">
        <v>27868.442330000002</v>
      </c>
      <c r="Y101" s="244">
        <f>16171.35552+-16.8928899999992+10342.84139</f>
        <v>26497.30402</v>
      </c>
      <c r="Z101" s="244">
        <f>22730.90056+16.8928899999992+63.2633500000011+56.2633299999979</f>
        <v>22867.320129999996</v>
      </c>
      <c r="AA101" s="244">
        <v>26659.844629999996</v>
      </c>
      <c r="AB101" s="244">
        <f>22536.93643+3107.7482</f>
        <v>25644.684630000003</v>
      </c>
      <c r="AC101" s="244">
        <v>29152.117840000006</v>
      </c>
      <c r="AD101" s="244">
        <f>15019.03962+-39249.77945</f>
        <v>-24230.739830000002</v>
      </c>
      <c r="AE101" s="244">
        <f>15916.14922+42621.71888</f>
        <v>58537.8681</v>
      </c>
      <c r="AF101" s="244">
        <v>14785.64662</v>
      </c>
      <c r="AG101" s="244">
        <v>31340.299740000002</v>
      </c>
      <c r="AH101" s="244">
        <v>27092.137110000007</v>
      </c>
      <c r="AI101" s="166">
        <f t="shared" si="48"/>
        <v>151155.87836999999</v>
      </c>
      <c r="AJ101" s="144"/>
      <c r="AK101" s="136">
        <f t="shared" si="45"/>
        <v>136677.32958000002</v>
      </c>
    </row>
    <row r="102" spans="1:46" ht="12.75" hidden="1" customHeight="1" x14ac:dyDescent="0.3">
      <c r="A102" s="144"/>
      <c r="E102" s="180" t="s">
        <v>144</v>
      </c>
      <c r="F102" s="243"/>
      <c r="G102" s="180"/>
      <c r="H102" s="244"/>
      <c r="I102" s="244">
        <f>SUM(I103:I113)</f>
        <v>13829.332760000003</v>
      </c>
      <c r="J102" s="244">
        <f>SUM(J103:J113)</f>
        <v>41783.114109999988</v>
      </c>
      <c r="K102" s="244">
        <f>SUM(K103:K113)</f>
        <v>35556.587870000003</v>
      </c>
      <c r="L102" s="244">
        <v>15415.541939999996</v>
      </c>
      <c r="M102" s="244">
        <v>15821.431909999998</v>
      </c>
      <c r="N102" s="244">
        <v>195595.84445999999</v>
      </c>
      <c r="O102" s="244">
        <v>35687.659650000001</v>
      </c>
      <c r="P102" s="244">
        <v>53883.775260000002</v>
      </c>
      <c r="Q102" s="245">
        <v>21667.857930000006</v>
      </c>
      <c r="R102" s="246">
        <f t="shared" ref="R102" si="49">SUM(R103:R113)</f>
        <v>26787.607000000004</v>
      </c>
      <c r="S102" s="247">
        <v>0</v>
      </c>
      <c r="T102" s="244">
        <v>0</v>
      </c>
      <c r="U102" s="172">
        <f t="shared" si="42"/>
        <v>456028.75289</v>
      </c>
      <c r="V102" s="248">
        <v>652779.87689999992</v>
      </c>
      <c r="W102" s="244">
        <f>SUM(W103:W113)</f>
        <v>93356.17224</v>
      </c>
      <c r="X102" s="244">
        <v>47324.477619999998</v>
      </c>
      <c r="Y102" s="244">
        <f>SUM(Y103:Y113)</f>
        <v>8334.6854099999946</v>
      </c>
      <c r="Z102" s="244">
        <f>SUM(Z103:Z113)</f>
        <v>114215.99342</v>
      </c>
      <c r="AA102" s="244">
        <v>58220.146489999985</v>
      </c>
      <c r="AB102" s="244">
        <f>SUM(AB103:AB113)</f>
        <v>60031.502780000003</v>
      </c>
      <c r="AC102" s="244">
        <v>11753.39113</v>
      </c>
      <c r="AD102" s="244">
        <f>SUM(AD103:AD113)</f>
        <v>36073.176170000021</v>
      </c>
      <c r="AE102" s="244">
        <f>SUM(AE103:AE113)</f>
        <v>86745.40118999999</v>
      </c>
      <c r="AF102" s="244">
        <f>SUM(AF103:AF113)</f>
        <v>8058.8292599999977</v>
      </c>
      <c r="AG102" s="244">
        <f>SUM(AG103:AG113)</f>
        <v>104259.75876000003</v>
      </c>
      <c r="AH102" s="244">
        <f>SUM(AH103:AH113)</f>
        <v>24406.342430000004</v>
      </c>
      <c r="AI102" s="166">
        <f t="shared" si="48"/>
        <v>381482.97795999993</v>
      </c>
      <c r="AJ102" s="144"/>
      <c r="AK102" s="136">
        <f t="shared" si="45"/>
        <v>271296.89893999998</v>
      </c>
    </row>
    <row r="103" spans="1:46" ht="12.75" hidden="1" customHeight="1" x14ac:dyDescent="0.3">
      <c r="A103" s="144"/>
      <c r="E103" s="243" t="s">
        <v>145</v>
      </c>
      <c r="F103" s="243"/>
      <c r="G103" s="180"/>
      <c r="H103" s="249"/>
      <c r="I103" s="249">
        <v>0</v>
      </c>
      <c r="J103" s="249">
        <v>0</v>
      </c>
      <c r="K103" s="249">
        <v>0</v>
      </c>
      <c r="L103" s="249">
        <v>617.52605999999992</v>
      </c>
      <c r="M103" s="249">
        <v>0.48519000000000001</v>
      </c>
      <c r="N103" s="249">
        <v>1.3356700000000001</v>
      </c>
      <c r="O103" s="249">
        <v>1402.71117</v>
      </c>
      <c r="P103" s="249">
        <v>0</v>
      </c>
      <c r="Q103" s="250">
        <v>0</v>
      </c>
      <c r="R103" s="251">
        <v>808.66206999999997</v>
      </c>
      <c r="S103" s="252">
        <v>0</v>
      </c>
      <c r="T103" s="249">
        <v>0</v>
      </c>
      <c r="U103" s="172">
        <f t="shared" si="42"/>
        <v>2830.7201599999999</v>
      </c>
      <c r="V103" s="248">
        <v>49.140059999999998</v>
      </c>
      <c r="W103" s="244">
        <v>0</v>
      </c>
      <c r="X103" s="244">
        <v>0</v>
      </c>
      <c r="Y103" s="244">
        <v>40.509569999999997</v>
      </c>
      <c r="Z103" s="244">
        <v>0</v>
      </c>
      <c r="AA103" s="244">
        <v>0</v>
      </c>
      <c r="AB103" s="244">
        <v>0</v>
      </c>
      <c r="AC103" s="244">
        <v>0</v>
      </c>
      <c r="AD103" s="244">
        <f>0+-40.50957</f>
        <v>-40.509569999999997</v>
      </c>
      <c r="AE103" s="244">
        <f>8.63049+40.50957</f>
        <v>49.140059999999998</v>
      </c>
      <c r="AF103" s="244">
        <v>0</v>
      </c>
      <c r="AG103" s="244">
        <v>0</v>
      </c>
      <c r="AH103" s="244">
        <v>0</v>
      </c>
      <c r="AI103" s="166">
        <f t="shared" si="48"/>
        <v>40.509569999999997</v>
      </c>
      <c r="AJ103" s="144"/>
      <c r="AK103" s="136">
        <f t="shared" si="45"/>
        <v>8.6304900000000018</v>
      </c>
    </row>
    <row r="104" spans="1:46" ht="12.75" hidden="1" customHeight="1" x14ac:dyDescent="0.3">
      <c r="A104" s="144"/>
      <c r="E104" s="243" t="s">
        <v>146</v>
      </c>
      <c r="F104" s="243"/>
      <c r="G104" s="180"/>
      <c r="H104" s="249"/>
      <c r="I104" s="249">
        <v>0</v>
      </c>
      <c r="J104" s="249">
        <v>0</v>
      </c>
      <c r="K104" s="249">
        <v>0.72028000000000003</v>
      </c>
      <c r="L104" s="249">
        <v>-0.54</v>
      </c>
      <c r="M104" s="249">
        <v>0</v>
      </c>
      <c r="N104" s="249">
        <v>50.216569999999997</v>
      </c>
      <c r="O104" s="249">
        <v>0</v>
      </c>
      <c r="P104" s="249">
        <v>0</v>
      </c>
      <c r="Q104" s="250">
        <v>18.82264</v>
      </c>
      <c r="R104" s="251">
        <v>0</v>
      </c>
      <c r="S104" s="252">
        <v>0</v>
      </c>
      <c r="T104" s="249">
        <v>0</v>
      </c>
      <c r="U104" s="172">
        <f t="shared" si="42"/>
        <v>69.219490000000008</v>
      </c>
      <c r="V104" s="248">
        <v>38.157519999999998</v>
      </c>
      <c r="W104" s="244">
        <v>0</v>
      </c>
      <c r="X104" s="244">
        <v>0</v>
      </c>
      <c r="Y104" s="244">
        <v>19</v>
      </c>
      <c r="Z104" s="244">
        <v>0</v>
      </c>
      <c r="AA104" s="244">
        <v>0</v>
      </c>
      <c r="AB104" s="244">
        <v>4.4020299999999999</v>
      </c>
      <c r="AC104" s="244">
        <v>0</v>
      </c>
      <c r="AD104" s="244">
        <v>0</v>
      </c>
      <c r="AE104" s="244">
        <v>14.75549</v>
      </c>
      <c r="AF104" s="244">
        <v>0</v>
      </c>
      <c r="AG104" s="244">
        <v>0</v>
      </c>
      <c r="AH104" s="244">
        <v>0</v>
      </c>
      <c r="AI104" s="166">
        <f t="shared" si="48"/>
        <v>23.40203</v>
      </c>
      <c r="AJ104" s="144"/>
      <c r="AK104" s="136">
        <f t="shared" si="45"/>
        <v>14.755489999999998</v>
      </c>
    </row>
    <row r="105" spans="1:46" ht="12.75" hidden="1" customHeight="1" x14ac:dyDescent="0.3">
      <c r="A105" s="144"/>
      <c r="E105" s="243" t="s">
        <v>147</v>
      </c>
      <c r="F105" s="243"/>
      <c r="G105" s="180"/>
      <c r="H105" s="249"/>
      <c r="I105" s="249">
        <v>4.7268299999999996</v>
      </c>
      <c r="J105" s="249">
        <v>21.163739999999997</v>
      </c>
      <c r="K105" s="249">
        <v>15.822010000000001</v>
      </c>
      <c r="L105" s="249">
        <v>17.277259999999998</v>
      </c>
      <c r="M105" s="249">
        <v>154.70541</v>
      </c>
      <c r="N105" s="249">
        <v>37.004139999999992</v>
      </c>
      <c r="O105" s="249">
        <v>23.903580000000002</v>
      </c>
      <c r="P105" s="249">
        <v>19.650569999999998</v>
      </c>
      <c r="Q105" s="250">
        <v>-4.9891099999999993</v>
      </c>
      <c r="R105" s="251">
        <v>67.695229999999995</v>
      </c>
      <c r="S105" s="252">
        <v>0</v>
      </c>
      <c r="T105" s="249">
        <v>0</v>
      </c>
      <c r="U105" s="172">
        <f t="shared" si="42"/>
        <v>356.95965999999999</v>
      </c>
      <c r="V105" s="248">
        <v>712.44881999999996</v>
      </c>
      <c r="W105" s="244">
        <v>42.836829999999999</v>
      </c>
      <c r="X105" s="244">
        <v>61.894829999999999</v>
      </c>
      <c r="Y105" s="244">
        <f>79.73641+-0.353949999999998</f>
        <v>79.382460000000009</v>
      </c>
      <c r="Z105" s="244">
        <v>6.8767699999999996</v>
      </c>
      <c r="AA105" s="244">
        <v>46.002850000000009</v>
      </c>
      <c r="AB105" s="244">
        <v>29.875439999999998</v>
      </c>
      <c r="AC105" s="244">
        <v>105.69006999999999</v>
      </c>
      <c r="AD105" s="244">
        <v>41.909599999999998</v>
      </c>
      <c r="AE105" s="244">
        <v>77.275709999999989</v>
      </c>
      <c r="AF105" s="244">
        <v>57.704389999999989</v>
      </c>
      <c r="AG105" s="244">
        <v>118.77090000000001</v>
      </c>
      <c r="AH105" s="244">
        <v>44.228970000000004</v>
      </c>
      <c r="AI105" s="166">
        <f t="shared" si="48"/>
        <v>266.86918000000003</v>
      </c>
      <c r="AJ105" s="144"/>
      <c r="AK105" s="136">
        <f t="shared" si="45"/>
        <v>445.57963999999993</v>
      </c>
    </row>
    <row r="106" spans="1:46" ht="12.75" hidden="1" customHeight="1" x14ac:dyDescent="0.3">
      <c r="A106" s="144"/>
      <c r="E106" s="243" t="s">
        <v>148</v>
      </c>
      <c r="F106" s="243"/>
      <c r="G106" s="180"/>
      <c r="H106" s="249"/>
      <c r="I106" s="249">
        <v>3.6385000000000001</v>
      </c>
      <c r="J106" s="249">
        <v>1.4850000000000001</v>
      </c>
      <c r="K106" s="249">
        <v>0</v>
      </c>
      <c r="L106" s="249">
        <v>13.967000000000001</v>
      </c>
      <c r="M106" s="249">
        <v>5.0904999999999996</v>
      </c>
      <c r="N106" s="249">
        <v>16.703499999999998</v>
      </c>
      <c r="O106" s="249">
        <v>4.95</v>
      </c>
      <c r="P106" s="249">
        <v>8.4381000000000004</v>
      </c>
      <c r="Q106" s="250">
        <v>3.2919999999999998</v>
      </c>
      <c r="R106" s="251">
        <v>2.4750000000000001</v>
      </c>
      <c r="S106" s="252">
        <v>0</v>
      </c>
      <c r="T106" s="249">
        <v>0</v>
      </c>
      <c r="U106" s="172">
        <f t="shared" si="42"/>
        <v>60.0396</v>
      </c>
      <c r="V106" s="248">
        <v>17.166</v>
      </c>
      <c r="W106" s="244">
        <v>2.6360000000000001</v>
      </c>
      <c r="X106" s="244">
        <v>1.4850000000000001</v>
      </c>
      <c r="Y106" s="244">
        <v>3.9209999999999998</v>
      </c>
      <c r="Z106" s="244">
        <v>2</v>
      </c>
      <c r="AA106" s="244">
        <v>0</v>
      </c>
      <c r="AB106" s="244">
        <v>2.6720000000000002</v>
      </c>
      <c r="AC106" s="244">
        <v>0</v>
      </c>
      <c r="AD106" s="244">
        <v>0</v>
      </c>
      <c r="AE106" s="244">
        <v>1.3180000000000001</v>
      </c>
      <c r="AF106" s="244">
        <v>0</v>
      </c>
      <c r="AG106" s="244">
        <v>1.98</v>
      </c>
      <c r="AH106" s="244">
        <v>1.1539999999999999</v>
      </c>
      <c r="AI106" s="166">
        <f t="shared" si="48"/>
        <v>12.714</v>
      </c>
      <c r="AJ106" s="144"/>
      <c r="AK106" s="136">
        <f t="shared" si="45"/>
        <v>4.452</v>
      </c>
    </row>
    <row r="107" spans="1:46" ht="12.75" hidden="1" customHeight="1" x14ac:dyDescent="0.3">
      <c r="A107" s="144"/>
      <c r="E107" s="243" t="s">
        <v>149</v>
      </c>
      <c r="F107" s="243"/>
      <c r="G107" s="180"/>
      <c r="H107" s="249"/>
      <c r="I107" s="249">
        <v>0</v>
      </c>
      <c r="J107" s="249">
        <v>0</v>
      </c>
      <c r="K107" s="249">
        <v>0</v>
      </c>
      <c r="L107" s="249">
        <v>0</v>
      </c>
      <c r="M107" s="249">
        <v>0</v>
      </c>
      <c r="N107" s="249">
        <v>0</v>
      </c>
      <c r="O107" s="249">
        <v>0</v>
      </c>
      <c r="P107" s="249">
        <v>0</v>
      </c>
      <c r="Q107" s="250">
        <v>0</v>
      </c>
      <c r="R107" s="251">
        <v>0</v>
      </c>
      <c r="S107" s="252">
        <v>0</v>
      </c>
      <c r="T107" s="249">
        <v>0</v>
      </c>
      <c r="U107" s="172">
        <f t="shared" si="42"/>
        <v>0</v>
      </c>
      <c r="V107" s="248">
        <v>0</v>
      </c>
      <c r="W107" s="244">
        <v>0</v>
      </c>
      <c r="X107" s="244">
        <v>0</v>
      </c>
      <c r="Y107" s="244">
        <v>0</v>
      </c>
      <c r="Z107" s="244">
        <v>0</v>
      </c>
      <c r="AA107" s="244">
        <v>0</v>
      </c>
      <c r="AB107" s="244">
        <v>0</v>
      </c>
      <c r="AC107" s="244">
        <v>0</v>
      </c>
      <c r="AD107" s="244">
        <v>0</v>
      </c>
      <c r="AE107" s="244">
        <v>0</v>
      </c>
      <c r="AF107" s="244">
        <v>0</v>
      </c>
      <c r="AG107" s="244">
        <v>0</v>
      </c>
      <c r="AH107" s="244">
        <v>0</v>
      </c>
      <c r="AI107" s="166">
        <f t="shared" si="48"/>
        <v>0</v>
      </c>
      <c r="AJ107" s="144"/>
      <c r="AK107" s="136">
        <f t="shared" si="45"/>
        <v>0</v>
      </c>
    </row>
    <row r="108" spans="1:46" ht="12.75" hidden="1" customHeight="1" x14ac:dyDescent="0.3">
      <c r="A108" s="144"/>
      <c r="E108" s="243" t="s">
        <v>150</v>
      </c>
      <c r="F108" s="243"/>
      <c r="G108" s="180"/>
      <c r="H108" s="249"/>
      <c r="I108" s="249">
        <v>0</v>
      </c>
      <c r="J108" s="249">
        <v>0</v>
      </c>
      <c r="K108" s="249">
        <v>3036.5516400000001</v>
      </c>
      <c r="L108" s="249">
        <v>0.66653999999999991</v>
      </c>
      <c r="M108" s="249">
        <v>0</v>
      </c>
      <c r="N108" s="249">
        <v>53.006039999999999</v>
      </c>
      <c r="O108" s="249">
        <v>484.74432000000002</v>
      </c>
      <c r="P108" s="249">
        <v>0</v>
      </c>
      <c r="Q108" s="250">
        <v>20.95757</v>
      </c>
      <c r="R108" s="251">
        <v>25.377880000000001</v>
      </c>
      <c r="S108" s="252">
        <v>0</v>
      </c>
      <c r="T108" s="249">
        <v>0</v>
      </c>
      <c r="U108" s="172">
        <f t="shared" si="42"/>
        <v>3621.3039900000008</v>
      </c>
      <c r="V108" s="248">
        <v>1841.30574</v>
      </c>
      <c r="W108" s="244">
        <v>0</v>
      </c>
      <c r="X108" s="244">
        <v>34.44</v>
      </c>
      <c r="Y108" s="244">
        <f>24.86879+8.86284</f>
        <v>33.731630000000003</v>
      </c>
      <c r="Z108" s="244">
        <v>0</v>
      </c>
      <c r="AA108" s="244">
        <v>234.04906</v>
      </c>
      <c r="AB108" s="244">
        <v>290.26762000000002</v>
      </c>
      <c r="AC108" s="244">
        <v>0</v>
      </c>
      <c r="AD108" s="244">
        <v>1020.2414200000001</v>
      </c>
      <c r="AE108" s="244">
        <v>211.91216</v>
      </c>
      <c r="AF108" s="244">
        <v>16.66385</v>
      </c>
      <c r="AG108" s="244">
        <v>0</v>
      </c>
      <c r="AH108" s="244">
        <v>0</v>
      </c>
      <c r="AI108" s="166">
        <f t="shared" si="48"/>
        <v>592.48830999999996</v>
      </c>
      <c r="AJ108" s="144"/>
      <c r="AK108" s="136">
        <f t="shared" si="45"/>
        <v>1248.8174300000001</v>
      </c>
    </row>
    <row r="109" spans="1:46" ht="12.75" hidden="1" customHeight="1" x14ac:dyDescent="0.3">
      <c r="A109" s="144"/>
      <c r="E109" s="243" t="s">
        <v>151</v>
      </c>
      <c r="F109" s="243"/>
      <c r="G109" s="180"/>
      <c r="H109" s="249"/>
      <c r="I109" s="249">
        <v>0</v>
      </c>
      <c r="J109" s="249">
        <v>0</v>
      </c>
      <c r="K109" s="249">
        <v>0</v>
      </c>
      <c r="L109" s="249">
        <v>0</v>
      </c>
      <c r="M109" s="249">
        <v>0</v>
      </c>
      <c r="N109" s="249">
        <v>0</v>
      </c>
      <c r="O109" s="249">
        <v>0</v>
      </c>
      <c r="P109" s="249">
        <v>0</v>
      </c>
      <c r="Q109" s="250">
        <v>0</v>
      </c>
      <c r="R109" s="251">
        <v>0</v>
      </c>
      <c r="S109" s="252">
        <v>0</v>
      </c>
      <c r="T109" s="249">
        <v>0</v>
      </c>
      <c r="U109" s="172">
        <f t="shared" si="42"/>
        <v>0</v>
      </c>
      <c r="V109" s="248">
        <v>0</v>
      </c>
      <c r="W109" s="244">
        <v>0</v>
      </c>
      <c r="X109" s="244">
        <v>0</v>
      </c>
      <c r="Y109" s="244">
        <v>0</v>
      </c>
      <c r="Z109" s="244">
        <v>0</v>
      </c>
      <c r="AA109" s="244">
        <v>0</v>
      </c>
      <c r="AB109" s="244">
        <v>0</v>
      </c>
      <c r="AC109" s="244">
        <v>0</v>
      </c>
      <c r="AD109" s="244">
        <v>0</v>
      </c>
      <c r="AE109" s="244">
        <v>0</v>
      </c>
      <c r="AF109" s="244">
        <v>0</v>
      </c>
      <c r="AG109" s="244">
        <v>0</v>
      </c>
      <c r="AH109" s="244">
        <v>0</v>
      </c>
      <c r="AI109" s="166">
        <f t="shared" si="48"/>
        <v>0</v>
      </c>
      <c r="AJ109" s="144"/>
      <c r="AK109" s="136">
        <f t="shared" si="45"/>
        <v>0</v>
      </c>
    </row>
    <row r="110" spans="1:46" ht="12.75" hidden="1" customHeight="1" x14ac:dyDescent="0.3">
      <c r="A110" s="144"/>
      <c r="E110" s="243" t="s">
        <v>152</v>
      </c>
      <c r="F110" s="243"/>
      <c r="G110" s="180"/>
      <c r="H110" s="249"/>
      <c r="I110" s="249">
        <v>13680.268930000002</v>
      </c>
      <c r="J110" s="249">
        <v>40000.130939999995</v>
      </c>
      <c r="K110" s="249">
        <v>27954.059519999999</v>
      </c>
      <c r="L110" s="249">
        <v>13056.704949999998</v>
      </c>
      <c r="M110" s="249">
        <v>15714.06237</v>
      </c>
      <c r="N110" s="249">
        <v>7029.7538199999999</v>
      </c>
      <c r="O110" s="249">
        <v>13022.554959999998</v>
      </c>
      <c r="P110" s="249">
        <v>27844.392490000009</v>
      </c>
      <c r="Q110" s="250">
        <v>18326.126920000006</v>
      </c>
      <c r="R110" s="251">
        <v>24588.543870000001</v>
      </c>
      <c r="S110" s="252">
        <v>0</v>
      </c>
      <c r="T110" s="249">
        <v>0</v>
      </c>
      <c r="U110" s="172">
        <f t="shared" si="42"/>
        <v>201216.59876999998</v>
      </c>
      <c r="V110" s="248">
        <v>634073.48319000006</v>
      </c>
      <c r="W110" s="244">
        <v>92671.910700000008</v>
      </c>
      <c r="X110" s="244">
        <v>46414.396359999999</v>
      </c>
      <c r="Y110" s="244">
        <f>8791.26864+-50.8000000000029+-5.7569100000037</f>
        <v>8734.7117299999936</v>
      </c>
      <c r="Z110" s="244">
        <f>111706.90435+50.8000000000029+28.8543100000024</f>
        <v>111786.55866</v>
      </c>
      <c r="AA110" s="244">
        <v>57781.812109999984</v>
      </c>
      <c r="AB110" s="244">
        <f>52231.93929+6321.27943</f>
        <v>58553.218720000004</v>
      </c>
      <c r="AC110" s="244">
        <v>8268.2284899999995</v>
      </c>
      <c r="AD110" s="244">
        <f>28018.30139+-320.690829999982</f>
        <v>27697.610560000019</v>
      </c>
      <c r="AE110" s="244">
        <f>84508.84191+809.431749999988</f>
        <v>85318.273659999992</v>
      </c>
      <c r="AF110" s="244">
        <v>8708.2136099999989</v>
      </c>
      <c r="AG110" s="244">
        <v>103070.44952000002</v>
      </c>
      <c r="AH110" s="244">
        <v>25068.099070000004</v>
      </c>
      <c r="AI110" s="166">
        <f t="shared" si="48"/>
        <v>375942.60827999999</v>
      </c>
      <c r="AJ110" s="144"/>
      <c r="AK110" s="136">
        <f t="shared" si="45"/>
        <v>258130.87491000007</v>
      </c>
    </row>
    <row r="111" spans="1:46" ht="12.75" hidden="1" customHeight="1" x14ac:dyDescent="0.3">
      <c r="A111" s="144"/>
      <c r="E111" s="243" t="s">
        <v>153</v>
      </c>
      <c r="F111" s="243"/>
      <c r="G111" s="180"/>
      <c r="H111" s="249"/>
      <c r="I111" s="249">
        <v>65.452280000000002</v>
      </c>
      <c r="J111" s="249">
        <v>588.29749000000004</v>
      </c>
      <c r="K111" s="249">
        <v>146.50720999999999</v>
      </c>
      <c r="L111" s="249">
        <v>-118.84380999999999</v>
      </c>
      <c r="M111" s="249">
        <v>-162.83292</v>
      </c>
      <c r="N111" s="249">
        <v>1958.02799</v>
      </c>
      <c r="O111" s="249">
        <v>87.320070000000001</v>
      </c>
      <c r="P111" s="249">
        <v>23996.768550000001</v>
      </c>
      <c r="Q111" s="250">
        <v>74.287259999999989</v>
      </c>
      <c r="R111" s="251">
        <v>1009.14009</v>
      </c>
      <c r="S111" s="252">
        <v>0</v>
      </c>
      <c r="T111" s="249">
        <v>0</v>
      </c>
      <c r="U111" s="172">
        <f t="shared" si="42"/>
        <v>27644.124210000002</v>
      </c>
      <c r="V111" s="248">
        <v>770.33192000000008</v>
      </c>
      <c r="W111" s="244">
        <v>68.611660000000001</v>
      </c>
      <c r="X111" s="244">
        <v>203.03408999999999</v>
      </c>
      <c r="Y111" s="244">
        <f>77.70368+0.5</f>
        <v>78.203680000000006</v>
      </c>
      <c r="Z111" s="244">
        <v>149.55832000000001</v>
      </c>
      <c r="AA111" s="244">
        <v>-125.82623</v>
      </c>
      <c r="AB111" s="244">
        <v>111.82750999999999</v>
      </c>
      <c r="AC111" s="244">
        <v>72.037990000000008</v>
      </c>
      <c r="AD111" s="244">
        <v>17.55358</v>
      </c>
      <c r="AE111" s="244">
        <v>10.78594</v>
      </c>
      <c r="AF111" s="244">
        <v>43.890799999999999</v>
      </c>
      <c r="AG111" s="244">
        <v>140.65457999999998</v>
      </c>
      <c r="AH111" s="244">
        <v>0</v>
      </c>
      <c r="AI111" s="166">
        <f t="shared" si="48"/>
        <v>485.40903000000003</v>
      </c>
      <c r="AJ111" s="144"/>
      <c r="AK111" s="136">
        <f t="shared" si="45"/>
        <v>284.92289000000005</v>
      </c>
    </row>
    <row r="112" spans="1:46" ht="12.75" hidden="1" customHeight="1" x14ac:dyDescent="0.3">
      <c r="A112" s="144"/>
      <c r="E112" s="243" t="s">
        <v>154</v>
      </c>
      <c r="F112" s="243"/>
      <c r="G112" s="180"/>
      <c r="H112" s="249"/>
      <c r="I112" s="249">
        <v>75.246220000000008</v>
      </c>
      <c r="J112" s="249">
        <v>1171.9729399999999</v>
      </c>
      <c r="K112" s="249">
        <v>4402.7931099999996</v>
      </c>
      <c r="L112" s="249">
        <v>1828.77694</v>
      </c>
      <c r="M112" s="249">
        <v>107.17624000000022</v>
      </c>
      <c r="N112" s="249">
        <v>186449.79673</v>
      </c>
      <c r="O112" s="249">
        <v>20661.475549999999</v>
      </c>
      <c r="P112" s="249">
        <v>2014.1565500000002</v>
      </c>
      <c r="Q112" s="250">
        <v>3229.3606499999996</v>
      </c>
      <c r="R112" s="251">
        <v>285.71285999999998</v>
      </c>
      <c r="S112" s="252">
        <v>0</v>
      </c>
      <c r="T112" s="249">
        <v>0</v>
      </c>
      <c r="U112" s="172">
        <f t="shared" si="42"/>
        <v>220226.46779</v>
      </c>
      <c r="V112" s="248">
        <v>15276.224459999999</v>
      </c>
      <c r="W112" s="244">
        <v>570.17705000000001</v>
      </c>
      <c r="X112" s="244">
        <v>609.22733999999991</v>
      </c>
      <c r="Y112" s="244">
        <v>-655.41194999999993</v>
      </c>
      <c r="Z112" s="244">
        <v>2270.9996700000002</v>
      </c>
      <c r="AA112" s="244">
        <v>284.10869999999994</v>
      </c>
      <c r="AB112" s="244">
        <f>589.41805+449.82141</f>
        <v>1039.23946</v>
      </c>
      <c r="AC112" s="244">
        <v>3307.4345800000001</v>
      </c>
      <c r="AD112" s="244">
        <f>7336.42917+-0.0585899999997537</f>
        <v>7336.3705800000007</v>
      </c>
      <c r="AE112" s="244">
        <f>1061.88158+0.0585900000005495</f>
        <v>1061.9401700000005</v>
      </c>
      <c r="AF112" s="244">
        <v>-768.62528999999995</v>
      </c>
      <c r="AG112" s="244">
        <v>927.90376000000015</v>
      </c>
      <c r="AH112" s="244">
        <v>-707.13960999999995</v>
      </c>
      <c r="AI112" s="166">
        <f t="shared" si="48"/>
        <v>4118.3402699999997</v>
      </c>
      <c r="AJ112" s="144"/>
      <c r="AK112" s="136">
        <f t="shared" si="45"/>
        <v>11157.884190000001</v>
      </c>
    </row>
    <row r="113" spans="1:37" ht="12.75" hidden="1" customHeight="1" x14ac:dyDescent="0.3">
      <c r="A113" s="144"/>
      <c r="E113" s="243" t="s">
        <v>155</v>
      </c>
      <c r="F113" s="243"/>
      <c r="G113" s="180"/>
      <c r="H113" s="249"/>
      <c r="I113" s="249">
        <v>0</v>
      </c>
      <c r="J113" s="249">
        <v>6.4000000000000001E-2</v>
      </c>
      <c r="K113" s="249">
        <v>0.1341</v>
      </c>
      <c r="L113" s="249">
        <v>7.0000000000000001E-3</v>
      </c>
      <c r="M113" s="249">
        <v>2.74512</v>
      </c>
      <c r="N113" s="249">
        <v>0</v>
      </c>
      <c r="O113" s="249">
        <v>0</v>
      </c>
      <c r="P113" s="249">
        <v>0.36899999999999999</v>
      </c>
      <c r="Q113" s="249">
        <v>0</v>
      </c>
      <c r="R113" s="249">
        <v>0</v>
      </c>
      <c r="S113" s="249">
        <v>0</v>
      </c>
      <c r="T113" s="249">
        <v>0</v>
      </c>
      <c r="U113" s="172">
        <f t="shared" si="42"/>
        <v>3.3192199999999996</v>
      </c>
      <c r="V113" s="248">
        <v>1.6191899999999999</v>
      </c>
      <c r="W113" s="244">
        <v>0</v>
      </c>
      <c r="X113" s="244">
        <v>0</v>
      </c>
      <c r="Y113" s="244">
        <v>0.63728999999999991</v>
      </c>
      <c r="Z113" s="244">
        <v>0</v>
      </c>
      <c r="AA113" s="244">
        <v>0</v>
      </c>
      <c r="AB113" s="244">
        <v>0</v>
      </c>
      <c r="AC113" s="244">
        <v>0</v>
      </c>
      <c r="AD113" s="244">
        <v>0</v>
      </c>
      <c r="AE113" s="244">
        <v>0</v>
      </c>
      <c r="AF113" s="244">
        <v>0.9819</v>
      </c>
      <c r="AG113" s="244">
        <v>0</v>
      </c>
      <c r="AH113" s="244">
        <v>0</v>
      </c>
      <c r="AI113" s="166">
        <f t="shared" si="48"/>
        <v>0.63728999999999991</v>
      </c>
      <c r="AJ113" s="144"/>
      <c r="AK113" s="136">
        <f t="shared" si="45"/>
        <v>0.9819</v>
      </c>
    </row>
    <row r="114" spans="1:37" ht="12.75" customHeight="1" x14ac:dyDescent="0.3">
      <c r="A114" s="144"/>
      <c r="D114" s="191"/>
      <c r="E114" s="197" t="s">
        <v>93</v>
      </c>
      <c r="F114" s="180"/>
      <c r="G114" s="180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67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66"/>
      <c r="AJ114" s="144"/>
      <c r="AK114" s="136">
        <f t="shared" si="45"/>
        <v>0</v>
      </c>
    </row>
    <row r="115" spans="1:37" s="159" customFormat="1" ht="12.75" customHeight="1" x14ac:dyDescent="0.3">
      <c r="A115" s="164"/>
      <c r="C115" s="253"/>
      <c r="E115" s="240" t="s">
        <v>156</v>
      </c>
      <c r="F115" s="191"/>
      <c r="G115" s="241" t="s">
        <v>157</v>
      </c>
      <c r="H115" s="254">
        <f>+[44]original!$F$6</f>
        <v>3921105</v>
      </c>
      <c r="I115" s="254">
        <f>+[45]original!$G$6</f>
        <v>29806</v>
      </c>
      <c r="J115" s="254">
        <f>+[46]original!$H$6</f>
        <v>601632</v>
      </c>
      <c r="K115" s="254">
        <f>+[47]original!$I$6</f>
        <v>97661</v>
      </c>
      <c r="L115" s="254">
        <f>[48]original!$J$6</f>
        <v>217829</v>
      </c>
      <c r="M115" s="254">
        <f>+[49]original!$K$6</f>
        <v>105991</v>
      </c>
      <c r="N115" s="254">
        <f>[50]original!$L$6</f>
        <v>950856</v>
      </c>
      <c r="O115" s="254">
        <f>[44]original!$M$6</f>
        <v>824100</v>
      </c>
      <c r="P115" s="254">
        <f>+[51]original!$N$6</f>
        <v>406599</v>
      </c>
      <c r="Q115" s="254">
        <f>+[52]original!$O$6</f>
        <v>242053</v>
      </c>
      <c r="R115" s="255">
        <f>+[53]original!$P$6</f>
        <v>197456</v>
      </c>
      <c r="S115" s="255">
        <v>0</v>
      </c>
      <c r="T115" s="255">
        <v>0</v>
      </c>
      <c r="U115" s="256">
        <f t="shared" si="42"/>
        <v>3673983</v>
      </c>
      <c r="V115" s="257">
        <f>+[44]original!$T$6</f>
        <v>6068425</v>
      </c>
      <c r="W115" s="254">
        <f>+[54]original!$G$6</f>
        <v>594230</v>
      </c>
      <c r="X115" s="254">
        <f>+[55]original!$H$6</f>
        <v>356397</v>
      </c>
      <c r="Y115" s="254">
        <f>+[56]original!$I$6</f>
        <v>451680</v>
      </c>
      <c r="Z115" s="254">
        <f>+[57]original!$J$6</f>
        <v>581432</v>
      </c>
      <c r="AA115" s="254">
        <f>+[58]original!$K$6</f>
        <v>418995</v>
      </c>
      <c r="AB115" s="254">
        <f>+[59]original!$L$6</f>
        <v>1366350</v>
      </c>
      <c r="AC115" s="254">
        <f>+[60]original!$M$6</f>
        <v>426850</v>
      </c>
      <c r="AD115" s="254">
        <f>+[51]original!$AB$6</f>
        <v>64028</v>
      </c>
      <c r="AE115" s="254">
        <f>+[61]original!$O$6</f>
        <v>399294</v>
      </c>
      <c r="AF115" s="254">
        <f>+[62]original!$P$6</f>
        <v>410251</v>
      </c>
      <c r="AG115" s="254">
        <f>+[63]original!$Q$6</f>
        <v>238940</v>
      </c>
      <c r="AH115" s="254">
        <f>+[64]original!$R$6</f>
        <v>562501</v>
      </c>
      <c r="AI115" s="199">
        <f t="shared" ref="AI115" si="50">SUM(W115:AF115)</f>
        <v>5069507</v>
      </c>
      <c r="AJ115" s="164"/>
      <c r="AK115" s="159">
        <f t="shared" si="45"/>
        <v>998918</v>
      </c>
    </row>
    <row r="116" spans="1:37" ht="12.75" customHeight="1" x14ac:dyDescent="0.3">
      <c r="A116" s="258" t="s">
        <v>158</v>
      </c>
      <c r="B116" s="48"/>
      <c r="C116" s="48"/>
      <c r="D116" s="48"/>
      <c r="E116" s="48"/>
      <c r="F116" s="48"/>
      <c r="G116" s="225"/>
      <c r="H116" s="259">
        <f>H82+H79</f>
        <v>1694492121.8660131</v>
      </c>
      <c r="I116" s="259">
        <f>I82+I79</f>
        <v>93283884.275460005</v>
      </c>
      <c r="J116" s="259">
        <f t="shared" ref="J116:S116" si="51">J82+J79</f>
        <v>106512134.41681997</v>
      </c>
      <c r="K116" s="259">
        <f>K82+K79</f>
        <v>224189683.75835001</v>
      </c>
      <c r="L116" s="259">
        <f t="shared" si="51"/>
        <v>86135375.092829973</v>
      </c>
      <c r="M116" s="259">
        <f t="shared" si="51"/>
        <v>138637269.66596001</v>
      </c>
      <c r="N116" s="259">
        <f t="shared" si="51"/>
        <v>135850869.15157002</v>
      </c>
      <c r="O116" s="259">
        <f>O82+O79</f>
        <v>105123000.20174001</v>
      </c>
      <c r="P116" s="259">
        <f t="shared" si="51"/>
        <v>108252772.73259999</v>
      </c>
      <c r="Q116" s="259">
        <f t="shared" si="51"/>
        <v>228225490.40653002</v>
      </c>
      <c r="R116" s="259">
        <f t="shared" si="51"/>
        <v>114466016.92885998</v>
      </c>
      <c r="S116" s="259">
        <f t="shared" si="51"/>
        <v>0</v>
      </c>
      <c r="T116" s="259">
        <f>T82+T79</f>
        <v>0</v>
      </c>
      <c r="U116" s="48">
        <f>U82+U79</f>
        <v>1340676496.6307199</v>
      </c>
      <c r="V116" s="260">
        <f>V82+V79</f>
        <v>1564316765.28897</v>
      </c>
      <c r="W116" s="259">
        <f t="shared" ref="W116:AG116" si="52">W82+W79</f>
        <v>85521313.027899981</v>
      </c>
      <c r="X116" s="259">
        <f t="shared" si="52"/>
        <v>95746534.991829976</v>
      </c>
      <c r="Y116" s="259">
        <f t="shared" si="52"/>
        <v>204272505.63388997</v>
      </c>
      <c r="Z116" s="259">
        <f t="shared" si="52"/>
        <v>79776633.90106003</v>
      </c>
      <c r="AA116" s="259">
        <f t="shared" si="52"/>
        <v>123123227.51399601</v>
      </c>
      <c r="AB116" s="259">
        <f t="shared" si="52"/>
        <v>133078951.73887001</v>
      </c>
      <c r="AC116" s="259">
        <f t="shared" si="52"/>
        <v>99192221.386340007</v>
      </c>
      <c r="AD116" s="259">
        <f t="shared" si="52"/>
        <v>106436242.68023005</v>
      </c>
      <c r="AE116" s="259">
        <f t="shared" si="52"/>
        <v>211940260.29798001</v>
      </c>
      <c r="AF116" s="259">
        <f t="shared" si="52"/>
        <v>107054272.45395</v>
      </c>
      <c r="AG116" s="259">
        <f t="shared" si="52"/>
        <v>153848885.88571995</v>
      </c>
      <c r="AH116" s="259">
        <f>AH82+AH79</f>
        <v>161283697.10791999</v>
      </c>
      <c r="AI116" s="259">
        <f>AI82+AI79-1</f>
        <v>1246142163.6260457</v>
      </c>
      <c r="AJ116" s="144"/>
      <c r="AK116" s="42">
        <f t="shared" si="45"/>
        <v>318174601.66292429</v>
      </c>
    </row>
    <row r="117" spans="1:37" ht="12.75" customHeight="1" x14ac:dyDescent="0.3">
      <c r="A117" s="572" t="s">
        <v>159</v>
      </c>
      <c r="B117" s="573"/>
      <c r="C117" s="573"/>
      <c r="D117" s="573"/>
      <c r="E117" s="573"/>
      <c r="F117" s="573"/>
      <c r="G117" s="573"/>
      <c r="H117" s="259"/>
      <c r="I117" s="259"/>
      <c r="J117" s="261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48"/>
      <c r="V117" s="260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48"/>
      <c r="AJ117" s="144"/>
    </row>
    <row r="118" spans="1:37" ht="12" customHeight="1" x14ac:dyDescent="0.3">
      <c r="A118" s="262" t="s">
        <v>158</v>
      </c>
      <c r="B118" s="263"/>
      <c r="C118" s="264"/>
      <c r="D118" s="140"/>
      <c r="E118" s="140"/>
      <c r="F118" s="140"/>
      <c r="G118" s="140"/>
      <c r="H118" s="265">
        <f>+H116</f>
        <v>1694492121.8660131</v>
      </c>
      <c r="I118" s="266">
        <f t="shared" ref="I118:S118" si="53">+I116</f>
        <v>93283884.275460005</v>
      </c>
      <c r="J118" s="265">
        <f t="shared" si="53"/>
        <v>106512134.41681997</v>
      </c>
      <c r="K118" s="266">
        <f t="shared" si="53"/>
        <v>224189683.75835001</v>
      </c>
      <c r="L118" s="266">
        <f t="shared" si="53"/>
        <v>86135375.092829973</v>
      </c>
      <c r="M118" s="266">
        <f t="shared" si="53"/>
        <v>138637269.66596001</v>
      </c>
      <c r="N118" s="266">
        <f t="shared" si="53"/>
        <v>135850869.15157002</v>
      </c>
      <c r="O118" s="266">
        <f t="shared" si="53"/>
        <v>105123000.20174001</v>
      </c>
      <c r="P118" s="266">
        <f t="shared" si="53"/>
        <v>108252772.73259999</v>
      </c>
      <c r="Q118" s="266">
        <f t="shared" si="53"/>
        <v>228225490.40653002</v>
      </c>
      <c r="R118" s="266">
        <f t="shared" si="53"/>
        <v>114466016.92885998</v>
      </c>
      <c r="S118" s="266">
        <f t="shared" si="53"/>
        <v>0</v>
      </c>
      <c r="T118" s="266">
        <f>+T116</f>
        <v>0</v>
      </c>
      <c r="U118" s="263">
        <f>+U116</f>
        <v>1340676496.6307199</v>
      </c>
      <c r="V118" s="267">
        <f>+V116</f>
        <v>1564316765.28897</v>
      </c>
      <c r="W118" s="266">
        <f>+W116</f>
        <v>85521313.027899981</v>
      </c>
      <c r="X118" s="266">
        <f t="shared" ref="X118:AG118" si="54">+X116</f>
        <v>95746534.991829976</v>
      </c>
      <c r="Y118" s="266">
        <f t="shared" si="54"/>
        <v>204272505.63388997</v>
      </c>
      <c r="Z118" s="266">
        <f t="shared" si="54"/>
        <v>79776633.90106003</v>
      </c>
      <c r="AA118" s="266">
        <f t="shared" si="54"/>
        <v>123123227.51399601</v>
      </c>
      <c r="AB118" s="266">
        <f t="shared" si="54"/>
        <v>133078951.73887001</v>
      </c>
      <c r="AC118" s="266">
        <f t="shared" si="54"/>
        <v>99192221.386340007</v>
      </c>
      <c r="AD118" s="266">
        <f t="shared" si="54"/>
        <v>106436242.68023005</v>
      </c>
      <c r="AE118" s="266">
        <f t="shared" si="54"/>
        <v>211940260.29798001</v>
      </c>
      <c r="AF118" s="266">
        <f t="shared" si="54"/>
        <v>107054272.45395</v>
      </c>
      <c r="AG118" s="266">
        <f t="shared" si="54"/>
        <v>153848885.88571995</v>
      </c>
      <c r="AH118" s="266">
        <f>+AH116</f>
        <v>161283697.10791999</v>
      </c>
      <c r="AI118" s="266">
        <f>+AI116</f>
        <v>1246142163.6260457</v>
      </c>
      <c r="AJ118" s="144"/>
      <c r="AK118" s="42">
        <f t="shared" ref="AK118:AK142" si="55">V118-AI118</f>
        <v>318174601.66292429</v>
      </c>
    </row>
    <row r="119" spans="1:37" s="42" customFormat="1" ht="12.75" customHeight="1" x14ac:dyDescent="0.3">
      <c r="A119" s="268" t="s">
        <v>160</v>
      </c>
      <c r="B119" s="233"/>
      <c r="C119" s="233"/>
      <c r="D119" s="233"/>
      <c r="E119" s="233"/>
      <c r="F119" s="233"/>
      <c r="G119" s="269"/>
      <c r="I119" s="270">
        <f>SUM(I120:I121)</f>
        <v>-191165.18215000001</v>
      </c>
      <c r="J119" s="270">
        <f t="shared" ref="J119:T119" si="56">SUM(J120:J121)</f>
        <v>-346369.80148999998</v>
      </c>
      <c r="K119" s="270">
        <f t="shared" si="56"/>
        <v>554766.13459000364</v>
      </c>
      <c r="L119" s="270">
        <f t="shared" si="56"/>
        <v>153613.61164999986</v>
      </c>
      <c r="M119" s="270">
        <f t="shared" si="56"/>
        <v>-93727.869039999787</v>
      </c>
      <c r="N119" s="270">
        <f t="shared" si="56"/>
        <v>341059.59947999986</v>
      </c>
      <c r="O119" s="270">
        <f t="shared" si="56"/>
        <v>194214.93647000031</v>
      </c>
      <c r="P119" s="270">
        <f t="shared" si="56"/>
        <v>-25917.743980000261</v>
      </c>
      <c r="Q119" s="270">
        <f>SUM(Q120:Q121)</f>
        <v>880826.07977999747</v>
      </c>
      <c r="R119" s="270">
        <f t="shared" si="56"/>
        <v>109875.42412999971</v>
      </c>
      <c r="S119" s="270">
        <f t="shared" si="56"/>
        <v>0</v>
      </c>
      <c r="T119" s="270">
        <f t="shared" si="56"/>
        <v>0</v>
      </c>
      <c r="U119" s="47">
        <f>SUM(U120:U121)</f>
        <v>1577175.1894400157</v>
      </c>
      <c r="V119" s="234">
        <f>SUM(V120:V121)</f>
        <v>-1597598</v>
      </c>
      <c r="W119" s="270">
        <f>SUM(W120:W121)</f>
        <v>144278.53490000032</v>
      </c>
      <c r="X119" s="270">
        <f t="shared" ref="X119:AD119" si="57">SUM(X120:X121)</f>
        <v>-26484.853970000055</v>
      </c>
      <c r="Y119" s="270">
        <f t="shared" si="57"/>
        <v>284144.29123999923</v>
      </c>
      <c r="Z119" s="270">
        <f t="shared" si="57"/>
        <v>-8358.3996099997312</v>
      </c>
      <c r="AA119" s="270">
        <f t="shared" si="57"/>
        <v>169210.28755000001</v>
      </c>
      <c r="AB119" s="270">
        <f t="shared" si="57"/>
        <v>1506548.5447299995</v>
      </c>
      <c r="AC119" s="270">
        <f t="shared" si="57"/>
        <v>-383702.94885000004</v>
      </c>
      <c r="AD119" s="270">
        <f t="shared" si="57"/>
        <v>957174.09895999997</v>
      </c>
      <c r="AE119" s="270">
        <f>SUM(AE120:AE121)</f>
        <v>-30064.821649998426</v>
      </c>
      <c r="AF119" s="270">
        <f>SUM(AF120:AF121)</f>
        <v>400970.37343999976</v>
      </c>
      <c r="AG119" s="270">
        <f>SUM(AG120:AG121)</f>
        <v>-1805443.0482600001</v>
      </c>
      <c r="AH119" s="270">
        <f>SUM(AH120:AH121)</f>
        <v>397401.33538000006</v>
      </c>
      <c r="AI119" s="270">
        <f>SUM(AI120:AI121)</f>
        <v>3013715.106740009</v>
      </c>
      <c r="AJ119" s="144"/>
      <c r="AK119" s="42">
        <f t="shared" si="55"/>
        <v>-4611313.106740009</v>
      </c>
    </row>
    <row r="120" spans="1:37" ht="12.75" customHeight="1" x14ac:dyDescent="0.3">
      <c r="A120" s="557" t="s">
        <v>161</v>
      </c>
      <c r="B120" s="558"/>
      <c r="C120" s="558"/>
      <c r="D120" s="558"/>
      <c r="E120" s="558"/>
      <c r="F120" s="558"/>
      <c r="G120" s="559"/>
      <c r="H120" s="172"/>
      <c r="I120" s="165">
        <f>-I82+I96+I115</f>
        <v>-731814.18215000001</v>
      </c>
      <c r="J120" s="172">
        <f>-J82+J96+J115</f>
        <v>-726188.80148999998</v>
      </c>
      <c r="K120" s="165">
        <f t="shared" ref="K120:S120" si="58">-K82+K96+K115</f>
        <v>-693398.86540999636</v>
      </c>
      <c r="L120" s="165">
        <f t="shared" si="58"/>
        <v>-705824.38835000014</v>
      </c>
      <c r="M120" s="165">
        <f t="shared" si="58"/>
        <v>-1435459.8690399998</v>
      </c>
      <c r="N120" s="165">
        <f>-N82+N96+N115</f>
        <v>-1097352.4005200001</v>
      </c>
      <c r="O120" s="165">
        <f>-O82+O96+O115</f>
        <v>-1044401.0635299997</v>
      </c>
      <c r="P120" s="165">
        <f>-P82+P96+P115</f>
        <v>-1028130.7439800003</v>
      </c>
      <c r="Q120" s="165">
        <f>-Q82+Q96+Q115</f>
        <v>-932645.92022000253</v>
      </c>
      <c r="R120" s="172">
        <f t="shared" si="58"/>
        <v>-1046688.5758700003</v>
      </c>
      <c r="S120" s="165">
        <f t="shared" si="58"/>
        <v>0</v>
      </c>
      <c r="T120" s="165">
        <f>-T82+T96+T115</f>
        <v>0</v>
      </c>
      <c r="U120" s="166">
        <f>-U82+U96+U115</f>
        <v>-9441904.8105599843</v>
      </c>
      <c r="V120" s="167">
        <f>-V82+V96+V115</f>
        <v>-12003888</v>
      </c>
      <c r="W120" s="273">
        <f>-W82+W96+W115</f>
        <v>-990097.46509999968</v>
      </c>
      <c r="X120" s="165">
        <f>-X82+X96+X115</f>
        <v>-619146.85397000005</v>
      </c>
      <c r="Y120" s="165">
        <f t="shared" ref="Y120:AD120" si="59">-Y82+Y96+Y115</f>
        <v>-922726.70876000077</v>
      </c>
      <c r="Z120" s="165">
        <f t="shared" si="59"/>
        <v>-765709.39960999973</v>
      </c>
      <c r="AA120" s="165">
        <f t="shared" si="59"/>
        <v>-794241.71244999999</v>
      </c>
      <c r="AB120" s="165">
        <f t="shared" si="59"/>
        <v>-611472.4552700005</v>
      </c>
      <c r="AC120" s="165">
        <f t="shared" si="59"/>
        <v>-576580.94885000004</v>
      </c>
      <c r="AD120" s="145">
        <f t="shared" si="59"/>
        <v>-523276.90104000003</v>
      </c>
      <c r="AE120" s="145">
        <f>-AE82+AE96+AE115</f>
        <v>-784919.82164999843</v>
      </c>
      <c r="AF120" s="165">
        <f>-AF82+AF96+AF115</f>
        <v>-840303.62656000024</v>
      </c>
      <c r="AG120" s="145">
        <f>-AG82+AG96+AG115</f>
        <v>-1106734.0482600001</v>
      </c>
      <c r="AH120" s="165">
        <f>-AH82+AH96+AH115</f>
        <v>-738344.66461999994</v>
      </c>
      <c r="AI120" s="273">
        <f>-AI82+AI96+AI115</f>
        <v>-7428475.893259991</v>
      </c>
      <c r="AJ120" s="166"/>
      <c r="AK120" s="136">
        <f t="shared" si="55"/>
        <v>-4575412.106740009</v>
      </c>
    </row>
    <row r="121" spans="1:37" ht="12.75" customHeight="1" x14ac:dyDescent="0.3">
      <c r="A121" s="271" t="s">
        <v>162</v>
      </c>
      <c r="B121" s="272"/>
      <c r="C121" s="272"/>
      <c r="D121" s="272"/>
      <c r="E121" s="272"/>
      <c r="F121" s="272"/>
      <c r="G121" s="272"/>
      <c r="H121" s="172"/>
      <c r="I121" s="165">
        <f>543779-3130</f>
        <v>540649</v>
      </c>
      <c r="J121" s="172">
        <f>390663-36-10808</f>
        <v>379819</v>
      </c>
      <c r="K121" s="165">
        <f>1248897-16-716</f>
        <v>1248165</v>
      </c>
      <c r="L121" s="165">
        <f>864902-5480+16</f>
        <v>859438</v>
      </c>
      <c r="M121" s="165">
        <f>1345335-3603</f>
        <v>1341732</v>
      </c>
      <c r="N121" s="165">
        <f>1442191-826-2953</f>
        <v>1438412</v>
      </c>
      <c r="O121" s="165">
        <f>1239211-595</f>
        <v>1238616</v>
      </c>
      <c r="P121" s="165">
        <f>1241467-1810-199985-20-37439</f>
        <v>1002213</v>
      </c>
      <c r="Q121" s="165">
        <f>1817228-1063-2693</f>
        <v>1813472</v>
      </c>
      <c r="R121" s="172">
        <f>1158205-1641</f>
        <v>1156564</v>
      </c>
      <c r="S121" s="175">
        <v>0</v>
      </c>
      <c r="T121" s="175">
        <v>0</v>
      </c>
      <c r="U121" s="176">
        <f>SUM(I121:T121)</f>
        <v>11019080</v>
      </c>
      <c r="V121" s="167">
        <v>10406290</v>
      </c>
      <c r="W121" s="165">
        <f>1140479-6082-21</f>
        <v>1134376</v>
      </c>
      <c r="X121" s="165">
        <f>594556-1894</f>
        <v>592662</v>
      </c>
      <c r="Y121" s="165">
        <f>1208724-1853</f>
        <v>1206871</v>
      </c>
      <c r="Z121" s="165">
        <f>762834-4281-1202</f>
        <v>757351</v>
      </c>
      <c r="AA121" s="165">
        <f>964286-10-824</f>
        <v>963452</v>
      </c>
      <c r="AB121" s="165">
        <f>2119660-1639</f>
        <v>2118021</v>
      </c>
      <c r="AC121" s="165">
        <f>232460-2939-36643</f>
        <v>192878</v>
      </c>
      <c r="AD121" s="165">
        <f>1481773-1320-2</f>
        <v>1480451</v>
      </c>
      <c r="AE121" s="165">
        <f>756381-1506-20</f>
        <v>754855</v>
      </c>
      <c r="AF121" s="165">
        <f>1243597-2323</f>
        <v>1241274</v>
      </c>
      <c r="AG121" s="165">
        <v>-698709</v>
      </c>
      <c r="AH121" s="165">
        <f>1320349-3861-10-76-30-167596-13030</f>
        <v>1135746</v>
      </c>
      <c r="AI121" s="166">
        <f t="shared" ref="AI121:AI135" si="60">SUM(W121:AF121)</f>
        <v>10442191</v>
      </c>
      <c r="AJ121" s="144"/>
      <c r="AK121" s="136">
        <f t="shared" si="55"/>
        <v>-35901</v>
      </c>
    </row>
    <row r="122" spans="1:37" s="42" customFormat="1" ht="12.75" customHeight="1" x14ac:dyDescent="0.3">
      <c r="A122" s="234" t="s">
        <v>163</v>
      </c>
      <c r="C122" s="233"/>
      <c r="G122" s="186" t="s">
        <v>164</v>
      </c>
      <c r="H122" s="236"/>
      <c r="I122" s="237">
        <f t="shared" ref="I122:R122" si="61">SUM(I123:I132)</f>
        <v>42404</v>
      </c>
      <c r="J122" s="236">
        <f t="shared" si="61"/>
        <v>613630</v>
      </c>
      <c r="K122" s="237">
        <f t="shared" si="61"/>
        <v>8391180</v>
      </c>
      <c r="L122" s="237">
        <f t="shared" si="61"/>
        <v>103375</v>
      </c>
      <c r="M122" s="237">
        <f t="shared" si="61"/>
        <v>217081</v>
      </c>
      <c r="N122" s="237">
        <f t="shared" si="61"/>
        <v>448</v>
      </c>
      <c r="O122" s="237">
        <f t="shared" si="61"/>
        <v>93580</v>
      </c>
      <c r="P122" s="237">
        <f t="shared" si="61"/>
        <v>720383</v>
      </c>
      <c r="Q122" s="237">
        <f t="shared" si="61"/>
        <v>21738</v>
      </c>
      <c r="R122" s="236">
        <f t="shared" si="61"/>
        <v>29548</v>
      </c>
      <c r="S122" s="237">
        <v>0</v>
      </c>
      <c r="T122" s="237">
        <f>SUM(T123:T132)</f>
        <v>0</v>
      </c>
      <c r="U122" s="47">
        <f>SUM(I122:T122)</f>
        <v>10233367</v>
      </c>
      <c r="V122" s="185">
        <f>SUM(V123:V132)</f>
        <v>2094593</v>
      </c>
      <c r="W122" s="237">
        <f t="shared" ref="W122:AF122" si="62">SUM(W123:W132)</f>
        <v>337565</v>
      </c>
      <c r="X122" s="237">
        <f t="shared" si="62"/>
        <v>280718</v>
      </c>
      <c r="Y122" s="237">
        <f t="shared" si="62"/>
        <v>75070</v>
      </c>
      <c r="Z122" s="237">
        <f t="shared" si="62"/>
        <v>52223</v>
      </c>
      <c r="AA122" s="237">
        <f t="shared" si="62"/>
        <v>173147</v>
      </c>
      <c r="AB122" s="237">
        <f t="shared" si="62"/>
        <v>35583</v>
      </c>
      <c r="AC122" s="237">
        <f t="shared" si="62"/>
        <v>37094</v>
      </c>
      <c r="AD122" s="237">
        <f t="shared" si="62"/>
        <v>600014</v>
      </c>
      <c r="AE122" s="237">
        <f t="shared" si="62"/>
        <v>391</v>
      </c>
      <c r="AF122" s="237">
        <f t="shared" si="62"/>
        <v>64625</v>
      </c>
      <c r="AG122" s="237">
        <v>511</v>
      </c>
      <c r="AH122" s="237">
        <f>SUM(AH123:AH132)</f>
        <v>288757</v>
      </c>
      <c r="AI122" s="274">
        <f t="shared" si="60"/>
        <v>1656430</v>
      </c>
      <c r="AJ122" s="234"/>
      <c r="AK122" s="42">
        <f t="shared" si="55"/>
        <v>438163</v>
      </c>
    </row>
    <row r="123" spans="1:37" ht="12.75" customHeight="1" x14ac:dyDescent="0.3">
      <c r="A123" s="144"/>
      <c r="E123" s="136" t="s">
        <v>165</v>
      </c>
      <c r="H123" s="198"/>
      <c r="I123" s="165">
        <v>21702</v>
      </c>
      <c r="J123" s="172">
        <v>610034</v>
      </c>
      <c r="K123" s="165">
        <v>8390577</v>
      </c>
      <c r="L123" s="165">
        <v>102906</v>
      </c>
      <c r="M123" s="165">
        <v>215725</v>
      </c>
      <c r="N123" s="165">
        <v>0</v>
      </c>
      <c r="O123" s="165">
        <v>90551</v>
      </c>
      <c r="P123" s="165">
        <f>663037+37439</f>
        <v>700476</v>
      </c>
      <c r="Q123" s="165">
        <v>7261</v>
      </c>
      <c r="R123" s="198">
        <v>29279</v>
      </c>
      <c r="S123" s="175">
        <v>0</v>
      </c>
      <c r="T123" s="175">
        <v>0</v>
      </c>
      <c r="U123" s="176">
        <f t="shared" ref="U123:U130" si="63">SUM(I123:T123)</f>
        <v>10168511</v>
      </c>
      <c r="V123" s="167">
        <v>1833615</v>
      </c>
      <c r="W123" s="165">
        <v>336293</v>
      </c>
      <c r="X123" s="165">
        <v>279523</v>
      </c>
      <c r="Y123" s="165">
        <v>62733</v>
      </c>
      <c r="Z123" s="165">
        <v>51359</v>
      </c>
      <c r="AA123" s="165">
        <v>171531</v>
      </c>
      <c r="AB123" s="165">
        <v>34823</v>
      </c>
      <c r="AC123" s="165">
        <v>36644</v>
      </c>
      <c r="AD123" s="165">
        <v>598173</v>
      </c>
      <c r="AE123" s="165">
        <v>0</v>
      </c>
      <c r="AF123" s="165">
        <v>64285</v>
      </c>
      <c r="AG123" s="165">
        <v>0</v>
      </c>
      <c r="AH123" s="165">
        <f>198251</f>
        <v>198251</v>
      </c>
      <c r="AI123" s="187">
        <f t="shared" si="60"/>
        <v>1635364</v>
      </c>
      <c r="AJ123" s="144"/>
      <c r="AK123" s="136">
        <f t="shared" si="55"/>
        <v>198251</v>
      </c>
    </row>
    <row r="124" spans="1:37" ht="12.75" customHeight="1" x14ac:dyDescent="0.3">
      <c r="A124" s="144"/>
      <c r="E124" s="136" t="s">
        <v>166</v>
      </c>
      <c r="H124" s="198"/>
      <c r="I124" s="165">
        <v>663</v>
      </c>
      <c r="J124" s="172">
        <f>335</f>
        <v>335</v>
      </c>
      <c r="K124" s="165">
        <f>555+10</f>
        <v>565</v>
      </c>
      <c r="L124" s="165">
        <v>449</v>
      </c>
      <c r="M124" s="165">
        <v>448</v>
      </c>
      <c r="N124" s="165">
        <v>260</v>
      </c>
      <c r="O124" s="165">
        <v>244</v>
      </c>
      <c r="P124" s="165">
        <v>340</v>
      </c>
      <c r="Q124" s="165">
        <v>222</v>
      </c>
      <c r="R124" s="198">
        <v>260</v>
      </c>
      <c r="S124" s="175">
        <v>0</v>
      </c>
      <c r="T124" s="175">
        <v>0</v>
      </c>
      <c r="U124" s="176">
        <f t="shared" si="63"/>
        <v>3786</v>
      </c>
      <c r="V124" s="167">
        <v>19284</v>
      </c>
      <c r="W124" s="165">
        <v>1272</v>
      </c>
      <c r="X124" s="165">
        <v>1195</v>
      </c>
      <c r="Y124" s="165">
        <v>12337</v>
      </c>
      <c r="Z124" s="165">
        <v>864</v>
      </c>
      <c r="AA124" s="165">
        <v>494</v>
      </c>
      <c r="AB124" s="165">
        <v>630</v>
      </c>
      <c r="AC124" s="165">
        <v>421</v>
      </c>
      <c r="AD124" s="165">
        <v>456</v>
      </c>
      <c r="AE124" s="165">
        <v>353</v>
      </c>
      <c r="AF124" s="165">
        <v>311</v>
      </c>
      <c r="AG124" s="165">
        <v>491</v>
      </c>
      <c r="AH124" s="165">
        <v>460</v>
      </c>
      <c r="AI124" s="187">
        <f t="shared" si="60"/>
        <v>18333</v>
      </c>
      <c r="AJ124" s="164"/>
      <c r="AK124" s="136">
        <f t="shared" si="55"/>
        <v>951</v>
      </c>
    </row>
    <row r="125" spans="1:37" ht="12.75" customHeight="1" x14ac:dyDescent="0.3">
      <c r="A125" s="144"/>
      <c r="E125" s="136" t="s">
        <v>167</v>
      </c>
      <c r="H125" s="198"/>
      <c r="I125" s="165">
        <v>20030</v>
      </c>
      <c r="J125" s="198">
        <v>0</v>
      </c>
      <c r="K125" s="145">
        <v>0</v>
      </c>
      <c r="L125" s="165">
        <v>0</v>
      </c>
      <c r="M125" s="165">
        <v>0</v>
      </c>
      <c r="N125" s="165">
        <v>0</v>
      </c>
      <c r="O125" s="165">
        <v>0</v>
      </c>
      <c r="P125" s="165">
        <v>0</v>
      </c>
      <c r="Q125" s="165">
        <v>0</v>
      </c>
      <c r="R125" s="198">
        <v>0</v>
      </c>
      <c r="S125" s="165">
        <v>0</v>
      </c>
      <c r="T125" s="165">
        <v>0</v>
      </c>
      <c r="U125" s="166">
        <f t="shared" si="63"/>
        <v>20030</v>
      </c>
      <c r="V125" s="167">
        <v>100</v>
      </c>
      <c r="W125" s="165">
        <v>0</v>
      </c>
      <c r="X125" s="165">
        <v>0</v>
      </c>
      <c r="Y125" s="165">
        <v>0</v>
      </c>
      <c r="Z125" s="165">
        <v>0</v>
      </c>
      <c r="AA125" s="165">
        <v>0</v>
      </c>
      <c r="AB125" s="165">
        <v>0</v>
      </c>
      <c r="AC125" s="165">
        <v>0</v>
      </c>
      <c r="AD125" s="165">
        <v>0</v>
      </c>
      <c r="AE125" s="165">
        <v>0</v>
      </c>
      <c r="AF125" s="165">
        <v>0</v>
      </c>
      <c r="AG125" s="165">
        <v>0</v>
      </c>
      <c r="AH125" s="165">
        <v>0</v>
      </c>
      <c r="AI125" s="187">
        <f t="shared" si="60"/>
        <v>0</v>
      </c>
      <c r="AJ125" s="164"/>
      <c r="AK125" s="136">
        <f t="shared" si="55"/>
        <v>100</v>
      </c>
    </row>
    <row r="126" spans="1:37" ht="12.75" customHeight="1" x14ac:dyDescent="0.3">
      <c r="A126" s="144"/>
      <c r="E126" s="136" t="s">
        <v>168</v>
      </c>
      <c r="H126" s="198"/>
      <c r="I126" s="165">
        <v>0</v>
      </c>
      <c r="J126" s="172">
        <v>10</v>
      </c>
      <c r="K126" s="145">
        <v>0</v>
      </c>
      <c r="L126" s="165">
        <v>0</v>
      </c>
      <c r="M126" s="165">
        <v>0</v>
      </c>
      <c r="N126" s="165">
        <v>0</v>
      </c>
      <c r="O126" s="165">
        <v>0</v>
      </c>
      <c r="P126" s="165">
        <v>0</v>
      </c>
      <c r="Q126" s="165">
        <v>10723</v>
      </c>
      <c r="R126" s="165">
        <v>0</v>
      </c>
      <c r="S126" s="165"/>
      <c r="T126" s="165"/>
      <c r="U126" s="166">
        <f t="shared" si="63"/>
        <v>10733</v>
      </c>
      <c r="V126" s="167">
        <v>0</v>
      </c>
      <c r="W126" s="165">
        <v>0</v>
      </c>
      <c r="X126" s="165">
        <v>0</v>
      </c>
      <c r="Y126" s="165">
        <v>0</v>
      </c>
      <c r="Z126" s="165">
        <v>0</v>
      </c>
      <c r="AA126" s="165">
        <v>0</v>
      </c>
      <c r="AB126" s="165">
        <v>0</v>
      </c>
      <c r="AC126" s="165">
        <v>0</v>
      </c>
      <c r="AD126" s="165">
        <v>0</v>
      </c>
      <c r="AE126" s="165">
        <v>0</v>
      </c>
      <c r="AF126" s="165">
        <v>0</v>
      </c>
      <c r="AG126" s="165"/>
      <c r="AH126" s="165"/>
      <c r="AI126" s="187">
        <f t="shared" si="60"/>
        <v>0</v>
      </c>
      <c r="AJ126" s="164"/>
      <c r="AK126" s="136">
        <f t="shared" si="55"/>
        <v>0</v>
      </c>
    </row>
    <row r="127" spans="1:37" ht="12.75" customHeight="1" x14ac:dyDescent="0.3">
      <c r="A127" s="144"/>
      <c r="E127" s="136" t="s">
        <v>169</v>
      </c>
      <c r="H127" s="198"/>
      <c r="I127" s="145">
        <v>0</v>
      </c>
      <c r="J127" s="198">
        <v>0</v>
      </c>
      <c r="K127" s="145">
        <v>0</v>
      </c>
      <c r="L127" s="165">
        <v>0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0</v>
      </c>
      <c r="S127" s="165">
        <v>0</v>
      </c>
      <c r="T127" s="165">
        <v>0</v>
      </c>
      <c r="U127" s="166">
        <f t="shared" si="63"/>
        <v>0</v>
      </c>
      <c r="V127" s="167">
        <v>66969</v>
      </c>
      <c r="W127" s="165">
        <v>0</v>
      </c>
      <c r="X127" s="165">
        <v>0</v>
      </c>
      <c r="Y127" s="165">
        <v>0</v>
      </c>
      <c r="Z127" s="165">
        <v>0</v>
      </c>
      <c r="AA127" s="165">
        <v>0</v>
      </c>
      <c r="AB127" s="165">
        <v>130</v>
      </c>
      <c r="AC127" s="165">
        <v>0</v>
      </c>
      <c r="AD127" s="165">
        <v>0</v>
      </c>
      <c r="AE127" s="165">
        <v>0</v>
      </c>
      <c r="AF127" s="165">
        <v>0</v>
      </c>
      <c r="AG127" s="165">
        <v>0</v>
      </c>
      <c r="AH127" s="165">
        <v>0</v>
      </c>
      <c r="AI127" s="187">
        <f t="shared" si="60"/>
        <v>130</v>
      </c>
      <c r="AJ127" s="164"/>
      <c r="AK127" s="136">
        <f t="shared" si="55"/>
        <v>66839</v>
      </c>
    </row>
    <row r="128" spans="1:37" ht="12.75" customHeight="1" x14ac:dyDescent="0.3">
      <c r="A128" s="144"/>
      <c r="E128" s="136" t="s">
        <v>170</v>
      </c>
      <c r="H128" s="198"/>
      <c r="I128" s="145">
        <v>0</v>
      </c>
      <c r="J128" s="172">
        <v>3222</v>
      </c>
      <c r="K128" s="145">
        <v>0</v>
      </c>
      <c r="L128" s="165">
        <v>0</v>
      </c>
      <c r="M128" s="165">
        <v>862</v>
      </c>
      <c r="N128" s="165">
        <v>179</v>
      </c>
      <c r="O128" s="165">
        <v>430</v>
      </c>
      <c r="P128" s="165">
        <v>356</v>
      </c>
      <c r="Q128" s="165">
        <v>3523</v>
      </c>
      <c r="R128" s="165">
        <v>0</v>
      </c>
      <c r="S128" s="165">
        <v>0</v>
      </c>
      <c r="T128" s="165">
        <v>0</v>
      </c>
      <c r="U128" s="166">
        <f t="shared" si="63"/>
        <v>8572</v>
      </c>
      <c r="V128" s="167">
        <v>7336</v>
      </c>
      <c r="W128" s="165">
        <v>0</v>
      </c>
      <c r="X128" s="165">
        <v>0</v>
      </c>
      <c r="Y128" s="165">
        <v>0</v>
      </c>
      <c r="Z128" s="165">
        <v>0</v>
      </c>
      <c r="AA128" s="165">
        <v>0</v>
      </c>
      <c r="AB128" s="165">
        <v>0</v>
      </c>
      <c r="AC128" s="165">
        <v>0</v>
      </c>
      <c r="AD128" s="165">
        <v>1356</v>
      </c>
      <c r="AE128" s="165">
        <v>0</v>
      </c>
      <c r="AF128" s="165">
        <v>0</v>
      </c>
      <c r="AG128" s="165">
        <v>0</v>
      </c>
      <c r="AH128" s="165">
        <v>5980</v>
      </c>
      <c r="AI128" s="187">
        <f t="shared" si="60"/>
        <v>1356</v>
      </c>
      <c r="AJ128" s="164"/>
      <c r="AK128" s="136">
        <f t="shared" si="55"/>
        <v>5980</v>
      </c>
    </row>
    <row r="129" spans="1:70" ht="12.75" customHeight="1" x14ac:dyDescent="0.3">
      <c r="A129" s="144"/>
      <c r="E129" s="136" t="s">
        <v>171</v>
      </c>
      <c r="H129" s="198"/>
      <c r="I129" s="145">
        <v>0</v>
      </c>
      <c r="J129" s="172">
        <v>0</v>
      </c>
      <c r="K129" s="145">
        <v>0</v>
      </c>
      <c r="L129" s="165">
        <v>0</v>
      </c>
      <c r="M129" s="165">
        <v>0</v>
      </c>
      <c r="N129" s="165">
        <v>0</v>
      </c>
      <c r="O129" s="165">
        <v>0</v>
      </c>
      <c r="P129" s="165">
        <v>0</v>
      </c>
      <c r="Q129" s="165">
        <v>0</v>
      </c>
      <c r="R129" s="198">
        <v>0</v>
      </c>
      <c r="S129" s="165"/>
      <c r="T129" s="165"/>
      <c r="U129" s="166">
        <v>0</v>
      </c>
      <c r="V129" s="167">
        <v>1000</v>
      </c>
      <c r="W129" s="165"/>
      <c r="X129" s="165"/>
      <c r="Y129" s="165"/>
      <c r="Z129" s="165"/>
      <c r="AA129" s="165">
        <v>1000</v>
      </c>
      <c r="AB129" s="165">
        <v>0</v>
      </c>
      <c r="AC129" s="165">
        <v>0</v>
      </c>
      <c r="AD129" s="165">
        <v>0</v>
      </c>
      <c r="AE129" s="165"/>
      <c r="AF129" s="165">
        <v>0</v>
      </c>
      <c r="AG129" s="165"/>
      <c r="AH129" s="165"/>
      <c r="AI129" s="187">
        <f t="shared" si="60"/>
        <v>1000</v>
      </c>
      <c r="AJ129" s="164"/>
      <c r="AK129" s="136">
        <f t="shared" si="55"/>
        <v>0</v>
      </c>
    </row>
    <row r="130" spans="1:70" ht="13.9" customHeight="1" x14ac:dyDescent="0.3">
      <c r="A130" s="144"/>
      <c r="E130" s="136" t="s">
        <v>172</v>
      </c>
      <c r="H130" s="198"/>
      <c r="I130" s="165">
        <v>9</v>
      </c>
      <c r="J130" s="172">
        <v>29</v>
      </c>
      <c r="K130" s="165">
        <f>9+29</f>
        <v>38</v>
      </c>
      <c r="L130" s="165">
        <v>20</v>
      </c>
      <c r="M130" s="165">
        <v>46</v>
      </c>
      <c r="N130" s="165">
        <v>9</v>
      </c>
      <c r="O130" s="165">
        <f>9+2346</f>
        <v>2355</v>
      </c>
      <c r="P130" s="165">
        <v>19211</v>
      </c>
      <c r="Q130" s="165">
        <v>9</v>
      </c>
      <c r="R130" s="198">
        <v>9</v>
      </c>
      <c r="S130" s="175">
        <v>0</v>
      </c>
      <c r="T130" s="175">
        <v>0</v>
      </c>
      <c r="U130" s="166">
        <f t="shared" si="63"/>
        <v>21735</v>
      </c>
      <c r="V130" s="167">
        <v>432</v>
      </c>
      <c r="W130" s="165">
        <v>0</v>
      </c>
      <c r="X130" s="165">
        <v>0</v>
      </c>
      <c r="Y130" s="165">
        <v>0</v>
      </c>
      <c r="Z130" s="165">
        <v>0</v>
      </c>
      <c r="AA130" s="165">
        <v>122</v>
      </c>
      <c r="AB130" s="165">
        <v>0</v>
      </c>
      <c r="AC130" s="165">
        <v>29</v>
      </c>
      <c r="AD130" s="165">
        <f>9+20</f>
        <v>29</v>
      </c>
      <c r="AE130" s="165">
        <v>38</v>
      </c>
      <c r="AF130" s="165">
        <v>29</v>
      </c>
      <c r="AG130" s="165">
        <v>20</v>
      </c>
      <c r="AH130" s="165">
        <v>52</v>
      </c>
      <c r="AI130" s="187">
        <f t="shared" si="60"/>
        <v>247</v>
      </c>
      <c r="AJ130" s="144"/>
      <c r="AK130" s="136">
        <f t="shared" si="55"/>
        <v>185</v>
      </c>
    </row>
    <row r="131" spans="1:70" ht="12" customHeight="1" x14ac:dyDescent="0.3">
      <c r="A131" s="144"/>
      <c r="E131" s="136" t="s">
        <v>173</v>
      </c>
      <c r="H131" s="198"/>
      <c r="I131" s="145">
        <v>0</v>
      </c>
      <c r="J131" s="198">
        <v>0</v>
      </c>
      <c r="K131" s="145">
        <v>0</v>
      </c>
      <c r="L131" s="165">
        <v>0</v>
      </c>
      <c r="M131" s="165">
        <v>0</v>
      </c>
      <c r="N131" s="165">
        <v>0</v>
      </c>
      <c r="O131" s="165">
        <v>0</v>
      </c>
      <c r="P131" s="165">
        <v>0</v>
      </c>
      <c r="Q131" s="165">
        <v>0</v>
      </c>
      <c r="R131" s="198">
        <v>0</v>
      </c>
      <c r="S131" s="175">
        <v>0</v>
      </c>
      <c r="T131" s="175">
        <v>0</v>
      </c>
      <c r="U131" s="166">
        <f>SUM(I131:T131)</f>
        <v>0</v>
      </c>
      <c r="V131" s="167">
        <v>8893</v>
      </c>
      <c r="W131" s="165">
        <v>0</v>
      </c>
      <c r="X131" s="165">
        <v>0</v>
      </c>
      <c r="Y131" s="165">
        <v>0</v>
      </c>
      <c r="Z131" s="165">
        <v>0</v>
      </c>
      <c r="AA131" s="165">
        <v>0</v>
      </c>
      <c r="AB131" s="165">
        <v>0</v>
      </c>
      <c r="AC131" s="165">
        <v>0</v>
      </c>
      <c r="AD131" s="165">
        <v>0</v>
      </c>
      <c r="AE131" s="165">
        <v>0</v>
      </c>
      <c r="AF131" s="165">
        <v>0</v>
      </c>
      <c r="AG131" s="165">
        <v>0</v>
      </c>
      <c r="AH131" s="165">
        <v>121</v>
      </c>
      <c r="AI131" s="187">
        <f t="shared" si="60"/>
        <v>0</v>
      </c>
      <c r="AJ131" s="144"/>
      <c r="AK131" s="136">
        <f t="shared" si="55"/>
        <v>8893</v>
      </c>
    </row>
    <row r="132" spans="1:70" ht="12.75" customHeight="1" x14ac:dyDescent="0.3">
      <c r="A132" s="144"/>
      <c r="E132" s="177" t="s">
        <v>174</v>
      </c>
      <c r="H132" s="198"/>
      <c r="I132" s="145">
        <v>0</v>
      </c>
      <c r="J132" s="198">
        <v>0</v>
      </c>
      <c r="K132" s="145">
        <v>0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5">
        <v>0</v>
      </c>
      <c r="R132" s="198">
        <v>0</v>
      </c>
      <c r="S132" s="165">
        <v>0</v>
      </c>
      <c r="T132" s="165">
        <v>0</v>
      </c>
      <c r="U132" s="166">
        <f>SUM(I132:T132)</f>
        <v>0</v>
      </c>
      <c r="V132" s="167">
        <v>156964</v>
      </c>
      <c r="W132" s="165">
        <v>0</v>
      </c>
      <c r="X132" s="165">
        <v>0</v>
      </c>
      <c r="Y132" s="165">
        <v>0</v>
      </c>
      <c r="Z132" s="165">
        <v>0</v>
      </c>
      <c r="AA132" s="165">
        <v>0</v>
      </c>
      <c r="AB132" s="165">
        <v>0</v>
      </c>
      <c r="AC132" s="165">
        <v>0</v>
      </c>
      <c r="AD132" s="165">
        <v>0</v>
      </c>
      <c r="AE132" s="165">
        <v>0</v>
      </c>
      <c r="AF132" s="165">
        <v>0</v>
      </c>
      <c r="AG132" s="165">
        <v>0</v>
      </c>
      <c r="AH132" s="165">
        <v>83893</v>
      </c>
      <c r="AI132" s="187">
        <f t="shared" si="60"/>
        <v>0</v>
      </c>
      <c r="AJ132" s="144"/>
      <c r="AK132" s="136">
        <f t="shared" si="55"/>
        <v>156964</v>
      </c>
    </row>
    <row r="133" spans="1:70" ht="13.9" hidden="1" customHeight="1" x14ac:dyDescent="0.3">
      <c r="A133" s="560" t="s">
        <v>175</v>
      </c>
      <c r="B133" s="561"/>
      <c r="C133" s="561"/>
      <c r="D133" s="561"/>
      <c r="E133" s="561"/>
      <c r="F133" s="561"/>
      <c r="G133" s="562"/>
      <c r="H133" s="198">
        <v>0</v>
      </c>
      <c r="I133" s="145">
        <v>0</v>
      </c>
      <c r="J133" s="198">
        <v>0</v>
      </c>
      <c r="K133" s="145">
        <v>0</v>
      </c>
      <c r="L133" s="145">
        <v>0</v>
      </c>
      <c r="M133" s="145">
        <v>0</v>
      </c>
      <c r="N133" s="145">
        <v>0</v>
      </c>
      <c r="O133" s="145">
        <v>0</v>
      </c>
      <c r="P133" s="145">
        <v>0</v>
      </c>
      <c r="Q133" s="145">
        <v>0</v>
      </c>
      <c r="R133" s="145">
        <v>0</v>
      </c>
      <c r="S133" s="145">
        <v>0</v>
      </c>
      <c r="T133" s="145">
        <v>0</v>
      </c>
      <c r="U133" s="166">
        <f>SUM(I133:T133)</f>
        <v>0</v>
      </c>
      <c r="V133" s="200">
        <v>0</v>
      </c>
      <c r="W133" s="145">
        <v>0</v>
      </c>
      <c r="X133" s="145">
        <v>0</v>
      </c>
      <c r="Y133" s="145">
        <v>0</v>
      </c>
      <c r="Z133" s="145">
        <v>0</v>
      </c>
      <c r="AA133" s="145">
        <v>0</v>
      </c>
      <c r="AB133" s="145">
        <v>0</v>
      </c>
      <c r="AC133" s="145">
        <v>0</v>
      </c>
      <c r="AD133" s="145">
        <v>0</v>
      </c>
      <c r="AE133" s="145">
        <v>0</v>
      </c>
      <c r="AF133" s="145">
        <v>0</v>
      </c>
      <c r="AG133" s="145">
        <v>0</v>
      </c>
      <c r="AH133" s="145">
        <v>0</v>
      </c>
      <c r="AI133" s="187">
        <f t="shared" si="60"/>
        <v>0</v>
      </c>
      <c r="AJ133" s="144"/>
      <c r="AK133" s="136">
        <f t="shared" si="55"/>
        <v>0</v>
      </c>
    </row>
    <row r="134" spans="1:70" ht="12.75" customHeight="1" x14ac:dyDescent="0.3">
      <c r="A134" s="144" t="s">
        <v>176</v>
      </c>
      <c r="G134" s="199"/>
      <c r="H134" s="172">
        <v>47907539.571999997</v>
      </c>
      <c r="I134" s="172">
        <v>3948655.3564299997</v>
      </c>
      <c r="J134" s="172">
        <v>3968225.1260500001</v>
      </c>
      <c r="K134" s="172">
        <v>4096899.9649499999</v>
      </c>
      <c r="L134" s="172">
        <v>4157570.2102700002</v>
      </c>
      <c r="M134" s="172">
        <v>4030672.49242</v>
      </c>
      <c r="N134" s="172">
        <v>3632295.01516</v>
      </c>
      <c r="O134" s="172">
        <v>4013221.7997499998</v>
      </c>
      <c r="P134" s="172">
        <v>3983444.8035900001</v>
      </c>
      <c r="Q134" s="172">
        <v>4120287.1368299997</v>
      </c>
      <c r="R134" s="172">
        <v>3749200.6986700003</v>
      </c>
      <c r="S134" s="172">
        <v>0</v>
      </c>
      <c r="T134" s="165">
        <v>0</v>
      </c>
      <c r="U134" s="166">
        <f>SUM(I134:T134)</f>
        <v>39700472.604120001</v>
      </c>
      <c r="V134" s="167">
        <v>47282230.307910003</v>
      </c>
      <c r="W134" s="165">
        <v>3525945.3751999997</v>
      </c>
      <c r="X134" s="165">
        <v>3637558.8262899998</v>
      </c>
      <c r="Y134" s="165">
        <v>4247977.4219300002</v>
      </c>
      <c r="Z134" s="165">
        <v>3901229.6254000003</v>
      </c>
      <c r="AA134" s="165">
        <v>3769649.1843099999</v>
      </c>
      <c r="AB134" s="165">
        <v>3909920.0583500001</v>
      </c>
      <c r="AC134" s="165">
        <v>3823160.34082</v>
      </c>
      <c r="AD134" s="165">
        <v>3979506.7439099997</v>
      </c>
      <c r="AE134" s="165">
        <v>4500008.8098800005</v>
      </c>
      <c r="AF134" s="165">
        <v>4019991.9126500003</v>
      </c>
      <c r="AG134" s="165">
        <v>3904399.9030900002</v>
      </c>
      <c r="AH134" s="165">
        <v>4060004.4494000003</v>
      </c>
      <c r="AI134" s="187">
        <f t="shared" si="60"/>
        <v>39314948.29874</v>
      </c>
      <c r="AJ134" s="144"/>
      <c r="AK134" s="136">
        <f t="shared" si="55"/>
        <v>7967282.0091700032</v>
      </c>
    </row>
    <row r="135" spans="1:70" ht="12.75" customHeight="1" x14ac:dyDescent="0.3">
      <c r="A135" s="276" t="s">
        <v>177</v>
      </c>
      <c r="B135" s="277"/>
      <c r="C135" s="277"/>
      <c r="D135" s="277"/>
      <c r="E135" s="277"/>
      <c r="F135" s="277"/>
      <c r="G135" s="277"/>
      <c r="H135" s="278">
        <v>21634475.399999999</v>
      </c>
      <c r="I135" s="278">
        <v>1808900.1881300001</v>
      </c>
      <c r="J135" s="278">
        <v>1836340.2487999999</v>
      </c>
      <c r="K135" s="278">
        <v>1883348.5337999999</v>
      </c>
      <c r="L135" s="278">
        <v>1903516.67508</v>
      </c>
      <c r="M135" s="278">
        <v>1917105.37256</v>
      </c>
      <c r="N135" s="278">
        <v>1939501.2855199999</v>
      </c>
      <c r="O135" s="278">
        <v>1904871.0733699999</v>
      </c>
      <c r="P135" s="278">
        <v>1942424.2156800001</v>
      </c>
      <c r="Q135" s="278">
        <v>2103565.6041300003</v>
      </c>
      <c r="R135" s="278">
        <v>1936885.4944500001</v>
      </c>
      <c r="S135" s="278">
        <v>0</v>
      </c>
      <c r="T135" s="279">
        <v>0</v>
      </c>
      <c r="U135" s="280">
        <f>SUM(I135:T135)</f>
        <v>19176458.691519998</v>
      </c>
      <c r="V135" s="281">
        <v>21432659.445319999</v>
      </c>
      <c r="W135" s="279">
        <v>1555455.3291099998</v>
      </c>
      <c r="X135" s="279">
        <v>1611459.80754</v>
      </c>
      <c r="Y135" s="279">
        <v>1679129.4047399999</v>
      </c>
      <c r="Z135" s="279">
        <v>1805016.3999700001</v>
      </c>
      <c r="AA135" s="279">
        <v>1751486.6445499999</v>
      </c>
      <c r="AB135" s="279">
        <v>1794777.58858</v>
      </c>
      <c r="AC135" s="279">
        <v>1801987.64906</v>
      </c>
      <c r="AD135" s="279">
        <v>1798983.4555299999</v>
      </c>
      <c r="AE135" s="279">
        <v>1989339.3913800002</v>
      </c>
      <c r="AF135" s="279">
        <v>1839685.2271800002</v>
      </c>
      <c r="AG135" s="279">
        <v>1823651.6939400001</v>
      </c>
      <c r="AH135" s="279">
        <v>1981686.8537399999</v>
      </c>
      <c r="AI135" s="279">
        <f t="shared" si="60"/>
        <v>17627320.897640001</v>
      </c>
      <c r="AJ135" s="144"/>
      <c r="AK135" s="136">
        <f t="shared" si="55"/>
        <v>3805338.547679998</v>
      </c>
    </row>
    <row r="136" spans="1:70" ht="12.75" customHeight="1" x14ac:dyDescent="0.3">
      <c r="A136" s="234" t="s">
        <v>178</v>
      </c>
      <c r="H136" s="236"/>
      <c r="I136" s="237">
        <f>+I118+I119+I122+I133+I134+I135</f>
        <v>98892678.637869999</v>
      </c>
      <c r="J136" s="236">
        <f>+J118+J119+J122+J133+J134+J135-1</f>
        <v>112583958.99017997</v>
      </c>
      <c r="K136" s="237">
        <f t="shared" ref="K136:T136" si="64">+K118+K119+K122+K133+K134+K135</f>
        <v>239115878.39169002</v>
      </c>
      <c r="L136" s="237">
        <f>+L118+L119+L122+L133+L134+L135+2</f>
        <v>92453452.589829981</v>
      </c>
      <c r="M136" s="237">
        <f t="shared" si="64"/>
        <v>144708400.66189998</v>
      </c>
      <c r="N136" s="237">
        <f t="shared" si="64"/>
        <v>141764173.05173001</v>
      </c>
      <c r="O136" s="237">
        <f t="shared" si="64"/>
        <v>111328888.01133001</v>
      </c>
      <c r="P136" s="237">
        <f t="shared" si="64"/>
        <v>114873107.00788999</v>
      </c>
      <c r="Q136" s="237">
        <f t="shared" si="64"/>
        <v>235351907.22727001</v>
      </c>
      <c r="R136" s="237">
        <f t="shared" si="64"/>
        <v>120291526.54610997</v>
      </c>
      <c r="S136" s="237">
        <f t="shared" si="64"/>
        <v>0</v>
      </c>
      <c r="T136" s="237">
        <f t="shared" si="64"/>
        <v>0</v>
      </c>
      <c r="U136" s="47">
        <f>+U118+U119+U122+U133+U134+U135</f>
        <v>1411363970.1157999</v>
      </c>
      <c r="V136" s="185">
        <f>+V118+V119+V122+V133+V134+V135-1</f>
        <v>1633528649.0421999</v>
      </c>
      <c r="W136" s="237">
        <f>+W118+W119+W122+W133+W134+W135+1</f>
        <v>91084558.267109975</v>
      </c>
      <c r="X136" s="237">
        <f>+X118+X119+X122+X133+X134+X135-2</f>
        <v>101249784.77168997</v>
      </c>
      <c r="Y136" s="237">
        <f>+Y118+Y119+Y122+Y133+Y134+Y135</f>
        <v>210558826.75179997</v>
      </c>
      <c r="Z136" s="237">
        <f>+Z118+Z119+Z122+Z133+Z134+Z135-1</f>
        <v>85526743.526820034</v>
      </c>
      <c r="AA136" s="237">
        <f>+AA118+AA119+AA122+AA133+AA134+AA135</f>
        <v>128986720.63040601</v>
      </c>
      <c r="AB136" s="237">
        <f>+AB118+AB119+AB122+AB133+AB134+AB135</f>
        <v>140325780.93053001</v>
      </c>
      <c r="AC136" s="237">
        <f>+AC118+AC119+AC122+AC133+AC134+AC135</f>
        <v>104470760.42737</v>
      </c>
      <c r="AD136" s="237">
        <f>+AD118+AD119+AD122+AD133+AD134+AD135</f>
        <v>113771920.97863005</v>
      </c>
      <c r="AE136" s="237">
        <f>+AE118+AE119+AE122+AE133+AE134+AE135-1</f>
        <v>218399933.67759001</v>
      </c>
      <c r="AF136" s="237">
        <f>+AF118+AF119+AF122+AF133+AF134+AF135</f>
        <v>113379544.96722001</v>
      </c>
      <c r="AG136" s="237">
        <f>+AG118+AG119+AG122+AG133+AG134+AG135</f>
        <v>157772005.43448997</v>
      </c>
      <c r="AH136" s="237">
        <f>+AH118+AH119+AH122+AH133+AH134+AH135</f>
        <v>168011546.74643999</v>
      </c>
      <c r="AI136" s="237">
        <f>+AI118+AI119+AI122+AI133+AI134+AI135-1</f>
        <v>1307754576.9291656</v>
      </c>
      <c r="AJ136" s="144"/>
      <c r="AK136" s="42">
        <f t="shared" si="55"/>
        <v>325774072.11303425</v>
      </c>
    </row>
    <row r="137" spans="1:70" s="159" customFormat="1" ht="12.75" customHeight="1" x14ac:dyDescent="0.3">
      <c r="A137" s="164" t="s">
        <v>179</v>
      </c>
      <c r="G137" s="241"/>
      <c r="H137" s="198"/>
      <c r="I137" s="145">
        <v>-2652</v>
      </c>
      <c r="J137" s="198">
        <v>372</v>
      </c>
      <c r="K137" s="145">
        <v>1137</v>
      </c>
      <c r="L137" s="145">
        <v>-2383</v>
      </c>
      <c r="M137" s="145">
        <v>-2823</v>
      </c>
      <c r="N137" s="145">
        <v>5639</v>
      </c>
      <c r="O137" s="145">
        <v>-4161</v>
      </c>
      <c r="P137" s="145">
        <v>-655</v>
      </c>
      <c r="Q137" s="145">
        <v>1508</v>
      </c>
      <c r="R137" s="282">
        <v>-1338</v>
      </c>
      <c r="S137" s="282">
        <v>0</v>
      </c>
      <c r="T137" s="282">
        <v>0</v>
      </c>
      <c r="U137" s="283">
        <f>SUM(I137:T137)</f>
        <v>-5356</v>
      </c>
      <c r="V137" s="200">
        <v>1605</v>
      </c>
      <c r="W137" s="145">
        <v>-764</v>
      </c>
      <c r="X137" s="145">
        <v>1997</v>
      </c>
      <c r="Y137" s="145">
        <v>3994</v>
      </c>
      <c r="Z137" s="145">
        <v>-10156</v>
      </c>
      <c r="AA137" s="145">
        <v>-724</v>
      </c>
      <c r="AB137" s="145">
        <v>4964</v>
      </c>
      <c r="AC137" s="145">
        <v>-17812</v>
      </c>
      <c r="AD137" s="145">
        <v>16797</v>
      </c>
      <c r="AE137" s="145">
        <v>-2607</v>
      </c>
      <c r="AF137" s="145">
        <v>5419</v>
      </c>
      <c r="AG137" s="145">
        <v>1252</v>
      </c>
      <c r="AH137" s="145">
        <v>-755</v>
      </c>
      <c r="AI137" s="284">
        <f t="shared" ref="AI137:AI141" si="65">SUM(W137:AF137)</f>
        <v>1108</v>
      </c>
      <c r="AJ137" s="164"/>
      <c r="AK137" s="159">
        <f t="shared" si="55"/>
        <v>497</v>
      </c>
    </row>
    <row r="138" spans="1:70" s="159" customFormat="1" ht="12.75" hidden="1" customHeight="1" x14ac:dyDescent="0.3">
      <c r="A138" s="563" t="s">
        <v>180</v>
      </c>
      <c r="B138" s="556"/>
      <c r="C138" s="556"/>
      <c r="D138" s="556"/>
      <c r="E138" s="556"/>
      <c r="F138" s="556"/>
      <c r="G138" s="564"/>
      <c r="H138" s="198"/>
      <c r="I138" s="145">
        <v>0</v>
      </c>
      <c r="J138" s="198">
        <v>0</v>
      </c>
      <c r="K138" s="145">
        <v>0</v>
      </c>
      <c r="L138" s="145">
        <v>0</v>
      </c>
      <c r="M138" s="145">
        <v>0</v>
      </c>
      <c r="N138" s="145">
        <v>0</v>
      </c>
      <c r="O138" s="145">
        <v>0</v>
      </c>
      <c r="P138" s="145">
        <v>0</v>
      </c>
      <c r="Q138" s="145">
        <v>0</v>
      </c>
      <c r="R138" s="282">
        <v>0</v>
      </c>
      <c r="S138" s="282">
        <v>0</v>
      </c>
      <c r="T138" s="282">
        <v>0</v>
      </c>
      <c r="U138" s="283">
        <f>SUM(I138:T138)</f>
        <v>0</v>
      </c>
      <c r="V138" s="200"/>
      <c r="W138" s="145">
        <v>0</v>
      </c>
      <c r="X138" s="145">
        <v>0</v>
      </c>
      <c r="Y138" s="145">
        <v>0</v>
      </c>
      <c r="Z138" s="145">
        <v>0</v>
      </c>
      <c r="AA138" s="145">
        <v>0</v>
      </c>
      <c r="AB138" s="145">
        <v>0</v>
      </c>
      <c r="AC138" s="145">
        <v>0</v>
      </c>
      <c r="AD138" s="145">
        <v>0</v>
      </c>
      <c r="AE138" s="145">
        <v>0</v>
      </c>
      <c r="AF138" s="145">
        <v>0</v>
      </c>
      <c r="AG138" s="145">
        <v>0</v>
      </c>
      <c r="AH138" s="145">
        <v>0</v>
      </c>
      <c r="AI138" s="284">
        <f t="shared" si="65"/>
        <v>0</v>
      </c>
      <c r="AJ138" s="164"/>
      <c r="AK138" s="159">
        <f t="shared" si="55"/>
        <v>0</v>
      </c>
    </row>
    <row r="139" spans="1:70" s="159" customFormat="1" ht="12.75" customHeight="1" x14ac:dyDescent="0.3">
      <c r="A139" s="164" t="s">
        <v>181</v>
      </c>
      <c r="H139" s="198"/>
      <c r="I139" s="145">
        <v>-4060005</v>
      </c>
      <c r="J139" s="198">
        <v>-3948655</v>
      </c>
      <c r="K139" s="145">
        <v>-3968225</v>
      </c>
      <c r="L139" s="145">
        <v>-4096900</v>
      </c>
      <c r="M139" s="145">
        <v>-4160448</v>
      </c>
      <c r="N139" s="145">
        <v>-4030672</v>
      </c>
      <c r="O139" s="145">
        <v>-3632295</v>
      </c>
      <c r="P139" s="145">
        <v>-4013222</v>
      </c>
      <c r="Q139" s="145">
        <v>-3983445</v>
      </c>
      <c r="R139" s="282">
        <v>-4120287</v>
      </c>
      <c r="S139" s="282">
        <v>0</v>
      </c>
      <c r="T139" s="282">
        <v>0</v>
      </c>
      <c r="U139" s="283">
        <f>SUM(I139:T139)</f>
        <v>-40014154</v>
      </c>
      <c r="V139" s="200">
        <v>-47058717</v>
      </c>
      <c r="W139" s="145">
        <v>-3653210</v>
      </c>
      <c r="X139" s="145">
        <v>-3525945</v>
      </c>
      <c r="Y139" s="145">
        <v>-3637559</v>
      </c>
      <c r="Z139" s="145">
        <v>-4247977</v>
      </c>
      <c r="AA139" s="145">
        <v>-3901230</v>
      </c>
      <c r="AB139" s="145">
        <v>-3955808</v>
      </c>
      <c r="AC139" s="145">
        <v>-3909920</v>
      </c>
      <c r="AD139" s="145">
        <v>-3823160</v>
      </c>
      <c r="AE139" s="145">
        <v>-3979507</v>
      </c>
      <c r="AF139" s="145">
        <v>-4500009</v>
      </c>
      <c r="AG139" s="145">
        <v>-4019992</v>
      </c>
      <c r="AH139" s="145">
        <v>-3904400</v>
      </c>
      <c r="AI139" s="284">
        <f t="shared" si="65"/>
        <v>-39134325</v>
      </c>
      <c r="AJ139" s="164"/>
      <c r="AK139" s="159">
        <f t="shared" si="55"/>
        <v>-7924392</v>
      </c>
    </row>
    <row r="140" spans="1:70" s="159" customFormat="1" ht="12.75" customHeight="1" x14ac:dyDescent="0.3">
      <c r="A140" s="164" t="s">
        <v>182</v>
      </c>
      <c r="H140" s="198"/>
      <c r="I140" s="145">
        <v>-1981687</v>
      </c>
      <c r="J140" s="198">
        <v>-1808900</v>
      </c>
      <c r="K140" s="145">
        <v>-1836340</v>
      </c>
      <c r="L140" s="145">
        <v>-1883349</v>
      </c>
      <c r="M140" s="145">
        <v>-1903517</v>
      </c>
      <c r="N140" s="145">
        <v>-1917105</v>
      </c>
      <c r="O140" s="145">
        <v>-1939501</v>
      </c>
      <c r="P140" s="145">
        <v>-1904871</v>
      </c>
      <c r="Q140" s="145">
        <v>-1942424</v>
      </c>
      <c r="R140" s="282">
        <v>-2103566</v>
      </c>
      <c r="S140" s="282">
        <v>0</v>
      </c>
      <c r="T140" s="282">
        <v>0</v>
      </c>
      <c r="U140" s="283">
        <f>SUM(I140:T140)</f>
        <v>-19221260</v>
      </c>
      <c r="V140" s="200">
        <v>-21131671</v>
      </c>
      <c r="W140" s="145">
        <v>-1680699</v>
      </c>
      <c r="X140" s="145">
        <v>-1555455</v>
      </c>
      <c r="Y140" s="145">
        <v>-1611460</v>
      </c>
      <c r="Z140" s="145">
        <f>-1679129</f>
        <v>-1679129</v>
      </c>
      <c r="AA140" s="145">
        <v>-1805016</v>
      </c>
      <c r="AB140" s="145">
        <v>-1751487</v>
      </c>
      <c r="AC140" s="145">
        <v>-1794778</v>
      </c>
      <c r="AD140" s="145">
        <v>0</v>
      </c>
      <c r="AE140" s="145">
        <v>-1798983</v>
      </c>
      <c r="AF140" s="145">
        <v>-3791327</v>
      </c>
      <c r="AG140" s="145">
        <v>-1839685</v>
      </c>
      <c r="AH140" s="145">
        <v>-1823652</v>
      </c>
      <c r="AI140" s="284">
        <f t="shared" si="65"/>
        <v>-17468334</v>
      </c>
      <c r="AJ140" s="164"/>
      <c r="AK140" s="159">
        <f t="shared" si="55"/>
        <v>-3663337</v>
      </c>
    </row>
    <row r="141" spans="1:70" s="159" customFormat="1" ht="12.75" customHeight="1" x14ac:dyDescent="0.3">
      <c r="A141" s="565" t="s">
        <v>183</v>
      </c>
      <c r="B141" s="566"/>
      <c r="C141" s="566"/>
      <c r="D141" s="566"/>
      <c r="E141" s="566"/>
      <c r="F141" s="566"/>
      <c r="G141" s="567"/>
      <c r="H141" s="254"/>
      <c r="I141" s="145">
        <f>9081-10145</f>
        <v>-1064</v>
      </c>
      <c r="J141" s="198">
        <f>25330-992</f>
        <v>24338</v>
      </c>
      <c r="K141" s="145">
        <f>3213</f>
        <v>3213</v>
      </c>
      <c r="L141" s="145">
        <f>1142-890</f>
        <v>252</v>
      </c>
      <c r="M141" s="145">
        <f>2958-2036</f>
        <v>922</v>
      </c>
      <c r="N141" s="145">
        <v>6166</v>
      </c>
      <c r="O141" s="145">
        <v>1828</v>
      </c>
      <c r="P141" s="145">
        <v>2535</v>
      </c>
      <c r="Q141" s="145">
        <f>2580176-1505</f>
        <v>2578671</v>
      </c>
      <c r="R141" s="282">
        <v>21970</v>
      </c>
      <c r="S141" s="282">
        <v>0</v>
      </c>
      <c r="T141" s="282">
        <v>0</v>
      </c>
      <c r="U141" s="283">
        <f>SUM(I141:T141)</f>
        <v>2638831</v>
      </c>
      <c r="V141" s="257">
        <v>41162</v>
      </c>
      <c r="W141" s="145">
        <v>3915</v>
      </c>
      <c r="X141" s="145">
        <v>3642</v>
      </c>
      <c r="Y141" s="145">
        <v>813</v>
      </c>
      <c r="Z141" s="145">
        <v>962</v>
      </c>
      <c r="AA141" s="145">
        <f>1883-39</f>
        <v>1844</v>
      </c>
      <c r="AB141" s="145">
        <f>4506</f>
        <v>4506</v>
      </c>
      <c r="AC141" s="145">
        <f>1505-2000</f>
        <v>-495</v>
      </c>
      <c r="AD141" s="145">
        <v>28524</v>
      </c>
      <c r="AE141" s="145">
        <f>229-26</f>
        <v>203</v>
      </c>
      <c r="AF141" s="145">
        <v>2093</v>
      </c>
      <c r="AG141" s="145">
        <f>851-24000</f>
        <v>-23149</v>
      </c>
      <c r="AH141" s="145">
        <f>22654-450-3900</f>
        <v>18304</v>
      </c>
      <c r="AI141" s="284">
        <f t="shared" si="65"/>
        <v>46007</v>
      </c>
      <c r="AJ141" s="164"/>
      <c r="AK141" s="159">
        <f t="shared" si="55"/>
        <v>-4845</v>
      </c>
    </row>
    <row r="142" spans="1:70" ht="12.75" customHeight="1" x14ac:dyDescent="0.3">
      <c r="A142" s="258" t="s">
        <v>184</v>
      </c>
      <c r="B142" s="223"/>
      <c r="C142" s="223"/>
      <c r="D142" s="223"/>
      <c r="E142" s="223"/>
      <c r="F142" s="223"/>
      <c r="G142" s="225"/>
      <c r="H142" s="259"/>
      <c r="I142" s="259">
        <f>SUM(I136:I141)</f>
        <v>92847270.637869999</v>
      </c>
      <c r="J142" s="286">
        <f t="shared" ref="J142:S142" si="66">SUM(J136:J141)</f>
        <v>106851113.99017997</v>
      </c>
      <c r="K142" s="259">
        <f>SUM(K136:K141)</f>
        <v>233315663.39169002</v>
      </c>
      <c r="L142" s="259">
        <f t="shared" si="66"/>
        <v>86471072.589829981</v>
      </c>
      <c r="M142" s="259">
        <f t="shared" si="66"/>
        <v>138642534.66189998</v>
      </c>
      <c r="N142" s="259">
        <f t="shared" si="66"/>
        <v>135828201.05173001</v>
      </c>
      <c r="O142" s="259">
        <f>SUM(O136:O141)-1</f>
        <v>105754758.01133001</v>
      </c>
      <c r="P142" s="259">
        <f>SUM(P136:P141)</f>
        <v>108956894.00788999</v>
      </c>
      <c r="Q142" s="259">
        <f>SUM(Q136:Q141)+2</f>
        <v>232006219.22727001</v>
      </c>
      <c r="R142" s="259">
        <f>SUM(R136:R141)-2</f>
        <v>114088303.54610997</v>
      </c>
      <c r="S142" s="259">
        <f t="shared" si="66"/>
        <v>0</v>
      </c>
      <c r="T142" s="259">
        <f>SUM(T136:T141)</f>
        <v>0</v>
      </c>
      <c r="U142" s="48">
        <f>SUM(U136:U141)+1</f>
        <v>1354762032.1157999</v>
      </c>
      <c r="V142" s="260">
        <f>SUM(V136:V141)-3</f>
        <v>1565381025.0421999</v>
      </c>
      <c r="W142" s="259">
        <f>SUM(W136:W141)</f>
        <v>85753800.267109975</v>
      </c>
      <c r="X142" s="259">
        <f t="shared" ref="X142:AG142" si="67">SUM(X136:X141)</f>
        <v>96174023.771689966</v>
      </c>
      <c r="Y142" s="259">
        <f t="shared" si="67"/>
        <v>205314614.75179997</v>
      </c>
      <c r="Z142" s="259">
        <f t="shared" si="67"/>
        <v>79590443.526820034</v>
      </c>
      <c r="AA142" s="259">
        <f t="shared" si="67"/>
        <v>123281594.63040601</v>
      </c>
      <c r="AB142" s="259">
        <f t="shared" si="67"/>
        <v>134627955.93053001</v>
      </c>
      <c r="AC142" s="259">
        <f t="shared" si="67"/>
        <v>98747755.427369997</v>
      </c>
      <c r="AD142" s="259">
        <f t="shared" si="67"/>
        <v>109994081.97863005</v>
      </c>
      <c r="AE142" s="259">
        <f t="shared" si="67"/>
        <v>212619039.67759001</v>
      </c>
      <c r="AF142" s="259">
        <f t="shared" si="67"/>
        <v>105095720.96722001</v>
      </c>
      <c r="AG142" s="259">
        <f t="shared" si="67"/>
        <v>151890431.43448997</v>
      </c>
      <c r="AH142" s="259">
        <f>SUM(AH136:AH141)</f>
        <v>162301043.74643999</v>
      </c>
      <c r="AI142" s="259">
        <f>SUM(AI136:AI141)-1</f>
        <v>1251199031.9291656</v>
      </c>
      <c r="AJ142" s="144"/>
      <c r="AK142" s="42">
        <f t="shared" si="55"/>
        <v>314181993.11303425</v>
      </c>
    </row>
    <row r="143" spans="1:70" s="568" customFormat="1" ht="12.75" customHeight="1" x14ac:dyDescent="0.3">
      <c r="A143" s="556" t="s">
        <v>185</v>
      </c>
      <c r="B143" s="556"/>
      <c r="C143" s="556"/>
      <c r="D143" s="556"/>
      <c r="E143" s="556"/>
      <c r="F143" s="556"/>
      <c r="G143" s="556"/>
      <c r="H143" s="556"/>
      <c r="I143" s="556"/>
      <c r="J143" s="556"/>
      <c r="K143" s="556"/>
      <c r="L143" s="556"/>
      <c r="M143" s="556"/>
      <c r="N143" s="556"/>
      <c r="O143" s="556"/>
      <c r="P143" s="556"/>
      <c r="Q143" s="556"/>
      <c r="R143" s="556"/>
      <c r="S143" s="556"/>
      <c r="T143" s="556"/>
      <c r="U143" s="556"/>
      <c r="V143" s="556"/>
      <c r="W143" s="556"/>
      <c r="X143" s="556"/>
      <c r="Y143" s="556"/>
      <c r="Z143" s="556"/>
      <c r="AA143" s="556"/>
      <c r="AB143" s="556"/>
      <c r="AC143" s="556"/>
      <c r="AD143" s="556"/>
      <c r="AE143" s="556"/>
      <c r="AF143" s="556"/>
      <c r="AG143" s="556"/>
      <c r="AH143" s="556"/>
      <c r="AI143" s="556"/>
      <c r="AJ143" s="556"/>
      <c r="AK143" s="556"/>
      <c r="AL143" s="556"/>
      <c r="AM143" s="556"/>
      <c r="AN143" s="556"/>
      <c r="AO143" s="556"/>
      <c r="AP143" s="556"/>
      <c r="AQ143" s="556"/>
      <c r="AR143" s="556"/>
      <c r="AS143" s="556"/>
      <c r="AT143" s="556"/>
      <c r="AU143" s="556"/>
      <c r="AV143" s="556"/>
      <c r="AW143" s="556"/>
      <c r="AX143" s="556"/>
      <c r="AY143" s="556"/>
      <c r="AZ143" s="556"/>
      <c r="BA143" s="556"/>
      <c r="BB143" s="556"/>
      <c r="BC143" s="556"/>
      <c r="BD143" s="556"/>
      <c r="BE143" s="556"/>
      <c r="BF143" s="556"/>
      <c r="BG143" s="556"/>
      <c r="BH143" s="556"/>
      <c r="BI143" s="556"/>
      <c r="BJ143" s="556"/>
      <c r="BK143" s="556"/>
      <c r="BL143" s="556"/>
      <c r="BM143" s="556"/>
      <c r="BN143" s="556"/>
      <c r="BO143" s="556"/>
      <c r="BP143" s="556"/>
      <c r="BQ143" s="556"/>
      <c r="BR143" s="556"/>
    </row>
    <row r="144" spans="1:70" s="285" customFormat="1" ht="12.75" customHeight="1" x14ac:dyDescent="0.3">
      <c r="A144" s="556" t="s">
        <v>186</v>
      </c>
      <c r="B144" s="556"/>
      <c r="C144" s="556"/>
      <c r="D144" s="556"/>
      <c r="E144" s="556"/>
      <c r="F144" s="556"/>
      <c r="G144" s="556"/>
      <c r="H144" s="556"/>
      <c r="I144" s="556"/>
      <c r="J144" s="556"/>
      <c r="K144" s="556"/>
      <c r="L144" s="556"/>
      <c r="M144" s="556"/>
      <c r="N144" s="556"/>
      <c r="O144" s="556"/>
      <c r="P144" s="556"/>
      <c r="Q144" s="556"/>
      <c r="R144" s="556"/>
      <c r="S144" s="556"/>
      <c r="T144" s="556"/>
      <c r="U144" s="556"/>
      <c r="V144" s="556"/>
      <c r="W144" s="556"/>
      <c r="X144" s="556"/>
      <c r="Y144" s="556"/>
      <c r="Z144" s="556"/>
      <c r="AA144" s="556"/>
      <c r="AB144" s="556"/>
      <c r="AC144" s="556"/>
      <c r="AD144" s="556"/>
      <c r="AE144" s="556"/>
      <c r="AF144" s="556"/>
      <c r="AG144" s="556"/>
      <c r="AH144" s="556"/>
      <c r="AI144" s="556"/>
      <c r="AJ144" s="136"/>
    </row>
    <row r="145" spans="1:44" ht="12.75" customHeight="1" x14ac:dyDescent="0.3">
      <c r="A145" s="556" t="s">
        <v>187</v>
      </c>
      <c r="B145" s="556"/>
      <c r="C145" s="556"/>
      <c r="D145" s="556"/>
      <c r="E145" s="556"/>
      <c r="F145" s="556"/>
      <c r="G145" s="556"/>
      <c r="H145" s="556"/>
      <c r="I145" s="556"/>
      <c r="J145" s="556"/>
      <c r="K145" s="556"/>
      <c r="L145" s="556"/>
      <c r="M145" s="556"/>
      <c r="N145" s="556"/>
      <c r="O145" s="556"/>
      <c r="P145" s="556"/>
      <c r="Q145" s="556"/>
      <c r="R145" s="556"/>
      <c r="S145" s="556"/>
      <c r="T145" s="556"/>
      <c r="U145" s="556"/>
      <c r="V145" s="556"/>
      <c r="W145" s="556"/>
      <c r="X145" s="556"/>
      <c r="Y145" s="556"/>
      <c r="Z145" s="556"/>
      <c r="AA145" s="556"/>
      <c r="AB145" s="556"/>
      <c r="AC145" s="556"/>
      <c r="AD145" s="556"/>
      <c r="AE145" s="556"/>
      <c r="AF145" s="556"/>
      <c r="AG145" s="556"/>
      <c r="AH145" s="556"/>
      <c r="AI145" s="556"/>
      <c r="AJ145" s="159"/>
    </row>
    <row r="146" spans="1:44" ht="12.75" customHeight="1" x14ac:dyDescent="0.3">
      <c r="A146" s="556" t="s">
        <v>188</v>
      </c>
      <c r="B146" s="556"/>
      <c r="C146" s="556"/>
      <c r="D146" s="556"/>
      <c r="E146" s="556"/>
      <c r="F146" s="556"/>
      <c r="G146" s="556"/>
      <c r="H146" s="556"/>
      <c r="I146" s="556"/>
      <c r="J146" s="556"/>
      <c r="K146" s="556"/>
      <c r="L146" s="556"/>
      <c r="M146" s="556"/>
      <c r="N146" s="556"/>
      <c r="O146" s="556"/>
      <c r="P146" s="556"/>
      <c r="Q146" s="556"/>
      <c r="R146" s="556"/>
      <c r="S146" s="556"/>
      <c r="T146" s="556"/>
      <c r="U146" s="556"/>
      <c r="V146" s="556"/>
      <c r="W146" s="556"/>
      <c r="X146" s="556"/>
      <c r="Y146" s="556"/>
      <c r="Z146" s="556"/>
      <c r="AA146" s="556"/>
      <c r="AB146" s="556"/>
      <c r="AC146" s="556"/>
      <c r="AD146" s="556"/>
      <c r="AE146" s="556"/>
      <c r="AF146" s="556"/>
      <c r="AG146" s="556"/>
      <c r="AH146" s="556"/>
      <c r="AI146" s="556"/>
    </row>
    <row r="147" spans="1:44" ht="12.75" customHeight="1" x14ac:dyDescent="0.3">
      <c r="A147" s="556" t="s">
        <v>189</v>
      </c>
      <c r="B147" s="556"/>
      <c r="C147" s="556"/>
      <c r="D147" s="556"/>
      <c r="E147" s="556"/>
      <c r="F147" s="556"/>
      <c r="G147" s="556"/>
      <c r="H147" s="556"/>
      <c r="I147" s="556"/>
      <c r="J147" s="556"/>
      <c r="K147" s="556"/>
      <c r="L147" s="556"/>
      <c r="M147" s="556"/>
      <c r="N147" s="556"/>
      <c r="O147" s="556"/>
      <c r="P147" s="556"/>
      <c r="Q147" s="556"/>
      <c r="R147" s="556"/>
      <c r="S147" s="556"/>
      <c r="T147" s="556"/>
      <c r="U147" s="556"/>
      <c r="V147" s="556"/>
      <c r="W147" s="556"/>
      <c r="X147" s="556"/>
      <c r="Y147" s="556"/>
      <c r="Z147" s="556"/>
      <c r="AA147" s="556"/>
      <c r="AB147" s="556"/>
      <c r="AC147" s="556"/>
      <c r="AD147" s="556"/>
      <c r="AE147" s="556"/>
      <c r="AF147" s="556"/>
      <c r="AG147" s="556"/>
      <c r="AH147" s="556"/>
      <c r="AI147" s="556"/>
    </row>
    <row r="148" spans="1:44" ht="12.75" customHeight="1" x14ac:dyDescent="0.3">
      <c r="A148" s="285" t="s">
        <v>190</v>
      </c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  <c r="AI148" s="177"/>
    </row>
    <row r="149" spans="1:44" ht="12.75" customHeight="1" x14ac:dyDescent="0.3">
      <c r="A149" s="556" t="s">
        <v>191</v>
      </c>
      <c r="B149" s="556"/>
      <c r="C149" s="556"/>
      <c r="D149" s="556"/>
      <c r="E149" s="556"/>
      <c r="F149" s="556"/>
      <c r="G149" s="556"/>
      <c r="H149" s="556"/>
      <c r="I149" s="556"/>
      <c r="J149" s="556"/>
      <c r="K149" s="556"/>
      <c r="L149" s="556"/>
      <c r="M149" s="556"/>
      <c r="N149" s="556"/>
      <c r="O149" s="556"/>
      <c r="P149" s="556"/>
      <c r="Q149" s="556"/>
      <c r="R149" s="556"/>
      <c r="S149" s="556"/>
      <c r="T149" s="556"/>
      <c r="U149" s="556"/>
      <c r="V149" s="556"/>
      <c r="W149" s="556"/>
      <c r="X149" s="556"/>
      <c r="Y149" s="556"/>
      <c r="Z149" s="556"/>
      <c r="AA149" s="556"/>
      <c r="AB149" s="556"/>
      <c r="AC149" s="556"/>
      <c r="AD149" s="556"/>
      <c r="AE149" s="556"/>
      <c r="AF149" s="556"/>
      <c r="AG149" s="556"/>
      <c r="AH149" s="556"/>
      <c r="AI149" s="556"/>
    </row>
    <row r="150" spans="1:44" ht="12.75" customHeight="1" x14ac:dyDescent="0.3">
      <c r="A150" s="285" t="s">
        <v>192</v>
      </c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</row>
    <row r="151" spans="1:44" ht="12.75" customHeight="1" x14ac:dyDescent="0.3">
      <c r="A151" s="556" t="s">
        <v>193</v>
      </c>
      <c r="B151" s="556"/>
      <c r="C151" s="556"/>
      <c r="D151" s="556"/>
      <c r="E151" s="556"/>
      <c r="F151" s="556"/>
      <c r="G151" s="556"/>
      <c r="H151" s="556"/>
      <c r="I151" s="556"/>
      <c r="J151" s="556"/>
      <c r="K151" s="556"/>
      <c r="L151" s="556"/>
      <c r="M151" s="556"/>
      <c r="N151" s="556"/>
      <c r="O151" s="556"/>
      <c r="P151" s="556"/>
      <c r="Q151" s="556"/>
      <c r="R151" s="556"/>
      <c r="S151" s="556"/>
      <c r="T151" s="556"/>
      <c r="U151" s="556"/>
      <c r="V151" s="556"/>
      <c r="W151" s="556"/>
      <c r="X151" s="556"/>
      <c r="Y151" s="556"/>
      <c r="Z151" s="556"/>
      <c r="AA151" s="556"/>
      <c r="AB151" s="556"/>
      <c r="AC151" s="556"/>
      <c r="AD151" s="556"/>
      <c r="AE151" s="556"/>
      <c r="AF151" s="556"/>
      <c r="AG151" s="556"/>
      <c r="AH151" s="556"/>
      <c r="AI151" s="556"/>
    </row>
    <row r="152" spans="1:44" ht="12.75" customHeight="1" x14ac:dyDescent="0.3">
      <c r="A152" s="285"/>
      <c r="B152" s="285"/>
      <c r="C152" s="285"/>
      <c r="D152" s="285"/>
      <c r="E152" s="287"/>
      <c r="F152" s="285"/>
      <c r="G152" s="285"/>
      <c r="V152" s="136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</row>
    <row r="153" spans="1:44" ht="12.75" customHeight="1" x14ac:dyDescent="0.3">
      <c r="A153" s="159"/>
      <c r="B153" s="159"/>
      <c r="C153" s="159"/>
      <c r="E153" s="159"/>
      <c r="V153" s="136"/>
    </row>
    <row r="154" spans="1:44" s="285" customFormat="1" ht="12.65" customHeight="1" x14ac:dyDescent="0.3"/>
    <row r="155" spans="1:44" ht="12.75" customHeight="1" x14ac:dyDescent="0.3">
      <c r="V155" s="136"/>
    </row>
    <row r="156" spans="1:44" ht="12.75" customHeight="1" x14ac:dyDescent="0.3"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1:44" ht="12.75" customHeight="1" x14ac:dyDescent="0.3"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</row>
    <row r="158" spans="1:44" ht="12.75" customHeight="1" x14ac:dyDescent="0.3"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</row>
    <row r="159" spans="1:44" ht="12.75" customHeight="1" x14ac:dyDescent="0.3"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spans="1:44" ht="12.75" customHeight="1" x14ac:dyDescent="0.3">
      <c r="V160" s="136"/>
    </row>
    <row r="161" s="136" customFormat="1" ht="12.75" customHeight="1" x14ac:dyDescent="0.3"/>
    <row r="162" s="136" customFormat="1" ht="12.75" customHeight="1" x14ac:dyDescent="0.3"/>
    <row r="163" s="136" customFormat="1" ht="12.75" customHeight="1" x14ac:dyDescent="0.3"/>
    <row r="164" s="136" customFormat="1" ht="12.75" customHeight="1" x14ac:dyDescent="0.3"/>
    <row r="165" s="136" customFormat="1" ht="12.75" customHeight="1" x14ac:dyDescent="0.3"/>
    <row r="166" s="136" customFormat="1" ht="12.75" customHeight="1" x14ac:dyDescent="0.3"/>
    <row r="167" s="136" customFormat="1" ht="12.75" customHeight="1" x14ac:dyDescent="0.3"/>
    <row r="168" s="136" customFormat="1" ht="12.75" customHeight="1" x14ac:dyDescent="0.3"/>
    <row r="169" s="136" customFormat="1" ht="12.75" customHeight="1" x14ac:dyDescent="0.3"/>
    <row r="170" s="136" customFormat="1" ht="12.75" customHeight="1" x14ac:dyDescent="0.3"/>
    <row r="171" s="136" customFormat="1" ht="12.75" customHeight="1" x14ac:dyDescent="0.3"/>
    <row r="172" s="136" customFormat="1" ht="12.75" customHeight="1" x14ac:dyDescent="0.3"/>
    <row r="173" s="136" customFormat="1" ht="12.75" customHeight="1" x14ac:dyDescent="0.3"/>
    <row r="174" s="136" customFormat="1" ht="12.75" customHeight="1" x14ac:dyDescent="0.3"/>
    <row r="175" s="136" customFormat="1" ht="12.75" customHeight="1" x14ac:dyDescent="0.3"/>
    <row r="176" s="136" customFormat="1" ht="12.75" customHeight="1" x14ac:dyDescent="0.3"/>
    <row r="177" s="136" customFormat="1" ht="12.75" customHeight="1" x14ac:dyDescent="0.3"/>
    <row r="178" s="136" customFormat="1" ht="12.75" customHeight="1" x14ac:dyDescent="0.3"/>
    <row r="179" s="136" customFormat="1" ht="12.75" customHeight="1" x14ac:dyDescent="0.3"/>
    <row r="180" s="136" customFormat="1" ht="12.75" customHeight="1" x14ac:dyDescent="0.3"/>
    <row r="181" s="136" customFormat="1" ht="12.75" customHeight="1" x14ac:dyDescent="0.3"/>
    <row r="182" s="136" customFormat="1" ht="12.75" customHeight="1" x14ac:dyDescent="0.3"/>
    <row r="183" s="136" customFormat="1" ht="12.75" customHeight="1" x14ac:dyDescent="0.3"/>
    <row r="184" s="136" customFormat="1" ht="12.75" customHeight="1" x14ac:dyDescent="0.3"/>
    <row r="185" s="136" customFormat="1" ht="12.75" customHeight="1" x14ac:dyDescent="0.3"/>
    <row r="186" s="136" customFormat="1" ht="12.75" customHeight="1" x14ac:dyDescent="0.3"/>
    <row r="187" s="136" customFormat="1" ht="12.75" customHeight="1" x14ac:dyDescent="0.3"/>
    <row r="188" s="136" customFormat="1" ht="12.75" customHeight="1" x14ac:dyDescent="0.3"/>
    <row r="189" s="136" customFormat="1" ht="12.75" customHeight="1" x14ac:dyDescent="0.3"/>
    <row r="190" s="136" customFormat="1" ht="12.75" customHeight="1" x14ac:dyDescent="0.3"/>
    <row r="191" s="136" customFormat="1" ht="12.75" customHeight="1" x14ac:dyDescent="0.3"/>
    <row r="192" s="136" customFormat="1" ht="12.75" customHeight="1" x14ac:dyDescent="0.3"/>
    <row r="193" s="136" customFormat="1" ht="12.75" customHeight="1" x14ac:dyDescent="0.3"/>
    <row r="194" s="136" customFormat="1" ht="12.75" customHeight="1" x14ac:dyDescent="0.3"/>
    <row r="195" s="136" customFormat="1" ht="12.75" customHeight="1" x14ac:dyDescent="0.3"/>
    <row r="196" s="136" customFormat="1" ht="12.75" customHeight="1" x14ac:dyDescent="0.3"/>
    <row r="197" s="136" customFormat="1" ht="12.75" customHeight="1" x14ac:dyDescent="0.3"/>
    <row r="198" s="136" customFormat="1" ht="12.75" customHeight="1" x14ac:dyDescent="0.3"/>
    <row r="199" s="136" customFormat="1" ht="12.75" customHeight="1" x14ac:dyDescent="0.3"/>
    <row r="200" s="136" customFormat="1" ht="12.75" customHeight="1" x14ac:dyDescent="0.3"/>
    <row r="201" s="136" customFormat="1" ht="12.75" customHeight="1" x14ac:dyDescent="0.3"/>
    <row r="202" s="136" customFormat="1" ht="12.75" customHeight="1" x14ac:dyDescent="0.3"/>
    <row r="203" s="136" customFormat="1" ht="12.75" customHeight="1" x14ac:dyDescent="0.3"/>
    <row r="204" s="136" customFormat="1" ht="12.75" customHeight="1" x14ac:dyDescent="0.3"/>
    <row r="205" s="136" customFormat="1" ht="12.75" customHeight="1" x14ac:dyDescent="0.3"/>
    <row r="206" s="136" customFormat="1" ht="12.75" customHeight="1" x14ac:dyDescent="0.3"/>
    <row r="207" s="136" customFormat="1" ht="12.75" customHeight="1" x14ac:dyDescent="0.3"/>
    <row r="208" s="136" customFormat="1" ht="12.75" customHeight="1" x14ac:dyDescent="0.3"/>
    <row r="209" s="136" customFormat="1" ht="12.75" customHeight="1" x14ac:dyDescent="0.3"/>
    <row r="210" s="136" customFormat="1" ht="12.75" customHeight="1" x14ac:dyDescent="0.3"/>
    <row r="211" s="136" customFormat="1" ht="12.75" customHeight="1" x14ac:dyDescent="0.3"/>
    <row r="212" s="136" customFormat="1" ht="12.75" customHeight="1" x14ac:dyDescent="0.3"/>
    <row r="213" s="136" customFormat="1" ht="12.75" customHeight="1" x14ac:dyDescent="0.3"/>
    <row r="214" s="136" customFormat="1" ht="12.75" customHeight="1" x14ac:dyDescent="0.3"/>
    <row r="215" s="136" customFormat="1" ht="12.75" customHeight="1" x14ac:dyDescent="0.3"/>
    <row r="216" s="136" customFormat="1" ht="12.75" customHeight="1" x14ac:dyDescent="0.3"/>
    <row r="217" s="136" customFormat="1" ht="12.75" customHeight="1" x14ac:dyDescent="0.3"/>
    <row r="218" s="136" customFormat="1" ht="12.75" customHeight="1" x14ac:dyDescent="0.3"/>
    <row r="219" s="136" customFormat="1" ht="12.75" customHeight="1" x14ac:dyDescent="0.3"/>
    <row r="220" s="136" customFormat="1" ht="12.75" customHeight="1" x14ac:dyDescent="0.3"/>
    <row r="221" s="136" customFormat="1" ht="12.75" customHeight="1" x14ac:dyDescent="0.3"/>
    <row r="222" s="136" customFormat="1" ht="12.75" customHeight="1" x14ac:dyDescent="0.3"/>
    <row r="223" s="136" customFormat="1" ht="12.75" customHeight="1" x14ac:dyDescent="0.3"/>
    <row r="224" s="136" customFormat="1" ht="12.75" customHeight="1" x14ac:dyDescent="0.3"/>
    <row r="225" s="136" customFormat="1" ht="12.75" customHeight="1" x14ac:dyDescent="0.3"/>
    <row r="226" s="136" customFormat="1" ht="12.75" customHeight="1" x14ac:dyDescent="0.3"/>
    <row r="227" s="136" customFormat="1" ht="12.75" customHeight="1" x14ac:dyDescent="0.3"/>
    <row r="228" s="136" customFormat="1" ht="12.75" customHeight="1" x14ac:dyDescent="0.3"/>
    <row r="229" s="136" customFormat="1" ht="12.75" customHeight="1" x14ac:dyDescent="0.3"/>
    <row r="230" s="136" customFormat="1" ht="12.75" customHeight="1" x14ac:dyDescent="0.3"/>
    <row r="231" s="136" customFormat="1" ht="12.75" customHeight="1" x14ac:dyDescent="0.3"/>
    <row r="232" s="136" customFormat="1" ht="12.75" customHeight="1" x14ac:dyDescent="0.3"/>
    <row r="233" s="136" customFormat="1" ht="12.75" customHeight="1" x14ac:dyDescent="0.3"/>
    <row r="234" s="136" customFormat="1" ht="12.75" customHeight="1" x14ac:dyDescent="0.3"/>
    <row r="235" s="136" customFormat="1" ht="12.75" customHeight="1" x14ac:dyDescent="0.3"/>
    <row r="236" s="136" customFormat="1" ht="12.75" customHeight="1" x14ac:dyDescent="0.3"/>
    <row r="237" s="136" customFormat="1" ht="12.75" customHeight="1" x14ac:dyDescent="0.3"/>
    <row r="238" s="136" customFormat="1" ht="12.75" customHeight="1" x14ac:dyDescent="0.3"/>
    <row r="239" s="136" customFormat="1" ht="12.75" customHeight="1" x14ac:dyDescent="0.3"/>
    <row r="240" s="136" customFormat="1" ht="12.75" customHeight="1" x14ac:dyDescent="0.3"/>
    <row r="241" s="136" customFormat="1" ht="12.75" customHeight="1" x14ac:dyDescent="0.3"/>
    <row r="242" s="136" customFormat="1" ht="12.75" customHeight="1" x14ac:dyDescent="0.3"/>
    <row r="243" s="136" customFormat="1" ht="12.75" customHeight="1" x14ac:dyDescent="0.3"/>
    <row r="244" s="136" customFormat="1" ht="12.75" customHeight="1" x14ac:dyDescent="0.3"/>
    <row r="245" s="136" customFormat="1" ht="12.75" customHeight="1" x14ac:dyDescent="0.3"/>
    <row r="246" s="136" customFormat="1" ht="12.75" customHeight="1" x14ac:dyDescent="0.3"/>
    <row r="247" s="136" customFormat="1" ht="12.75" customHeight="1" x14ac:dyDescent="0.3"/>
    <row r="248" s="136" customFormat="1" ht="12.75" customHeight="1" x14ac:dyDescent="0.3"/>
    <row r="249" s="136" customFormat="1" ht="12.75" customHeight="1" x14ac:dyDescent="0.3"/>
    <row r="250" s="136" customFormat="1" ht="12.75" customHeight="1" x14ac:dyDescent="0.3"/>
    <row r="251" s="136" customFormat="1" ht="12.75" customHeight="1" x14ac:dyDescent="0.3"/>
    <row r="252" s="136" customFormat="1" ht="12.75" customHeight="1" x14ac:dyDescent="0.3"/>
    <row r="253" s="136" customFormat="1" ht="12.75" customHeight="1" x14ac:dyDescent="0.3"/>
    <row r="254" s="136" customFormat="1" ht="12.75" customHeight="1" x14ac:dyDescent="0.3"/>
    <row r="255" s="136" customFormat="1" ht="12.75" customHeight="1" x14ac:dyDescent="0.3"/>
    <row r="256" s="136" customFormat="1" ht="12.75" customHeight="1" x14ac:dyDescent="0.3"/>
    <row r="257" s="136" customFormat="1" ht="12.75" customHeight="1" x14ac:dyDescent="0.3"/>
    <row r="258" s="136" customFormat="1" ht="12.75" customHeight="1" x14ac:dyDescent="0.3"/>
    <row r="259" s="136" customFormat="1" ht="12.75" customHeight="1" x14ac:dyDescent="0.3"/>
    <row r="260" s="136" customFormat="1" ht="12.75" customHeight="1" x14ac:dyDescent="0.3"/>
    <row r="261" s="136" customFormat="1" ht="12.75" customHeight="1" x14ac:dyDescent="0.3"/>
    <row r="262" s="136" customFormat="1" ht="12.75" customHeight="1" x14ac:dyDescent="0.3"/>
    <row r="263" s="136" customFormat="1" ht="12.75" customHeight="1" x14ac:dyDescent="0.3"/>
    <row r="264" s="136" customFormat="1" ht="12.75" customHeight="1" x14ac:dyDescent="0.3"/>
    <row r="265" s="136" customFormat="1" ht="12.75" customHeight="1" x14ac:dyDescent="0.3"/>
    <row r="266" s="136" customFormat="1" ht="12.75" customHeight="1" x14ac:dyDescent="0.3"/>
    <row r="267" s="136" customFormat="1" ht="12.75" customHeight="1" x14ac:dyDescent="0.3"/>
    <row r="268" s="136" customFormat="1" ht="12.75" customHeight="1" x14ac:dyDescent="0.3"/>
    <row r="269" s="136" customFormat="1" ht="12.75" customHeight="1" x14ac:dyDescent="0.3"/>
    <row r="270" s="136" customFormat="1" ht="12.75" customHeight="1" x14ac:dyDescent="0.3"/>
    <row r="271" s="136" customFormat="1" ht="12.75" customHeight="1" x14ac:dyDescent="0.3"/>
    <row r="272" s="136" customFormat="1" ht="12.75" customHeight="1" x14ac:dyDescent="0.3"/>
    <row r="273" s="136" customFormat="1" ht="12.75" customHeight="1" x14ac:dyDescent="0.3"/>
    <row r="274" s="136" customFormat="1" ht="12.75" customHeight="1" x14ac:dyDescent="0.3"/>
    <row r="275" s="136" customFormat="1" ht="12.75" customHeight="1" x14ac:dyDescent="0.3"/>
    <row r="276" s="136" customFormat="1" ht="12.75" customHeight="1" x14ac:dyDescent="0.3"/>
    <row r="277" s="136" customFormat="1" ht="12.75" customHeight="1" x14ac:dyDescent="0.3"/>
    <row r="278" s="136" customFormat="1" ht="12.75" customHeight="1" x14ac:dyDescent="0.3"/>
    <row r="279" s="136" customFormat="1" ht="12.75" customHeight="1" x14ac:dyDescent="0.3"/>
    <row r="280" s="136" customFormat="1" ht="12.75" customHeight="1" x14ac:dyDescent="0.3"/>
    <row r="281" s="136" customFormat="1" ht="12.75" customHeight="1" x14ac:dyDescent="0.3"/>
    <row r="282" s="136" customFormat="1" ht="12.75" customHeight="1" x14ac:dyDescent="0.3"/>
    <row r="283" s="136" customFormat="1" ht="12.75" customHeight="1" x14ac:dyDescent="0.3"/>
    <row r="284" s="136" customFormat="1" ht="12.75" customHeight="1" x14ac:dyDescent="0.3"/>
    <row r="285" s="136" customFormat="1" ht="12.75" customHeight="1" x14ac:dyDescent="0.3"/>
    <row r="286" s="136" customFormat="1" ht="12.75" customHeight="1" x14ac:dyDescent="0.3"/>
    <row r="287" s="136" customFormat="1" ht="12.75" customHeight="1" x14ac:dyDescent="0.3"/>
    <row r="288" s="136" customFormat="1" ht="12.75" customHeight="1" x14ac:dyDescent="0.3"/>
    <row r="289" s="136" customFormat="1" ht="12.75" customHeight="1" x14ac:dyDescent="0.3"/>
    <row r="290" s="136" customFormat="1" ht="12.75" customHeight="1" x14ac:dyDescent="0.3"/>
    <row r="291" s="136" customFormat="1" ht="12.75" customHeight="1" x14ac:dyDescent="0.3"/>
    <row r="292" s="136" customFormat="1" ht="12.75" customHeight="1" x14ac:dyDescent="0.3"/>
    <row r="293" s="136" customFormat="1" ht="12.75" customHeight="1" x14ac:dyDescent="0.3"/>
    <row r="294" s="136" customFormat="1" ht="12.75" customHeight="1" x14ac:dyDescent="0.3"/>
    <row r="295" s="136" customFormat="1" ht="12.75" customHeight="1" x14ac:dyDescent="0.3"/>
    <row r="296" s="136" customFormat="1" ht="12.75" customHeight="1" x14ac:dyDescent="0.3"/>
    <row r="297" s="136" customFormat="1" ht="12.75" customHeight="1" x14ac:dyDescent="0.3"/>
    <row r="298" s="136" customFormat="1" ht="12.75" customHeight="1" x14ac:dyDescent="0.3"/>
    <row r="299" s="136" customFormat="1" ht="12.75" customHeight="1" x14ac:dyDescent="0.3"/>
    <row r="300" s="136" customFormat="1" ht="12.75" customHeight="1" x14ac:dyDescent="0.3"/>
    <row r="301" s="136" customFormat="1" ht="12.75" customHeight="1" x14ac:dyDescent="0.3"/>
    <row r="302" s="136" customFormat="1" ht="12.75" customHeight="1" x14ac:dyDescent="0.3"/>
    <row r="303" s="136" customFormat="1" ht="12.75" customHeight="1" x14ac:dyDescent="0.3"/>
    <row r="304" s="136" customFormat="1" ht="12.75" customHeight="1" x14ac:dyDescent="0.3"/>
    <row r="305" s="136" customFormat="1" ht="12.75" customHeight="1" x14ac:dyDescent="0.3"/>
    <row r="306" s="136" customFormat="1" ht="12.75" customHeight="1" x14ac:dyDescent="0.3"/>
    <row r="307" s="136" customFormat="1" ht="12.75" customHeight="1" x14ac:dyDescent="0.3"/>
    <row r="308" s="136" customFormat="1" ht="12.75" customHeight="1" x14ac:dyDescent="0.3"/>
    <row r="309" s="136" customFormat="1" ht="12.75" customHeight="1" x14ac:dyDescent="0.3"/>
    <row r="310" s="136" customFormat="1" ht="12.75" customHeight="1" x14ac:dyDescent="0.3"/>
    <row r="311" s="136" customFormat="1" ht="12.75" customHeight="1" x14ac:dyDescent="0.3"/>
    <row r="312" s="136" customFormat="1" ht="12.75" customHeight="1" x14ac:dyDescent="0.3"/>
    <row r="313" s="136" customFormat="1" ht="12.75" customHeight="1" x14ac:dyDescent="0.3"/>
    <row r="314" s="136" customFormat="1" ht="12.75" customHeight="1" x14ac:dyDescent="0.3"/>
    <row r="315" s="136" customFormat="1" ht="12.75" customHeight="1" x14ac:dyDescent="0.3"/>
    <row r="316" s="136" customFormat="1" ht="12.75" customHeight="1" x14ac:dyDescent="0.3"/>
    <row r="317" s="136" customFormat="1" ht="12.75" customHeight="1" x14ac:dyDescent="0.3"/>
    <row r="318" s="136" customFormat="1" ht="12.75" customHeight="1" x14ac:dyDescent="0.3"/>
    <row r="319" s="136" customFormat="1" ht="12.75" customHeight="1" x14ac:dyDescent="0.3"/>
    <row r="320" s="136" customFormat="1" ht="12.75" customHeight="1" x14ac:dyDescent="0.3"/>
    <row r="321" s="136" customFormat="1" ht="12.75" customHeight="1" x14ac:dyDescent="0.3"/>
    <row r="322" s="136" customFormat="1" ht="12.75" customHeight="1" x14ac:dyDescent="0.3"/>
    <row r="323" s="136" customFormat="1" ht="12.75" customHeight="1" x14ac:dyDescent="0.3"/>
    <row r="324" s="136" customFormat="1" ht="12.75" customHeight="1" x14ac:dyDescent="0.3"/>
    <row r="325" s="136" customFormat="1" ht="12.75" customHeight="1" x14ac:dyDescent="0.3"/>
    <row r="326" s="136" customFormat="1" ht="12.75" customHeight="1" x14ac:dyDescent="0.3"/>
    <row r="327" s="136" customFormat="1" ht="12.75" customHeight="1" x14ac:dyDescent="0.3"/>
    <row r="328" s="136" customFormat="1" ht="12.75" customHeight="1" x14ac:dyDescent="0.3"/>
    <row r="329" s="136" customFormat="1" ht="12.75" customHeight="1" x14ac:dyDescent="0.3"/>
    <row r="330" s="136" customFormat="1" ht="12.75" customHeight="1" x14ac:dyDescent="0.3"/>
    <row r="331" s="136" customFormat="1" ht="12.75" customHeight="1" x14ac:dyDescent="0.3"/>
    <row r="332" s="136" customFormat="1" ht="12.75" customHeight="1" x14ac:dyDescent="0.3"/>
    <row r="333" s="136" customFormat="1" ht="12.75" customHeight="1" x14ac:dyDescent="0.3"/>
    <row r="334" s="136" customFormat="1" ht="12.75" customHeight="1" x14ac:dyDescent="0.3"/>
    <row r="335" s="136" customFormat="1" ht="12.75" customHeight="1" x14ac:dyDescent="0.3"/>
    <row r="336" s="136" customFormat="1" ht="12.75" customHeight="1" x14ac:dyDescent="0.3"/>
    <row r="337" s="136" customFormat="1" ht="12.75" customHeight="1" x14ac:dyDescent="0.3"/>
    <row r="338" s="136" customFormat="1" ht="12.75" customHeight="1" x14ac:dyDescent="0.3"/>
    <row r="339" s="136" customFormat="1" ht="12.75" customHeight="1" x14ac:dyDescent="0.3"/>
    <row r="340" s="136" customFormat="1" ht="12.75" customHeight="1" x14ac:dyDescent="0.3"/>
    <row r="341" s="136" customFormat="1" ht="12.75" customHeight="1" x14ac:dyDescent="0.3"/>
    <row r="342" s="136" customFormat="1" ht="12.75" customHeight="1" x14ac:dyDescent="0.3"/>
    <row r="343" s="136" customFormat="1" ht="12.75" customHeight="1" x14ac:dyDescent="0.3"/>
    <row r="344" s="136" customFormat="1" ht="12.75" customHeight="1" x14ac:dyDescent="0.3"/>
    <row r="345" s="136" customFormat="1" ht="12.75" customHeight="1" x14ac:dyDescent="0.3"/>
    <row r="346" s="136" customFormat="1" ht="12.75" customHeight="1" x14ac:dyDescent="0.3"/>
    <row r="347" s="136" customFormat="1" ht="12.75" customHeight="1" x14ac:dyDescent="0.3"/>
    <row r="348" s="136" customFormat="1" ht="12.75" customHeight="1" x14ac:dyDescent="0.3"/>
    <row r="349" s="136" customFormat="1" ht="12.75" customHeight="1" x14ac:dyDescent="0.3"/>
    <row r="350" s="136" customFormat="1" ht="12.75" customHeight="1" x14ac:dyDescent="0.3"/>
    <row r="351" s="136" customFormat="1" ht="12.75" customHeight="1" x14ac:dyDescent="0.3"/>
    <row r="352" s="136" customFormat="1" ht="12.75" customHeight="1" x14ac:dyDescent="0.3"/>
    <row r="353" s="136" customFormat="1" ht="12.75" customHeight="1" x14ac:dyDescent="0.3"/>
    <row r="354" s="136" customFormat="1" ht="12.75" customHeight="1" x14ac:dyDescent="0.3"/>
    <row r="355" s="136" customFormat="1" ht="12.75" customHeight="1" x14ac:dyDescent="0.3"/>
    <row r="356" s="136" customFormat="1" ht="12.75" customHeight="1" x14ac:dyDescent="0.3"/>
    <row r="357" s="136" customFormat="1" ht="12.75" customHeight="1" x14ac:dyDescent="0.3"/>
    <row r="358" s="136" customFormat="1" ht="12.75" customHeight="1" x14ac:dyDescent="0.3"/>
    <row r="359" s="136" customFormat="1" ht="12.75" customHeight="1" x14ac:dyDescent="0.3"/>
    <row r="360" s="136" customFormat="1" ht="12.75" customHeight="1" x14ac:dyDescent="0.3"/>
    <row r="361" s="136" customFormat="1" ht="12.75" customHeight="1" x14ac:dyDescent="0.3"/>
    <row r="362" s="136" customFormat="1" ht="12.75" customHeight="1" x14ac:dyDescent="0.3"/>
    <row r="363" s="136" customFormat="1" ht="12.75" customHeight="1" x14ac:dyDescent="0.3"/>
    <row r="364" s="136" customFormat="1" ht="12.75" customHeight="1" x14ac:dyDescent="0.3"/>
    <row r="365" s="136" customFormat="1" ht="12.75" customHeight="1" x14ac:dyDescent="0.3"/>
    <row r="366" s="136" customFormat="1" ht="12.75" customHeight="1" x14ac:dyDescent="0.3"/>
    <row r="367" s="136" customFormat="1" ht="12.75" customHeight="1" x14ac:dyDescent="0.3"/>
    <row r="368" s="136" customFormat="1" ht="12.75" customHeight="1" x14ac:dyDescent="0.3"/>
    <row r="369" s="136" customFormat="1" ht="12.75" customHeight="1" x14ac:dyDescent="0.3"/>
    <row r="370" s="136" customFormat="1" ht="12.75" customHeight="1" x14ac:dyDescent="0.3"/>
    <row r="371" s="136" customFormat="1" ht="12.75" customHeight="1" x14ac:dyDescent="0.3"/>
    <row r="372" s="136" customFormat="1" ht="12.75" customHeight="1" x14ac:dyDescent="0.3"/>
    <row r="373" s="136" customFormat="1" ht="12.75" customHeight="1" x14ac:dyDescent="0.3"/>
    <row r="374" s="136" customFormat="1" ht="12.75" customHeight="1" x14ac:dyDescent="0.3"/>
    <row r="375" s="136" customFormat="1" ht="12.75" customHeight="1" x14ac:dyDescent="0.3"/>
    <row r="376" s="136" customFormat="1" ht="12.75" customHeight="1" x14ac:dyDescent="0.3"/>
    <row r="377" s="136" customFormat="1" ht="12.75" customHeight="1" x14ac:dyDescent="0.3"/>
    <row r="378" s="136" customFormat="1" ht="12.75" customHeight="1" x14ac:dyDescent="0.3"/>
    <row r="379" s="136" customFormat="1" ht="12.75" customHeight="1" x14ac:dyDescent="0.3"/>
    <row r="380" s="136" customFormat="1" ht="12.75" customHeight="1" x14ac:dyDescent="0.3"/>
    <row r="381" s="136" customFormat="1" ht="12.75" customHeight="1" x14ac:dyDescent="0.3"/>
    <row r="382" s="136" customFormat="1" ht="12.75" customHeight="1" x14ac:dyDescent="0.3"/>
    <row r="383" s="136" customFormat="1" ht="12.75" customHeight="1" x14ac:dyDescent="0.3"/>
    <row r="384" s="136" customFormat="1" ht="12.75" customHeight="1" x14ac:dyDescent="0.3"/>
    <row r="385" s="136" customFormat="1" ht="12.75" customHeight="1" x14ac:dyDescent="0.3"/>
    <row r="386" s="136" customFormat="1" ht="12.75" customHeight="1" x14ac:dyDescent="0.3"/>
    <row r="387" s="136" customFormat="1" ht="12.75" customHeight="1" x14ac:dyDescent="0.3"/>
    <row r="388" s="136" customFormat="1" ht="12.75" customHeight="1" x14ac:dyDescent="0.3"/>
    <row r="389" s="136" customFormat="1" ht="12.75" customHeight="1" x14ac:dyDescent="0.3"/>
    <row r="390" s="136" customFormat="1" ht="12.75" customHeight="1" x14ac:dyDescent="0.3"/>
    <row r="391" s="136" customFormat="1" ht="12.75" customHeight="1" x14ac:dyDescent="0.3"/>
    <row r="392" s="136" customFormat="1" ht="12.75" customHeight="1" x14ac:dyDescent="0.3"/>
    <row r="393" s="136" customFormat="1" ht="12.75" customHeight="1" x14ac:dyDescent="0.3"/>
    <row r="394" s="136" customFormat="1" ht="12.75" customHeight="1" x14ac:dyDescent="0.3"/>
    <row r="395" s="136" customFormat="1" ht="12.75" customHeight="1" x14ac:dyDescent="0.3"/>
    <row r="396" s="136" customFormat="1" ht="12.75" customHeight="1" x14ac:dyDescent="0.3"/>
    <row r="397" s="136" customFormat="1" ht="12.75" customHeight="1" x14ac:dyDescent="0.3"/>
    <row r="398" s="136" customFormat="1" ht="12.75" customHeight="1" x14ac:dyDescent="0.3"/>
    <row r="399" s="136" customFormat="1" ht="12.75" customHeight="1" x14ac:dyDescent="0.3"/>
    <row r="400" s="136" customFormat="1" ht="12.75" customHeight="1" x14ac:dyDescent="0.3"/>
    <row r="401" s="136" customFormat="1" ht="12.75" customHeight="1" x14ac:dyDescent="0.3"/>
    <row r="402" s="136" customFormat="1" ht="12.75" customHeight="1" x14ac:dyDescent="0.3"/>
    <row r="403" s="136" customFormat="1" ht="12.75" customHeight="1" x14ac:dyDescent="0.3"/>
    <row r="404" s="136" customFormat="1" ht="12.75" customHeight="1" x14ac:dyDescent="0.3"/>
    <row r="405" s="136" customFormat="1" ht="12.75" customHeight="1" x14ac:dyDescent="0.3"/>
    <row r="406" s="136" customFormat="1" ht="12.75" customHeight="1" x14ac:dyDescent="0.3"/>
    <row r="407" s="136" customFormat="1" ht="12.75" customHeight="1" x14ac:dyDescent="0.3"/>
    <row r="408" s="136" customFormat="1" ht="12.75" customHeight="1" x14ac:dyDescent="0.3"/>
    <row r="409" s="136" customFormat="1" ht="12.75" customHeight="1" x14ac:dyDescent="0.3"/>
    <row r="410" s="136" customFormat="1" ht="12.75" customHeight="1" x14ac:dyDescent="0.3"/>
    <row r="411" s="136" customFormat="1" ht="12.75" customHeight="1" x14ac:dyDescent="0.3"/>
    <row r="412" s="136" customFormat="1" ht="12.75" customHeight="1" x14ac:dyDescent="0.3"/>
    <row r="413" s="136" customFormat="1" ht="12.75" customHeight="1" x14ac:dyDescent="0.3"/>
    <row r="414" s="136" customFormat="1" ht="12.75" customHeight="1" x14ac:dyDescent="0.3"/>
    <row r="415" s="136" customFormat="1" ht="12.75" customHeight="1" x14ac:dyDescent="0.3"/>
    <row r="416" s="136" customFormat="1" ht="12.75" customHeight="1" x14ac:dyDescent="0.3"/>
    <row r="417" s="136" customFormat="1" ht="12.75" customHeight="1" x14ac:dyDescent="0.3"/>
    <row r="418" s="136" customFormat="1" ht="12.75" customHeight="1" x14ac:dyDescent="0.3"/>
    <row r="419" s="136" customFormat="1" ht="12.75" customHeight="1" x14ac:dyDescent="0.3"/>
    <row r="420" s="136" customFormat="1" ht="12.75" customHeight="1" x14ac:dyDescent="0.3"/>
    <row r="421" s="136" customFormat="1" ht="12.75" customHeight="1" x14ac:dyDescent="0.3"/>
    <row r="422" s="136" customFormat="1" ht="12.75" customHeight="1" x14ac:dyDescent="0.3"/>
    <row r="423" s="136" customFormat="1" ht="12.75" customHeight="1" x14ac:dyDescent="0.3"/>
    <row r="424" s="136" customFormat="1" ht="12.75" customHeight="1" x14ac:dyDescent="0.3"/>
    <row r="425" s="136" customFormat="1" ht="12.75" customHeight="1" x14ac:dyDescent="0.3"/>
    <row r="426" s="136" customFormat="1" ht="12.75" customHeight="1" x14ac:dyDescent="0.3"/>
    <row r="427" s="136" customFormat="1" ht="12.75" customHeight="1" x14ac:dyDescent="0.3"/>
    <row r="428" s="136" customFormat="1" ht="12.75" customHeight="1" x14ac:dyDescent="0.3"/>
    <row r="429" s="136" customFormat="1" ht="12.75" customHeight="1" x14ac:dyDescent="0.3"/>
    <row r="430" s="136" customFormat="1" ht="12.75" customHeight="1" x14ac:dyDescent="0.3"/>
    <row r="431" s="136" customFormat="1" ht="12.75" customHeight="1" x14ac:dyDescent="0.3"/>
    <row r="432" s="136" customFormat="1" ht="12.75" customHeight="1" x14ac:dyDescent="0.3"/>
    <row r="433" s="136" customFormat="1" ht="12.75" customHeight="1" x14ac:dyDescent="0.3"/>
    <row r="434" s="136" customFormat="1" ht="12.75" customHeight="1" x14ac:dyDescent="0.3"/>
    <row r="435" s="136" customFormat="1" ht="12.75" customHeight="1" x14ac:dyDescent="0.3"/>
    <row r="436" s="136" customFormat="1" ht="12.75" customHeight="1" x14ac:dyDescent="0.3"/>
    <row r="437" s="136" customFormat="1" ht="12.75" customHeight="1" x14ac:dyDescent="0.3"/>
    <row r="438" s="136" customFormat="1" ht="12.75" customHeight="1" x14ac:dyDescent="0.3"/>
    <row r="439" s="136" customFormat="1" ht="12.75" customHeight="1" x14ac:dyDescent="0.3"/>
    <row r="440" s="136" customFormat="1" ht="12.75" customHeight="1" x14ac:dyDescent="0.3"/>
    <row r="441" s="136" customFormat="1" ht="12.75" customHeight="1" x14ac:dyDescent="0.3"/>
    <row r="442" s="136" customFormat="1" ht="12.75" customHeight="1" x14ac:dyDescent="0.3"/>
    <row r="443" s="136" customFormat="1" ht="12.75" customHeight="1" x14ac:dyDescent="0.3"/>
    <row r="444" s="136" customFormat="1" ht="12.75" customHeight="1" x14ac:dyDescent="0.3"/>
    <row r="445" s="136" customFormat="1" ht="12.75" customHeight="1" x14ac:dyDescent="0.3"/>
    <row r="446" s="136" customFormat="1" ht="12.75" customHeight="1" x14ac:dyDescent="0.3"/>
    <row r="447" s="136" customFormat="1" ht="12.75" customHeight="1" x14ac:dyDescent="0.3"/>
    <row r="448" s="136" customFormat="1" ht="12.75" customHeight="1" x14ac:dyDescent="0.3"/>
    <row r="449" s="136" customFormat="1" ht="12.75" customHeight="1" x14ac:dyDescent="0.3"/>
    <row r="450" s="136" customFormat="1" ht="12.75" customHeight="1" x14ac:dyDescent="0.3"/>
    <row r="451" s="136" customFormat="1" ht="12.75" customHeight="1" x14ac:dyDescent="0.3"/>
    <row r="452" s="136" customFormat="1" ht="12.75" customHeight="1" x14ac:dyDescent="0.3"/>
    <row r="453" s="136" customFormat="1" ht="12.75" customHeight="1" x14ac:dyDescent="0.3"/>
    <row r="454" s="136" customFormat="1" ht="12.75" customHeight="1" x14ac:dyDescent="0.3"/>
    <row r="455" s="136" customFormat="1" ht="12.75" customHeight="1" x14ac:dyDescent="0.3"/>
    <row r="456" s="136" customFormat="1" ht="12.75" customHeight="1" x14ac:dyDescent="0.3"/>
    <row r="457" s="136" customFormat="1" ht="12.75" customHeight="1" x14ac:dyDescent="0.3"/>
    <row r="458" s="136" customFormat="1" ht="12.75" customHeight="1" x14ac:dyDescent="0.3"/>
    <row r="459" s="136" customFormat="1" ht="12.75" customHeight="1" x14ac:dyDescent="0.3"/>
    <row r="460" s="136" customFormat="1" ht="12.75" customHeight="1" x14ac:dyDescent="0.3"/>
    <row r="461" s="136" customFormat="1" ht="12.75" customHeight="1" x14ac:dyDescent="0.3"/>
    <row r="462" s="136" customFormat="1" ht="12.75" customHeight="1" x14ac:dyDescent="0.3"/>
    <row r="463" s="136" customFormat="1" ht="12.75" customHeight="1" x14ac:dyDescent="0.3"/>
    <row r="464" s="136" customFormat="1" ht="12.75" customHeight="1" x14ac:dyDescent="0.3"/>
    <row r="465" s="136" customFormat="1" ht="12.75" customHeight="1" x14ac:dyDescent="0.3"/>
    <row r="466" s="136" customFormat="1" ht="12.75" customHeight="1" x14ac:dyDescent="0.3"/>
    <row r="467" s="136" customFormat="1" ht="12.75" customHeight="1" x14ac:dyDescent="0.3"/>
    <row r="468" s="136" customFormat="1" ht="12.75" customHeight="1" x14ac:dyDescent="0.3"/>
    <row r="469" s="136" customFormat="1" ht="12.75" customHeight="1" x14ac:dyDescent="0.3"/>
    <row r="470" s="136" customFormat="1" ht="12.75" customHeight="1" x14ac:dyDescent="0.3"/>
    <row r="471" s="136" customFormat="1" ht="12.75" customHeight="1" x14ac:dyDescent="0.3"/>
    <row r="472" s="136" customFormat="1" ht="12.75" customHeight="1" x14ac:dyDescent="0.3"/>
    <row r="473" s="136" customFormat="1" ht="12.75" customHeight="1" x14ac:dyDescent="0.3"/>
    <row r="474" s="136" customFormat="1" ht="12.75" customHeight="1" x14ac:dyDescent="0.3"/>
    <row r="475" s="136" customFormat="1" ht="12.75" customHeight="1" x14ac:dyDescent="0.3"/>
    <row r="476" s="136" customFormat="1" ht="12.75" customHeight="1" x14ac:dyDescent="0.3"/>
    <row r="477" s="136" customFormat="1" ht="12.75" customHeight="1" x14ac:dyDescent="0.3"/>
    <row r="478" s="136" customFormat="1" ht="12.75" customHeight="1" x14ac:dyDescent="0.3"/>
    <row r="479" s="136" customFormat="1" ht="12.75" customHeight="1" x14ac:dyDescent="0.3"/>
    <row r="480" s="136" customFormat="1" ht="12.75" customHeight="1" x14ac:dyDescent="0.3"/>
    <row r="481" s="136" customFormat="1" ht="12.75" customHeight="1" x14ac:dyDescent="0.3"/>
    <row r="482" s="136" customFormat="1" ht="12.75" customHeight="1" x14ac:dyDescent="0.3"/>
    <row r="483" s="136" customFormat="1" ht="12.75" customHeight="1" x14ac:dyDescent="0.3"/>
    <row r="484" s="136" customFormat="1" ht="12.75" customHeight="1" x14ac:dyDescent="0.3"/>
    <row r="485" s="136" customFormat="1" ht="12.75" customHeight="1" x14ac:dyDescent="0.3"/>
    <row r="486" s="136" customFormat="1" ht="12.75" customHeight="1" x14ac:dyDescent="0.3"/>
    <row r="487" s="136" customFormat="1" ht="12.75" customHeight="1" x14ac:dyDescent="0.3"/>
    <row r="488" s="136" customFormat="1" ht="12.75" customHeight="1" x14ac:dyDescent="0.3"/>
    <row r="489" s="136" customFormat="1" ht="12.75" customHeight="1" x14ac:dyDescent="0.3"/>
    <row r="490" s="136" customFormat="1" ht="12.75" customHeight="1" x14ac:dyDescent="0.3"/>
    <row r="491" s="136" customFormat="1" ht="12.75" customHeight="1" x14ac:dyDescent="0.3"/>
    <row r="492" s="136" customFormat="1" ht="12.75" customHeight="1" x14ac:dyDescent="0.3"/>
    <row r="493" s="136" customFormat="1" ht="12.75" customHeight="1" x14ac:dyDescent="0.3"/>
    <row r="494" s="136" customFormat="1" ht="12.75" customHeight="1" x14ac:dyDescent="0.3"/>
    <row r="495" s="136" customFormat="1" ht="12.75" customHeight="1" x14ac:dyDescent="0.3"/>
    <row r="496" s="136" customFormat="1" ht="12.75" customHeight="1" x14ac:dyDescent="0.3"/>
    <row r="497" s="136" customFormat="1" ht="12.75" customHeight="1" x14ac:dyDescent="0.3"/>
    <row r="498" s="136" customFormat="1" ht="12.75" customHeight="1" x14ac:dyDescent="0.3"/>
    <row r="499" s="136" customFormat="1" ht="12.75" customHeight="1" x14ac:dyDescent="0.3"/>
    <row r="500" s="136" customFormat="1" ht="12.75" customHeight="1" x14ac:dyDescent="0.3"/>
    <row r="501" s="136" customFormat="1" ht="12.75" customHeight="1" x14ac:dyDescent="0.3"/>
    <row r="502" s="136" customFormat="1" ht="12.75" customHeight="1" x14ac:dyDescent="0.3"/>
    <row r="503" s="136" customFormat="1" ht="12.75" customHeight="1" x14ac:dyDescent="0.3"/>
    <row r="504" s="136" customFormat="1" ht="12.75" customHeight="1" x14ac:dyDescent="0.3"/>
    <row r="505" s="136" customFormat="1" ht="12.75" customHeight="1" x14ac:dyDescent="0.3"/>
    <row r="506" s="136" customFormat="1" ht="12.75" customHeight="1" x14ac:dyDescent="0.3"/>
    <row r="507" s="136" customFormat="1" ht="12.75" customHeight="1" x14ac:dyDescent="0.3"/>
    <row r="508" s="136" customFormat="1" ht="12.75" customHeight="1" x14ac:dyDescent="0.3"/>
    <row r="509" s="136" customFormat="1" ht="12.75" customHeight="1" x14ac:dyDescent="0.3"/>
    <row r="510" s="136" customFormat="1" ht="12.75" customHeight="1" x14ac:dyDescent="0.3"/>
    <row r="511" s="136" customFormat="1" ht="12.75" customHeight="1" x14ac:dyDescent="0.3"/>
    <row r="512" s="136" customFormat="1" ht="12.75" customHeight="1" x14ac:dyDescent="0.3"/>
    <row r="513" s="136" customFormat="1" ht="12.75" customHeight="1" x14ac:dyDescent="0.3"/>
    <row r="514" s="136" customFormat="1" ht="12.75" customHeight="1" x14ac:dyDescent="0.3"/>
    <row r="515" s="136" customFormat="1" ht="12.75" customHeight="1" x14ac:dyDescent="0.3"/>
    <row r="516" s="136" customFormat="1" ht="12.75" customHeight="1" x14ac:dyDescent="0.3"/>
    <row r="517" s="136" customFormat="1" ht="12.75" customHeight="1" x14ac:dyDescent="0.3"/>
    <row r="518" s="136" customFormat="1" ht="12.75" customHeight="1" x14ac:dyDescent="0.3"/>
    <row r="519" s="136" customFormat="1" ht="12.75" customHeight="1" x14ac:dyDescent="0.3"/>
    <row r="520" s="136" customFormat="1" ht="12.75" customHeight="1" x14ac:dyDescent="0.3"/>
    <row r="521" s="136" customFormat="1" ht="12.75" customHeight="1" x14ac:dyDescent="0.3"/>
    <row r="522" s="136" customFormat="1" ht="12.75" customHeight="1" x14ac:dyDescent="0.3"/>
    <row r="523" s="136" customFormat="1" ht="12.75" customHeight="1" x14ac:dyDescent="0.3"/>
    <row r="524" s="136" customFormat="1" ht="12.75" customHeight="1" x14ac:dyDescent="0.3"/>
    <row r="525" s="136" customFormat="1" ht="12.75" customHeight="1" x14ac:dyDescent="0.3"/>
    <row r="526" s="136" customFormat="1" ht="12.75" customHeight="1" x14ac:dyDescent="0.3"/>
    <row r="527" s="136" customFormat="1" ht="12.75" customHeight="1" x14ac:dyDescent="0.3"/>
    <row r="528" s="136" customFormat="1" ht="12.75" customHeight="1" x14ac:dyDescent="0.3"/>
    <row r="529" s="136" customFormat="1" ht="12.75" customHeight="1" x14ac:dyDescent="0.3"/>
    <row r="530" s="136" customFormat="1" ht="12.75" customHeight="1" x14ac:dyDescent="0.3"/>
    <row r="531" s="136" customFormat="1" ht="12.75" customHeight="1" x14ac:dyDescent="0.3"/>
    <row r="532" s="136" customFormat="1" ht="12.75" customHeight="1" x14ac:dyDescent="0.3"/>
    <row r="533" s="136" customFormat="1" ht="12.75" customHeight="1" x14ac:dyDescent="0.3"/>
    <row r="534" s="136" customFormat="1" ht="12.75" customHeight="1" x14ac:dyDescent="0.3"/>
    <row r="535" s="136" customFormat="1" ht="12.75" customHeight="1" x14ac:dyDescent="0.3"/>
    <row r="536" s="136" customFormat="1" ht="12.75" customHeight="1" x14ac:dyDescent="0.3"/>
    <row r="537" s="136" customFormat="1" ht="12.75" customHeight="1" x14ac:dyDescent="0.3"/>
    <row r="538" s="136" customFormat="1" ht="12.75" customHeight="1" x14ac:dyDescent="0.3"/>
    <row r="539" s="136" customFormat="1" ht="12.75" customHeight="1" x14ac:dyDescent="0.3"/>
    <row r="540" s="136" customFormat="1" ht="12.75" customHeight="1" x14ac:dyDescent="0.3"/>
    <row r="541" s="136" customFormat="1" ht="12.75" customHeight="1" x14ac:dyDescent="0.3"/>
    <row r="542" s="136" customFormat="1" ht="12.75" customHeight="1" x14ac:dyDescent="0.3"/>
    <row r="543" s="136" customFormat="1" ht="12.75" customHeight="1" x14ac:dyDescent="0.3"/>
    <row r="544" s="136" customFormat="1" ht="12.75" customHeight="1" x14ac:dyDescent="0.3"/>
    <row r="545" s="136" customFormat="1" ht="12.75" customHeight="1" x14ac:dyDescent="0.3"/>
    <row r="546" s="136" customFormat="1" ht="12.75" customHeight="1" x14ac:dyDescent="0.3"/>
    <row r="547" s="136" customFormat="1" ht="12.75" customHeight="1" x14ac:dyDescent="0.3"/>
    <row r="548" s="136" customFormat="1" ht="12.75" customHeight="1" x14ac:dyDescent="0.3"/>
    <row r="549" s="136" customFormat="1" ht="12.75" customHeight="1" x14ac:dyDescent="0.3"/>
    <row r="550" s="136" customFormat="1" ht="12.75" customHeight="1" x14ac:dyDescent="0.3"/>
  </sheetData>
  <mergeCells count="23">
    <mergeCell ref="E42:G42"/>
    <mergeCell ref="H3:U3"/>
    <mergeCell ref="V3:AI3"/>
    <mergeCell ref="E16:G16"/>
    <mergeCell ref="C25:G25"/>
    <mergeCell ref="C28:G28"/>
    <mergeCell ref="A144:AI144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A145:AI145"/>
    <mergeCell ref="A146:AI146"/>
    <mergeCell ref="A147:AI147"/>
    <mergeCell ref="A149:AI149"/>
    <mergeCell ref="A151:AI151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C12A-4B66-4556-A104-3377360D2695}">
  <sheetPr>
    <pageSetUpPr fitToPage="1"/>
  </sheetPr>
  <dimension ref="A1:DH288"/>
  <sheetViews>
    <sheetView view="pageBreakPreview" topLeftCell="A45" zoomScale="80" zoomScaleNormal="100" zoomScaleSheetLayoutView="80" workbookViewId="0">
      <selection activeCell="F60" sqref="F60"/>
    </sheetView>
  </sheetViews>
  <sheetFormatPr defaultRowHeight="14" x14ac:dyDescent="0.3"/>
  <cols>
    <col min="1" max="1" width="2.81640625" style="17" customWidth="1"/>
    <col min="2" max="2" width="3.26953125" style="17" customWidth="1"/>
    <col min="3" max="3" width="56" style="17" customWidth="1"/>
    <col min="4" max="4" width="4.26953125" style="17" customWidth="1"/>
    <col min="5" max="5" width="17.7265625" style="17" bestFit="1" customWidth="1"/>
    <col min="6" max="6" width="19.81640625" style="17" bestFit="1" customWidth="1"/>
    <col min="7" max="7" width="17.26953125" style="17" bestFit="1" customWidth="1"/>
    <col min="8" max="8" width="19" style="17" bestFit="1" customWidth="1"/>
    <col min="9" max="9" width="19.81640625" style="17" bestFit="1" customWidth="1"/>
    <col min="10" max="14" width="13.54296875" style="17" hidden="1" customWidth="1"/>
    <col min="15" max="15" width="12.7265625" style="17" hidden="1" customWidth="1"/>
    <col min="16" max="16" width="12.81640625" style="17" hidden="1" customWidth="1"/>
    <col min="17" max="17" width="11.26953125" style="17" hidden="1" customWidth="1"/>
    <col min="18" max="18" width="12.7265625" style="17" hidden="1" customWidth="1"/>
    <col min="19" max="19" width="13.1796875" style="17" hidden="1" customWidth="1"/>
    <col min="20" max="20" width="12.1796875" style="17" hidden="1" customWidth="1"/>
    <col min="21" max="21" width="12.81640625" style="17" hidden="1" customWidth="1"/>
    <col min="22" max="22" width="11.26953125" style="17" hidden="1" customWidth="1"/>
    <col min="23" max="23" width="13.453125" style="17" hidden="1" customWidth="1"/>
    <col min="24" max="24" width="12.7265625" style="17" hidden="1" customWidth="1"/>
    <col min="25" max="25" width="13.54296875" style="17" hidden="1" customWidth="1"/>
    <col min="26" max="26" width="14.453125" style="17" hidden="1" customWidth="1"/>
    <col min="27" max="27" width="12.1796875" style="17" hidden="1" customWidth="1"/>
    <col min="28" max="28" width="15.26953125" style="17" hidden="1" customWidth="1"/>
    <col min="29" max="29" width="12.54296875" style="17" hidden="1" customWidth="1"/>
    <col min="30" max="30" width="12.26953125" style="17" hidden="1" customWidth="1"/>
    <col min="31" max="31" width="12.7265625" style="17" hidden="1" customWidth="1"/>
    <col min="32" max="32" width="11.26953125" style="17" hidden="1" customWidth="1"/>
    <col min="33" max="33" width="12.7265625" style="17" hidden="1" customWidth="1"/>
    <col min="34" max="54" width="15.453125" style="17" hidden="1" customWidth="1"/>
    <col min="55" max="55" width="16.54296875" style="17" bestFit="1" customWidth="1"/>
    <col min="56" max="56" width="17.26953125" style="17" bestFit="1" customWidth="1"/>
    <col min="57" max="57" width="15.453125" style="17" customWidth="1"/>
    <col min="58" max="58" width="19" style="17" bestFit="1" customWidth="1"/>
    <col min="59" max="59" width="18.453125" style="17" bestFit="1" customWidth="1"/>
    <col min="60" max="69" width="15.453125" style="17" hidden="1" customWidth="1"/>
    <col min="70" max="70" width="18.26953125" style="17" bestFit="1" customWidth="1"/>
    <col min="71" max="71" width="17.7265625" style="17" bestFit="1" customWidth="1"/>
    <col min="72" max="72" width="17.26953125" style="17" bestFit="1" customWidth="1"/>
    <col min="73" max="73" width="19" style="17" bestFit="1" customWidth="1"/>
    <col min="74" max="74" width="18.7265625" style="17" bestFit="1" customWidth="1"/>
    <col min="75" max="75" width="3.26953125" style="17" customWidth="1"/>
    <col min="76" max="76" width="13.54296875" style="423" customWidth="1"/>
    <col min="77" max="77" width="0.26953125" style="17" customWidth="1"/>
    <col min="78" max="79" width="11.26953125" style="17" customWidth="1"/>
    <col min="80" max="80" width="9.1796875" style="17"/>
    <col min="81" max="81" width="10.81640625" style="17" customWidth="1"/>
    <col min="82" max="82" width="11.54296875" style="17" customWidth="1"/>
    <col min="83" max="83" width="10.1796875" style="17" customWidth="1"/>
    <col min="84" max="84" width="10.81640625" style="17" customWidth="1"/>
    <col min="85" max="85" width="9.26953125" style="17" customWidth="1"/>
    <col min="86" max="86" width="10.453125" style="17" customWidth="1"/>
    <col min="87" max="87" width="11.7265625" style="17" customWidth="1"/>
    <col min="88" max="256" width="9.1796875" style="17"/>
    <col min="257" max="257" width="2.81640625" style="17" customWidth="1"/>
    <col min="258" max="258" width="3.26953125" style="17" customWidth="1"/>
    <col min="259" max="259" width="56" style="17" customWidth="1"/>
    <col min="260" max="260" width="4.26953125" style="17" customWidth="1"/>
    <col min="261" max="265" width="13.54296875" style="17" customWidth="1"/>
    <col min="266" max="310" width="0" style="17" hidden="1" customWidth="1"/>
    <col min="311" max="315" width="15.453125" style="17" customWidth="1"/>
    <col min="316" max="325" width="0" style="17" hidden="1" customWidth="1"/>
    <col min="326" max="326" width="15.453125" style="17" customWidth="1"/>
    <col min="327" max="327" width="13.1796875" style="17" customWidth="1"/>
    <col min="328" max="328" width="11.26953125" style="17" customWidth="1"/>
    <col min="329" max="329" width="12.7265625" style="17" customWidth="1"/>
    <col min="330" max="330" width="14.7265625" style="17" customWidth="1"/>
    <col min="331" max="331" width="3.26953125" style="17" customWidth="1"/>
    <col min="332" max="332" width="13.54296875" style="17" customWidth="1"/>
    <col min="333" max="333" width="0.26953125" style="17" customWidth="1"/>
    <col min="334" max="335" width="11.26953125" style="17" customWidth="1"/>
    <col min="336" max="336" width="9.1796875" style="17"/>
    <col min="337" max="337" width="10.81640625" style="17" customWidth="1"/>
    <col min="338" max="338" width="11.54296875" style="17" customWidth="1"/>
    <col min="339" max="339" width="10.1796875" style="17" customWidth="1"/>
    <col min="340" max="340" width="10.81640625" style="17" customWidth="1"/>
    <col min="341" max="341" width="9.26953125" style="17" customWidth="1"/>
    <col min="342" max="342" width="10.453125" style="17" customWidth="1"/>
    <col min="343" max="343" width="11.7265625" style="17" customWidth="1"/>
    <col min="344" max="512" width="9.1796875" style="17"/>
    <col min="513" max="513" width="2.81640625" style="17" customWidth="1"/>
    <col min="514" max="514" width="3.26953125" style="17" customWidth="1"/>
    <col min="515" max="515" width="56" style="17" customWidth="1"/>
    <col min="516" max="516" width="4.26953125" style="17" customWidth="1"/>
    <col min="517" max="521" width="13.54296875" style="17" customWidth="1"/>
    <col min="522" max="566" width="0" style="17" hidden="1" customWidth="1"/>
    <col min="567" max="571" width="15.453125" style="17" customWidth="1"/>
    <col min="572" max="581" width="0" style="17" hidden="1" customWidth="1"/>
    <col min="582" max="582" width="15.453125" style="17" customWidth="1"/>
    <col min="583" max="583" width="13.1796875" style="17" customWidth="1"/>
    <col min="584" max="584" width="11.26953125" style="17" customWidth="1"/>
    <col min="585" max="585" width="12.7265625" style="17" customWidth="1"/>
    <col min="586" max="586" width="14.7265625" style="17" customWidth="1"/>
    <col min="587" max="587" width="3.26953125" style="17" customWidth="1"/>
    <col min="588" max="588" width="13.54296875" style="17" customWidth="1"/>
    <col min="589" max="589" width="0.26953125" style="17" customWidth="1"/>
    <col min="590" max="591" width="11.26953125" style="17" customWidth="1"/>
    <col min="592" max="592" width="9.1796875" style="17"/>
    <col min="593" max="593" width="10.81640625" style="17" customWidth="1"/>
    <col min="594" max="594" width="11.54296875" style="17" customWidth="1"/>
    <col min="595" max="595" width="10.1796875" style="17" customWidth="1"/>
    <col min="596" max="596" width="10.81640625" style="17" customWidth="1"/>
    <col min="597" max="597" width="9.26953125" style="17" customWidth="1"/>
    <col min="598" max="598" width="10.453125" style="17" customWidth="1"/>
    <col min="599" max="599" width="11.7265625" style="17" customWidth="1"/>
    <col min="600" max="768" width="9.1796875" style="17"/>
    <col min="769" max="769" width="2.81640625" style="17" customWidth="1"/>
    <col min="770" max="770" width="3.26953125" style="17" customWidth="1"/>
    <col min="771" max="771" width="56" style="17" customWidth="1"/>
    <col min="772" max="772" width="4.26953125" style="17" customWidth="1"/>
    <col min="773" max="777" width="13.54296875" style="17" customWidth="1"/>
    <col min="778" max="822" width="0" style="17" hidden="1" customWidth="1"/>
    <col min="823" max="827" width="15.453125" style="17" customWidth="1"/>
    <col min="828" max="837" width="0" style="17" hidden="1" customWidth="1"/>
    <col min="838" max="838" width="15.453125" style="17" customWidth="1"/>
    <col min="839" max="839" width="13.1796875" style="17" customWidth="1"/>
    <col min="840" max="840" width="11.26953125" style="17" customWidth="1"/>
    <col min="841" max="841" width="12.7265625" style="17" customWidth="1"/>
    <col min="842" max="842" width="14.7265625" style="17" customWidth="1"/>
    <col min="843" max="843" width="3.26953125" style="17" customWidth="1"/>
    <col min="844" max="844" width="13.54296875" style="17" customWidth="1"/>
    <col min="845" max="845" width="0.26953125" style="17" customWidth="1"/>
    <col min="846" max="847" width="11.26953125" style="17" customWidth="1"/>
    <col min="848" max="848" width="9.1796875" style="17"/>
    <col min="849" max="849" width="10.81640625" style="17" customWidth="1"/>
    <col min="850" max="850" width="11.54296875" style="17" customWidth="1"/>
    <col min="851" max="851" width="10.1796875" style="17" customWidth="1"/>
    <col min="852" max="852" width="10.81640625" style="17" customWidth="1"/>
    <col min="853" max="853" width="9.26953125" style="17" customWidth="1"/>
    <col min="854" max="854" width="10.453125" style="17" customWidth="1"/>
    <col min="855" max="855" width="11.7265625" style="17" customWidth="1"/>
    <col min="856" max="1024" width="9.1796875" style="17"/>
    <col min="1025" max="1025" width="2.81640625" style="17" customWidth="1"/>
    <col min="1026" max="1026" width="3.26953125" style="17" customWidth="1"/>
    <col min="1027" max="1027" width="56" style="17" customWidth="1"/>
    <col min="1028" max="1028" width="4.26953125" style="17" customWidth="1"/>
    <col min="1029" max="1033" width="13.54296875" style="17" customWidth="1"/>
    <col min="1034" max="1078" width="0" style="17" hidden="1" customWidth="1"/>
    <col min="1079" max="1083" width="15.453125" style="17" customWidth="1"/>
    <col min="1084" max="1093" width="0" style="17" hidden="1" customWidth="1"/>
    <col min="1094" max="1094" width="15.453125" style="17" customWidth="1"/>
    <col min="1095" max="1095" width="13.1796875" style="17" customWidth="1"/>
    <col min="1096" max="1096" width="11.26953125" style="17" customWidth="1"/>
    <col min="1097" max="1097" width="12.7265625" style="17" customWidth="1"/>
    <col min="1098" max="1098" width="14.7265625" style="17" customWidth="1"/>
    <col min="1099" max="1099" width="3.26953125" style="17" customWidth="1"/>
    <col min="1100" max="1100" width="13.54296875" style="17" customWidth="1"/>
    <col min="1101" max="1101" width="0.26953125" style="17" customWidth="1"/>
    <col min="1102" max="1103" width="11.26953125" style="17" customWidth="1"/>
    <col min="1104" max="1104" width="9.1796875" style="17"/>
    <col min="1105" max="1105" width="10.81640625" style="17" customWidth="1"/>
    <col min="1106" max="1106" width="11.54296875" style="17" customWidth="1"/>
    <col min="1107" max="1107" width="10.1796875" style="17" customWidth="1"/>
    <col min="1108" max="1108" width="10.81640625" style="17" customWidth="1"/>
    <col min="1109" max="1109" width="9.26953125" style="17" customWidth="1"/>
    <col min="1110" max="1110" width="10.453125" style="17" customWidth="1"/>
    <col min="1111" max="1111" width="11.7265625" style="17" customWidth="1"/>
    <col min="1112" max="1280" width="9.1796875" style="17"/>
    <col min="1281" max="1281" width="2.81640625" style="17" customWidth="1"/>
    <col min="1282" max="1282" width="3.26953125" style="17" customWidth="1"/>
    <col min="1283" max="1283" width="56" style="17" customWidth="1"/>
    <col min="1284" max="1284" width="4.26953125" style="17" customWidth="1"/>
    <col min="1285" max="1289" width="13.54296875" style="17" customWidth="1"/>
    <col min="1290" max="1334" width="0" style="17" hidden="1" customWidth="1"/>
    <col min="1335" max="1339" width="15.453125" style="17" customWidth="1"/>
    <col min="1340" max="1349" width="0" style="17" hidden="1" customWidth="1"/>
    <col min="1350" max="1350" width="15.453125" style="17" customWidth="1"/>
    <col min="1351" max="1351" width="13.1796875" style="17" customWidth="1"/>
    <col min="1352" max="1352" width="11.26953125" style="17" customWidth="1"/>
    <col min="1353" max="1353" width="12.7265625" style="17" customWidth="1"/>
    <col min="1354" max="1354" width="14.7265625" style="17" customWidth="1"/>
    <col min="1355" max="1355" width="3.26953125" style="17" customWidth="1"/>
    <col min="1356" max="1356" width="13.54296875" style="17" customWidth="1"/>
    <col min="1357" max="1357" width="0.26953125" style="17" customWidth="1"/>
    <col min="1358" max="1359" width="11.26953125" style="17" customWidth="1"/>
    <col min="1360" max="1360" width="9.1796875" style="17"/>
    <col min="1361" max="1361" width="10.81640625" style="17" customWidth="1"/>
    <col min="1362" max="1362" width="11.54296875" style="17" customWidth="1"/>
    <col min="1363" max="1363" width="10.1796875" style="17" customWidth="1"/>
    <col min="1364" max="1364" width="10.81640625" style="17" customWidth="1"/>
    <col min="1365" max="1365" width="9.26953125" style="17" customWidth="1"/>
    <col min="1366" max="1366" width="10.453125" style="17" customWidth="1"/>
    <col min="1367" max="1367" width="11.7265625" style="17" customWidth="1"/>
    <col min="1368" max="1536" width="9.1796875" style="17"/>
    <col min="1537" max="1537" width="2.81640625" style="17" customWidth="1"/>
    <col min="1538" max="1538" width="3.26953125" style="17" customWidth="1"/>
    <col min="1539" max="1539" width="56" style="17" customWidth="1"/>
    <col min="1540" max="1540" width="4.26953125" style="17" customWidth="1"/>
    <col min="1541" max="1545" width="13.54296875" style="17" customWidth="1"/>
    <col min="1546" max="1590" width="0" style="17" hidden="1" customWidth="1"/>
    <col min="1591" max="1595" width="15.453125" style="17" customWidth="1"/>
    <col min="1596" max="1605" width="0" style="17" hidden="1" customWidth="1"/>
    <col min="1606" max="1606" width="15.453125" style="17" customWidth="1"/>
    <col min="1607" max="1607" width="13.1796875" style="17" customWidth="1"/>
    <col min="1608" max="1608" width="11.26953125" style="17" customWidth="1"/>
    <col min="1609" max="1609" width="12.7265625" style="17" customWidth="1"/>
    <col min="1610" max="1610" width="14.7265625" style="17" customWidth="1"/>
    <col min="1611" max="1611" width="3.26953125" style="17" customWidth="1"/>
    <col min="1612" max="1612" width="13.54296875" style="17" customWidth="1"/>
    <col min="1613" max="1613" width="0.26953125" style="17" customWidth="1"/>
    <col min="1614" max="1615" width="11.26953125" style="17" customWidth="1"/>
    <col min="1616" max="1616" width="9.1796875" style="17"/>
    <col min="1617" max="1617" width="10.81640625" style="17" customWidth="1"/>
    <col min="1618" max="1618" width="11.54296875" style="17" customWidth="1"/>
    <col min="1619" max="1619" width="10.1796875" style="17" customWidth="1"/>
    <col min="1620" max="1620" width="10.81640625" style="17" customWidth="1"/>
    <col min="1621" max="1621" width="9.26953125" style="17" customWidth="1"/>
    <col min="1622" max="1622" width="10.453125" style="17" customWidth="1"/>
    <col min="1623" max="1623" width="11.7265625" style="17" customWidth="1"/>
    <col min="1624" max="1792" width="9.1796875" style="17"/>
    <col min="1793" max="1793" width="2.81640625" style="17" customWidth="1"/>
    <col min="1794" max="1794" width="3.26953125" style="17" customWidth="1"/>
    <col min="1795" max="1795" width="56" style="17" customWidth="1"/>
    <col min="1796" max="1796" width="4.26953125" style="17" customWidth="1"/>
    <col min="1797" max="1801" width="13.54296875" style="17" customWidth="1"/>
    <col min="1802" max="1846" width="0" style="17" hidden="1" customWidth="1"/>
    <col min="1847" max="1851" width="15.453125" style="17" customWidth="1"/>
    <col min="1852" max="1861" width="0" style="17" hidden="1" customWidth="1"/>
    <col min="1862" max="1862" width="15.453125" style="17" customWidth="1"/>
    <col min="1863" max="1863" width="13.1796875" style="17" customWidth="1"/>
    <col min="1864" max="1864" width="11.26953125" style="17" customWidth="1"/>
    <col min="1865" max="1865" width="12.7265625" style="17" customWidth="1"/>
    <col min="1866" max="1866" width="14.7265625" style="17" customWidth="1"/>
    <col min="1867" max="1867" width="3.26953125" style="17" customWidth="1"/>
    <col min="1868" max="1868" width="13.54296875" style="17" customWidth="1"/>
    <col min="1869" max="1869" width="0.26953125" style="17" customWidth="1"/>
    <col min="1870" max="1871" width="11.26953125" style="17" customWidth="1"/>
    <col min="1872" max="1872" width="9.1796875" style="17"/>
    <col min="1873" max="1873" width="10.81640625" style="17" customWidth="1"/>
    <col min="1874" max="1874" width="11.54296875" style="17" customWidth="1"/>
    <col min="1875" max="1875" width="10.1796875" style="17" customWidth="1"/>
    <col min="1876" max="1876" width="10.81640625" style="17" customWidth="1"/>
    <col min="1877" max="1877" width="9.26953125" style="17" customWidth="1"/>
    <col min="1878" max="1878" width="10.453125" style="17" customWidth="1"/>
    <col min="1879" max="1879" width="11.7265625" style="17" customWidth="1"/>
    <col min="1880" max="2048" width="9.1796875" style="17"/>
    <col min="2049" max="2049" width="2.81640625" style="17" customWidth="1"/>
    <col min="2050" max="2050" width="3.26953125" style="17" customWidth="1"/>
    <col min="2051" max="2051" width="56" style="17" customWidth="1"/>
    <col min="2052" max="2052" width="4.26953125" style="17" customWidth="1"/>
    <col min="2053" max="2057" width="13.54296875" style="17" customWidth="1"/>
    <col min="2058" max="2102" width="0" style="17" hidden="1" customWidth="1"/>
    <col min="2103" max="2107" width="15.453125" style="17" customWidth="1"/>
    <col min="2108" max="2117" width="0" style="17" hidden="1" customWidth="1"/>
    <col min="2118" max="2118" width="15.453125" style="17" customWidth="1"/>
    <col min="2119" max="2119" width="13.1796875" style="17" customWidth="1"/>
    <col min="2120" max="2120" width="11.26953125" style="17" customWidth="1"/>
    <col min="2121" max="2121" width="12.7265625" style="17" customWidth="1"/>
    <col min="2122" max="2122" width="14.7265625" style="17" customWidth="1"/>
    <col min="2123" max="2123" width="3.26953125" style="17" customWidth="1"/>
    <col min="2124" max="2124" width="13.54296875" style="17" customWidth="1"/>
    <col min="2125" max="2125" width="0.26953125" style="17" customWidth="1"/>
    <col min="2126" max="2127" width="11.26953125" style="17" customWidth="1"/>
    <col min="2128" max="2128" width="9.1796875" style="17"/>
    <col min="2129" max="2129" width="10.81640625" style="17" customWidth="1"/>
    <col min="2130" max="2130" width="11.54296875" style="17" customWidth="1"/>
    <col min="2131" max="2131" width="10.1796875" style="17" customWidth="1"/>
    <col min="2132" max="2132" width="10.81640625" style="17" customWidth="1"/>
    <col min="2133" max="2133" width="9.26953125" style="17" customWidth="1"/>
    <col min="2134" max="2134" width="10.453125" style="17" customWidth="1"/>
    <col min="2135" max="2135" width="11.7265625" style="17" customWidth="1"/>
    <col min="2136" max="2304" width="9.1796875" style="17"/>
    <col min="2305" max="2305" width="2.81640625" style="17" customWidth="1"/>
    <col min="2306" max="2306" width="3.26953125" style="17" customWidth="1"/>
    <col min="2307" max="2307" width="56" style="17" customWidth="1"/>
    <col min="2308" max="2308" width="4.26953125" style="17" customWidth="1"/>
    <col min="2309" max="2313" width="13.54296875" style="17" customWidth="1"/>
    <col min="2314" max="2358" width="0" style="17" hidden="1" customWidth="1"/>
    <col min="2359" max="2363" width="15.453125" style="17" customWidth="1"/>
    <col min="2364" max="2373" width="0" style="17" hidden="1" customWidth="1"/>
    <col min="2374" max="2374" width="15.453125" style="17" customWidth="1"/>
    <col min="2375" max="2375" width="13.1796875" style="17" customWidth="1"/>
    <col min="2376" max="2376" width="11.26953125" style="17" customWidth="1"/>
    <col min="2377" max="2377" width="12.7265625" style="17" customWidth="1"/>
    <col min="2378" max="2378" width="14.7265625" style="17" customWidth="1"/>
    <col min="2379" max="2379" width="3.26953125" style="17" customWidth="1"/>
    <col min="2380" max="2380" width="13.54296875" style="17" customWidth="1"/>
    <col min="2381" max="2381" width="0.26953125" style="17" customWidth="1"/>
    <col min="2382" max="2383" width="11.26953125" style="17" customWidth="1"/>
    <col min="2384" max="2384" width="9.1796875" style="17"/>
    <col min="2385" max="2385" width="10.81640625" style="17" customWidth="1"/>
    <col min="2386" max="2386" width="11.54296875" style="17" customWidth="1"/>
    <col min="2387" max="2387" width="10.1796875" style="17" customWidth="1"/>
    <col min="2388" max="2388" width="10.81640625" style="17" customWidth="1"/>
    <col min="2389" max="2389" width="9.26953125" style="17" customWidth="1"/>
    <col min="2390" max="2390" width="10.453125" style="17" customWidth="1"/>
    <col min="2391" max="2391" width="11.7265625" style="17" customWidth="1"/>
    <col min="2392" max="2560" width="9.1796875" style="17"/>
    <col min="2561" max="2561" width="2.81640625" style="17" customWidth="1"/>
    <col min="2562" max="2562" width="3.26953125" style="17" customWidth="1"/>
    <col min="2563" max="2563" width="56" style="17" customWidth="1"/>
    <col min="2564" max="2564" width="4.26953125" style="17" customWidth="1"/>
    <col min="2565" max="2569" width="13.54296875" style="17" customWidth="1"/>
    <col min="2570" max="2614" width="0" style="17" hidden="1" customWidth="1"/>
    <col min="2615" max="2619" width="15.453125" style="17" customWidth="1"/>
    <col min="2620" max="2629" width="0" style="17" hidden="1" customWidth="1"/>
    <col min="2630" max="2630" width="15.453125" style="17" customWidth="1"/>
    <col min="2631" max="2631" width="13.1796875" style="17" customWidth="1"/>
    <col min="2632" max="2632" width="11.26953125" style="17" customWidth="1"/>
    <col min="2633" max="2633" width="12.7265625" style="17" customWidth="1"/>
    <col min="2634" max="2634" width="14.7265625" style="17" customWidth="1"/>
    <col min="2635" max="2635" width="3.26953125" style="17" customWidth="1"/>
    <col min="2636" max="2636" width="13.54296875" style="17" customWidth="1"/>
    <col min="2637" max="2637" width="0.26953125" style="17" customWidth="1"/>
    <col min="2638" max="2639" width="11.26953125" style="17" customWidth="1"/>
    <col min="2640" max="2640" width="9.1796875" style="17"/>
    <col min="2641" max="2641" width="10.81640625" style="17" customWidth="1"/>
    <col min="2642" max="2642" width="11.54296875" style="17" customWidth="1"/>
    <col min="2643" max="2643" width="10.1796875" style="17" customWidth="1"/>
    <col min="2644" max="2644" width="10.81640625" style="17" customWidth="1"/>
    <col min="2645" max="2645" width="9.26953125" style="17" customWidth="1"/>
    <col min="2646" max="2646" width="10.453125" style="17" customWidth="1"/>
    <col min="2647" max="2647" width="11.7265625" style="17" customWidth="1"/>
    <col min="2648" max="2816" width="9.1796875" style="17"/>
    <col min="2817" max="2817" width="2.81640625" style="17" customWidth="1"/>
    <col min="2818" max="2818" width="3.26953125" style="17" customWidth="1"/>
    <col min="2819" max="2819" width="56" style="17" customWidth="1"/>
    <col min="2820" max="2820" width="4.26953125" style="17" customWidth="1"/>
    <col min="2821" max="2825" width="13.54296875" style="17" customWidth="1"/>
    <col min="2826" max="2870" width="0" style="17" hidden="1" customWidth="1"/>
    <col min="2871" max="2875" width="15.453125" style="17" customWidth="1"/>
    <col min="2876" max="2885" width="0" style="17" hidden="1" customWidth="1"/>
    <col min="2886" max="2886" width="15.453125" style="17" customWidth="1"/>
    <col min="2887" max="2887" width="13.1796875" style="17" customWidth="1"/>
    <col min="2888" max="2888" width="11.26953125" style="17" customWidth="1"/>
    <col min="2889" max="2889" width="12.7265625" style="17" customWidth="1"/>
    <col min="2890" max="2890" width="14.7265625" style="17" customWidth="1"/>
    <col min="2891" max="2891" width="3.26953125" style="17" customWidth="1"/>
    <col min="2892" max="2892" width="13.54296875" style="17" customWidth="1"/>
    <col min="2893" max="2893" width="0.26953125" style="17" customWidth="1"/>
    <col min="2894" max="2895" width="11.26953125" style="17" customWidth="1"/>
    <col min="2896" max="2896" width="9.1796875" style="17"/>
    <col min="2897" max="2897" width="10.81640625" style="17" customWidth="1"/>
    <col min="2898" max="2898" width="11.54296875" style="17" customWidth="1"/>
    <col min="2899" max="2899" width="10.1796875" style="17" customWidth="1"/>
    <col min="2900" max="2900" width="10.81640625" style="17" customWidth="1"/>
    <col min="2901" max="2901" width="9.26953125" style="17" customWidth="1"/>
    <col min="2902" max="2902" width="10.453125" style="17" customWidth="1"/>
    <col min="2903" max="2903" width="11.7265625" style="17" customWidth="1"/>
    <col min="2904" max="3072" width="9.1796875" style="17"/>
    <col min="3073" max="3073" width="2.81640625" style="17" customWidth="1"/>
    <col min="3074" max="3074" width="3.26953125" style="17" customWidth="1"/>
    <col min="3075" max="3075" width="56" style="17" customWidth="1"/>
    <col min="3076" max="3076" width="4.26953125" style="17" customWidth="1"/>
    <col min="3077" max="3081" width="13.54296875" style="17" customWidth="1"/>
    <col min="3082" max="3126" width="0" style="17" hidden="1" customWidth="1"/>
    <col min="3127" max="3131" width="15.453125" style="17" customWidth="1"/>
    <col min="3132" max="3141" width="0" style="17" hidden="1" customWidth="1"/>
    <col min="3142" max="3142" width="15.453125" style="17" customWidth="1"/>
    <col min="3143" max="3143" width="13.1796875" style="17" customWidth="1"/>
    <col min="3144" max="3144" width="11.26953125" style="17" customWidth="1"/>
    <col min="3145" max="3145" width="12.7265625" style="17" customWidth="1"/>
    <col min="3146" max="3146" width="14.7265625" style="17" customWidth="1"/>
    <col min="3147" max="3147" width="3.26953125" style="17" customWidth="1"/>
    <col min="3148" max="3148" width="13.54296875" style="17" customWidth="1"/>
    <col min="3149" max="3149" width="0.26953125" style="17" customWidth="1"/>
    <col min="3150" max="3151" width="11.26953125" style="17" customWidth="1"/>
    <col min="3152" max="3152" width="9.1796875" style="17"/>
    <col min="3153" max="3153" width="10.81640625" style="17" customWidth="1"/>
    <col min="3154" max="3154" width="11.54296875" style="17" customWidth="1"/>
    <col min="3155" max="3155" width="10.1796875" style="17" customWidth="1"/>
    <col min="3156" max="3156" width="10.81640625" style="17" customWidth="1"/>
    <col min="3157" max="3157" width="9.26953125" style="17" customWidth="1"/>
    <col min="3158" max="3158" width="10.453125" style="17" customWidth="1"/>
    <col min="3159" max="3159" width="11.7265625" style="17" customWidth="1"/>
    <col min="3160" max="3328" width="9.1796875" style="17"/>
    <col min="3329" max="3329" width="2.81640625" style="17" customWidth="1"/>
    <col min="3330" max="3330" width="3.26953125" style="17" customWidth="1"/>
    <col min="3331" max="3331" width="56" style="17" customWidth="1"/>
    <col min="3332" max="3332" width="4.26953125" style="17" customWidth="1"/>
    <col min="3333" max="3337" width="13.54296875" style="17" customWidth="1"/>
    <col min="3338" max="3382" width="0" style="17" hidden="1" customWidth="1"/>
    <col min="3383" max="3387" width="15.453125" style="17" customWidth="1"/>
    <col min="3388" max="3397" width="0" style="17" hidden="1" customWidth="1"/>
    <col min="3398" max="3398" width="15.453125" style="17" customWidth="1"/>
    <col min="3399" max="3399" width="13.1796875" style="17" customWidth="1"/>
    <col min="3400" max="3400" width="11.26953125" style="17" customWidth="1"/>
    <col min="3401" max="3401" width="12.7265625" style="17" customWidth="1"/>
    <col min="3402" max="3402" width="14.7265625" style="17" customWidth="1"/>
    <col min="3403" max="3403" width="3.26953125" style="17" customWidth="1"/>
    <col min="3404" max="3404" width="13.54296875" style="17" customWidth="1"/>
    <col min="3405" max="3405" width="0.26953125" style="17" customWidth="1"/>
    <col min="3406" max="3407" width="11.26953125" style="17" customWidth="1"/>
    <col min="3408" max="3408" width="9.1796875" style="17"/>
    <col min="3409" max="3409" width="10.81640625" style="17" customWidth="1"/>
    <col min="3410" max="3410" width="11.54296875" style="17" customWidth="1"/>
    <col min="3411" max="3411" width="10.1796875" style="17" customWidth="1"/>
    <col min="3412" max="3412" width="10.81640625" style="17" customWidth="1"/>
    <col min="3413" max="3413" width="9.26953125" style="17" customWidth="1"/>
    <col min="3414" max="3414" width="10.453125" style="17" customWidth="1"/>
    <col min="3415" max="3415" width="11.7265625" style="17" customWidth="1"/>
    <col min="3416" max="3584" width="9.1796875" style="17"/>
    <col min="3585" max="3585" width="2.81640625" style="17" customWidth="1"/>
    <col min="3586" max="3586" width="3.26953125" style="17" customWidth="1"/>
    <col min="3587" max="3587" width="56" style="17" customWidth="1"/>
    <col min="3588" max="3588" width="4.26953125" style="17" customWidth="1"/>
    <col min="3589" max="3593" width="13.54296875" style="17" customWidth="1"/>
    <col min="3594" max="3638" width="0" style="17" hidden="1" customWidth="1"/>
    <col min="3639" max="3643" width="15.453125" style="17" customWidth="1"/>
    <col min="3644" max="3653" width="0" style="17" hidden="1" customWidth="1"/>
    <col min="3654" max="3654" width="15.453125" style="17" customWidth="1"/>
    <col min="3655" max="3655" width="13.1796875" style="17" customWidth="1"/>
    <col min="3656" max="3656" width="11.26953125" style="17" customWidth="1"/>
    <col min="3657" max="3657" width="12.7265625" style="17" customWidth="1"/>
    <col min="3658" max="3658" width="14.7265625" style="17" customWidth="1"/>
    <col min="3659" max="3659" width="3.26953125" style="17" customWidth="1"/>
    <col min="3660" max="3660" width="13.54296875" style="17" customWidth="1"/>
    <col min="3661" max="3661" width="0.26953125" style="17" customWidth="1"/>
    <col min="3662" max="3663" width="11.26953125" style="17" customWidth="1"/>
    <col min="3664" max="3664" width="9.1796875" style="17"/>
    <col min="3665" max="3665" width="10.81640625" style="17" customWidth="1"/>
    <col min="3666" max="3666" width="11.54296875" style="17" customWidth="1"/>
    <col min="3667" max="3667" width="10.1796875" style="17" customWidth="1"/>
    <col min="3668" max="3668" width="10.81640625" style="17" customWidth="1"/>
    <col min="3669" max="3669" width="9.26953125" style="17" customWidth="1"/>
    <col min="3670" max="3670" width="10.453125" style="17" customWidth="1"/>
    <col min="3671" max="3671" width="11.7265625" style="17" customWidth="1"/>
    <col min="3672" max="3840" width="9.1796875" style="17"/>
    <col min="3841" max="3841" width="2.81640625" style="17" customWidth="1"/>
    <col min="3842" max="3842" width="3.26953125" style="17" customWidth="1"/>
    <col min="3843" max="3843" width="56" style="17" customWidth="1"/>
    <col min="3844" max="3844" width="4.26953125" style="17" customWidth="1"/>
    <col min="3845" max="3849" width="13.54296875" style="17" customWidth="1"/>
    <col min="3850" max="3894" width="0" style="17" hidden="1" customWidth="1"/>
    <col min="3895" max="3899" width="15.453125" style="17" customWidth="1"/>
    <col min="3900" max="3909" width="0" style="17" hidden="1" customWidth="1"/>
    <col min="3910" max="3910" width="15.453125" style="17" customWidth="1"/>
    <col min="3911" max="3911" width="13.1796875" style="17" customWidth="1"/>
    <col min="3912" max="3912" width="11.26953125" style="17" customWidth="1"/>
    <col min="3913" max="3913" width="12.7265625" style="17" customWidth="1"/>
    <col min="3914" max="3914" width="14.7265625" style="17" customWidth="1"/>
    <col min="3915" max="3915" width="3.26953125" style="17" customWidth="1"/>
    <col min="3916" max="3916" width="13.54296875" style="17" customWidth="1"/>
    <col min="3917" max="3917" width="0.26953125" style="17" customWidth="1"/>
    <col min="3918" max="3919" width="11.26953125" style="17" customWidth="1"/>
    <col min="3920" max="3920" width="9.1796875" style="17"/>
    <col min="3921" max="3921" width="10.81640625" style="17" customWidth="1"/>
    <col min="3922" max="3922" width="11.54296875" style="17" customWidth="1"/>
    <col min="3923" max="3923" width="10.1796875" style="17" customWidth="1"/>
    <col min="3924" max="3924" width="10.81640625" style="17" customWidth="1"/>
    <col min="3925" max="3925" width="9.26953125" style="17" customWidth="1"/>
    <col min="3926" max="3926" width="10.453125" style="17" customWidth="1"/>
    <col min="3927" max="3927" width="11.7265625" style="17" customWidth="1"/>
    <col min="3928" max="4096" width="9.1796875" style="17"/>
    <col min="4097" max="4097" width="2.81640625" style="17" customWidth="1"/>
    <col min="4098" max="4098" width="3.26953125" style="17" customWidth="1"/>
    <col min="4099" max="4099" width="56" style="17" customWidth="1"/>
    <col min="4100" max="4100" width="4.26953125" style="17" customWidth="1"/>
    <col min="4101" max="4105" width="13.54296875" style="17" customWidth="1"/>
    <col min="4106" max="4150" width="0" style="17" hidden="1" customWidth="1"/>
    <col min="4151" max="4155" width="15.453125" style="17" customWidth="1"/>
    <col min="4156" max="4165" width="0" style="17" hidden="1" customWidth="1"/>
    <col min="4166" max="4166" width="15.453125" style="17" customWidth="1"/>
    <col min="4167" max="4167" width="13.1796875" style="17" customWidth="1"/>
    <col min="4168" max="4168" width="11.26953125" style="17" customWidth="1"/>
    <col min="4169" max="4169" width="12.7265625" style="17" customWidth="1"/>
    <col min="4170" max="4170" width="14.7265625" style="17" customWidth="1"/>
    <col min="4171" max="4171" width="3.26953125" style="17" customWidth="1"/>
    <col min="4172" max="4172" width="13.54296875" style="17" customWidth="1"/>
    <col min="4173" max="4173" width="0.26953125" style="17" customWidth="1"/>
    <col min="4174" max="4175" width="11.26953125" style="17" customWidth="1"/>
    <col min="4176" max="4176" width="9.1796875" style="17"/>
    <col min="4177" max="4177" width="10.81640625" style="17" customWidth="1"/>
    <col min="4178" max="4178" width="11.54296875" style="17" customWidth="1"/>
    <col min="4179" max="4179" width="10.1796875" style="17" customWidth="1"/>
    <col min="4180" max="4180" width="10.81640625" style="17" customWidth="1"/>
    <col min="4181" max="4181" width="9.26953125" style="17" customWidth="1"/>
    <col min="4182" max="4182" width="10.453125" style="17" customWidth="1"/>
    <col min="4183" max="4183" width="11.7265625" style="17" customWidth="1"/>
    <col min="4184" max="4352" width="9.1796875" style="17"/>
    <col min="4353" max="4353" width="2.81640625" style="17" customWidth="1"/>
    <col min="4354" max="4354" width="3.26953125" style="17" customWidth="1"/>
    <col min="4355" max="4355" width="56" style="17" customWidth="1"/>
    <col min="4356" max="4356" width="4.26953125" style="17" customWidth="1"/>
    <col min="4357" max="4361" width="13.54296875" style="17" customWidth="1"/>
    <col min="4362" max="4406" width="0" style="17" hidden="1" customWidth="1"/>
    <col min="4407" max="4411" width="15.453125" style="17" customWidth="1"/>
    <col min="4412" max="4421" width="0" style="17" hidden="1" customWidth="1"/>
    <col min="4422" max="4422" width="15.453125" style="17" customWidth="1"/>
    <col min="4423" max="4423" width="13.1796875" style="17" customWidth="1"/>
    <col min="4424" max="4424" width="11.26953125" style="17" customWidth="1"/>
    <col min="4425" max="4425" width="12.7265625" style="17" customWidth="1"/>
    <col min="4426" max="4426" width="14.7265625" style="17" customWidth="1"/>
    <col min="4427" max="4427" width="3.26953125" style="17" customWidth="1"/>
    <col min="4428" max="4428" width="13.54296875" style="17" customWidth="1"/>
    <col min="4429" max="4429" width="0.26953125" style="17" customWidth="1"/>
    <col min="4430" max="4431" width="11.26953125" style="17" customWidth="1"/>
    <col min="4432" max="4432" width="9.1796875" style="17"/>
    <col min="4433" max="4433" width="10.81640625" style="17" customWidth="1"/>
    <col min="4434" max="4434" width="11.54296875" style="17" customWidth="1"/>
    <col min="4435" max="4435" width="10.1796875" style="17" customWidth="1"/>
    <col min="4436" max="4436" width="10.81640625" style="17" customWidth="1"/>
    <col min="4437" max="4437" width="9.26953125" style="17" customWidth="1"/>
    <col min="4438" max="4438" width="10.453125" style="17" customWidth="1"/>
    <col min="4439" max="4439" width="11.7265625" style="17" customWidth="1"/>
    <col min="4440" max="4608" width="9.1796875" style="17"/>
    <col min="4609" max="4609" width="2.81640625" style="17" customWidth="1"/>
    <col min="4610" max="4610" width="3.26953125" style="17" customWidth="1"/>
    <col min="4611" max="4611" width="56" style="17" customWidth="1"/>
    <col min="4612" max="4612" width="4.26953125" style="17" customWidth="1"/>
    <col min="4613" max="4617" width="13.54296875" style="17" customWidth="1"/>
    <col min="4618" max="4662" width="0" style="17" hidden="1" customWidth="1"/>
    <col min="4663" max="4667" width="15.453125" style="17" customWidth="1"/>
    <col min="4668" max="4677" width="0" style="17" hidden="1" customWidth="1"/>
    <col min="4678" max="4678" width="15.453125" style="17" customWidth="1"/>
    <col min="4679" max="4679" width="13.1796875" style="17" customWidth="1"/>
    <col min="4680" max="4680" width="11.26953125" style="17" customWidth="1"/>
    <col min="4681" max="4681" width="12.7265625" style="17" customWidth="1"/>
    <col min="4682" max="4682" width="14.7265625" style="17" customWidth="1"/>
    <col min="4683" max="4683" width="3.26953125" style="17" customWidth="1"/>
    <col min="4684" max="4684" width="13.54296875" style="17" customWidth="1"/>
    <col min="4685" max="4685" width="0.26953125" style="17" customWidth="1"/>
    <col min="4686" max="4687" width="11.26953125" style="17" customWidth="1"/>
    <col min="4688" max="4688" width="9.1796875" style="17"/>
    <col min="4689" max="4689" width="10.81640625" style="17" customWidth="1"/>
    <col min="4690" max="4690" width="11.54296875" style="17" customWidth="1"/>
    <col min="4691" max="4691" width="10.1796875" style="17" customWidth="1"/>
    <col min="4692" max="4692" width="10.81640625" style="17" customWidth="1"/>
    <col min="4693" max="4693" width="9.26953125" style="17" customWidth="1"/>
    <col min="4694" max="4694" width="10.453125" style="17" customWidth="1"/>
    <col min="4695" max="4695" width="11.7265625" style="17" customWidth="1"/>
    <col min="4696" max="4864" width="9.1796875" style="17"/>
    <col min="4865" max="4865" width="2.81640625" style="17" customWidth="1"/>
    <col min="4866" max="4866" width="3.26953125" style="17" customWidth="1"/>
    <col min="4867" max="4867" width="56" style="17" customWidth="1"/>
    <col min="4868" max="4868" width="4.26953125" style="17" customWidth="1"/>
    <col min="4869" max="4873" width="13.54296875" style="17" customWidth="1"/>
    <col min="4874" max="4918" width="0" style="17" hidden="1" customWidth="1"/>
    <col min="4919" max="4923" width="15.453125" style="17" customWidth="1"/>
    <col min="4924" max="4933" width="0" style="17" hidden="1" customWidth="1"/>
    <col min="4934" max="4934" width="15.453125" style="17" customWidth="1"/>
    <col min="4935" max="4935" width="13.1796875" style="17" customWidth="1"/>
    <col min="4936" max="4936" width="11.26953125" style="17" customWidth="1"/>
    <col min="4937" max="4937" width="12.7265625" style="17" customWidth="1"/>
    <col min="4938" max="4938" width="14.7265625" style="17" customWidth="1"/>
    <col min="4939" max="4939" width="3.26953125" style="17" customWidth="1"/>
    <col min="4940" max="4940" width="13.54296875" style="17" customWidth="1"/>
    <col min="4941" max="4941" width="0.26953125" style="17" customWidth="1"/>
    <col min="4942" max="4943" width="11.26953125" style="17" customWidth="1"/>
    <col min="4944" max="4944" width="9.1796875" style="17"/>
    <col min="4945" max="4945" width="10.81640625" style="17" customWidth="1"/>
    <col min="4946" max="4946" width="11.54296875" style="17" customWidth="1"/>
    <col min="4947" max="4947" width="10.1796875" style="17" customWidth="1"/>
    <col min="4948" max="4948" width="10.81640625" style="17" customWidth="1"/>
    <col min="4949" max="4949" width="9.26953125" style="17" customWidth="1"/>
    <col min="4950" max="4950" width="10.453125" style="17" customWidth="1"/>
    <col min="4951" max="4951" width="11.7265625" style="17" customWidth="1"/>
    <col min="4952" max="5120" width="9.1796875" style="17"/>
    <col min="5121" max="5121" width="2.81640625" style="17" customWidth="1"/>
    <col min="5122" max="5122" width="3.26953125" style="17" customWidth="1"/>
    <col min="5123" max="5123" width="56" style="17" customWidth="1"/>
    <col min="5124" max="5124" width="4.26953125" style="17" customWidth="1"/>
    <col min="5125" max="5129" width="13.54296875" style="17" customWidth="1"/>
    <col min="5130" max="5174" width="0" style="17" hidden="1" customWidth="1"/>
    <col min="5175" max="5179" width="15.453125" style="17" customWidth="1"/>
    <col min="5180" max="5189" width="0" style="17" hidden="1" customWidth="1"/>
    <col min="5190" max="5190" width="15.453125" style="17" customWidth="1"/>
    <col min="5191" max="5191" width="13.1796875" style="17" customWidth="1"/>
    <col min="5192" max="5192" width="11.26953125" style="17" customWidth="1"/>
    <col min="5193" max="5193" width="12.7265625" style="17" customWidth="1"/>
    <col min="5194" max="5194" width="14.7265625" style="17" customWidth="1"/>
    <col min="5195" max="5195" width="3.26953125" style="17" customWidth="1"/>
    <col min="5196" max="5196" width="13.54296875" style="17" customWidth="1"/>
    <col min="5197" max="5197" width="0.26953125" style="17" customWidth="1"/>
    <col min="5198" max="5199" width="11.26953125" style="17" customWidth="1"/>
    <col min="5200" max="5200" width="9.1796875" style="17"/>
    <col min="5201" max="5201" width="10.81640625" style="17" customWidth="1"/>
    <col min="5202" max="5202" width="11.54296875" style="17" customWidth="1"/>
    <col min="5203" max="5203" width="10.1796875" style="17" customWidth="1"/>
    <col min="5204" max="5204" width="10.81640625" style="17" customWidth="1"/>
    <col min="5205" max="5205" width="9.26953125" style="17" customWidth="1"/>
    <col min="5206" max="5206" width="10.453125" style="17" customWidth="1"/>
    <col min="5207" max="5207" width="11.7265625" style="17" customWidth="1"/>
    <col min="5208" max="5376" width="9.1796875" style="17"/>
    <col min="5377" max="5377" width="2.81640625" style="17" customWidth="1"/>
    <col min="5378" max="5378" width="3.26953125" style="17" customWidth="1"/>
    <col min="5379" max="5379" width="56" style="17" customWidth="1"/>
    <col min="5380" max="5380" width="4.26953125" style="17" customWidth="1"/>
    <col min="5381" max="5385" width="13.54296875" style="17" customWidth="1"/>
    <col min="5386" max="5430" width="0" style="17" hidden="1" customWidth="1"/>
    <col min="5431" max="5435" width="15.453125" style="17" customWidth="1"/>
    <col min="5436" max="5445" width="0" style="17" hidden="1" customWidth="1"/>
    <col min="5446" max="5446" width="15.453125" style="17" customWidth="1"/>
    <col min="5447" max="5447" width="13.1796875" style="17" customWidth="1"/>
    <col min="5448" max="5448" width="11.26953125" style="17" customWidth="1"/>
    <col min="5449" max="5449" width="12.7265625" style="17" customWidth="1"/>
    <col min="5450" max="5450" width="14.7265625" style="17" customWidth="1"/>
    <col min="5451" max="5451" width="3.26953125" style="17" customWidth="1"/>
    <col min="5452" max="5452" width="13.54296875" style="17" customWidth="1"/>
    <col min="5453" max="5453" width="0.26953125" style="17" customWidth="1"/>
    <col min="5454" max="5455" width="11.26953125" style="17" customWidth="1"/>
    <col min="5456" max="5456" width="9.1796875" style="17"/>
    <col min="5457" max="5457" width="10.81640625" style="17" customWidth="1"/>
    <col min="5458" max="5458" width="11.54296875" style="17" customWidth="1"/>
    <col min="5459" max="5459" width="10.1796875" style="17" customWidth="1"/>
    <col min="5460" max="5460" width="10.81640625" style="17" customWidth="1"/>
    <col min="5461" max="5461" width="9.26953125" style="17" customWidth="1"/>
    <col min="5462" max="5462" width="10.453125" style="17" customWidth="1"/>
    <col min="5463" max="5463" width="11.7265625" style="17" customWidth="1"/>
    <col min="5464" max="5632" width="9.1796875" style="17"/>
    <col min="5633" max="5633" width="2.81640625" style="17" customWidth="1"/>
    <col min="5634" max="5634" width="3.26953125" style="17" customWidth="1"/>
    <col min="5635" max="5635" width="56" style="17" customWidth="1"/>
    <col min="5636" max="5636" width="4.26953125" style="17" customWidth="1"/>
    <col min="5637" max="5641" width="13.54296875" style="17" customWidth="1"/>
    <col min="5642" max="5686" width="0" style="17" hidden="1" customWidth="1"/>
    <col min="5687" max="5691" width="15.453125" style="17" customWidth="1"/>
    <col min="5692" max="5701" width="0" style="17" hidden="1" customWidth="1"/>
    <col min="5702" max="5702" width="15.453125" style="17" customWidth="1"/>
    <col min="5703" max="5703" width="13.1796875" style="17" customWidth="1"/>
    <col min="5704" max="5704" width="11.26953125" style="17" customWidth="1"/>
    <col min="5705" max="5705" width="12.7265625" style="17" customWidth="1"/>
    <col min="5706" max="5706" width="14.7265625" style="17" customWidth="1"/>
    <col min="5707" max="5707" width="3.26953125" style="17" customWidth="1"/>
    <col min="5708" max="5708" width="13.54296875" style="17" customWidth="1"/>
    <col min="5709" max="5709" width="0.26953125" style="17" customWidth="1"/>
    <col min="5710" max="5711" width="11.26953125" style="17" customWidth="1"/>
    <col min="5712" max="5712" width="9.1796875" style="17"/>
    <col min="5713" max="5713" width="10.81640625" style="17" customWidth="1"/>
    <col min="5714" max="5714" width="11.54296875" style="17" customWidth="1"/>
    <col min="5715" max="5715" width="10.1796875" style="17" customWidth="1"/>
    <col min="5716" max="5716" width="10.81640625" style="17" customWidth="1"/>
    <col min="5717" max="5717" width="9.26953125" style="17" customWidth="1"/>
    <col min="5718" max="5718" width="10.453125" style="17" customWidth="1"/>
    <col min="5719" max="5719" width="11.7265625" style="17" customWidth="1"/>
    <col min="5720" max="5888" width="9.1796875" style="17"/>
    <col min="5889" max="5889" width="2.81640625" style="17" customWidth="1"/>
    <col min="5890" max="5890" width="3.26953125" style="17" customWidth="1"/>
    <col min="5891" max="5891" width="56" style="17" customWidth="1"/>
    <col min="5892" max="5892" width="4.26953125" style="17" customWidth="1"/>
    <col min="5893" max="5897" width="13.54296875" style="17" customWidth="1"/>
    <col min="5898" max="5942" width="0" style="17" hidden="1" customWidth="1"/>
    <col min="5943" max="5947" width="15.453125" style="17" customWidth="1"/>
    <col min="5948" max="5957" width="0" style="17" hidden="1" customWidth="1"/>
    <col min="5958" max="5958" width="15.453125" style="17" customWidth="1"/>
    <col min="5959" max="5959" width="13.1796875" style="17" customWidth="1"/>
    <col min="5960" max="5960" width="11.26953125" style="17" customWidth="1"/>
    <col min="5961" max="5961" width="12.7265625" style="17" customWidth="1"/>
    <col min="5962" max="5962" width="14.7265625" style="17" customWidth="1"/>
    <col min="5963" max="5963" width="3.26953125" style="17" customWidth="1"/>
    <col min="5964" max="5964" width="13.54296875" style="17" customWidth="1"/>
    <col min="5965" max="5965" width="0.26953125" style="17" customWidth="1"/>
    <col min="5966" max="5967" width="11.26953125" style="17" customWidth="1"/>
    <col min="5968" max="5968" width="9.1796875" style="17"/>
    <col min="5969" max="5969" width="10.81640625" style="17" customWidth="1"/>
    <col min="5970" max="5970" width="11.54296875" style="17" customWidth="1"/>
    <col min="5971" max="5971" width="10.1796875" style="17" customWidth="1"/>
    <col min="5972" max="5972" width="10.81640625" style="17" customWidth="1"/>
    <col min="5973" max="5973" width="9.26953125" style="17" customWidth="1"/>
    <col min="5974" max="5974" width="10.453125" style="17" customWidth="1"/>
    <col min="5975" max="5975" width="11.7265625" style="17" customWidth="1"/>
    <col min="5976" max="6144" width="9.1796875" style="17"/>
    <col min="6145" max="6145" width="2.81640625" style="17" customWidth="1"/>
    <col min="6146" max="6146" width="3.26953125" style="17" customWidth="1"/>
    <col min="6147" max="6147" width="56" style="17" customWidth="1"/>
    <col min="6148" max="6148" width="4.26953125" style="17" customWidth="1"/>
    <col min="6149" max="6153" width="13.54296875" style="17" customWidth="1"/>
    <col min="6154" max="6198" width="0" style="17" hidden="1" customWidth="1"/>
    <col min="6199" max="6203" width="15.453125" style="17" customWidth="1"/>
    <col min="6204" max="6213" width="0" style="17" hidden="1" customWidth="1"/>
    <col min="6214" max="6214" width="15.453125" style="17" customWidth="1"/>
    <col min="6215" max="6215" width="13.1796875" style="17" customWidth="1"/>
    <col min="6216" max="6216" width="11.26953125" style="17" customWidth="1"/>
    <col min="6217" max="6217" width="12.7265625" style="17" customWidth="1"/>
    <col min="6218" max="6218" width="14.7265625" style="17" customWidth="1"/>
    <col min="6219" max="6219" width="3.26953125" style="17" customWidth="1"/>
    <col min="6220" max="6220" width="13.54296875" style="17" customWidth="1"/>
    <col min="6221" max="6221" width="0.26953125" style="17" customWidth="1"/>
    <col min="6222" max="6223" width="11.26953125" style="17" customWidth="1"/>
    <col min="6224" max="6224" width="9.1796875" style="17"/>
    <col min="6225" max="6225" width="10.81640625" style="17" customWidth="1"/>
    <col min="6226" max="6226" width="11.54296875" style="17" customWidth="1"/>
    <col min="6227" max="6227" width="10.1796875" style="17" customWidth="1"/>
    <col min="6228" max="6228" width="10.81640625" style="17" customWidth="1"/>
    <col min="6229" max="6229" width="9.26953125" style="17" customWidth="1"/>
    <col min="6230" max="6230" width="10.453125" style="17" customWidth="1"/>
    <col min="6231" max="6231" width="11.7265625" style="17" customWidth="1"/>
    <col min="6232" max="6400" width="9.1796875" style="17"/>
    <col min="6401" max="6401" width="2.81640625" style="17" customWidth="1"/>
    <col min="6402" max="6402" width="3.26953125" style="17" customWidth="1"/>
    <col min="6403" max="6403" width="56" style="17" customWidth="1"/>
    <col min="6404" max="6404" width="4.26953125" style="17" customWidth="1"/>
    <col min="6405" max="6409" width="13.54296875" style="17" customWidth="1"/>
    <col min="6410" max="6454" width="0" style="17" hidden="1" customWidth="1"/>
    <col min="6455" max="6459" width="15.453125" style="17" customWidth="1"/>
    <col min="6460" max="6469" width="0" style="17" hidden="1" customWidth="1"/>
    <col min="6470" max="6470" width="15.453125" style="17" customWidth="1"/>
    <col min="6471" max="6471" width="13.1796875" style="17" customWidth="1"/>
    <col min="6472" max="6472" width="11.26953125" style="17" customWidth="1"/>
    <col min="6473" max="6473" width="12.7265625" style="17" customWidth="1"/>
    <col min="6474" max="6474" width="14.7265625" style="17" customWidth="1"/>
    <col min="6475" max="6475" width="3.26953125" style="17" customWidth="1"/>
    <col min="6476" max="6476" width="13.54296875" style="17" customWidth="1"/>
    <col min="6477" max="6477" width="0.26953125" style="17" customWidth="1"/>
    <col min="6478" max="6479" width="11.26953125" style="17" customWidth="1"/>
    <col min="6480" max="6480" width="9.1796875" style="17"/>
    <col min="6481" max="6481" width="10.81640625" style="17" customWidth="1"/>
    <col min="6482" max="6482" width="11.54296875" style="17" customWidth="1"/>
    <col min="6483" max="6483" width="10.1796875" style="17" customWidth="1"/>
    <col min="6484" max="6484" width="10.81640625" style="17" customWidth="1"/>
    <col min="6485" max="6485" width="9.26953125" style="17" customWidth="1"/>
    <col min="6486" max="6486" width="10.453125" style="17" customWidth="1"/>
    <col min="6487" max="6487" width="11.7265625" style="17" customWidth="1"/>
    <col min="6488" max="6656" width="9.1796875" style="17"/>
    <col min="6657" max="6657" width="2.81640625" style="17" customWidth="1"/>
    <col min="6658" max="6658" width="3.26953125" style="17" customWidth="1"/>
    <col min="6659" max="6659" width="56" style="17" customWidth="1"/>
    <col min="6660" max="6660" width="4.26953125" style="17" customWidth="1"/>
    <col min="6661" max="6665" width="13.54296875" style="17" customWidth="1"/>
    <col min="6666" max="6710" width="0" style="17" hidden="1" customWidth="1"/>
    <col min="6711" max="6715" width="15.453125" style="17" customWidth="1"/>
    <col min="6716" max="6725" width="0" style="17" hidden="1" customWidth="1"/>
    <col min="6726" max="6726" width="15.453125" style="17" customWidth="1"/>
    <col min="6727" max="6727" width="13.1796875" style="17" customWidth="1"/>
    <col min="6728" max="6728" width="11.26953125" style="17" customWidth="1"/>
    <col min="6729" max="6729" width="12.7265625" style="17" customWidth="1"/>
    <col min="6730" max="6730" width="14.7265625" style="17" customWidth="1"/>
    <col min="6731" max="6731" width="3.26953125" style="17" customWidth="1"/>
    <col min="6732" max="6732" width="13.54296875" style="17" customWidth="1"/>
    <col min="6733" max="6733" width="0.26953125" style="17" customWidth="1"/>
    <col min="6734" max="6735" width="11.26953125" style="17" customWidth="1"/>
    <col min="6736" max="6736" width="9.1796875" style="17"/>
    <col min="6737" max="6737" width="10.81640625" style="17" customWidth="1"/>
    <col min="6738" max="6738" width="11.54296875" style="17" customWidth="1"/>
    <col min="6739" max="6739" width="10.1796875" style="17" customWidth="1"/>
    <col min="6740" max="6740" width="10.81640625" style="17" customWidth="1"/>
    <col min="6741" max="6741" width="9.26953125" style="17" customWidth="1"/>
    <col min="6742" max="6742" width="10.453125" style="17" customWidth="1"/>
    <col min="6743" max="6743" width="11.7265625" style="17" customWidth="1"/>
    <col min="6744" max="6912" width="9.1796875" style="17"/>
    <col min="6913" max="6913" width="2.81640625" style="17" customWidth="1"/>
    <col min="6914" max="6914" width="3.26953125" style="17" customWidth="1"/>
    <col min="6915" max="6915" width="56" style="17" customWidth="1"/>
    <col min="6916" max="6916" width="4.26953125" style="17" customWidth="1"/>
    <col min="6917" max="6921" width="13.54296875" style="17" customWidth="1"/>
    <col min="6922" max="6966" width="0" style="17" hidden="1" customWidth="1"/>
    <col min="6967" max="6971" width="15.453125" style="17" customWidth="1"/>
    <col min="6972" max="6981" width="0" style="17" hidden="1" customWidth="1"/>
    <col min="6982" max="6982" width="15.453125" style="17" customWidth="1"/>
    <col min="6983" max="6983" width="13.1796875" style="17" customWidth="1"/>
    <col min="6984" max="6984" width="11.26953125" style="17" customWidth="1"/>
    <col min="6985" max="6985" width="12.7265625" style="17" customWidth="1"/>
    <col min="6986" max="6986" width="14.7265625" style="17" customWidth="1"/>
    <col min="6987" max="6987" width="3.26953125" style="17" customWidth="1"/>
    <col min="6988" max="6988" width="13.54296875" style="17" customWidth="1"/>
    <col min="6989" max="6989" width="0.26953125" style="17" customWidth="1"/>
    <col min="6990" max="6991" width="11.26953125" style="17" customWidth="1"/>
    <col min="6992" max="6992" width="9.1796875" style="17"/>
    <col min="6993" max="6993" width="10.81640625" style="17" customWidth="1"/>
    <col min="6994" max="6994" width="11.54296875" style="17" customWidth="1"/>
    <col min="6995" max="6995" width="10.1796875" style="17" customWidth="1"/>
    <col min="6996" max="6996" width="10.81640625" style="17" customWidth="1"/>
    <col min="6997" max="6997" width="9.26953125" style="17" customWidth="1"/>
    <col min="6998" max="6998" width="10.453125" style="17" customWidth="1"/>
    <col min="6999" max="6999" width="11.7265625" style="17" customWidth="1"/>
    <col min="7000" max="7168" width="9.1796875" style="17"/>
    <col min="7169" max="7169" width="2.81640625" style="17" customWidth="1"/>
    <col min="7170" max="7170" width="3.26953125" style="17" customWidth="1"/>
    <col min="7171" max="7171" width="56" style="17" customWidth="1"/>
    <col min="7172" max="7172" width="4.26953125" style="17" customWidth="1"/>
    <col min="7173" max="7177" width="13.54296875" style="17" customWidth="1"/>
    <col min="7178" max="7222" width="0" style="17" hidden="1" customWidth="1"/>
    <col min="7223" max="7227" width="15.453125" style="17" customWidth="1"/>
    <col min="7228" max="7237" width="0" style="17" hidden="1" customWidth="1"/>
    <col min="7238" max="7238" width="15.453125" style="17" customWidth="1"/>
    <col min="7239" max="7239" width="13.1796875" style="17" customWidth="1"/>
    <col min="7240" max="7240" width="11.26953125" style="17" customWidth="1"/>
    <col min="7241" max="7241" width="12.7265625" style="17" customWidth="1"/>
    <col min="7242" max="7242" width="14.7265625" style="17" customWidth="1"/>
    <col min="7243" max="7243" width="3.26953125" style="17" customWidth="1"/>
    <col min="7244" max="7244" width="13.54296875" style="17" customWidth="1"/>
    <col min="7245" max="7245" width="0.26953125" style="17" customWidth="1"/>
    <col min="7246" max="7247" width="11.26953125" style="17" customWidth="1"/>
    <col min="7248" max="7248" width="9.1796875" style="17"/>
    <col min="7249" max="7249" width="10.81640625" style="17" customWidth="1"/>
    <col min="7250" max="7250" width="11.54296875" style="17" customWidth="1"/>
    <col min="7251" max="7251" width="10.1796875" style="17" customWidth="1"/>
    <col min="7252" max="7252" width="10.81640625" style="17" customWidth="1"/>
    <col min="7253" max="7253" width="9.26953125" style="17" customWidth="1"/>
    <col min="7254" max="7254" width="10.453125" style="17" customWidth="1"/>
    <col min="7255" max="7255" width="11.7265625" style="17" customWidth="1"/>
    <col min="7256" max="7424" width="9.1796875" style="17"/>
    <col min="7425" max="7425" width="2.81640625" style="17" customWidth="1"/>
    <col min="7426" max="7426" width="3.26953125" style="17" customWidth="1"/>
    <col min="7427" max="7427" width="56" style="17" customWidth="1"/>
    <col min="7428" max="7428" width="4.26953125" style="17" customWidth="1"/>
    <col min="7429" max="7433" width="13.54296875" style="17" customWidth="1"/>
    <col min="7434" max="7478" width="0" style="17" hidden="1" customWidth="1"/>
    <col min="7479" max="7483" width="15.453125" style="17" customWidth="1"/>
    <col min="7484" max="7493" width="0" style="17" hidden="1" customWidth="1"/>
    <col min="7494" max="7494" width="15.453125" style="17" customWidth="1"/>
    <col min="7495" max="7495" width="13.1796875" style="17" customWidth="1"/>
    <col min="7496" max="7496" width="11.26953125" style="17" customWidth="1"/>
    <col min="7497" max="7497" width="12.7265625" style="17" customWidth="1"/>
    <col min="7498" max="7498" width="14.7265625" style="17" customWidth="1"/>
    <col min="7499" max="7499" width="3.26953125" style="17" customWidth="1"/>
    <col min="7500" max="7500" width="13.54296875" style="17" customWidth="1"/>
    <col min="7501" max="7501" width="0.26953125" style="17" customWidth="1"/>
    <col min="7502" max="7503" width="11.26953125" style="17" customWidth="1"/>
    <col min="7504" max="7504" width="9.1796875" style="17"/>
    <col min="7505" max="7505" width="10.81640625" style="17" customWidth="1"/>
    <col min="7506" max="7506" width="11.54296875" style="17" customWidth="1"/>
    <col min="7507" max="7507" width="10.1796875" style="17" customWidth="1"/>
    <col min="7508" max="7508" width="10.81640625" style="17" customWidth="1"/>
    <col min="7509" max="7509" width="9.26953125" style="17" customWidth="1"/>
    <col min="7510" max="7510" width="10.453125" style="17" customWidth="1"/>
    <col min="7511" max="7511" width="11.7265625" style="17" customWidth="1"/>
    <col min="7512" max="7680" width="9.1796875" style="17"/>
    <col min="7681" max="7681" width="2.81640625" style="17" customWidth="1"/>
    <col min="7682" max="7682" width="3.26953125" style="17" customWidth="1"/>
    <col min="7683" max="7683" width="56" style="17" customWidth="1"/>
    <col min="7684" max="7684" width="4.26953125" style="17" customWidth="1"/>
    <col min="7685" max="7689" width="13.54296875" style="17" customWidth="1"/>
    <col min="7690" max="7734" width="0" style="17" hidden="1" customWidth="1"/>
    <col min="7735" max="7739" width="15.453125" style="17" customWidth="1"/>
    <col min="7740" max="7749" width="0" style="17" hidden="1" customWidth="1"/>
    <col min="7750" max="7750" width="15.453125" style="17" customWidth="1"/>
    <col min="7751" max="7751" width="13.1796875" style="17" customWidth="1"/>
    <col min="7752" max="7752" width="11.26953125" style="17" customWidth="1"/>
    <col min="7753" max="7753" width="12.7265625" style="17" customWidth="1"/>
    <col min="7754" max="7754" width="14.7265625" style="17" customWidth="1"/>
    <col min="7755" max="7755" width="3.26953125" style="17" customWidth="1"/>
    <col min="7756" max="7756" width="13.54296875" style="17" customWidth="1"/>
    <col min="7757" max="7757" width="0.26953125" style="17" customWidth="1"/>
    <col min="7758" max="7759" width="11.26953125" style="17" customWidth="1"/>
    <col min="7760" max="7760" width="9.1796875" style="17"/>
    <col min="7761" max="7761" width="10.81640625" style="17" customWidth="1"/>
    <col min="7762" max="7762" width="11.54296875" style="17" customWidth="1"/>
    <col min="7763" max="7763" width="10.1796875" style="17" customWidth="1"/>
    <col min="7764" max="7764" width="10.81640625" style="17" customWidth="1"/>
    <col min="7765" max="7765" width="9.26953125" style="17" customWidth="1"/>
    <col min="7766" max="7766" width="10.453125" style="17" customWidth="1"/>
    <col min="7767" max="7767" width="11.7265625" style="17" customWidth="1"/>
    <col min="7768" max="7936" width="9.1796875" style="17"/>
    <col min="7937" max="7937" width="2.81640625" style="17" customWidth="1"/>
    <col min="7938" max="7938" width="3.26953125" style="17" customWidth="1"/>
    <col min="7939" max="7939" width="56" style="17" customWidth="1"/>
    <col min="7940" max="7940" width="4.26953125" style="17" customWidth="1"/>
    <col min="7941" max="7945" width="13.54296875" style="17" customWidth="1"/>
    <col min="7946" max="7990" width="0" style="17" hidden="1" customWidth="1"/>
    <col min="7991" max="7995" width="15.453125" style="17" customWidth="1"/>
    <col min="7996" max="8005" width="0" style="17" hidden="1" customWidth="1"/>
    <col min="8006" max="8006" width="15.453125" style="17" customWidth="1"/>
    <col min="8007" max="8007" width="13.1796875" style="17" customWidth="1"/>
    <col min="8008" max="8008" width="11.26953125" style="17" customWidth="1"/>
    <col min="8009" max="8009" width="12.7265625" style="17" customWidth="1"/>
    <col min="8010" max="8010" width="14.7265625" style="17" customWidth="1"/>
    <col min="8011" max="8011" width="3.26953125" style="17" customWidth="1"/>
    <col min="8012" max="8012" width="13.54296875" style="17" customWidth="1"/>
    <col min="8013" max="8013" width="0.26953125" style="17" customWidth="1"/>
    <col min="8014" max="8015" width="11.26953125" style="17" customWidth="1"/>
    <col min="8016" max="8016" width="9.1796875" style="17"/>
    <col min="8017" max="8017" width="10.81640625" style="17" customWidth="1"/>
    <col min="8018" max="8018" width="11.54296875" style="17" customWidth="1"/>
    <col min="8019" max="8019" width="10.1796875" style="17" customWidth="1"/>
    <col min="8020" max="8020" width="10.81640625" style="17" customWidth="1"/>
    <col min="8021" max="8021" width="9.26953125" style="17" customWidth="1"/>
    <col min="8022" max="8022" width="10.453125" style="17" customWidth="1"/>
    <col min="8023" max="8023" width="11.7265625" style="17" customWidth="1"/>
    <col min="8024" max="8192" width="9.1796875" style="17"/>
    <col min="8193" max="8193" width="2.81640625" style="17" customWidth="1"/>
    <col min="8194" max="8194" width="3.26953125" style="17" customWidth="1"/>
    <col min="8195" max="8195" width="56" style="17" customWidth="1"/>
    <col min="8196" max="8196" width="4.26953125" style="17" customWidth="1"/>
    <col min="8197" max="8201" width="13.54296875" style="17" customWidth="1"/>
    <col min="8202" max="8246" width="0" style="17" hidden="1" customWidth="1"/>
    <col min="8247" max="8251" width="15.453125" style="17" customWidth="1"/>
    <col min="8252" max="8261" width="0" style="17" hidden="1" customWidth="1"/>
    <col min="8262" max="8262" width="15.453125" style="17" customWidth="1"/>
    <col min="8263" max="8263" width="13.1796875" style="17" customWidth="1"/>
    <col min="8264" max="8264" width="11.26953125" style="17" customWidth="1"/>
    <col min="8265" max="8265" width="12.7265625" style="17" customWidth="1"/>
    <col min="8266" max="8266" width="14.7265625" style="17" customWidth="1"/>
    <col min="8267" max="8267" width="3.26953125" style="17" customWidth="1"/>
    <col min="8268" max="8268" width="13.54296875" style="17" customWidth="1"/>
    <col min="8269" max="8269" width="0.26953125" style="17" customWidth="1"/>
    <col min="8270" max="8271" width="11.26953125" style="17" customWidth="1"/>
    <col min="8272" max="8272" width="9.1796875" style="17"/>
    <col min="8273" max="8273" width="10.81640625" style="17" customWidth="1"/>
    <col min="8274" max="8274" width="11.54296875" style="17" customWidth="1"/>
    <col min="8275" max="8275" width="10.1796875" style="17" customWidth="1"/>
    <col min="8276" max="8276" width="10.81640625" style="17" customWidth="1"/>
    <col min="8277" max="8277" width="9.26953125" style="17" customWidth="1"/>
    <col min="8278" max="8278" width="10.453125" style="17" customWidth="1"/>
    <col min="8279" max="8279" width="11.7265625" style="17" customWidth="1"/>
    <col min="8280" max="8448" width="9.1796875" style="17"/>
    <col min="8449" max="8449" width="2.81640625" style="17" customWidth="1"/>
    <col min="8450" max="8450" width="3.26953125" style="17" customWidth="1"/>
    <col min="8451" max="8451" width="56" style="17" customWidth="1"/>
    <col min="8452" max="8452" width="4.26953125" style="17" customWidth="1"/>
    <col min="8453" max="8457" width="13.54296875" style="17" customWidth="1"/>
    <col min="8458" max="8502" width="0" style="17" hidden="1" customWidth="1"/>
    <col min="8503" max="8507" width="15.453125" style="17" customWidth="1"/>
    <col min="8508" max="8517" width="0" style="17" hidden="1" customWidth="1"/>
    <col min="8518" max="8518" width="15.453125" style="17" customWidth="1"/>
    <col min="8519" max="8519" width="13.1796875" style="17" customWidth="1"/>
    <col min="8520" max="8520" width="11.26953125" style="17" customWidth="1"/>
    <col min="8521" max="8521" width="12.7265625" style="17" customWidth="1"/>
    <col min="8522" max="8522" width="14.7265625" style="17" customWidth="1"/>
    <col min="8523" max="8523" width="3.26953125" style="17" customWidth="1"/>
    <col min="8524" max="8524" width="13.54296875" style="17" customWidth="1"/>
    <col min="8525" max="8525" width="0.26953125" style="17" customWidth="1"/>
    <col min="8526" max="8527" width="11.26953125" style="17" customWidth="1"/>
    <col min="8528" max="8528" width="9.1796875" style="17"/>
    <col min="8529" max="8529" width="10.81640625" style="17" customWidth="1"/>
    <col min="8530" max="8530" width="11.54296875" style="17" customWidth="1"/>
    <col min="8531" max="8531" width="10.1796875" style="17" customWidth="1"/>
    <col min="8532" max="8532" width="10.81640625" style="17" customWidth="1"/>
    <col min="8533" max="8533" width="9.26953125" style="17" customWidth="1"/>
    <col min="8534" max="8534" width="10.453125" style="17" customWidth="1"/>
    <col min="8535" max="8535" width="11.7265625" style="17" customWidth="1"/>
    <col min="8536" max="8704" width="9.1796875" style="17"/>
    <col min="8705" max="8705" width="2.81640625" style="17" customWidth="1"/>
    <col min="8706" max="8706" width="3.26953125" style="17" customWidth="1"/>
    <col min="8707" max="8707" width="56" style="17" customWidth="1"/>
    <col min="8708" max="8708" width="4.26953125" style="17" customWidth="1"/>
    <col min="8709" max="8713" width="13.54296875" style="17" customWidth="1"/>
    <col min="8714" max="8758" width="0" style="17" hidden="1" customWidth="1"/>
    <col min="8759" max="8763" width="15.453125" style="17" customWidth="1"/>
    <col min="8764" max="8773" width="0" style="17" hidden="1" customWidth="1"/>
    <col min="8774" max="8774" width="15.453125" style="17" customWidth="1"/>
    <col min="8775" max="8775" width="13.1796875" style="17" customWidth="1"/>
    <col min="8776" max="8776" width="11.26953125" style="17" customWidth="1"/>
    <col min="8777" max="8777" width="12.7265625" style="17" customWidth="1"/>
    <col min="8778" max="8778" width="14.7265625" style="17" customWidth="1"/>
    <col min="8779" max="8779" width="3.26953125" style="17" customWidth="1"/>
    <col min="8780" max="8780" width="13.54296875" style="17" customWidth="1"/>
    <col min="8781" max="8781" width="0.26953125" style="17" customWidth="1"/>
    <col min="8782" max="8783" width="11.26953125" style="17" customWidth="1"/>
    <col min="8784" max="8784" width="9.1796875" style="17"/>
    <col min="8785" max="8785" width="10.81640625" style="17" customWidth="1"/>
    <col min="8786" max="8786" width="11.54296875" style="17" customWidth="1"/>
    <col min="8787" max="8787" width="10.1796875" style="17" customWidth="1"/>
    <col min="8788" max="8788" width="10.81640625" style="17" customWidth="1"/>
    <col min="8789" max="8789" width="9.26953125" style="17" customWidth="1"/>
    <col min="8790" max="8790" width="10.453125" style="17" customWidth="1"/>
    <col min="8791" max="8791" width="11.7265625" style="17" customWidth="1"/>
    <col min="8792" max="8960" width="9.1796875" style="17"/>
    <col min="8961" max="8961" width="2.81640625" style="17" customWidth="1"/>
    <col min="8962" max="8962" width="3.26953125" style="17" customWidth="1"/>
    <col min="8963" max="8963" width="56" style="17" customWidth="1"/>
    <col min="8964" max="8964" width="4.26953125" style="17" customWidth="1"/>
    <col min="8965" max="8969" width="13.54296875" style="17" customWidth="1"/>
    <col min="8970" max="9014" width="0" style="17" hidden="1" customWidth="1"/>
    <col min="9015" max="9019" width="15.453125" style="17" customWidth="1"/>
    <col min="9020" max="9029" width="0" style="17" hidden="1" customWidth="1"/>
    <col min="9030" max="9030" width="15.453125" style="17" customWidth="1"/>
    <col min="9031" max="9031" width="13.1796875" style="17" customWidth="1"/>
    <col min="9032" max="9032" width="11.26953125" style="17" customWidth="1"/>
    <col min="9033" max="9033" width="12.7265625" style="17" customWidth="1"/>
    <col min="9034" max="9034" width="14.7265625" style="17" customWidth="1"/>
    <col min="9035" max="9035" width="3.26953125" style="17" customWidth="1"/>
    <col min="9036" max="9036" width="13.54296875" style="17" customWidth="1"/>
    <col min="9037" max="9037" width="0.26953125" style="17" customWidth="1"/>
    <col min="9038" max="9039" width="11.26953125" style="17" customWidth="1"/>
    <col min="9040" max="9040" width="9.1796875" style="17"/>
    <col min="9041" max="9041" width="10.81640625" style="17" customWidth="1"/>
    <col min="9042" max="9042" width="11.54296875" style="17" customWidth="1"/>
    <col min="9043" max="9043" width="10.1796875" style="17" customWidth="1"/>
    <col min="9044" max="9044" width="10.81640625" style="17" customWidth="1"/>
    <col min="9045" max="9045" width="9.26953125" style="17" customWidth="1"/>
    <col min="9046" max="9046" width="10.453125" style="17" customWidth="1"/>
    <col min="9047" max="9047" width="11.7265625" style="17" customWidth="1"/>
    <col min="9048" max="9216" width="9.1796875" style="17"/>
    <col min="9217" max="9217" width="2.81640625" style="17" customWidth="1"/>
    <col min="9218" max="9218" width="3.26953125" style="17" customWidth="1"/>
    <col min="9219" max="9219" width="56" style="17" customWidth="1"/>
    <col min="9220" max="9220" width="4.26953125" style="17" customWidth="1"/>
    <col min="9221" max="9225" width="13.54296875" style="17" customWidth="1"/>
    <col min="9226" max="9270" width="0" style="17" hidden="1" customWidth="1"/>
    <col min="9271" max="9275" width="15.453125" style="17" customWidth="1"/>
    <col min="9276" max="9285" width="0" style="17" hidden="1" customWidth="1"/>
    <col min="9286" max="9286" width="15.453125" style="17" customWidth="1"/>
    <col min="9287" max="9287" width="13.1796875" style="17" customWidth="1"/>
    <col min="9288" max="9288" width="11.26953125" style="17" customWidth="1"/>
    <col min="9289" max="9289" width="12.7265625" style="17" customWidth="1"/>
    <col min="9290" max="9290" width="14.7265625" style="17" customWidth="1"/>
    <col min="9291" max="9291" width="3.26953125" style="17" customWidth="1"/>
    <col min="9292" max="9292" width="13.54296875" style="17" customWidth="1"/>
    <col min="9293" max="9293" width="0.26953125" style="17" customWidth="1"/>
    <col min="9294" max="9295" width="11.26953125" style="17" customWidth="1"/>
    <col min="9296" max="9296" width="9.1796875" style="17"/>
    <col min="9297" max="9297" width="10.81640625" style="17" customWidth="1"/>
    <col min="9298" max="9298" width="11.54296875" style="17" customWidth="1"/>
    <col min="9299" max="9299" width="10.1796875" style="17" customWidth="1"/>
    <col min="9300" max="9300" width="10.81640625" style="17" customWidth="1"/>
    <col min="9301" max="9301" width="9.26953125" style="17" customWidth="1"/>
    <col min="9302" max="9302" width="10.453125" style="17" customWidth="1"/>
    <col min="9303" max="9303" width="11.7265625" style="17" customWidth="1"/>
    <col min="9304" max="9472" width="9.1796875" style="17"/>
    <col min="9473" max="9473" width="2.81640625" style="17" customWidth="1"/>
    <col min="9474" max="9474" width="3.26953125" style="17" customWidth="1"/>
    <col min="9475" max="9475" width="56" style="17" customWidth="1"/>
    <col min="9476" max="9476" width="4.26953125" style="17" customWidth="1"/>
    <col min="9477" max="9481" width="13.54296875" style="17" customWidth="1"/>
    <col min="9482" max="9526" width="0" style="17" hidden="1" customWidth="1"/>
    <col min="9527" max="9531" width="15.453125" style="17" customWidth="1"/>
    <col min="9532" max="9541" width="0" style="17" hidden="1" customWidth="1"/>
    <col min="9542" max="9542" width="15.453125" style="17" customWidth="1"/>
    <col min="9543" max="9543" width="13.1796875" style="17" customWidth="1"/>
    <col min="9544" max="9544" width="11.26953125" style="17" customWidth="1"/>
    <col min="9545" max="9545" width="12.7265625" style="17" customWidth="1"/>
    <col min="9546" max="9546" width="14.7265625" style="17" customWidth="1"/>
    <col min="9547" max="9547" width="3.26953125" style="17" customWidth="1"/>
    <col min="9548" max="9548" width="13.54296875" style="17" customWidth="1"/>
    <col min="9549" max="9549" width="0.26953125" style="17" customWidth="1"/>
    <col min="9550" max="9551" width="11.26953125" style="17" customWidth="1"/>
    <col min="9552" max="9552" width="9.1796875" style="17"/>
    <col min="9553" max="9553" width="10.81640625" style="17" customWidth="1"/>
    <col min="9554" max="9554" width="11.54296875" style="17" customWidth="1"/>
    <col min="9555" max="9555" width="10.1796875" style="17" customWidth="1"/>
    <col min="9556" max="9556" width="10.81640625" style="17" customWidth="1"/>
    <col min="9557" max="9557" width="9.26953125" style="17" customWidth="1"/>
    <col min="9558" max="9558" width="10.453125" style="17" customWidth="1"/>
    <col min="9559" max="9559" width="11.7265625" style="17" customWidth="1"/>
    <col min="9560" max="9728" width="9.1796875" style="17"/>
    <col min="9729" max="9729" width="2.81640625" style="17" customWidth="1"/>
    <col min="9730" max="9730" width="3.26953125" style="17" customWidth="1"/>
    <col min="9731" max="9731" width="56" style="17" customWidth="1"/>
    <col min="9732" max="9732" width="4.26953125" style="17" customWidth="1"/>
    <col min="9733" max="9737" width="13.54296875" style="17" customWidth="1"/>
    <col min="9738" max="9782" width="0" style="17" hidden="1" customWidth="1"/>
    <col min="9783" max="9787" width="15.453125" style="17" customWidth="1"/>
    <col min="9788" max="9797" width="0" style="17" hidden="1" customWidth="1"/>
    <col min="9798" max="9798" width="15.453125" style="17" customWidth="1"/>
    <col min="9799" max="9799" width="13.1796875" style="17" customWidth="1"/>
    <col min="9800" max="9800" width="11.26953125" style="17" customWidth="1"/>
    <col min="9801" max="9801" width="12.7265625" style="17" customWidth="1"/>
    <col min="9802" max="9802" width="14.7265625" style="17" customWidth="1"/>
    <col min="9803" max="9803" width="3.26953125" style="17" customWidth="1"/>
    <col min="9804" max="9804" width="13.54296875" style="17" customWidth="1"/>
    <col min="9805" max="9805" width="0.26953125" style="17" customWidth="1"/>
    <col min="9806" max="9807" width="11.26953125" style="17" customWidth="1"/>
    <col min="9808" max="9808" width="9.1796875" style="17"/>
    <col min="9809" max="9809" width="10.81640625" style="17" customWidth="1"/>
    <col min="9810" max="9810" width="11.54296875" style="17" customWidth="1"/>
    <col min="9811" max="9811" width="10.1796875" style="17" customWidth="1"/>
    <col min="9812" max="9812" width="10.81640625" style="17" customWidth="1"/>
    <col min="9813" max="9813" width="9.26953125" style="17" customWidth="1"/>
    <col min="9814" max="9814" width="10.453125" style="17" customWidth="1"/>
    <col min="9815" max="9815" width="11.7265625" style="17" customWidth="1"/>
    <col min="9816" max="9984" width="9.1796875" style="17"/>
    <col min="9985" max="9985" width="2.81640625" style="17" customWidth="1"/>
    <col min="9986" max="9986" width="3.26953125" style="17" customWidth="1"/>
    <col min="9987" max="9987" width="56" style="17" customWidth="1"/>
    <col min="9988" max="9988" width="4.26953125" style="17" customWidth="1"/>
    <col min="9989" max="9993" width="13.54296875" style="17" customWidth="1"/>
    <col min="9994" max="10038" width="0" style="17" hidden="1" customWidth="1"/>
    <col min="10039" max="10043" width="15.453125" style="17" customWidth="1"/>
    <col min="10044" max="10053" width="0" style="17" hidden="1" customWidth="1"/>
    <col min="10054" max="10054" width="15.453125" style="17" customWidth="1"/>
    <col min="10055" max="10055" width="13.1796875" style="17" customWidth="1"/>
    <col min="10056" max="10056" width="11.26953125" style="17" customWidth="1"/>
    <col min="10057" max="10057" width="12.7265625" style="17" customWidth="1"/>
    <col min="10058" max="10058" width="14.7265625" style="17" customWidth="1"/>
    <col min="10059" max="10059" width="3.26953125" style="17" customWidth="1"/>
    <col min="10060" max="10060" width="13.54296875" style="17" customWidth="1"/>
    <col min="10061" max="10061" width="0.26953125" style="17" customWidth="1"/>
    <col min="10062" max="10063" width="11.26953125" style="17" customWidth="1"/>
    <col min="10064" max="10064" width="9.1796875" style="17"/>
    <col min="10065" max="10065" width="10.81640625" style="17" customWidth="1"/>
    <col min="10066" max="10066" width="11.54296875" style="17" customWidth="1"/>
    <col min="10067" max="10067" width="10.1796875" style="17" customWidth="1"/>
    <col min="10068" max="10068" width="10.81640625" style="17" customWidth="1"/>
    <col min="10069" max="10069" width="9.26953125" style="17" customWidth="1"/>
    <col min="10070" max="10070" width="10.453125" style="17" customWidth="1"/>
    <col min="10071" max="10071" width="11.7265625" style="17" customWidth="1"/>
    <col min="10072" max="10240" width="9.1796875" style="17"/>
    <col min="10241" max="10241" width="2.81640625" style="17" customWidth="1"/>
    <col min="10242" max="10242" width="3.26953125" style="17" customWidth="1"/>
    <col min="10243" max="10243" width="56" style="17" customWidth="1"/>
    <col min="10244" max="10244" width="4.26953125" style="17" customWidth="1"/>
    <col min="10245" max="10249" width="13.54296875" style="17" customWidth="1"/>
    <col min="10250" max="10294" width="0" style="17" hidden="1" customWidth="1"/>
    <col min="10295" max="10299" width="15.453125" style="17" customWidth="1"/>
    <col min="10300" max="10309" width="0" style="17" hidden="1" customWidth="1"/>
    <col min="10310" max="10310" width="15.453125" style="17" customWidth="1"/>
    <col min="10311" max="10311" width="13.1796875" style="17" customWidth="1"/>
    <col min="10312" max="10312" width="11.26953125" style="17" customWidth="1"/>
    <col min="10313" max="10313" width="12.7265625" style="17" customWidth="1"/>
    <col min="10314" max="10314" width="14.7265625" style="17" customWidth="1"/>
    <col min="10315" max="10315" width="3.26953125" style="17" customWidth="1"/>
    <col min="10316" max="10316" width="13.54296875" style="17" customWidth="1"/>
    <col min="10317" max="10317" width="0.26953125" style="17" customWidth="1"/>
    <col min="10318" max="10319" width="11.26953125" style="17" customWidth="1"/>
    <col min="10320" max="10320" width="9.1796875" style="17"/>
    <col min="10321" max="10321" width="10.81640625" style="17" customWidth="1"/>
    <col min="10322" max="10322" width="11.54296875" style="17" customWidth="1"/>
    <col min="10323" max="10323" width="10.1796875" style="17" customWidth="1"/>
    <col min="10324" max="10324" width="10.81640625" style="17" customWidth="1"/>
    <col min="10325" max="10325" width="9.26953125" style="17" customWidth="1"/>
    <col min="10326" max="10326" width="10.453125" style="17" customWidth="1"/>
    <col min="10327" max="10327" width="11.7265625" style="17" customWidth="1"/>
    <col min="10328" max="10496" width="9.1796875" style="17"/>
    <col min="10497" max="10497" width="2.81640625" style="17" customWidth="1"/>
    <col min="10498" max="10498" width="3.26953125" style="17" customWidth="1"/>
    <col min="10499" max="10499" width="56" style="17" customWidth="1"/>
    <col min="10500" max="10500" width="4.26953125" style="17" customWidth="1"/>
    <col min="10501" max="10505" width="13.54296875" style="17" customWidth="1"/>
    <col min="10506" max="10550" width="0" style="17" hidden="1" customWidth="1"/>
    <col min="10551" max="10555" width="15.453125" style="17" customWidth="1"/>
    <col min="10556" max="10565" width="0" style="17" hidden="1" customWidth="1"/>
    <col min="10566" max="10566" width="15.453125" style="17" customWidth="1"/>
    <col min="10567" max="10567" width="13.1796875" style="17" customWidth="1"/>
    <col min="10568" max="10568" width="11.26953125" style="17" customWidth="1"/>
    <col min="10569" max="10569" width="12.7265625" style="17" customWidth="1"/>
    <col min="10570" max="10570" width="14.7265625" style="17" customWidth="1"/>
    <col min="10571" max="10571" width="3.26953125" style="17" customWidth="1"/>
    <col min="10572" max="10572" width="13.54296875" style="17" customWidth="1"/>
    <col min="10573" max="10573" width="0.26953125" style="17" customWidth="1"/>
    <col min="10574" max="10575" width="11.26953125" style="17" customWidth="1"/>
    <col min="10576" max="10576" width="9.1796875" style="17"/>
    <col min="10577" max="10577" width="10.81640625" style="17" customWidth="1"/>
    <col min="10578" max="10578" width="11.54296875" style="17" customWidth="1"/>
    <col min="10579" max="10579" width="10.1796875" style="17" customWidth="1"/>
    <col min="10580" max="10580" width="10.81640625" style="17" customWidth="1"/>
    <col min="10581" max="10581" width="9.26953125" style="17" customWidth="1"/>
    <col min="10582" max="10582" width="10.453125" style="17" customWidth="1"/>
    <col min="10583" max="10583" width="11.7265625" style="17" customWidth="1"/>
    <col min="10584" max="10752" width="9.1796875" style="17"/>
    <col min="10753" max="10753" width="2.81640625" style="17" customWidth="1"/>
    <col min="10754" max="10754" width="3.26953125" style="17" customWidth="1"/>
    <col min="10755" max="10755" width="56" style="17" customWidth="1"/>
    <col min="10756" max="10756" width="4.26953125" style="17" customWidth="1"/>
    <col min="10757" max="10761" width="13.54296875" style="17" customWidth="1"/>
    <col min="10762" max="10806" width="0" style="17" hidden="1" customWidth="1"/>
    <col min="10807" max="10811" width="15.453125" style="17" customWidth="1"/>
    <col min="10812" max="10821" width="0" style="17" hidden="1" customWidth="1"/>
    <col min="10822" max="10822" width="15.453125" style="17" customWidth="1"/>
    <col min="10823" max="10823" width="13.1796875" style="17" customWidth="1"/>
    <col min="10824" max="10824" width="11.26953125" style="17" customWidth="1"/>
    <col min="10825" max="10825" width="12.7265625" style="17" customWidth="1"/>
    <col min="10826" max="10826" width="14.7265625" style="17" customWidth="1"/>
    <col min="10827" max="10827" width="3.26953125" style="17" customWidth="1"/>
    <col min="10828" max="10828" width="13.54296875" style="17" customWidth="1"/>
    <col min="10829" max="10829" width="0.26953125" style="17" customWidth="1"/>
    <col min="10830" max="10831" width="11.26953125" style="17" customWidth="1"/>
    <col min="10832" max="10832" width="9.1796875" style="17"/>
    <col min="10833" max="10833" width="10.81640625" style="17" customWidth="1"/>
    <col min="10834" max="10834" width="11.54296875" style="17" customWidth="1"/>
    <col min="10835" max="10835" width="10.1796875" style="17" customWidth="1"/>
    <col min="10836" max="10836" width="10.81640625" style="17" customWidth="1"/>
    <col min="10837" max="10837" width="9.26953125" style="17" customWidth="1"/>
    <col min="10838" max="10838" width="10.453125" style="17" customWidth="1"/>
    <col min="10839" max="10839" width="11.7265625" style="17" customWidth="1"/>
    <col min="10840" max="11008" width="9.1796875" style="17"/>
    <col min="11009" max="11009" width="2.81640625" style="17" customWidth="1"/>
    <col min="11010" max="11010" width="3.26953125" style="17" customWidth="1"/>
    <col min="11011" max="11011" width="56" style="17" customWidth="1"/>
    <col min="11012" max="11012" width="4.26953125" style="17" customWidth="1"/>
    <col min="11013" max="11017" width="13.54296875" style="17" customWidth="1"/>
    <col min="11018" max="11062" width="0" style="17" hidden="1" customWidth="1"/>
    <col min="11063" max="11067" width="15.453125" style="17" customWidth="1"/>
    <col min="11068" max="11077" width="0" style="17" hidden="1" customWidth="1"/>
    <col min="11078" max="11078" width="15.453125" style="17" customWidth="1"/>
    <col min="11079" max="11079" width="13.1796875" style="17" customWidth="1"/>
    <col min="11080" max="11080" width="11.26953125" style="17" customWidth="1"/>
    <col min="11081" max="11081" width="12.7265625" style="17" customWidth="1"/>
    <col min="11082" max="11082" width="14.7265625" style="17" customWidth="1"/>
    <col min="11083" max="11083" width="3.26953125" style="17" customWidth="1"/>
    <col min="11084" max="11084" width="13.54296875" style="17" customWidth="1"/>
    <col min="11085" max="11085" width="0.26953125" style="17" customWidth="1"/>
    <col min="11086" max="11087" width="11.26953125" style="17" customWidth="1"/>
    <col min="11088" max="11088" width="9.1796875" style="17"/>
    <col min="11089" max="11089" width="10.81640625" style="17" customWidth="1"/>
    <col min="11090" max="11090" width="11.54296875" style="17" customWidth="1"/>
    <col min="11091" max="11091" width="10.1796875" style="17" customWidth="1"/>
    <col min="11092" max="11092" width="10.81640625" style="17" customWidth="1"/>
    <col min="11093" max="11093" width="9.26953125" style="17" customWidth="1"/>
    <col min="11094" max="11094" width="10.453125" style="17" customWidth="1"/>
    <col min="11095" max="11095" width="11.7265625" style="17" customWidth="1"/>
    <col min="11096" max="11264" width="9.1796875" style="17"/>
    <col min="11265" max="11265" width="2.81640625" style="17" customWidth="1"/>
    <col min="11266" max="11266" width="3.26953125" style="17" customWidth="1"/>
    <col min="11267" max="11267" width="56" style="17" customWidth="1"/>
    <col min="11268" max="11268" width="4.26953125" style="17" customWidth="1"/>
    <col min="11269" max="11273" width="13.54296875" style="17" customWidth="1"/>
    <col min="11274" max="11318" width="0" style="17" hidden="1" customWidth="1"/>
    <col min="11319" max="11323" width="15.453125" style="17" customWidth="1"/>
    <col min="11324" max="11333" width="0" style="17" hidden="1" customWidth="1"/>
    <col min="11334" max="11334" width="15.453125" style="17" customWidth="1"/>
    <col min="11335" max="11335" width="13.1796875" style="17" customWidth="1"/>
    <col min="11336" max="11336" width="11.26953125" style="17" customWidth="1"/>
    <col min="11337" max="11337" width="12.7265625" style="17" customWidth="1"/>
    <col min="11338" max="11338" width="14.7265625" style="17" customWidth="1"/>
    <col min="11339" max="11339" width="3.26953125" style="17" customWidth="1"/>
    <col min="11340" max="11340" width="13.54296875" style="17" customWidth="1"/>
    <col min="11341" max="11341" width="0.26953125" style="17" customWidth="1"/>
    <col min="11342" max="11343" width="11.26953125" style="17" customWidth="1"/>
    <col min="11344" max="11344" width="9.1796875" style="17"/>
    <col min="11345" max="11345" width="10.81640625" style="17" customWidth="1"/>
    <col min="11346" max="11346" width="11.54296875" style="17" customWidth="1"/>
    <col min="11347" max="11347" width="10.1796875" style="17" customWidth="1"/>
    <col min="11348" max="11348" width="10.81640625" style="17" customWidth="1"/>
    <col min="11349" max="11349" width="9.26953125" style="17" customWidth="1"/>
    <col min="11350" max="11350" width="10.453125" style="17" customWidth="1"/>
    <col min="11351" max="11351" width="11.7265625" style="17" customWidth="1"/>
    <col min="11352" max="11520" width="9.1796875" style="17"/>
    <col min="11521" max="11521" width="2.81640625" style="17" customWidth="1"/>
    <col min="11522" max="11522" width="3.26953125" style="17" customWidth="1"/>
    <col min="11523" max="11523" width="56" style="17" customWidth="1"/>
    <col min="11524" max="11524" width="4.26953125" style="17" customWidth="1"/>
    <col min="11525" max="11529" width="13.54296875" style="17" customWidth="1"/>
    <col min="11530" max="11574" width="0" style="17" hidden="1" customWidth="1"/>
    <col min="11575" max="11579" width="15.453125" style="17" customWidth="1"/>
    <col min="11580" max="11589" width="0" style="17" hidden="1" customWidth="1"/>
    <col min="11590" max="11590" width="15.453125" style="17" customWidth="1"/>
    <col min="11591" max="11591" width="13.1796875" style="17" customWidth="1"/>
    <col min="11592" max="11592" width="11.26953125" style="17" customWidth="1"/>
    <col min="11593" max="11593" width="12.7265625" style="17" customWidth="1"/>
    <col min="11594" max="11594" width="14.7265625" style="17" customWidth="1"/>
    <col min="11595" max="11595" width="3.26953125" style="17" customWidth="1"/>
    <col min="11596" max="11596" width="13.54296875" style="17" customWidth="1"/>
    <col min="11597" max="11597" width="0.26953125" style="17" customWidth="1"/>
    <col min="11598" max="11599" width="11.26953125" style="17" customWidth="1"/>
    <col min="11600" max="11600" width="9.1796875" style="17"/>
    <col min="11601" max="11601" width="10.81640625" style="17" customWidth="1"/>
    <col min="11602" max="11602" width="11.54296875" style="17" customWidth="1"/>
    <col min="11603" max="11603" width="10.1796875" style="17" customWidth="1"/>
    <col min="11604" max="11604" width="10.81640625" style="17" customWidth="1"/>
    <col min="11605" max="11605" width="9.26953125" style="17" customWidth="1"/>
    <col min="11606" max="11606" width="10.453125" style="17" customWidth="1"/>
    <col min="11607" max="11607" width="11.7265625" style="17" customWidth="1"/>
    <col min="11608" max="11776" width="9.1796875" style="17"/>
    <col min="11777" max="11777" width="2.81640625" style="17" customWidth="1"/>
    <col min="11778" max="11778" width="3.26953125" style="17" customWidth="1"/>
    <col min="11779" max="11779" width="56" style="17" customWidth="1"/>
    <col min="11780" max="11780" width="4.26953125" style="17" customWidth="1"/>
    <col min="11781" max="11785" width="13.54296875" style="17" customWidth="1"/>
    <col min="11786" max="11830" width="0" style="17" hidden="1" customWidth="1"/>
    <col min="11831" max="11835" width="15.453125" style="17" customWidth="1"/>
    <col min="11836" max="11845" width="0" style="17" hidden="1" customWidth="1"/>
    <col min="11846" max="11846" width="15.453125" style="17" customWidth="1"/>
    <col min="11847" max="11847" width="13.1796875" style="17" customWidth="1"/>
    <col min="11848" max="11848" width="11.26953125" style="17" customWidth="1"/>
    <col min="11849" max="11849" width="12.7265625" style="17" customWidth="1"/>
    <col min="11850" max="11850" width="14.7265625" style="17" customWidth="1"/>
    <col min="11851" max="11851" width="3.26953125" style="17" customWidth="1"/>
    <col min="11852" max="11852" width="13.54296875" style="17" customWidth="1"/>
    <col min="11853" max="11853" width="0.26953125" style="17" customWidth="1"/>
    <col min="11854" max="11855" width="11.26953125" style="17" customWidth="1"/>
    <col min="11856" max="11856" width="9.1796875" style="17"/>
    <col min="11857" max="11857" width="10.81640625" style="17" customWidth="1"/>
    <col min="11858" max="11858" width="11.54296875" style="17" customWidth="1"/>
    <col min="11859" max="11859" width="10.1796875" style="17" customWidth="1"/>
    <col min="11860" max="11860" width="10.81640625" style="17" customWidth="1"/>
    <col min="11861" max="11861" width="9.26953125" style="17" customWidth="1"/>
    <col min="11862" max="11862" width="10.453125" style="17" customWidth="1"/>
    <col min="11863" max="11863" width="11.7265625" style="17" customWidth="1"/>
    <col min="11864" max="12032" width="9.1796875" style="17"/>
    <col min="12033" max="12033" width="2.81640625" style="17" customWidth="1"/>
    <col min="12034" max="12034" width="3.26953125" style="17" customWidth="1"/>
    <col min="12035" max="12035" width="56" style="17" customWidth="1"/>
    <col min="12036" max="12036" width="4.26953125" style="17" customWidth="1"/>
    <col min="12037" max="12041" width="13.54296875" style="17" customWidth="1"/>
    <col min="12042" max="12086" width="0" style="17" hidden="1" customWidth="1"/>
    <col min="12087" max="12091" width="15.453125" style="17" customWidth="1"/>
    <col min="12092" max="12101" width="0" style="17" hidden="1" customWidth="1"/>
    <col min="12102" max="12102" width="15.453125" style="17" customWidth="1"/>
    <col min="12103" max="12103" width="13.1796875" style="17" customWidth="1"/>
    <col min="12104" max="12104" width="11.26953125" style="17" customWidth="1"/>
    <col min="12105" max="12105" width="12.7265625" style="17" customWidth="1"/>
    <col min="12106" max="12106" width="14.7265625" style="17" customWidth="1"/>
    <col min="12107" max="12107" width="3.26953125" style="17" customWidth="1"/>
    <col min="12108" max="12108" width="13.54296875" style="17" customWidth="1"/>
    <col min="12109" max="12109" width="0.26953125" style="17" customWidth="1"/>
    <col min="12110" max="12111" width="11.26953125" style="17" customWidth="1"/>
    <col min="12112" max="12112" width="9.1796875" style="17"/>
    <col min="12113" max="12113" width="10.81640625" style="17" customWidth="1"/>
    <col min="12114" max="12114" width="11.54296875" style="17" customWidth="1"/>
    <col min="12115" max="12115" width="10.1796875" style="17" customWidth="1"/>
    <col min="12116" max="12116" width="10.81640625" style="17" customWidth="1"/>
    <col min="12117" max="12117" width="9.26953125" style="17" customWidth="1"/>
    <col min="12118" max="12118" width="10.453125" style="17" customWidth="1"/>
    <col min="12119" max="12119" width="11.7265625" style="17" customWidth="1"/>
    <col min="12120" max="12288" width="9.1796875" style="17"/>
    <col min="12289" max="12289" width="2.81640625" style="17" customWidth="1"/>
    <col min="12290" max="12290" width="3.26953125" style="17" customWidth="1"/>
    <col min="12291" max="12291" width="56" style="17" customWidth="1"/>
    <col min="12292" max="12292" width="4.26953125" style="17" customWidth="1"/>
    <col min="12293" max="12297" width="13.54296875" style="17" customWidth="1"/>
    <col min="12298" max="12342" width="0" style="17" hidden="1" customWidth="1"/>
    <col min="12343" max="12347" width="15.453125" style="17" customWidth="1"/>
    <col min="12348" max="12357" width="0" style="17" hidden="1" customWidth="1"/>
    <col min="12358" max="12358" width="15.453125" style="17" customWidth="1"/>
    <col min="12359" max="12359" width="13.1796875" style="17" customWidth="1"/>
    <col min="12360" max="12360" width="11.26953125" style="17" customWidth="1"/>
    <col min="12361" max="12361" width="12.7265625" style="17" customWidth="1"/>
    <col min="12362" max="12362" width="14.7265625" style="17" customWidth="1"/>
    <col min="12363" max="12363" width="3.26953125" style="17" customWidth="1"/>
    <col min="12364" max="12364" width="13.54296875" style="17" customWidth="1"/>
    <col min="12365" max="12365" width="0.26953125" style="17" customWidth="1"/>
    <col min="12366" max="12367" width="11.26953125" style="17" customWidth="1"/>
    <col min="12368" max="12368" width="9.1796875" style="17"/>
    <col min="12369" max="12369" width="10.81640625" style="17" customWidth="1"/>
    <col min="12370" max="12370" width="11.54296875" style="17" customWidth="1"/>
    <col min="12371" max="12371" width="10.1796875" style="17" customWidth="1"/>
    <col min="12372" max="12372" width="10.81640625" style="17" customWidth="1"/>
    <col min="12373" max="12373" width="9.26953125" style="17" customWidth="1"/>
    <col min="12374" max="12374" width="10.453125" style="17" customWidth="1"/>
    <col min="12375" max="12375" width="11.7265625" style="17" customWidth="1"/>
    <col min="12376" max="12544" width="9.1796875" style="17"/>
    <col min="12545" max="12545" width="2.81640625" style="17" customWidth="1"/>
    <col min="12546" max="12546" width="3.26953125" style="17" customWidth="1"/>
    <col min="12547" max="12547" width="56" style="17" customWidth="1"/>
    <col min="12548" max="12548" width="4.26953125" style="17" customWidth="1"/>
    <col min="12549" max="12553" width="13.54296875" style="17" customWidth="1"/>
    <col min="12554" max="12598" width="0" style="17" hidden="1" customWidth="1"/>
    <col min="12599" max="12603" width="15.453125" style="17" customWidth="1"/>
    <col min="12604" max="12613" width="0" style="17" hidden="1" customWidth="1"/>
    <col min="12614" max="12614" width="15.453125" style="17" customWidth="1"/>
    <col min="12615" max="12615" width="13.1796875" style="17" customWidth="1"/>
    <col min="12616" max="12616" width="11.26953125" style="17" customWidth="1"/>
    <col min="12617" max="12617" width="12.7265625" style="17" customWidth="1"/>
    <col min="12618" max="12618" width="14.7265625" style="17" customWidth="1"/>
    <col min="12619" max="12619" width="3.26953125" style="17" customWidth="1"/>
    <col min="12620" max="12620" width="13.54296875" style="17" customWidth="1"/>
    <col min="12621" max="12621" width="0.26953125" style="17" customWidth="1"/>
    <col min="12622" max="12623" width="11.26953125" style="17" customWidth="1"/>
    <col min="12624" max="12624" width="9.1796875" style="17"/>
    <col min="12625" max="12625" width="10.81640625" style="17" customWidth="1"/>
    <col min="12626" max="12626" width="11.54296875" style="17" customWidth="1"/>
    <col min="12627" max="12627" width="10.1796875" style="17" customWidth="1"/>
    <col min="12628" max="12628" width="10.81640625" style="17" customWidth="1"/>
    <col min="12629" max="12629" width="9.26953125" style="17" customWidth="1"/>
    <col min="12630" max="12630" width="10.453125" style="17" customWidth="1"/>
    <col min="12631" max="12631" width="11.7265625" style="17" customWidth="1"/>
    <col min="12632" max="12800" width="9.1796875" style="17"/>
    <col min="12801" max="12801" width="2.81640625" style="17" customWidth="1"/>
    <col min="12802" max="12802" width="3.26953125" style="17" customWidth="1"/>
    <col min="12803" max="12803" width="56" style="17" customWidth="1"/>
    <col min="12804" max="12804" width="4.26953125" style="17" customWidth="1"/>
    <col min="12805" max="12809" width="13.54296875" style="17" customWidth="1"/>
    <col min="12810" max="12854" width="0" style="17" hidden="1" customWidth="1"/>
    <col min="12855" max="12859" width="15.453125" style="17" customWidth="1"/>
    <col min="12860" max="12869" width="0" style="17" hidden="1" customWidth="1"/>
    <col min="12870" max="12870" width="15.453125" style="17" customWidth="1"/>
    <col min="12871" max="12871" width="13.1796875" style="17" customWidth="1"/>
    <col min="12872" max="12872" width="11.26953125" style="17" customWidth="1"/>
    <col min="12873" max="12873" width="12.7265625" style="17" customWidth="1"/>
    <col min="12874" max="12874" width="14.7265625" style="17" customWidth="1"/>
    <col min="12875" max="12875" width="3.26953125" style="17" customWidth="1"/>
    <col min="12876" max="12876" width="13.54296875" style="17" customWidth="1"/>
    <col min="12877" max="12877" width="0.26953125" style="17" customWidth="1"/>
    <col min="12878" max="12879" width="11.26953125" style="17" customWidth="1"/>
    <col min="12880" max="12880" width="9.1796875" style="17"/>
    <col min="12881" max="12881" width="10.81640625" style="17" customWidth="1"/>
    <col min="12882" max="12882" width="11.54296875" style="17" customWidth="1"/>
    <col min="12883" max="12883" width="10.1796875" style="17" customWidth="1"/>
    <col min="12884" max="12884" width="10.81640625" style="17" customWidth="1"/>
    <col min="12885" max="12885" width="9.26953125" style="17" customWidth="1"/>
    <col min="12886" max="12886" width="10.453125" style="17" customWidth="1"/>
    <col min="12887" max="12887" width="11.7265625" style="17" customWidth="1"/>
    <col min="12888" max="13056" width="9.1796875" style="17"/>
    <col min="13057" max="13057" width="2.81640625" style="17" customWidth="1"/>
    <col min="13058" max="13058" width="3.26953125" style="17" customWidth="1"/>
    <col min="13059" max="13059" width="56" style="17" customWidth="1"/>
    <col min="13060" max="13060" width="4.26953125" style="17" customWidth="1"/>
    <col min="13061" max="13065" width="13.54296875" style="17" customWidth="1"/>
    <col min="13066" max="13110" width="0" style="17" hidden="1" customWidth="1"/>
    <col min="13111" max="13115" width="15.453125" style="17" customWidth="1"/>
    <col min="13116" max="13125" width="0" style="17" hidden="1" customWidth="1"/>
    <col min="13126" max="13126" width="15.453125" style="17" customWidth="1"/>
    <col min="13127" max="13127" width="13.1796875" style="17" customWidth="1"/>
    <col min="13128" max="13128" width="11.26953125" style="17" customWidth="1"/>
    <col min="13129" max="13129" width="12.7265625" style="17" customWidth="1"/>
    <col min="13130" max="13130" width="14.7265625" style="17" customWidth="1"/>
    <col min="13131" max="13131" width="3.26953125" style="17" customWidth="1"/>
    <col min="13132" max="13132" width="13.54296875" style="17" customWidth="1"/>
    <col min="13133" max="13133" width="0.26953125" style="17" customWidth="1"/>
    <col min="13134" max="13135" width="11.26953125" style="17" customWidth="1"/>
    <col min="13136" max="13136" width="9.1796875" style="17"/>
    <col min="13137" max="13137" width="10.81640625" style="17" customWidth="1"/>
    <col min="13138" max="13138" width="11.54296875" style="17" customWidth="1"/>
    <col min="13139" max="13139" width="10.1796875" style="17" customWidth="1"/>
    <col min="13140" max="13140" width="10.81640625" style="17" customWidth="1"/>
    <col min="13141" max="13141" width="9.26953125" style="17" customWidth="1"/>
    <col min="13142" max="13142" width="10.453125" style="17" customWidth="1"/>
    <col min="13143" max="13143" width="11.7265625" style="17" customWidth="1"/>
    <col min="13144" max="13312" width="9.1796875" style="17"/>
    <col min="13313" max="13313" width="2.81640625" style="17" customWidth="1"/>
    <col min="13314" max="13314" width="3.26953125" style="17" customWidth="1"/>
    <col min="13315" max="13315" width="56" style="17" customWidth="1"/>
    <col min="13316" max="13316" width="4.26953125" style="17" customWidth="1"/>
    <col min="13317" max="13321" width="13.54296875" style="17" customWidth="1"/>
    <col min="13322" max="13366" width="0" style="17" hidden="1" customWidth="1"/>
    <col min="13367" max="13371" width="15.453125" style="17" customWidth="1"/>
    <col min="13372" max="13381" width="0" style="17" hidden="1" customWidth="1"/>
    <col min="13382" max="13382" width="15.453125" style="17" customWidth="1"/>
    <col min="13383" max="13383" width="13.1796875" style="17" customWidth="1"/>
    <col min="13384" max="13384" width="11.26953125" style="17" customWidth="1"/>
    <col min="13385" max="13385" width="12.7265625" style="17" customWidth="1"/>
    <col min="13386" max="13386" width="14.7265625" style="17" customWidth="1"/>
    <col min="13387" max="13387" width="3.26953125" style="17" customWidth="1"/>
    <col min="13388" max="13388" width="13.54296875" style="17" customWidth="1"/>
    <col min="13389" max="13389" width="0.26953125" style="17" customWidth="1"/>
    <col min="13390" max="13391" width="11.26953125" style="17" customWidth="1"/>
    <col min="13392" max="13392" width="9.1796875" style="17"/>
    <col min="13393" max="13393" width="10.81640625" style="17" customWidth="1"/>
    <col min="13394" max="13394" width="11.54296875" style="17" customWidth="1"/>
    <col min="13395" max="13395" width="10.1796875" style="17" customWidth="1"/>
    <col min="13396" max="13396" width="10.81640625" style="17" customWidth="1"/>
    <col min="13397" max="13397" width="9.26953125" style="17" customWidth="1"/>
    <col min="13398" max="13398" width="10.453125" style="17" customWidth="1"/>
    <col min="13399" max="13399" width="11.7265625" style="17" customWidth="1"/>
    <col min="13400" max="13568" width="9.1796875" style="17"/>
    <col min="13569" max="13569" width="2.81640625" style="17" customWidth="1"/>
    <col min="13570" max="13570" width="3.26953125" style="17" customWidth="1"/>
    <col min="13571" max="13571" width="56" style="17" customWidth="1"/>
    <col min="13572" max="13572" width="4.26953125" style="17" customWidth="1"/>
    <col min="13573" max="13577" width="13.54296875" style="17" customWidth="1"/>
    <col min="13578" max="13622" width="0" style="17" hidden="1" customWidth="1"/>
    <col min="13623" max="13627" width="15.453125" style="17" customWidth="1"/>
    <col min="13628" max="13637" width="0" style="17" hidden="1" customWidth="1"/>
    <col min="13638" max="13638" width="15.453125" style="17" customWidth="1"/>
    <col min="13639" max="13639" width="13.1796875" style="17" customWidth="1"/>
    <col min="13640" max="13640" width="11.26953125" style="17" customWidth="1"/>
    <col min="13641" max="13641" width="12.7265625" style="17" customWidth="1"/>
    <col min="13642" max="13642" width="14.7265625" style="17" customWidth="1"/>
    <col min="13643" max="13643" width="3.26953125" style="17" customWidth="1"/>
    <col min="13644" max="13644" width="13.54296875" style="17" customWidth="1"/>
    <col min="13645" max="13645" width="0.26953125" style="17" customWidth="1"/>
    <col min="13646" max="13647" width="11.26953125" style="17" customWidth="1"/>
    <col min="13648" max="13648" width="9.1796875" style="17"/>
    <col min="13649" max="13649" width="10.81640625" style="17" customWidth="1"/>
    <col min="13650" max="13650" width="11.54296875" style="17" customWidth="1"/>
    <col min="13651" max="13651" width="10.1796875" style="17" customWidth="1"/>
    <col min="13652" max="13652" width="10.81640625" style="17" customWidth="1"/>
    <col min="13653" max="13653" width="9.26953125" style="17" customWidth="1"/>
    <col min="13654" max="13654" width="10.453125" style="17" customWidth="1"/>
    <col min="13655" max="13655" width="11.7265625" style="17" customWidth="1"/>
    <col min="13656" max="13824" width="9.1796875" style="17"/>
    <col min="13825" max="13825" width="2.81640625" style="17" customWidth="1"/>
    <col min="13826" max="13826" width="3.26953125" style="17" customWidth="1"/>
    <col min="13827" max="13827" width="56" style="17" customWidth="1"/>
    <col min="13828" max="13828" width="4.26953125" style="17" customWidth="1"/>
    <col min="13829" max="13833" width="13.54296875" style="17" customWidth="1"/>
    <col min="13834" max="13878" width="0" style="17" hidden="1" customWidth="1"/>
    <col min="13879" max="13883" width="15.453125" style="17" customWidth="1"/>
    <col min="13884" max="13893" width="0" style="17" hidden="1" customWidth="1"/>
    <col min="13894" max="13894" width="15.453125" style="17" customWidth="1"/>
    <col min="13895" max="13895" width="13.1796875" style="17" customWidth="1"/>
    <col min="13896" max="13896" width="11.26953125" style="17" customWidth="1"/>
    <col min="13897" max="13897" width="12.7265625" style="17" customWidth="1"/>
    <col min="13898" max="13898" width="14.7265625" style="17" customWidth="1"/>
    <col min="13899" max="13899" width="3.26953125" style="17" customWidth="1"/>
    <col min="13900" max="13900" width="13.54296875" style="17" customWidth="1"/>
    <col min="13901" max="13901" width="0.26953125" style="17" customWidth="1"/>
    <col min="13902" max="13903" width="11.26953125" style="17" customWidth="1"/>
    <col min="13904" max="13904" width="9.1796875" style="17"/>
    <col min="13905" max="13905" width="10.81640625" style="17" customWidth="1"/>
    <col min="13906" max="13906" width="11.54296875" style="17" customWidth="1"/>
    <col min="13907" max="13907" width="10.1796875" style="17" customWidth="1"/>
    <col min="13908" max="13908" width="10.81640625" style="17" customWidth="1"/>
    <col min="13909" max="13909" width="9.26953125" style="17" customWidth="1"/>
    <col min="13910" max="13910" width="10.453125" style="17" customWidth="1"/>
    <col min="13911" max="13911" width="11.7265625" style="17" customWidth="1"/>
    <col min="13912" max="14080" width="9.1796875" style="17"/>
    <col min="14081" max="14081" width="2.81640625" style="17" customWidth="1"/>
    <col min="14082" max="14082" width="3.26953125" style="17" customWidth="1"/>
    <col min="14083" max="14083" width="56" style="17" customWidth="1"/>
    <col min="14084" max="14084" width="4.26953125" style="17" customWidth="1"/>
    <col min="14085" max="14089" width="13.54296875" style="17" customWidth="1"/>
    <col min="14090" max="14134" width="0" style="17" hidden="1" customWidth="1"/>
    <col min="14135" max="14139" width="15.453125" style="17" customWidth="1"/>
    <col min="14140" max="14149" width="0" style="17" hidden="1" customWidth="1"/>
    <col min="14150" max="14150" width="15.453125" style="17" customWidth="1"/>
    <col min="14151" max="14151" width="13.1796875" style="17" customWidth="1"/>
    <col min="14152" max="14152" width="11.26953125" style="17" customWidth="1"/>
    <col min="14153" max="14153" width="12.7265625" style="17" customWidth="1"/>
    <col min="14154" max="14154" width="14.7265625" style="17" customWidth="1"/>
    <col min="14155" max="14155" width="3.26953125" style="17" customWidth="1"/>
    <col min="14156" max="14156" width="13.54296875" style="17" customWidth="1"/>
    <col min="14157" max="14157" width="0.26953125" style="17" customWidth="1"/>
    <col min="14158" max="14159" width="11.26953125" style="17" customWidth="1"/>
    <col min="14160" max="14160" width="9.1796875" style="17"/>
    <col min="14161" max="14161" width="10.81640625" style="17" customWidth="1"/>
    <col min="14162" max="14162" width="11.54296875" style="17" customWidth="1"/>
    <col min="14163" max="14163" width="10.1796875" style="17" customWidth="1"/>
    <col min="14164" max="14164" width="10.81640625" style="17" customWidth="1"/>
    <col min="14165" max="14165" width="9.26953125" style="17" customWidth="1"/>
    <col min="14166" max="14166" width="10.453125" style="17" customWidth="1"/>
    <col min="14167" max="14167" width="11.7265625" style="17" customWidth="1"/>
    <col min="14168" max="14336" width="9.1796875" style="17"/>
    <col min="14337" max="14337" width="2.81640625" style="17" customWidth="1"/>
    <col min="14338" max="14338" width="3.26953125" style="17" customWidth="1"/>
    <col min="14339" max="14339" width="56" style="17" customWidth="1"/>
    <col min="14340" max="14340" width="4.26953125" style="17" customWidth="1"/>
    <col min="14341" max="14345" width="13.54296875" style="17" customWidth="1"/>
    <col min="14346" max="14390" width="0" style="17" hidden="1" customWidth="1"/>
    <col min="14391" max="14395" width="15.453125" style="17" customWidth="1"/>
    <col min="14396" max="14405" width="0" style="17" hidden="1" customWidth="1"/>
    <col min="14406" max="14406" width="15.453125" style="17" customWidth="1"/>
    <col min="14407" max="14407" width="13.1796875" style="17" customWidth="1"/>
    <col min="14408" max="14408" width="11.26953125" style="17" customWidth="1"/>
    <col min="14409" max="14409" width="12.7265625" style="17" customWidth="1"/>
    <col min="14410" max="14410" width="14.7265625" style="17" customWidth="1"/>
    <col min="14411" max="14411" width="3.26953125" style="17" customWidth="1"/>
    <col min="14412" max="14412" width="13.54296875" style="17" customWidth="1"/>
    <col min="14413" max="14413" width="0.26953125" style="17" customWidth="1"/>
    <col min="14414" max="14415" width="11.26953125" style="17" customWidth="1"/>
    <col min="14416" max="14416" width="9.1796875" style="17"/>
    <col min="14417" max="14417" width="10.81640625" style="17" customWidth="1"/>
    <col min="14418" max="14418" width="11.54296875" style="17" customWidth="1"/>
    <col min="14419" max="14419" width="10.1796875" style="17" customWidth="1"/>
    <col min="14420" max="14420" width="10.81640625" style="17" customWidth="1"/>
    <col min="14421" max="14421" width="9.26953125" style="17" customWidth="1"/>
    <col min="14422" max="14422" width="10.453125" style="17" customWidth="1"/>
    <col min="14423" max="14423" width="11.7265625" style="17" customWidth="1"/>
    <col min="14424" max="14592" width="9.1796875" style="17"/>
    <col min="14593" max="14593" width="2.81640625" style="17" customWidth="1"/>
    <col min="14594" max="14594" width="3.26953125" style="17" customWidth="1"/>
    <col min="14595" max="14595" width="56" style="17" customWidth="1"/>
    <col min="14596" max="14596" width="4.26953125" style="17" customWidth="1"/>
    <col min="14597" max="14601" width="13.54296875" style="17" customWidth="1"/>
    <col min="14602" max="14646" width="0" style="17" hidden="1" customWidth="1"/>
    <col min="14647" max="14651" width="15.453125" style="17" customWidth="1"/>
    <col min="14652" max="14661" width="0" style="17" hidden="1" customWidth="1"/>
    <col min="14662" max="14662" width="15.453125" style="17" customWidth="1"/>
    <col min="14663" max="14663" width="13.1796875" style="17" customWidth="1"/>
    <col min="14664" max="14664" width="11.26953125" style="17" customWidth="1"/>
    <col min="14665" max="14665" width="12.7265625" style="17" customWidth="1"/>
    <col min="14666" max="14666" width="14.7265625" style="17" customWidth="1"/>
    <col min="14667" max="14667" width="3.26953125" style="17" customWidth="1"/>
    <col min="14668" max="14668" width="13.54296875" style="17" customWidth="1"/>
    <col min="14669" max="14669" width="0.26953125" style="17" customWidth="1"/>
    <col min="14670" max="14671" width="11.26953125" style="17" customWidth="1"/>
    <col min="14672" max="14672" width="9.1796875" style="17"/>
    <col min="14673" max="14673" width="10.81640625" style="17" customWidth="1"/>
    <col min="14674" max="14674" width="11.54296875" style="17" customWidth="1"/>
    <col min="14675" max="14675" width="10.1796875" style="17" customWidth="1"/>
    <col min="14676" max="14676" width="10.81640625" style="17" customWidth="1"/>
    <col min="14677" max="14677" width="9.26953125" style="17" customWidth="1"/>
    <col min="14678" max="14678" width="10.453125" style="17" customWidth="1"/>
    <col min="14679" max="14679" width="11.7265625" style="17" customWidth="1"/>
    <col min="14680" max="14848" width="9.1796875" style="17"/>
    <col min="14849" max="14849" width="2.81640625" style="17" customWidth="1"/>
    <col min="14850" max="14850" width="3.26953125" style="17" customWidth="1"/>
    <col min="14851" max="14851" width="56" style="17" customWidth="1"/>
    <col min="14852" max="14852" width="4.26953125" style="17" customWidth="1"/>
    <col min="14853" max="14857" width="13.54296875" style="17" customWidth="1"/>
    <col min="14858" max="14902" width="0" style="17" hidden="1" customWidth="1"/>
    <col min="14903" max="14907" width="15.453125" style="17" customWidth="1"/>
    <col min="14908" max="14917" width="0" style="17" hidden="1" customWidth="1"/>
    <col min="14918" max="14918" width="15.453125" style="17" customWidth="1"/>
    <col min="14919" max="14919" width="13.1796875" style="17" customWidth="1"/>
    <col min="14920" max="14920" width="11.26953125" style="17" customWidth="1"/>
    <col min="14921" max="14921" width="12.7265625" style="17" customWidth="1"/>
    <col min="14922" max="14922" width="14.7265625" style="17" customWidth="1"/>
    <col min="14923" max="14923" width="3.26953125" style="17" customWidth="1"/>
    <col min="14924" max="14924" width="13.54296875" style="17" customWidth="1"/>
    <col min="14925" max="14925" width="0.26953125" style="17" customWidth="1"/>
    <col min="14926" max="14927" width="11.26953125" style="17" customWidth="1"/>
    <col min="14928" max="14928" width="9.1796875" style="17"/>
    <col min="14929" max="14929" width="10.81640625" style="17" customWidth="1"/>
    <col min="14930" max="14930" width="11.54296875" style="17" customWidth="1"/>
    <col min="14931" max="14931" width="10.1796875" style="17" customWidth="1"/>
    <col min="14932" max="14932" width="10.81640625" style="17" customWidth="1"/>
    <col min="14933" max="14933" width="9.26953125" style="17" customWidth="1"/>
    <col min="14934" max="14934" width="10.453125" style="17" customWidth="1"/>
    <col min="14935" max="14935" width="11.7265625" style="17" customWidth="1"/>
    <col min="14936" max="15104" width="9.1796875" style="17"/>
    <col min="15105" max="15105" width="2.81640625" style="17" customWidth="1"/>
    <col min="15106" max="15106" width="3.26953125" style="17" customWidth="1"/>
    <col min="15107" max="15107" width="56" style="17" customWidth="1"/>
    <col min="15108" max="15108" width="4.26953125" style="17" customWidth="1"/>
    <col min="15109" max="15113" width="13.54296875" style="17" customWidth="1"/>
    <col min="15114" max="15158" width="0" style="17" hidden="1" customWidth="1"/>
    <col min="15159" max="15163" width="15.453125" style="17" customWidth="1"/>
    <col min="15164" max="15173" width="0" style="17" hidden="1" customWidth="1"/>
    <col min="15174" max="15174" width="15.453125" style="17" customWidth="1"/>
    <col min="15175" max="15175" width="13.1796875" style="17" customWidth="1"/>
    <col min="15176" max="15176" width="11.26953125" style="17" customWidth="1"/>
    <col min="15177" max="15177" width="12.7265625" style="17" customWidth="1"/>
    <col min="15178" max="15178" width="14.7265625" style="17" customWidth="1"/>
    <col min="15179" max="15179" width="3.26953125" style="17" customWidth="1"/>
    <col min="15180" max="15180" width="13.54296875" style="17" customWidth="1"/>
    <col min="15181" max="15181" width="0.26953125" style="17" customWidth="1"/>
    <col min="15182" max="15183" width="11.26953125" style="17" customWidth="1"/>
    <col min="15184" max="15184" width="9.1796875" style="17"/>
    <col min="15185" max="15185" width="10.81640625" style="17" customWidth="1"/>
    <col min="15186" max="15186" width="11.54296875" style="17" customWidth="1"/>
    <col min="15187" max="15187" width="10.1796875" style="17" customWidth="1"/>
    <col min="15188" max="15188" width="10.81640625" style="17" customWidth="1"/>
    <col min="15189" max="15189" width="9.26953125" style="17" customWidth="1"/>
    <col min="15190" max="15190" width="10.453125" style="17" customWidth="1"/>
    <col min="15191" max="15191" width="11.7265625" style="17" customWidth="1"/>
    <col min="15192" max="15360" width="9.1796875" style="17"/>
    <col min="15361" max="15361" width="2.81640625" style="17" customWidth="1"/>
    <col min="15362" max="15362" width="3.26953125" style="17" customWidth="1"/>
    <col min="15363" max="15363" width="56" style="17" customWidth="1"/>
    <col min="15364" max="15364" width="4.26953125" style="17" customWidth="1"/>
    <col min="15365" max="15369" width="13.54296875" style="17" customWidth="1"/>
    <col min="15370" max="15414" width="0" style="17" hidden="1" customWidth="1"/>
    <col min="15415" max="15419" width="15.453125" style="17" customWidth="1"/>
    <col min="15420" max="15429" width="0" style="17" hidden="1" customWidth="1"/>
    <col min="15430" max="15430" width="15.453125" style="17" customWidth="1"/>
    <col min="15431" max="15431" width="13.1796875" style="17" customWidth="1"/>
    <col min="15432" max="15432" width="11.26953125" style="17" customWidth="1"/>
    <col min="15433" max="15433" width="12.7265625" style="17" customWidth="1"/>
    <col min="15434" max="15434" width="14.7265625" style="17" customWidth="1"/>
    <col min="15435" max="15435" width="3.26953125" style="17" customWidth="1"/>
    <col min="15436" max="15436" width="13.54296875" style="17" customWidth="1"/>
    <col min="15437" max="15437" width="0.26953125" style="17" customWidth="1"/>
    <col min="15438" max="15439" width="11.26953125" style="17" customWidth="1"/>
    <col min="15440" max="15440" width="9.1796875" style="17"/>
    <col min="15441" max="15441" width="10.81640625" style="17" customWidth="1"/>
    <col min="15442" max="15442" width="11.54296875" style="17" customWidth="1"/>
    <col min="15443" max="15443" width="10.1796875" style="17" customWidth="1"/>
    <col min="15444" max="15444" width="10.81640625" style="17" customWidth="1"/>
    <col min="15445" max="15445" width="9.26953125" style="17" customWidth="1"/>
    <col min="15446" max="15446" width="10.453125" style="17" customWidth="1"/>
    <col min="15447" max="15447" width="11.7265625" style="17" customWidth="1"/>
    <col min="15448" max="15616" width="9.1796875" style="17"/>
    <col min="15617" max="15617" width="2.81640625" style="17" customWidth="1"/>
    <col min="15618" max="15618" width="3.26953125" style="17" customWidth="1"/>
    <col min="15619" max="15619" width="56" style="17" customWidth="1"/>
    <col min="15620" max="15620" width="4.26953125" style="17" customWidth="1"/>
    <col min="15621" max="15625" width="13.54296875" style="17" customWidth="1"/>
    <col min="15626" max="15670" width="0" style="17" hidden="1" customWidth="1"/>
    <col min="15671" max="15675" width="15.453125" style="17" customWidth="1"/>
    <col min="15676" max="15685" width="0" style="17" hidden="1" customWidth="1"/>
    <col min="15686" max="15686" width="15.453125" style="17" customWidth="1"/>
    <col min="15687" max="15687" width="13.1796875" style="17" customWidth="1"/>
    <col min="15688" max="15688" width="11.26953125" style="17" customWidth="1"/>
    <col min="15689" max="15689" width="12.7265625" style="17" customWidth="1"/>
    <col min="15690" max="15690" width="14.7265625" style="17" customWidth="1"/>
    <col min="15691" max="15691" width="3.26953125" style="17" customWidth="1"/>
    <col min="15692" max="15692" width="13.54296875" style="17" customWidth="1"/>
    <col min="15693" max="15693" width="0.26953125" style="17" customWidth="1"/>
    <col min="15694" max="15695" width="11.26953125" style="17" customWidth="1"/>
    <col min="15696" max="15696" width="9.1796875" style="17"/>
    <col min="15697" max="15697" width="10.81640625" style="17" customWidth="1"/>
    <col min="15698" max="15698" width="11.54296875" style="17" customWidth="1"/>
    <col min="15699" max="15699" width="10.1796875" style="17" customWidth="1"/>
    <col min="15700" max="15700" width="10.81640625" style="17" customWidth="1"/>
    <col min="15701" max="15701" width="9.26953125" style="17" customWidth="1"/>
    <col min="15702" max="15702" width="10.453125" style="17" customWidth="1"/>
    <col min="15703" max="15703" width="11.7265625" style="17" customWidth="1"/>
    <col min="15704" max="15872" width="9.1796875" style="17"/>
    <col min="15873" max="15873" width="2.81640625" style="17" customWidth="1"/>
    <col min="15874" max="15874" width="3.26953125" style="17" customWidth="1"/>
    <col min="15875" max="15875" width="56" style="17" customWidth="1"/>
    <col min="15876" max="15876" width="4.26953125" style="17" customWidth="1"/>
    <col min="15877" max="15881" width="13.54296875" style="17" customWidth="1"/>
    <col min="15882" max="15926" width="0" style="17" hidden="1" customWidth="1"/>
    <col min="15927" max="15931" width="15.453125" style="17" customWidth="1"/>
    <col min="15932" max="15941" width="0" style="17" hidden="1" customWidth="1"/>
    <col min="15942" max="15942" width="15.453125" style="17" customWidth="1"/>
    <col min="15943" max="15943" width="13.1796875" style="17" customWidth="1"/>
    <col min="15944" max="15944" width="11.26953125" style="17" customWidth="1"/>
    <col min="15945" max="15945" width="12.7265625" style="17" customWidth="1"/>
    <col min="15946" max="15946" width="14.7265625" style="17" customWidth="1"/>
    <col min="15947" max="15947" width="3.26953125" style="17" customWidth="1"/>
    <col min="15948" max="15948" width="13.54296875" style="17" customWidth="1"/>
    <col min="15949" max="15949" width="0.26953125" style="17" customWidth="1"/>
    <col min="15950" max="15951" width="11.26953125" style="17" customWidth="1"/>
    <col min="15952" max="15952" width="9.1796875" style="17"/>
    <col min="15953" max="15953" width="10.81640625" style="17" customWidth="1"/>
    <col min="15954" max="15954" width="11.54296875" style="17" customWidth="1"/>
    <col min="15955" max="15955" width="10.1796875" style="17" customWidth="1"/>
    <col min="15956" max="15956" width="10.81640625" style="17" customWidth="1"/>
    <col min="15957" max="15957" width="9.26953125" style="17" customWidth="1"/>
    <col min="15958" max="15958" width="10.453125" style="17" customWidth="1"/>
    <col min="15959" max="15959" width="11.7265625" style="17" customWidth="1"/>
    <col min="15960" max="16128" width="9.1796875" style="17"/>
    <col min="16129" max="16129" width="2.81640625" style="17" customWidth="1"/>
    <col min="16130" max="16130" width="3.26953125" style="17" customWidth="1"/>
    <col min="16131" max="16131" width="56" style="17" customWidth="1"/>
    <col min="16132" max="16132" width="4.26953125" style="17" customWidth="1"/>
    <col min="16133" max="16137" width="13.54296875" style="17" customWidth="1"/>
    <col min="16138" max="16182" width="0" style="17" hidden="1" customWidth="1"/>
    <col min="16183" max="16187" width="15.453125" style="17" customWidth="1"/>
    <col min="16188" max="16197" width="0" style="17" hidden="1" customWidth="1"/>
    <col min="16198" max="16198" width="15.453125" style="17" customWidth="1"/>
    <col min="16199" max="16199" width="13.1796875" style="17" customWidth="1"/>
    <col min="16200" max="16200" width="11.26953125" style="17" customWidth="1"/>
    <col min="16201" max="16201" width="12.7265625" style="17" customWidth="1"/>
    <col min="16202" max="16202" width="14.7265625" style="17" customWidth="1"/>
    <col min="16203" max="16203" width="3.26953125" style="17" customWidth="1"/>
    <col min="16204" max="16204" width="13.54296875" style="17" customWidth="1"/>
    <col min="16205" max="16205" width="0.26953125" style="17" customWidth="1"/>
    <col min="16206" max="16207" width="11.26953125" style="17" customWidth="1"/>
    <col min="16208" max="16208" width="9.1796875" style="17"/>
    <col min="16209" max="16209" width="10.81640625" style="17" customWidth="1"/>
    <col min="16210" max="16210" width="11.54296875" style="17" customWidth="1"/>
    <col min="16211" max="16211" width="10.1796875" style="17" customWidth="1"/>
    <col min="16212" max="16212" width="10.81640625" style="17" customWidth="1"/>
    <col min="16213" max="16213" width="9.26953125" style="17" customWidth="1"/>
    <col min="16214" max="16214" width="10.453125" style="17" customWidth="1"/>
    <col min="16215" max="16215" width="11.7265625" style="17" customWidth="1"/>
    <col min="16216" max="16384" width="9.1796875" style="17"/>
  </cols>
  <sheetData>
    <row r="1" spans="1:87" ht="15.5" x14ac:dyDescent="0.35">
      <c r="A1" s="5" t="s">
        <v>194</v>
      </c>
      <c r="B1" s="9"/>
      <c r="C1" s="122"/>
      <c r="D1" s="6"/>
      <c r="E1" s="288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</row>
    <row r="2" spans="1:87" ht="14.5" x14ac:dyDescent="0.35">
      <c r="A2" s="289"/>
      <c r="B2" s="6"/>
      <c r="D2" s="290"/>
      <c r="E2" s="583" t="s">
        <v>1</v>
      </c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5"/>
      <c r="BW2" s="43"/>
    </row>
    <row r="3" spans="1:87" ht="14.5" x14ac:dyDescent="0.35">
      <c r="A3" s="14"/>
      <c r="B3" s="6"/>
      <c r="C3" s="17" t="s">
        <v>195</v>
      </c>
      <c r="D3" s="291"/>
      <c r="E3" s="578" t="s">
        <v>196</v>
      </c>
      <c r="F3" s="579"/>
      <c r="G3" s="579"/>
      <c r="H3" s="579"/>
      <c r="I3" s="580"/>
      <c r="J3" s="578" t="s">
        <v>4</v>
      </c>
      <c r="K3" s="586"/>
      <c r="L3" s="586"/>
      <c r="M3" s="586"/>
      <c r="N3" s="587"/>
      <c r="O3" s="586" t="s">
        <v>5</v>
      </c>
      <c r="P3" s="579"/>
      <c r="Q3" s="579"/>
      <c r="R3" s="579"/>
      <c r="S3" s="580"/>
      <c r="T3" s="578" t="s">
        <v>6</v>
      </c>
      <c r="U3" s="579"/>
      <c r="V3" s="579"/>
      <c r="W3" s="579"/>
      <c r="X3" s="580"/>
      <c r="Y3" s="578" t="s">
        <v>7</v>
      </c>
      <c r="Z3" s="579"/>
      <c r="AA3" s="579"/>
      <c r="AB3" s="579"/>
      <c r="AC3" s="580"/>
      <c r="AD3" s="578" t="s">
        <v>8</v>
      </c>
      <c r="AE3" s="579"/>
      <c r="AF3" s="579"/>
      <c r="AG3" s="579"/>
      <c r="AH3" s="580"/>
      <c r="AI3" s="578" t="s">
        <v>9</v>
      </c>
      <c r="AJ3" s="579"/>
      <c r="AK3" s="579"/>
      <c r="AL3" s="579"/>
      <c r="AM3" s="580"/>
      <c r="AN3" s="578" t="s">
        <v>10</v>
      </c>
      <c r="AO3" s="579"/>
      <c r="AP3" s="579"/>
      <c r="AQ3" s="579"/>
      <c r="AR3" s="580"/>
      <c r="AS3" s="578" t="s">
        <v>11</v>
      </c>
      <c r="AT3" s="579"/>
      <c r="AU3" s="579"/>
      <c r="AV3" s="579"/>
      <c r="AW3" s="580"/>
      <c r="AX3" s="578" t="s">
        <v>12</v>
      </c>
      <c r="AY3" s="579"/>
      <c r="AZ3" s="579"/>
      <c r="BA3" s="579"/>
      <c r="BB3" s="580"/>
      <c r="BC3" s="578" t="s">
        <v>13</v>
      </c>
      <c r="BD3" s="579"/>
      <c r="BE3" s="579"/>
      <c r="BF3" s="579"/>
      <c r="BG3" s="580"/>
      <c r="BH3" s="578" t="s">
        <v>14</v>
      </c>
      <c r="BI3" s="579"/>
      <c r="BJ3" s="579"/>
      <c r="BK3" s="579"/>
      <c r="BL3" s="580"/>
      <c r="BM3" s="578" t="s">
        <v>15</v>
      </c>
      <c r="BN3" s="579"/>
      <c r="BO3" s="579"/>
      <c r="BP3" s="579"/>
      <c r="BQ3" s="580"/>
      <c r="BR3" s="578" t="s">
        <v>16</v>
      </c>
      <c r="BS3" s="579"/>
      <c r="BT3" s="579"/>
      <c r="BU3" s="579"/>
      <c r="BV3" s="581"/>
    </row>
    <row r="4" spans="1:87" x14ac:dyDescent="0.3">
      <c r="A4" s="14"/>
      <c r="B4" s="6"/>
      <c r="D4" s="291"/>
      <c r="E4" s="292" t="s">
        <v>197</v>
      </c>
      <c r="F4" s="50" t="s">
        <v>198</v>
      </c>
      <c r="G4" s="50" t="s">
        <v>199</v>
      </c>
      <c r="H4" s="50" t="s">
        <v>200</v>
      </c>
      <c r="I4" s="293" t="s">
        <v>201</v>
      </c>
      <c r="J4" s="292" t="s">
        <v>197</v>
      </c>
      <c r="K4" s="50" t="s">
        <v>198</v>
      </c>
      <c r="L4" s="50" t="s">
        <v>199</v>
      </c>
      <c r="M4" s="50" t="s">
        <v>200</v>
      </c>
      <c r="N4" s="294" t="s">
        <v>201</v>
      </c>
      <c r="O4" s="50" t="s">
        <v>197</v>
      </c>
      <c r="P4" s="50" t="s">
        <v>198</v>
      </c>
      <c r="Q4" s="50" t="s">
        <v>199</v>
      </c>
      <c r="R4" s="50" t="s">
        <v>200</v>
      </c>
      <c r="S4" s="294" t="s">
        <v>201</v>
      </c>
      <c r="T4" s="292" t="s">
        <v>197</v>
      </c>
      <c r="U4" s="50" t="s">
        <v>198</v>
      </c>
      <c r="V4" s="50" t="s">
        <v>199</v>
      </c>
      <c r="W4" s="50" t="s">
        <v>200</v>
      </c>
      <c r="X4" s="294" t="s">
        <v>201</v>
      </c>
      <c r="Y4" s="292" t="s">
        <v>197</v>
      </c>
      <c r="Z4" s="50" t="s">
        <v>198</v>
      </c>
      <c r="AA4" s="50" t="s">
        <v>199</v>
      </c>
      <c r="AB4" s="50" t="s">
        <v>200</v>
      </c>
      <c r="AC4" s="294" t="s">
        <v>201</v>
      </c>
      <c r="AD4" s="292" t="s">
        <v>197</v>
      </c>
      <c r="AE4" s="50" t="s">
        <v>198</v>
      </c>
      <c r="AF4" s="50" t="s">
        <v>199</v>
      </c>
      <c r="AG4" s="50" t="s">
        <v>200</v>
      </c>
      <c r="AH4" s="294" t="s">
        <v>201</v>
      </c>
      <c r="AI4" s="292" t="s">
        <v>197</v>
      </c>
      <c r="AJ4" s="50" t="s">
        <v>198</v>
      </c>
      <c r="AK4" s="50" t="s">
        <v>199</v>
      </c>
      <c r="AL4" s="50" t="s">
        <v>200</v>
      </c>
      <c r="AM4" s="294" t="s">
        <v>201</v>
      </c>
      <c r="AN4" s="292" t="s">
        <v>197</v>
      </c>
      <c r="AO4" s="50" t="s">
        <v>198</v>
      </c>
      <c r="AP4" s="50" t="s">
        <v>199</v>
      </c>
      <c r="AQ4" s="50" t="s">
        <v>200</v>
      </c>
      <c r="AR4" s="294" t="s">
        <v>201</v>
      </c>
      <c r="AS4" s="292" t="s">
        <v>197</v>
      </c>
      <c r="AT4" s="50" t="s">
        <v>198</v>
      </c>
      <c r="AU4" s="50" t="s">
        <v>199</v>
      </c>
      <c r="AV4" s="50" t="s">
        <v>200</v>
      </c>
      <c r="AW4" s="294" t="s">
        <v>201</v>
      </c>
      <c r="AX4" s="292" t="s">
        <v>197</v>
      </c>
      <c r="AY4" s="50" t="s">
        <v>198</v>
      </c>
      <c r="AZ4" s="50" t="s">
        <v>199</v>
      </c>
      <c r="BA4" s="50" t="s">
        <v>200</v>
      </c>
      <c r="BB4" s="294" t="s">
        <v>201</v>
      </c>
      <c r="BC4" s="292" t="s">
        <v>197</v>
      </c>
      <c r="BD4" s="50" t="s">
        <v>198</v>
      </c>
      <c r="BE4" s="50" t="s">
        <v>199</v>
      </c>
      <c r="BF4" s="50" t="s">
        <v>200</v>
      </c>
      <c r="BG4" s="294" t="s">
        <v>201</v>
      </c>
      <c r="BH4" s="292" t="s">
        <v>197</v>
      </c>
      <c r="BI4" s="50" t="s">
        <v>198</v>
      </c>
      <c r="BJ4" s="50" t="s">
        <v>199</v>
      </c>
      <c r="BK4" s="50" t="s">
        <v>202</v>
      </c>
      <c r="BL4" s="294" t="s">
        <v>201</v>
      </c>
      <c r="BM4" s="292" t="s">
        <v>197</v>
      </c>
      <c r="BN4" s="50" t="s">
        <v>198</v>
      </c>
      <c r="BO4" s="50" t="s">
        <v>199</v>
      </c>
      <c r="BP4" s="50" t="s">
        <v>200</v>
      </c>
      <c r="BQ4" s="294" t="s">
        <v>201</v>
      </c>
      <c r="BR4" s="292" t="s">
        <v>197</v>
      </c>
      <c r="BS4" s="50" t="s">
        <v>198</v>
      </c>
      <c r="BT4" s="50" t="s">
        <v>199</v>
      </c>
      <c r="BU4" s="50" t="s">
        <v>200</v>
      </c>
      <c r="BV4" s="295" t="s">
        <v>201</v>
      </c>
      <c r="BW4" s="43"/>
    </row>
    <row r="5" spans="1:87" ht="15.5" x14ac:dyDescent="0.35">
      <c r="A5" s="296" t="s">
        <v>18</v>
      </c>
      <c r="B5" s="26"/>
      <c r="C5" s="26"/>
      <c r="D5" s="297"/>
      <c r="E5" s="298" t="s">
        <v>203</v>
      </c>
      <c r="F5" s="30" t="s">
        <v>204</v>
      </c>
      <c r="G5" s="30" t="s">
        <v>205</v>
      </c>
      <c r="H5" s="30" t="s">
        <v>206</v>
      </c>
      <c r="I5" s="31"/>
      <c r="J5" s="298" t="s">
        <v>203</v>
      </c>
      <c r="K5" s="30" t="s">
        <v>204</v>
      </c>
      <c r="L5" s="30" t="s">
        <v>205</v>
      </c>
      <c r="M5" s="30" t="s">
        <v>206</v>
      </c>
      <c r="N5" s="31"/>
      <c r="O5" s="30" t="s">
        <v>203</v>
      </c>
      <c r="P5" s="30" t="s">
        <v>204</v>
      </c>
      <c r="Q5" s="30" t="s">
        <v>205</v>
      </c>
      <c r="R5" s="30" t="s">
        <v>206</v>
      </c>
      <c r="S5" s="31"/>
      <c r="T5" s="298" t="s">
        <v>203</v>
      </c>
      <c r="U5" s="30" t="s">
        <v>204</v>
      </c>
      <c r="V5" s="30" t="s">
        <v>205</v>
      </c>
      <c r="W5" s="30" t="s">
        <v>206</v>
      </c>
      <c r="X5" s="31"/>
      <c r="Y5" s="298" t="s">
        <v>203</v>
      </c>
      <c r="Z5" s="30" t="s">
        <v>204</v>
      </c>
      <c r="AA5" s="30" t="s">
        <v>205</v>
      </c>
      <c r="AB5" s="30" t="s">
        <v>206</v>
      </c>
      <c r="AC5" s="31"/>
      <c r="AD5" s="298" t="s">
        <v>203</v>
      </c>
      <c r="AE5" s="30" t="s">
        <v>204</v>
      </c>
      <c r="AF5" s="30" t="s">
        <v>205</v>
      </c>
      <c r="AG5" s="30" t="s">
        <v>206</v>
      </c>
      <c r="AH5" s="31"/>
      <c r="AI5" s="298" t="s">
        <v>203</v>
      </c>
      <c r="AJ5" s="30" t="s">
        <v>204</v>
      </c>
      <c r="AK5" s="30" t="s">
        <v>205</v>
      </c>
      <c r="AL5" s="30" t="s">
        <v>206</v>
      </c>
      <c r="AM5" s="31"/>
      <c r="AN5" s="298" t="s">
        <v>203</v>
      </c>
      <c r="AO5" s="30" t="s">
        <v>204</v>
      </c>
      <c r="AP5" s="30" t="s">
        <v>205</v>
      </c>
      <c r="AQ5" s="30" t="s">
        <v>206</v>
      </c>
      <c r="AR5" s="31"/>
      <c r="AS5" s="298" t="s">
        <v>203</v>
      </c>
      <c r="AT5" s="30" t="s">
        <v>204</v>
      </c>
      <c r="AU5" s="30" t="s">
        <v>205</v>
      </c>
      <c r="AV5" s="30" t="s">
        <v>206</v>
      </c>
      <c r="AW5" s="31"/>
      <c r="AX5" s="298" t="s">
        <v>203</v>
      </c>
      <c r="AY5" s="30" t="s">
        <v>204</v>
      </c>
      <c r="AZ5" s="30" t="s">
        <v>205</v>
      </c>
      <c r="BA5" s="30" t="s">
        <v>206</v>
      </c>
      <c r="BB5" s="31"/>
      <c r="BC5" s="298" t="s">
        <v>203</v>
      </c>
      <c r="BD5" s="30" t="s">
        <v>204</v>
      </c>
      <c r="BE5" s="30" t="s">
        <v>205</v>
      </c>
      <c r="BF5" s="30" t="s">
        <v>206</v>
      </c>
      <c r="BG5" s="31"/>
      <c r="BH5" s="298" t="s">
        <v>203</v>
      </c>
      <c r="BI5" s="30" t="s">
        <v>204</v>
      </c>
      <c r="BJ5" s="30" t="s">
        <v>205</v>
      </c>
      <c r="BK5" s="30" t="s">
        <v>206</v>
      </c>
      <c r="BL5" s="31"/>
      <c r="BM5" s="298" t="s">
        <v>203</v>
      </c>
      <c r="BN5" s="30" t="s">
        <v>204</v>
      </c>
      <c r="BO5" s="30" t="s">
        <v>205</v>
      </c>
      <c r="BP5" s="30" t="s">
        <v>206</v>
      </c>
      <c r="BQ5" s="31"/>
      <c r="BR5" s="298" t="s">
        <v>203</v>
      </c>
      <c r="BS5" s="30" t="s">
        <v>204</v>
      </c>
      <c r="BT5" s="30" t="s">
        <v>205</v>
      </c>
      <c r="BU5" s="30" t="s">
        <v>206</v>
      </c>
      <c r="BV5" s="299"/>
      <c r="BW5" s="43"/>
      <c r="BX5" s="424"/>
      <c r="BZ5" s="300">
        <f>+BX5-5</f>
        <v>-5</v>
      </c>
      <c r="CA5" s="301">
        <f>+BX5+5</f>
        <v>5</v>
      </c>
      <c r="CG5" s="5"/>
    </row>
    <row r="6" spans="1:87" x14ac:dyDescent="0.3">
      <c r="A6" s="302"/>
      <c r="B6" s="6"/>
      <c r="D6" s="50"/>
      <c r="E6" s="303"/>
      <c r="F6" s="304"/>
      <c r="G6" s="304"/>
      <c r="H6" s="305"/>
      <c r="I6" s="306"/>
      <c r="J6" s="292"/>
      <c r="K6" s="50"/>
      <c r="L6" s="50"/>
      <c r="M6" s="50"/>
      <c r="N6" s="306"/>
      <c r="O6" s="50"/>
      <c r="P6" s="50"/>
      <c r="Q6" s="50"/>
      <c r="R6" s="50"/>
      <c r="S6" s="306"/>
      <c r="T6" s="292"/>
      <c r="U6" s="50"/>
      <c r="V6" s="50"/>
      <c r="W6" s="50"/>
      <c r="X6" s="306"/>
      <c r="Y6" s="292"/>
      <c r="Z6" s="50"/>
      <c r="AA6" s="50"/>
      <c r="AB6" s="50"/>
      <c r="AC6" s="306"/>
      <c r="AD6" s="292"/>
      <c r="AE6" s="50"/>
      <c r="AF6" s="50"/>
      <c r="AG6" s="50"/>
      <c r="AH6" s="306"/>
      <c r="AI6" s="292"/>
      <c r="AJ6" s="50"/>
      <c r="AK6" s="50"/>
      <c r="AL6" s="50"/>
      <c r="AM6" s="306"/>
      <c r="AN6" s="292"/>
      <c r="AO6" s="50"/>
      <c r="AP6" s="50"/>
      <c r="AQ6" s="50"/>
      <c r="AR6" s="306"/>
      <c r="AS6" s="292"/>
      <c r="AT6" s="50"/>
      <c r="AU6" s="50"/>
      <c r="AV6" s="50"/>
      <c r="AW6" s="306"/>
      <c r="AX6" s="292"/>
      <c r="AY6" s="50"/>
      <c r="AZ6" s="50"/>
      <c r="BA6" s="50"/>
      <c r="BB6" s="306"/>
      <c r="BC6" s="292"/>
      <c r="BD6" s="50"/>
      <c r="BE6" s="50"/>
      <c r="BF6" s="50"/>
      <c r="BG6" s="306"/>
      <c r="BH6" s="292"/>
      <c r="BI6" s="50"/>
      <c r="BJ6" s="50"/>
      <c r="BK6" s="50"/>
      <c r="BL6" s="306"/>
      <c r="BM6" s="292"/>
      <c r="BN6" s="50"/>
      <c r="BO6" s="50"/>
      <c r="BP6" s="50"/>
      <c r="BQ6" s="306"/>
      <c r="BR6" s="292"/>
      <c r="BS6" s="50"/>
      <c r="BT6" s="50"/>
      <c r="BU6" s="50"/>
      <c r="BV6" s="307"/>
      <c r="BW6" s="43"/>
    </row>
    <row r="7" spans="1:87" ht="13.5" customHeight="1" x14ac:dyDescent="0.3">
      <c r="A7" s="308">
        <v>1</v>
      </c>
      <c r="B7" s="309" t="s">
        <v>207</v>
      </c>
      <c r="D7" s="310"/>
      <c r="E7" s="311">
        <v>600309</v>
      </c>
      <c r="F7" s="312">
        <v>3046</v>
      </c>
      <c r="G7" s="312">
        <v>14928</v>
      </c>
      <c r="H7" s="313">
        <v>0</v>
      </c>
      <c r="I7" s="172">
        <f t="shared" ref="I7:I47" si="0">SUM(E7:H7)</f>
        <v>618283</v>
      </c>
      <c r="J7" s="187">
        <v>31506</v>
      </c>
      <c r="K7" s="166">
        <v>167</v>
      </c>
      <c r="L7" s="166">
        <v>575</v>
      </c>
      <c r="M7" s="166">
        <v>0</v>
      </c>
      <c r="N7" s="172">
        <f>SUM(J7:M7)</f>
        <v>32248</v>
      </c>
      <c r="O7" s="166">
        <v>33262</v>
      </c>
      <c r="P7" s="166">
        <v>232</v>
      </c>
      <c r="Q7" s="166">
        <v>961</v>
      </c>
      <c r="R7" s="166">
        <v>0</v>
      </c>
      <c r="S7" s="172">
        <f>SUM(O7:R7)</f>
        <v>34455</v>
      </c>
      <c r="T7" s="187">
        <v>39089</v>
      </c>
      <c r="U7" s="166">
        <v>283</v>
      </c>
      <c r="V7" s="166">
        <v>502</v>
      </c>
      <c r="W7" s="166">
        <v>0</v>
      </c>
      <c r="X7" s="172">
        <f>SUM(T7:W7)</f>
        <v>39874</v>
      </c>
      <c r="Y7" s="314">
        <v>41437</v>
      </c>
      <c r="Z7" s="166">
        <v>210</v>
      </c>
      <c r="AA7" s="314">
        <v>703</v>
      </c>
      <c r="AB7" s="166">
        <v>0</v>
      </c>
      <c r="AC7" s="172">
        <f>SUM(Y7:AB7)</f>
        <v>42350</v>
      </c>
      <c r="AD7" s="187">
        <v>33982</v>
      </c>
      <c r="AE7" s="166">
        <v>64</v>
      </c>
      <c r="AF7" s="166">
        <v>670</v>
      </c>
      <c r="AG7" s="166">
        <v>0</v>
      </c>
      <c r="AH7" s="172">
        <f>SUM(AD7:AG7)</f>
        <v>34716</v>
      </c>
      <c r="AI7" s="187">
        <v>37336</v>
      </c>
      <c r="AJ7" s="166">
        <v>5</v>
      </c>
      <c r="AK7" s="166">
        <v>3007</v>
      </c>
      <c r="AL7" s="166">
        <v>0</v>
      </c>
      <c r="AM7" s="172">
        <f>SUM(AI7:AL7)</f>
        <v>40348</v>
      </c>
      <c r="AN7" s="187">
        <v>37371</v>
      </c>
      <c r="AO7" s="166">
        <v>-22</v>
      </c>
      <c r="AP7" s="166">
        <v>1640</v>
      </c>
      <c r="AQ7" s="166">
        <v>0</v>
      </c>
      <c r="AR7" s="172">
        <f t="shared" ref="AR7:AR47" si="1">SUM(AN7:AQ7)</f>
        <v>38989</v>
      </c>
      <c r="AS7" s="187">
        <f>48869-482</f>
        <v>48387</v>
      </c>
      <c r="AT7" s="166">
        <v>2</v>
      </c>
      <c r="AU7" s="166">
        <v>849</v>
      </c>
      <c r="AV7" s="166">
        <v>0</v>
      </c>
      <c r="AW7" s="172">
        <f>SUM(AS7:AV7)</f>
        <v>49238</v>
      </c>
      <c r="AX7" s="187">
        <v>57028</v>
      </c>
      <c r="AY7" s="166">
        <v>0</v>
      </c>
      <c r="AZ7" s="166">
        <v>8420</v>
      </c>
      <c r="BA7" s="166">
        <v>0</v>
      </c>
      <c r="BB7" s="172">
        <f>SUM(AX7:BA7)</f>
        <v>65448</v>
      </c>
      <c r="BC7" s="187">
        <v>36336</v>
      </c>
      <c r="BD7" s="166">
        <v>130</v>
      </c>
      <c r="BE7" s="166">
        <v>619</v>
      </c>
      <c r="BF7" s="166">
        <v>0</v>
      </c>
      <c r="BG7" s="172">
        <f>SUM(BC7:BF7)</f>
        <v>37085</v>
      </c>
      <c r="BH7" s="187">
        <v>0</v>
      </c>
      <c r="BI7" s="166">
        <v>0</v>
      </c>
      <c r="BJ7" s="166"/>
      <c r="BK7" s="166">
        <v>0</v>
      </c>
      <c r="BL7" s="172">
        <f>SUM(BH7:BK7)</f>
        <v>0</v>
      </c>
      <c r="BM7" s="187">
        <v>0</v>
      </c>
      <c r="BN7" s="166">
        <v>0</v>
      </c>
      <c r="BO7" s="166">
        <v>0</v>
      </c>
      <c r="BP7" s="166">
        <v>0</v>
      </c>
      <c r="BQ7" s="172">
        <f>SUM(BM7:BP7)</f>
        <v>0</v>
      </c>
      <c r="BR7" s="187">
        <f>+J7+O7+T7+Y7+AD7+AI7+AN7+AS7+AX7+BC7+BH7+BM7</f>
        <v>395734</v>
      </c>
      <c r="BS7" s="194">
        <f>+K7+P7+U7+Z7+AE7+AJ7+AO7+AT7+AY7+BD7+BI7+BN7</f>
        <v>1071</v>
      </c>
      <c r="BT7" s="166">
        <f>+L7+Q7+V7+AA7+AF7+AK7+AP7+AU7+AZ7+BE7+BJ7+BO7</f>
        <v>17946</v>
      </c>
      <c r="BU7" s="166">
        <f>+M7+R7+W7+AB7+AG7+AL7+AQ7+AV7+BA7+BF7+BK7+BP7</f>
        <v>0</v>
      </c>
      <c r="BV7" s="273">
        <f>SUM(BR7:BU7)</f>
        <v>414751</v>
      </c>
      <c r="BW7" s="315"/>
      <c r="BX7" s="425"/>
      <c r="BZ7" s="316"/>
      <c r="CA7" s="316"/>
      <c r="CB7" s="316"/>
      <c r="CC7" s="316"/>
      <c r="CD7" s="316"/>
      <c r="CE7" s="317"/>
      <c r="CF7" s="317"/>
      <c r="CG7" s="317"/>
      <c r="CH7" s="136"/>
      <c r="CI7" s="317"/>
    </row>
    <row r="8" spans="1:87" x14ac:dyDescent="0.3">
      <c r="A8" s="308">
        <v>2</v>
      </c>
      <c r="B8" s="309" t="s">
        <v>208</v>
      </c>
      <c r="D8" s="318" t="s">
        <v>70</v>
      </c>
      <c r="E8" s="311">
        <v>1773035</v>
      </c>
      <c r="F8" s="312">
        <v>513031</v>
      </c>
      <c r="G8" s="312">
        <v>81245</v>
      </c>
      <c r="H8" s="313">
        <v>0</v>
      </c>
      <c r="I8" s="172">
        <f t="shared" si="0"/>
        <v>2367311</v>
      </c>
      <c r="J8" s="187">
        <v>137830</v>
      </c>
      <c r="K8" s="166">
        <v>128258</v>
      </c>
      <c r="L8" s="166">
        <v>1103</v>
      </c>
      <c r="M8" s="166">
        <v>0</v>
      </c>
      <c r="N8" s="172">
        <f>SUM(J8:M8)</f>
        <v>267191</v>
      </c>
      <c r="O8" s="166">
        <v>137830</v>
      </c>
      <c r="P8" s="166">
        <v>0</v>
      </c>
      <c r="Q8" s="166"/>
      <c r="R8" s="166">
        <v>0</v>
      </c>
      <c r="S8" s="172">
        <f t="shared" ref="S8:S22" si="2">SUM(O8:R8)</f>
        <v>137830</v>
      </c>
      <c r="T8" s="187">
        <v>137830</v>
      </c>
      <c r="U8" s="166">
        <v>0</v>
      </c>
      <c r="V8" s="166">
        <f>1103+1103</f>
        <v>2206</v>
      </c>
      <c r="W8" s="166">
        <v>0</v>
      </c>
      <c r="X8" s="172">
        <f>SUM(T8:W8)</f>
        <v>140036</v>
      </c>
      <c r="Y8" s="187">
        <v>137830</v>
      </c>
      <c r="Z8" s="166">
        <v>128258</v>
      </c>
      <c r="AA8" s="166">
        <v>1104</v>
      </c>
      <c r="AB8" s="166">
        <v>0</v>
      </c>
      <c r="AC8" s="172">
        <f t="shared" ref="AC8:AC47" si="3">SUM(Y8:AB8)</f>
        <v>267192</v>
      </c>
      <c r="AD8" s="187">
        <v>137830</v>
      </c>
      <c r="AE8" s="166">
        <v>0</v>
      </c>
      <c r="AF8" s="166">
        <v>1103</v>
      </c>
      <c r="AG8" s="166">
        <v>0</v>
      </c>
      <c r="AH8" s="172">
        <f t="shared" ref="AH8:AH46" si="4">SUM(AD8:AG8)</f>
        <v>138933</v>
      </c>
      <c r="AI8" s="187">
        <v>169830</v>
      </c>
      <c r="AJ8" s="166">
        <v>0</v>
      </c>
      <c r="AK8" s="166">
        <v>1103</v>
      </c>
      <c r="AL8" s="166">
        <v>0</v>
      </c>
      <c r="AM8" s="172">
        <f>SUM(AI8:AL8)</f>
        <v>170933</v>
      </c>
      <c r="AN8" s="187">
        <v>137830</v>
      </c>
      <c r="AO8" s="166">
        <v>128258</v>
      </c>
      <c r="AP8" s="166">
        <v>1103</v>
      </c>
      <c r="AQ8" s="166">
        <v>0</v>
      </c>
      <c r="AR8" s="172">
        <f t="shared" si="1"/>
        <v>267191</v>
      </c>
      <c r="AS8" s="17">
        <v>137830</v>
      </c>
      <c r="AT8" s="166">
        <v>0</v>
      </c>
      <c r="AU8" s="166">
        <v>1103</v>
      </c>
      <c r="AV8" s="166">
        <v>0</v>
      </c>
      <c r="AW8" s="172">
        <f>SUM(AS8:AV8)</f>
        <v>138933</v>
      </c>
      <c r="AX8" s="187">
        <v>137830</v>
      </c>
      <c r="AY8" s="166">
        <v>0</v>
      </c>
      <c r="AZ8" s="166">
        <v>1103</v>
      </c>
      <c r="BA8" s="166">
        <v>0</v>
      </c>
      <c r="BB8" s="172">
        <f t="shared" ref="BB8:BB47" si="5">SUM(AX8:BA8)</f>
        <v>138933</v>
      </c>
      <c r="BC8" s="187">
        <v>137831</v>
      </c>
      <c r="BD8" s="166">
        <v>128257</v>
      </c>
      <c r="BE8" s="166">
        <v>1102</v>
      </c>
      <c r="BF8" s="166">
        <v>0</v>
      </c>
      <c r="BG8" s="172">
        <f t="shared" ref="BG8:BG47" si="6">SUM(BC8:BF8)</f>
        <v>267190</v>
      </c>
      <c r="BH8" s="187">
        <v>0</v>
      </c>
      <c r="BI8" s="166">
        <v>0</v>
      </c>
      <c r="BJ8" s="166">
        <v>0</v>
      </c>
      <c r="BK8" s="166">
        <v>0</v>
      </c>
      <c r="BL8" s="172">
        <f t="shared" ref="BL8:BL47" si="7">SUM(BH8:BK8)</f>
        <v>0</v>
      </c>
      <c r="BM8" s="187">
        <v>0</v>
      </c>
      <c r="BN8" s="166">
        <v>0</v>
      </c>
      <c r="BO8" s="166">
        <v>0</v>
      </c>
      <c r="BP8" s="166">
        <v>0</v>
      </c>
      <c r="BQ8" s="172">
        <f t="shared" ref="BQ8:BQ47" si="8">SUM(BM8:BP8)</f>
        <v>0</v>
      </c>
      <c r="BR8" s="187">
        <f t="shared" ref="BR8:BU47" si="9">+J8+O8+T8+Y8+AD8+AI8+AN8+AS8+AX8+BC8+BH8+BM8</f>
        <v>1410301</v>
      </c>
      <c r="BS8" s="194">
        <f t="shared" si="9"/>
        <v>513031</v>
      </c>
      <c r="BT8" s="166">
        <f t="shared" si="9"/>
        <v>11030</v>
      </c>
      <c r="BU8" s="166">
        <f t="shared" si="9"/>
        <v>0</v>
      </c>
      <c r="BV8" s="273">
        <f t="shared" ref="BV8:BV47" si="10">SUM(BR8:BU8)</f>
        <v>1934362</v>
      </c>
      <c r="BW8" s="136"/>
      <c r="BX8" s="426"/>
      <c r="BZ8" s="316"/>
      <c r="CA8" s="316"/>
      <c r="CB8" s="316"/>
      <c r="CC8" s="316"/>
      <c r="CD8" s="316"/>
      <c r="CE8" s="317"/>
      <c r="CF8" s="317"/>
      <c r="CG8" s="317"/>
      <c r="CH8" s="136"/>
      <c r="CI8" s="317"/>
    </row>
    <row r="9" spans="1:87" x14ac:dyDescent="0.3">
      <c r="A9" s="308">
        <v>3</v>
      </c>
      <c r="B9" s="309" t="s">
        <v>209</v>
      </c>
      <c r="D9" s="318"/>
      <c r="E9" s="311">
        <v>5021961</v>
      </c>
      <c r="F9" s="312">
        <v>109963424</v>
      </c>
      <c r="G9" s="312">
        <v>42053</v>
      </c>
      <c r="H9" s="313">
        <v>0</v>
      </c>
      <c r="I9" s="172">
        <f t="shared" si="0"/>
        <v>115027438</v>
      </c>
      <c r="J9" s="187">
        <v>300374</v>
      </c>
      <c r="K9" s="166">
        <v>156</v>
      </c>
      <c r="L9" s="166">
        <v>397</v>
      </c>
      <c r="M9" s="166">
        <v>0</v>
      </c>
      <c r="N9" s="172">
        <f t="shared" ref="N9:N47" si="11">SUM(J9:M9)</f>
        <v>300927</v>
      </c>
      <c r="O9" s="166">
        <v>327450</v>
      </c>
      <c r="P9" s="166">
        <v>9231</v>
      </c>
      <c r="Q9" s="166">
        <v>662</v>
      </c>
      <c r="R9" s="166"/>
      <c r="S9" s="172">
        <f t="shared" si="2"/>
        <v>337343</v>
      </c>
      <c r="T9" s="187">
        <v>318674</v>
      </c>
      <c r="U9" s="166">
        <v>247069</v>
      </c>
      <c r="V9" s="166">
        <v>294</v>
      </c>
      <c r="W9" s="166">
        <v>111</v>
      </c>
      <c r="X9" s="172">
        <f>SUM(T9:W9)</f>
        <v>566148</v>
      </c>
      <c r="Y9" s="314">
        <v>330390</v>
      </c>
      <c r="Z9" s="166">
        <v>38042779</v>
      </c>
      <c r="AA9" s="166">
        <v>496</v>
      </c>
      <c r="AB9" s="319">
        <v>0</v>
      </c>
      <c r="AC9" s="172">
        <f t="shared" si="3"/>
        <v>38373665</v>
      </c>
      <c r="AD9" s="187">
        <v>463215</v>
      </c>
      <c r="AE9" s="166">
        <v>438061</v>
      </c>
      <c r="AF9" s="166">
        <v>1537</v>
      </c>
      <c r="AG9" s="166">
        <v>0</v>
      </c>
      <c r="AH9" s="172">
        <f t="shared" si="4"/>
        <v>902813</v>
      </c>
      <c r="AI9" s="187">
        <v>340878</v>
      </c>
      <c r="AJ9" s="166">
        <v>1356800</v>
      </c>
      <c r="AK9" s="166">
        <v>2078</v>
      </c>
      <c r="AL9" s="166">
        <v>0</v>
      </c>
      <c r="AM9" s="172">
        <f>SUM(AI9:AL9)</f>
        <v>1699756</v>
      </c>
      <c r="AN9" s="187">
        <v>370839</v>
      </c>
      <c r="AO9" s="166">
        <v>1209347</v>
      </c>
      <c r="AP9" s="166">
        <v>1099</v>
      </c>
      <c r="AQ9" s="166">
        <v>0</v>
      </c>
      <c r="AR9" s="172">
        <f t="shared" si="1"/>
        <v>1581285</v>
      </c>
      <c r="AS9" s="187">
        <v>453719</v>
      </c>
      <c r="AT9" s="166">
        <v>1650408</v>
      </c>
      <c r="AU9" s="166">
        <v>2695</v>
      </c>
      <c r="AV9" s="166">
        <v>0</v>
      </c>
      <c r="AW9" s="172">
        <f>SUM(AS9:AV9)</f>
        <v>2106822</v>
      </c>
      <c r="AX9" s="187">
        <v>448557</v>
      </c>
      <c r="AY9" s="166">
        <v>28666249</v>
      </c>
      <c r="AZ9" s="166">
        <v>2480</v>
      </c>
      <c r="BA9" s="166">
        <v>0</v>
      </c>
      <c r="BB9" s="172">
        <f t="shared" si="5"/>
        <v>29117286</v>
      </c>
      <c r="BC9" s="187">
        <v>342556</v>
      </c>
      <c r="BD9" s="166">
        <v>513260</v>
      </c>
      <c r="BE9" s="166">
        <v>994</v>
      </c>
      <c r="BF9" s="166">
        <v>0</v>
      </c>
      <c r="BG9" s="172">
        <f t="shared" si="6"/>
        <v>856810</v>
      </c>
      <c r="BH9" s="187">
        <v>0</v>
      </c>
      <c r="BI9" s="166">
        <v>0</v>
      </c>
      <c r="BJ9" s="166">
        <v>0</v>
      </c>
      <c r="BK9" s="166">
        <v>0</v>
      </c>
      <c r="BL9" s="172">
        <f t="shared" si="7"/>
        <v>0</v>
      </c>
      <c r="BM9" s="187">
        <v>0</v>
      </c>
      <c r="BN9" s="166">
        <v>0</v>
      </c>
      <c r="BO9" s="166">
        <v>0</v>
      </c>
      <c r="BP9" s="166">
        <v>0</v>
      </c>
      <c r="BQ9" s="172">
        <f t="shared" si="8"/>
        <v>0</v>
      </c>
      <c r="BR9" s="187">
        <f t="shared" si="9"/>
        <v>3696652</v>
      </c>
      <c r="BS9" s="194">
        <f t="shared" si="9"/>
        <v>72133360</v>
      </c>
      <c r="BT9" s="166">
        <f t="shared" si="9"/>
        <v>12732</v>
      </c>
      <c r="BU9" s="166">
        <f t="shared" si="9"/>
        <v>111</v>
      </c>
      <c r="BV9" s="273">
        <f>SUM(BR9:BU9)</f>
        <v>75842855</v>
      </c>
      <c r="BW9" s="136"/>
      <c r="BX9" s="425"/>
      <c r="BZ9" s="316"/>
      <c r="CA9" s="316"/>
      <c r="CB9" s="316"/>
      <c r="CC9" s="316"/>
      <c r="CD9" s="316"/>
      <c r="CE9" s="317"/>
      <c r="CF9" s="317"/>
      <c r="CG9" s="317"/>
      <c r="CH9" s="136"/>
      <c r="CI9" s="317"/>
    </row>
    <row r="10" spans="1:87" x14ac:dyDescent="0.3">
      <c r="A10" s="308">
        <v>4</v>
      </c>
      <c r="B10" s="309" t="s">
        <v>210</v>
      </c>
      <c r="D10" s="318"/>
      <c r="E10" s="311">
        <v>470048</v>
      </c>
      <c r="F10" s="312">
        <v>256504</v>
      </c>
      <c r="G10" s="312">
        <v>3112</v>
      </c>
      <c r="H10" s="313">
        <v>0</v>
      </c>
      <c r="I10" s="172">
        <f>SUM(E10:H10)</f>
        <v>729664</v>
      </c>
      <c r="J10" s="187">
        <v>28997</v>
      </c>
      <c r="K10" s="166">
        <v>63737</v>
      </c>
      <c r="L10" s="166">
        <v>54</v>
      </c>
      <c r="M10" s="166">
        <v>16</v>
      </c>
      <c r="N10" s="172">
        <f>SUM(J10:M10)</f>
        <v>92804</v>
      </c>
      <c r="O10" s="166">
        <v>45519</v>
      </c>
      <c r="P10" s="166">
        <v>0</v>
      </c>
      <c r="Q10" s="166">
        <v>932</v>
      </c>
      <c r="R10" s="166">
        <v>0</v>
      </c>
      <c r="S10" s="172">
        <f t="shared" si="2"/>
        <v>46451</v>
      </c>
      <c r="T10" s="187">
        <v>38664</v>
      </c>
      <c r="U10" s="166">
        <v>153</v>
      </c>
      <c r="V10" s="166">
        <v>316</v>
      </c>
      <c r="W10" s="166">
        <v>13</v>
      </c>
      <c r="X10" s="172">
        <f t="shared" ref="X10:X47" si="12">SUM(T10:W10)</f>
        <v>39146</v>
      </c>
      <c r="Y10" s="314">
        <v>36974</v>
      </c>
      <c r="Z10" s="166">
        <v>63584</v>
      </c>
      <c r="AA10" s="166">
        <v>139</v>
      </c>
      <c r="AB10" s="319">
        <v>0</v>
      </c>
      <c r="AC10" s="172">
        <f t="shared" si="3"/>
        <v>100697</v>
      </c>
      <c r="AD10" s="187">
        <v>42741</v>
      </c>
      <c r="AE10" s="166">
        <v>0</v>
      </c>
      <c r="AF10" s="166">
        <v>273</v>
      </c>
      <c r="AG10" s="166">
        <v>1</v>
      </c>
      <c r="AH10" s="172">
        <f t="shared" si="4"/>
        <v>43015</v>
      </c>
      <c r="AI10" s="187">
        <v>36800</v>
      </c>
      <c r="AJ10" s="166">
        <v>530</v>
      </c>
      <c r="AK10" s="166">
        <v>407</v>
      </c>
      <c r="AL10" s="166">
        <v>41</v>
      </c>
      <c r="AM10" s="172">
        <f t="shared" ref="AM10:AM47" si="13">SUM(AI10:AL10)</f>
        <v>37778</v>
      </c>
      <c r="AN10" s="187">
        <v>36292</v>
      </c>
      <c r="AO10" s="166">
        <v>63736</v>
      </c>
      <c r="AP10" s="166">
        <v>543</v>
      </c>
      <c r="AQ10" s="166">
        <v>0</v>
      </c>
      <c r="AR10" s="172">
        <f t="shared" si="1"/>
        <v>100571</v>
      </c>
      <c r="AS10" s="187">
        <v>43461</v>
      </c>
      <c r="AT10" s="166">
        <v>72</v>
      </c>
      <c r="AU10" s="166">
        <v>446</v>
      </c>
      <c r="AV10" s="166">
        <v>6</v>
      </c>
      <c r="AW10" s="172">
        <f>SUM(AS10:AV10)</f>
        <v>43985</v>
      </c>
      <c r="AX10" s="187">
        <v>40339</v>
      </c>
      <c r="AY10" s="166">
        <v>0</v>
      </c>
      <c r="AZ10" s="166">
        <v>272</v>
      </c>
      <c r="BA10" s="166">
        <v>0</v>
      </c>
      <c r="BB10" s="172">
        <f t="shared" si="5"/>
        <v>40611</v>
      </c>
      <c r="BC10" s="187">
        <v>43443</v>
      </c>
      <c r="BD10" s="166">
        <v>64344</v>
      </c>
      <c r="BE10" s="166">
        <v>783</v>
      </c>
      <c r="BF10" s="166">
        <v>0</v>
      </c>
      <c r="BG10" s="172">
        <f t="shared" si="6"/>
        <v>108570</v>
      </c>
      <c r="BH10" s="187">
        <v>0</v>
      </c>
      <c r="BI10" s="166">
        <v>0</v>
      </c>
      <c r="BJ10" s="166">
        <v>0</v>
      </c>
      <c r="BK10" s="166">
        <v>0</v>
      </c>
      <c r="BL10" s="172">
        <f t="shared" si="7"/>
        <v>0</v>
      </c>
      <c r="BM10" s="187">
        <v>0</v>
      </c>
      <c r="BN10" s="166">
        <v>0</v>
      </c>
      <c r="BO10" s="166">
        <v>0</v>
      </c>
      <c r="BP10" s="166">
        <v>0</v>
      </c>
      <c r="BQ10" s="172">
        <f t="shared" si="8"/>
        <v>0</v>
      </c>
      <c r="BR10" s="187">
        <f t="shared" si="9"/>
        <v>393230</v>
      </c>
      <c r="BS10" s="194">
        <f t="shared" si="9"/>
        <v>256156</v>
      </c>
      <c r="BT10" s="166">
        <f t="shared" si="9"/>
        <v>4165</v>
      </c>
      <c r="BU10" s="166">
        <f t="shared" si="9"/>
        <v>77</v>
      </c>
      <c r="BV10" s="273">
        <f t="shared" si="10"/>
        <v>653628</v>
      </c>
      <c r="BW10" s="136"/>
      <c r="BX10" s="427"/>
      <c r="BZ10" s="316"/>
      <c r="CA10" s="316"/>
      <c r="CB10" s="316"/>
      <c r="CC10" s="316"/>
      <c r="CD10" s="316"/>
      <c r="CE10" s="317"/>
      <c r="CF10" s="317"/>
      <c r="CG10" s="317"/>
      <c r="CH10" s="136"/>
      <c r="CI10" s="317"/>
    </row>
    <row r="11" spans="1:87" x14ac:dyDescent="0.3">
      <c r="A11" s="308">
        <v>5</v>
      </c>
      <c r="B11" s="309" t="s">
        <v>211</v>
      </c>
      <c r="D11" s="318"/>
      <c r="E11" s="311">
        <v>7852715</v>
      </c>
      <c r="F11" s="312">
        <v>2593978</v>
      </c>
      <c r="G11" s="312">
        <v>349539</v>
      </c>
      <c r="H11" s="313">
        <v>0</v>
      </c>
      <c r="I11" s="172">
        <f t="shared" si="0"/>
        <v>10796232</v>
      </c>
      <c r="J11" s="187">
        <v>459985</v>
      </c>
      <c r="K11" s="166">
        <v>217170</v>
      </c>
      <c r="L11" s="166">
        <v>4344</v>
      </c>
      <c r="M11" s="166">
        <v>0</v>
      </c>
      <c r="N11" s="172">
        <f t="shared" si="11"/>
        <v>681499</v>
      </c>
      <c r="O11" s="166">
        <v>575686</v>
      </c>
      <c r="P11" s="166">
        <v>133313</v>
      </c>
      <c r="Q11" s="166">
        <v>9530</v>
      </c>
      <c r="R11" s="166">
        <v>0</v>
      </c>
      <c r="S11" s="172">
        <f t="shared" si="2"/>
        <v>718529</v>
      </c>
      <c r="T11" s="187">
        <v>630470</v>
      </c>
      <c r="U11" s="166">
        <v>131799</v>
      </c>
      <c r="V11" s="166">
        <v>19890</v>
      </c>
      <c r="W11" s="166">
        <v>0</v>
      </c>
      <c r="X11" s="172">
        <f t="shared" si="12"/>
        <v>782159</v>
      </c>
      <c r="Y11" s="314">
        <v>625048</v>
      </c>
      <c r="Z11" s="166">
        <v>218678</v>
      </c>
      <c r="AA11" s="166">
        <v>4263</v>
      </c>
      <c r="AB11" s="319">
        <v>0</v>
      </c>
      <c r="AC11" s="172">
        <f t="shared" si="3"/>
        <v>847989</v>
      </c>
      <c r="AD11" s="187">
        <v>596566</v>
      </c>
      <c r="AE11" s="166">
        <v>131835</v>
      </c>
      <c r="AF11" s="166">
        <v>27148</v>
      </c>
      <c r="AG11" s="166">
        <v>0</v>
      </c>
      <c r="AH11" s="172">
        <f t="shared" si="4"/>
        <v>755549</v>
      </c>
      <c r="AI11" s="187">
        <v>557260</v>
      </c>
      <c r="AJ11" s="166">
        <v>131585</v>
      </c>
      <c r="AK11" s="166">
        <v>4214</v>
      </c>
      <c r="AL11" s="166">
        <v>0</v>
      </c>
      <c r="AM11" s="172">
        <f t="shared" si="13"/>
        <v>693059</v>
      </c>
      <c r="AN11" s="187">
        <v>588520</v>
      </c>
      <c r="AO11" s="166">
        <v>216928</v>
      </c>
      <c r="AP11" s="166">
        <v>18955</v>
      </c>
      <c r="AQ11" s="166">
        <v>0</v>
      </c>
      <c r="AR11" s="172">
        <f t="shared" si="1"/>
        <v>824403</v>
      </c>
      <c r="AS11" s="187">
        <v>659898</v>
      </c>
      <c r="AT11" s="166">
        <v>132256</v>
      </c>
      <c r="AU11" s="166">
        <v>29336</v>
      </c>
      <c r="AV11" s="166">
        <v>0</v>
      </c>
      <c r="AW11" s="172">
        <f>SUM(AS11:AV11)</f>
        <v>821490</v>
      </c>
      <c r="AX11" s="187">
        <v>575857</v>
      </c>
      <c r="AY11" s="166">
        <v>150916</v>
      </c>
      <c r="AZ11" s="166">
        <v>20425</v>
      </c>
      <c r="BA11" s="166">
        <v>0</v>
      </c>
      <c r="BB11" s="172">
        <f t="shared" si="5"/>
        <v>747198</v>
      </c>
      <c r="BC11" s="187">
        <v>660748</v>
      </c>
      <c r="BD11" s="166">
        <v>488121</v>
      </c>
      <c r="BE11" s="166">
        <v>48156</v>
      </c>
      <c r="BF11" s="166">
        <v>0</v>
      </c>
      <c r="BG11" s="172">
        <f t="shared" si="6"/>
        <v>1197025</v>
      </c>
      <c r="BH11" s="187">
        <v>0</v>
      </c>
      <c r="BI11" s="166">
        <v>0</v>
      </c>
      <c r="BJ11" s="166">
        <v>0</v>
      </c>
      <c r="BK11" s="166">
        <v>0</v>
      </c>
      <c r="BL11" s="172">
        <f t="shared" si="7"/>
        <v>0</v>
      </c>
      <c r="BM11" s="187">
        <v>0</v>
      </c>
      <c r="BN11" s="166">
        <v>0</v>
      </c>
      <c r="BO11" s="166">
        <v>0</v>
      </c>
      <c r="BP11" s="166">
        <v>0</v>
      </c>
      <c r="BQ11" s="172">
        <f t="shared" si="8"/>
        <v>0</v>
      </c>
      <c r="BR11" s="187">
        <f t="shared" si="9"/>
        <v>5930038</v>
      </c>
      <c r="BS11" s="194">
        <f t="shared" si="9"/>
        <v>1952601</v>
      </c>
      <c r="BT11" s="166">
        <f t="shared" si="9"/>
        <v>186261</v>
      </c>
      <c r="BU11" s="166">
        <f t="shared" si="9"/>
        <v>0</v>
      </c>
      <c r="BV11" s="273">
        <f t="shared" si="10"/>
        <v>8068900</v>
      </c>
      <c r="BW11" s="136"/>
      <c r="BX11" s="425"/>
      <c r="BZ11" s="316"/>
      <c r="CA11" s="316"/>
      <c r="CB11" s="316"/>
      <c r="CC11" s="316"/>
      <c r="CD11" s="316"/>
      <c r="CE11" s="317"/>
      <c r="CF11" s="317"/>
      <c r="CG11" s="317"/>
      <c r="CH11" s="136"/>
      <c r="CI11" s="317"/>
    </row>
    <row r="12" spans="1:87" x14ac:dyDescent="0.3">
      <c r="A12" s="308">
        <v>6</v>
      </c>
      <c r="B12" s="309" t="s">
        <v>212</v>
      </c>
      <c r="D12" s="310"/>
      <c r="E12" s="311">
        <v>5548791</v>
      </c>
      <c r="F12" s="312">
        <v>848728</v>
      </c>
      <c r="G12" s="312">
        <v>386799</v>
      </c>
      <c r="H12" s="313">
        <v>0</v>
      </c>
      <c r="I12" s="172">
        <f t="shared" si="0"/>
        <v>6784318</v>
      </c>
      <c r="J12" s="187">
        <v>311488</v>
      </c>
      <c r="K12" s="166">
        <v>52263</v>
      </c>
      <c r="L12" s="166">
        <v>1936</v>
      </c>
      <c r="M12" s="166">
        <v>112</v>
      </c>
      <c r="N12" s="172">
        <f t="shared" si="11"/>
        <v>365799</v>
      </c>
      <c r="O12" s="166">
        <v>432436</v>
      </c>
      <c r="P12" s="166">
        <v>8632</v>
      </c>
      <c r="Q12" s="166">
        <v>53913</v>
      </c>
      <c r="R12" s="166">
        <v>0</v>
      </c>
      <c r="S12" s="172">
        <f t="shared" si="2"/>
        <v>494981</v>
      </c>
      <c r="T12" s="187">
        <v>402803</v>
      </c>
      <c r="U12" s="166">
        <v>415584</v>
      </c>
      <c r="V12" s="166">
        <v>5761</v>
      </c>
      <c r="W12" s="166">
        <v>31</v>
      </c>
      <c r="X12" s="172">
        <f t="shared" si="12"/>
        <v>824179</v>
      </c>
      <c r="Y12" s="314">
        <v>532132</v>
      </c>
      <c r="Z12" s="166">
        <v>3783</v>
      </c>
      <c r="AA12" s="166">
        <v>-33826</v>
      </c>
      <c r="AB12" s="166">
        <v>391</v>
      </c>
      <c r="AC12" s="172">
        <f t="shared" si="3"/>
        <v>502480</v>
      </c>
      <c r="AD12" s="187">
        <v>240767</v>
      </c>
      <c r="AE12" s="166">
        <v>4786</v>
      </c>
      <c r="AF12" s="166">
        <v>2328</v>
      </c>
      <c r="AG12" s="166">
        <v>18282</v>
      </c>
      <c r="AH12" s="172">
        <f t="shared" si="4"/>
        <v>266163</v>
      </c>
      <c r="AI12" s="187">
        <v>713226</v>
      </c>
      <c r="AJ12" s="166">
        <v>13167</v>
      </c>
      <c r="AK12" s="166">
        <v>36796</v>
      </c>
      <c r="AL12" s="166">
        <v>344</v>
      </c>
      <c r="AM12" s="172">
        <f t="shared" si="13"/>
        <v>763533</v>
      </c>
      <c r="AN12" s="187">
        <v>436965</v>
      </c>
      <c r="AO12" s="166">
        <v>60207</v>
      </c>
      <c r="AP12" s="166">
        <v>-3789</v>
      </c>
      <c r="AQ12" s="166">
        <v>41</v>
      </c>
      <c r="AR12" s="172">
        <f t="shared" si="1"/>
        <v>493424</v>
      </c>
      <c r="AS12" s="187">
        <v>466179</v>
      </c>
      <c r="AT12" s="166">
        <v>1319</v>
      </c>
      <c r="AU12" s="166">
        <v>15720</v>
      </c>
      <c r="AV12" s="166">
        <v>0</v>
      </c>
      <c r="AW12" s="172">
        <f t="shared" ref="AW12:AW45" si="14">SUM(AS12:AV12)</f>
        <v>483218</v>
      </c>
      <c r="AX12" s="187">
        <v>501732</v>
      </c>
      <c r="AY12" s="166">
        <v>426</v>
      </c>
      <c r="AZ12" s="166">
        <v>40621</v>
      </c>
      <c r="BA12" s="166">
        <v>0</v>
      </c>
      <c r="BB12" s="172">
        <f t="shared" si="5"/>
        <v>542779</v>
      </c>
      <c r="BC12" s="187">
        <v>397613</v>
      </c>
      <c r="BD12" s="166">
        <v>6973</v>
      </c>
      <c r="BE12" s="166">
        <v>10967</v>
      </c>
      <c r="BF12" s="166">
        <v>843</v>
      </c>
      <c r="BG12" s="172">
        <f t="shared" si="6"/>
        <v>416396</v>
      </c>
      <c r="BH12" s="187">
        <v>0</v>
      </c>
      <c r="BI12" s="166">
        <v>0</v>
      </c>
      <c r="BJ12" s="166">
        <v>0</v>
      </c>
      <c r="BK12" s="166">
        <v>0</v>
      </c>
      <c r="BL12" s="172">
        <f t="shared" si="7"/>
        <v>0</v>
      </c>
      <c r="BM12" s="187">
        <v>0</v>
      </c>
      <c r="BN12" s="166">
        <v>0</v>
      </c>
      <c r="BO12" s="166">
        <v>0</v>
      </c>
      <c r="BP12" s="166">
        <v>0</v>
      </c>
      <c r="BQ12" s="172">
        <f t="shared" si="8"/>
        <v>0</v>
      </c>
      <c r="BR12" s="187">
        <f t="shared" si="9"/>
        <v>4435341</v>
      </c>
      <c r="BS12" s="194">
        <f t="shared" si="9"/>
        <v>567140</v>
      </c>
      <c r="BT12" s="166">
        <f t="shared" si="9"/>
        <v>130427</v>
      </c>
      <c r="BU12" s="166">
        <f t="shared" si="9"/>
        <v>20044</v>
      </c>
      <c r="BV12" s="273">
        <f t="shared" si="10"/>
        <v>5152952</v>
      </c>
      <c r="BW12" s="136"/>
      <c r="BX12" s="425"/>
      <c r="BZ12" s="316"/>
      <c r="CA12" s="316"/>
      <c r="CB12" s="316"/>
      <c r="CC12" s="316"/>
      <c r="CD12" s="316"/>
      <c r="CE12" s="317"/>
      <c r="CF12" s="317"/>
      <c r="CG12" s="317"/>
      <c r="CH12" s="136"/>
      <c r="CI12" s="317"/>
    </row>
    <row r="13" spans="1:87" x14ac:dyDescent="0.3">
      <c r="A13" s="308">
        <v>7</v>
      </c>
      <c r="B13" s="309" t="s">
        <v>213</v>
      </c>
      <c r="D13" s="310"/>
      <c r="E13" s="311">
        <v>111550</v>
      </c>
      <c r="F13" s="312">
        <v>115721</v>
      </c>
      <c r="G13" s="312">
        <v>3826</v>
      </c>
      <c r="H13" s="313">
        <v>0</v>
      </c>
      <c r="I13" s="172">
        <f t="shared" si="0"/>
        <v>231097</v>
      </c>
      <c r="J13" s="187">
        <v>8763</v>
      </c>
      <c r="K13" s="166">
        <v>0</v>
      </c>
      <c r="L13" s="166">
        <v>0</v>
      </c>
      <c r="M13" s="166">
        <v>0</v>
      </c>
      <c r="N13" s="172">
        <f>SUM(J13:M13)</f>
        <v>8763</v>
      </c>
      <c r="O13" s="166">
        <v>5409</v>
      </c>
      <c r="P13" s="166">
        <v>17361</v>
      </c>
      <c r="Q13" s="166">
        <v>0</v>
      </c>
      <c r="R13" s="166">
        <v>0</v>
      </c>
      <c r="S13" s="172">
        <f t="shared" si="2"/>
        <v>22770</v>
      </c>
      <c r="T13" s="187">
        <v>9293</v>
      </c>
      <c r="U13" s="166">
        <v>10048</v>
      </c>
      <c r="V13" s="166">
        <v>0</v>
      </c>
      <c r="W13" s="166">
        <v>0</v>
      </c>
      <c r="X13" s="172">
        <f t="shared" si="12"/>
        <v>19341</v>
      </c>
      <c r="Y13" s="314">
        <v>8823</v>
      </c>
      <c r="Z13" s="166">
        <v>9870</v>
      </c>
      <c r="AA13" s="166">
        <v>0</v>
      </c>
      <c r="AB13" s="166">
        <v>0</v>
      </c>
      <c r="AC13" s="172">
        <f t="shared" si="3"/>
        <v>18693</v>
      </c>
      <c r="AD13" s="187">
        <v>7658</v>
      </c>
      <c r="AE13" s="166">
        <v>9836</v>
      </c>
      <c r="AF13" s="166">
        <v>389</v>
      </c>
      <c r="AG13" s="166">
        <v>0</v>
      </c>
      <c r="AH13" s="172">
        <f t="shared" si="4"/>
        <v>17883</v>
      </c>
      <c r="AI13" s="187">
        <v>8717</v>
      </c>
      <c r="AJ13" s="166">
        <v>9836</v>
      </c>
      <c r="AK13" s="166">
        <v>393</v>
      </c>
      <c r="AL13" s="166">
        <v>0</v>
      </c>
      <c r="AM13" s="172">
        <f t="shared" si="13"/>
        <v>18946</v>
      </c>
      <c r="AN13" s="187">
        <v>7949</v>
      </c>
      <c r="AO13" s="166">
        <v>9943</v>
      </c>
      <c r="AP13" s="166">
        <v>544</v>
      </c>
      <c r="AQ13" s="166">
        <v>0</v>
      </c>
      <c r="AR13" s="172">
        <f t="shared" si="1"/>
        <v>18436</v>
      </c>
      <c r="AS13" s="187">
        <v>9375</v>
      </c>
      <c r="AT13" s="166">
        <v>9836</v>
      </c>
      <c r="AU13" s="166">
        <v>-336</v>
      </c>
      <c r="AV13" s="166">
        <v>0</v>
      </c>
      <c r="AW13" s="172">
        <f t="shared" si="14"/>
        <v>18875</v>
      </c>
      <c r="AX13" s="187">
        <v>8518</v>
      </c>
      <c r="AY13" s="166">
        <v>9836</v>
      </c>
      <c r="AZ13" s="166">
        <v>69</v>
      </c>
      <c r="BA13" s="166">
        <v>0</v>
      </c>
      <c r="BB13" s="172">
        <f t="shared" si="5"/>
        <v>18423</v>
      </c>
      <c r="BC13" s="187">
        <v>7248</v>
      </c>
      <c r="BD13" s="166">
        <v>9836</v>
      </c>
      <c r="BE13" s="166">
        <v>268</v>
      </c>
      <c r="BF13" s="166">
        <v>0</v>
      </c>
      <c r="BG13" s="172">
        <f t="shared" si="6"/>
        <v>17352</v>
      </c>
      <c r="BH13" s="187">
        <v>0</v>
      </c>
      <c r="BI13" s="166">
        <v>0</v>
      </c>
      <c r="BJ13" s="166">
        <v>0</v>
      </c>
      <c r="BK13" s="166">
        <v>0</v>
      </c>
      <c r="BL13" s="172">
        <f t="shared" si="7"/>
        <v>0</v>
      </c>
      <c r="BM13" s="187">
        <v>0</v>
      </c>
      <c r="BN13" s="166">
        <v>0</v>
      </c>
      <c r="BO13" s="166">
        <v>0</v>
      </c>
      <c r="BP13" s="166">
        <v>0</v>
      </c>
      <c r="BQ13" s="172">
        <f t="shared" si="8"/>
        <v>0</v>
      </c>
      <c r="BR13" s="187">
        <f t="shared" si="9"/>
        <v>81753</v>
      </c>
      <c r="BS13" s="194">
        <f t="shared" si="9"/>
        <v>96402</v>
      </c>
      <c r="BT13" s="166">
        <f t="shared" si="9"/>
        <v>1327</v>
      </c>
      <c r="BU13" s="166">
        <f t="shared" si="9"/>
        <v>0</v>
      </c>
      <c r="BV13" s="273">
        <f t="shared" si="10"/>
        <v>179482</v>
      </c>
      <c r="BW13" s="136"/>
      <c r="BX13" s="425"/>
      <c r="BZ13" s="316"/>
      <c r="CA13" s="316"/>
      <c r="CB13" s="316"/>
      <c r="CC13" s="316"/>
      <c r="CD13" s="316"/>
      <c r="CE13" s="317"/>
      <c r="CF13" s="317"/>
      <c r="CG13" s="317"/>
      <c r="CH13" s="136"/>
      <c r="CI13" s="317"/>
    </row>
    <row r="14" spans="1:87" x14ac:dyDescent="0.3">
      <c r="A14" s="320">
        <v>8</v>
      </c>
      <c r="B14" s="321" t="s">
        <v>214</v>
      </c>
      <c r="D14" s="322"/>
      <c r="E14" s="311">
        <v>2684261</v>
      </c>
      <c r="F14" s="312">
        <v>29246390</v>
      </c>
      <c r="G14" s="312">
        <v>49418</v>
      </c>
      <c r="H14" s="313">
        <v>1857615</v>
      </c>
      <c r="I14" s="172">
        <f t="shared" si="0"/>
        <v>33837684</v>
      </c>
      <c r="J14" s="187">
        <v>180816</v>
      </c>
      <c r="K14" s="166">
        <v>1693067</v>
      </c>
      <c r="L14" s="166">
        <v>1116</v>
      </c>
      <c r="M14" s="166">
        <v>663671</v>
      </c>
      <c r="N14" s="172">
        <f t="shared" si="11"/>
        <v>2538670</v>
      </c>
      <c r="O14" s="166">
        <v>118906</v>
      </c>
      <c r="P14" s="166">
        <v>1787954</v>
      </c>
      <c r="Q14" s="166">
        <v>2807</v>
      </c>
      <c r="R14" s="166">
        <v>0</v>
      </c>
      <c r="S14" s="172">
        <f t="shared" si="2"/>
        <v>1909667</v>
      </c>
      <c r="T14" s="187">
        <v>182149</v>
      </c>
      <c r="U14" s="166">
        <f>2778215-42582</f>
        <v>2735633</v>
      </c>
      <c r="V14" s="166">
        <v>10800</v>
      </c>
      <c r="W14" s="166">
        <v>0</v>
      </c>
      <c r="X14" s="172">
        <f t="shared" si="12"/>
        <v>2928582</v>
      </c>
      <c r="Y14" s="314">
        <v>220304</v>
      </c>
      <c r="Z14" s="166">
        <f>2860216-30000</f>
        <v>2830216</v>
      </c>
      <c r="AA14" s="166">
        <v>6541</v>
      </c>
      <c r="AB14" s="166">
        <f>141438</f>
        <v>141438</v>
      </c>
      <c r="AC14" s="172">
        <f t="shared" si="3"/>
        <v>3198499</v>
      </c>
      <c r="AD14" s="187">
        <v>144044</v>
      </c>
      <c r="AE14" s="166">
        <v>2538620</v>
      </c>
      <c r="AF14" s="166">
        <v>21</v>
      </c>
      <c r="AG14" s="166">
        <v>0</v>
      </c>
      <c r="AH14" s="172">
        <f t="shared" si="4"/>
        <v>2682685</v>
      </c>
      <c r="AI14" s="187">
        <v>225895</v>
      </c>
      <c r="AJ14" s="166">
        <v>1958178</v>
      </c>
      <c r="AK14" s="166">
        <v>192</v>
      </c>
      <c r="AL14" s="166">
        <v>0</v>
      </c>
      <c r="AM14" s="172">
        <f t="shared" si="13"/>
        <v>2184265</v>
      </c>
      <c r="AN14" s="187">
        <v>177659</v>
      </c>
      <c r="AO14" s="166">
        <v>2167355</v>
      </c>
      <c r="AP14" s="166">
        <v>1876</v>
      </c>
      <c r="AQ14" s="166">
        <v>0</v>
      </c>
      <c r="AR14" s="172">
        <f t="shared" si="1"/>
        <v>2346890</v>
      </c>
      <c r="AS14" s="187">
        <v>157508</v>
      </c>
      <c r="AT14" s="166">
        <v>2253408</v>
      </c>
      <c r="AU14" s="166">
        <v>1086</v>
      </c>
      <c r="AV14" s="166">
        <v>0</v>
      </c>
      <c r="AW14" s="172">
        <f t="shared" si="14"/>
        <v>2412002</v>
      </c>
      <c r="AX14" s="187">
        <v>209069</v>
      </c>
      <c r="AY14" s="166">
        <v>1946836</v>
      </c>
      <c r="AZ14" s="166">
        <v>933</v>
      </c>
      <c r="BA14" s="166">
        <v>231</v>
      </c>
      <c r="BB14" s="172">
        <f t="shared" si="5"/>
        <v>2157069</v>
      </c>
      <c r="BC14" s="187">
        <v>111548</v>
      </c>
      <c r="BD14" s="166">
        <v>2731292</v>
      </c>
      <c r="BE14" s="166">
        <v>803</v>
      </c>
      <c r="BF14" s="166">
        <v>137062</v>
      </c>
      <c r="BG14" s="172">
        <f t="shared" si="6"/>
        <v>2980705</v>
      </c>
      <c r="BH14" s="187">
        <v>0</v>
      </c>
      <c r="BI14" s="166">
        <v>0</v>
      </c>
      <c r="BJ14" s="166">
        <v>0</v>
      </c>
      <c r="BK14" s="166">
        <v>0</v>
      </c>
      <c r="BL14" s="172">
        <f t="shared" si="7"/>
        <v>0</v>
      </c>
      <c r="BM14" s="187">
        <v>0</v>
      </c>
      <c r="BN14" s="166">
        <v>0</v>
      </c>
      <c r="BO14" s="166">
        <v>0</v>
      </c>
      <c r="BP14" s="166">
        <v>0</v>
      </c>
      <c r="BQ14" s="172">
        <f t="shared" si="8"/>
        <v>0</v>
      </c>
      <c r="BR14" s="187">
        <f t="shared" si="9"/>
        <v>1727898</v>
      </c>
      <c r="BS14" s="194">
        <f t="shared" si="9"/>
        <v>22642559</v>
      </c>
      <c r="BT14" s="166">
        <f t="shared" si="9"/>
        <v>26175</v>
      </c>
      <c r="BU14" s="166">
        <f t="shared" si="9"/>
        <v>942402</v>
      </c>
      <c r="BV14" s="273">
        <f>SUM(BR14:BU14)</f>
        <v>25339034</v>
      </c>
      <c r="BW14" s="136"/>
      <c r="BX14" s="425"/>
      <c r="BZ14" s="323"/>
      <c r="CA14" s="323"/>
      <c r="CB14" s="323"/>
      <c r="CC14" s="323"/>
      <c r="CD14" s="323"/>
      <c r="CE14" s="317"/>
      <c r="CF14" s="317"/>
      <c r="CG14" s="317"/>
      <c r="CH14" s="136"/>
      <c r="CI14" s="317"/>
    </row>
    <row r="15" spans="1:87" x14ac:dyDescent="0.3">
      <c r="A15" s="308">
        <v>9</v>
      </c>
      <c r="B15" s="309" t="s">
        <v>215</v>
      </c>
      <c r="D15" s="324"/>
      <c r="E15" s="311">
        <v>472608</v>
      </c>
      <c r="F15" s="312">
        <v>1009</v>
      </c>
      <c r="G15" s="312">
        <v>7771</v>
      </c>
      <c r="H15" s="313">
        <v>6</v>
      </c>
      <c r="I15" s="172">
        <f t="shared" si="0"/>
        <v>481394</v>
      </c>
      <c r="J15" s="187">
        <v>29898</v>
      </c>
      <c r="K15" s="166">
        <v>170</v>
      </c>
      <c r="L15" s="166">
        <v>168</v>
      </c>
      <c r="M15" s="166">
        <v>0</v>
      </c>
      <c r="N15" s="172">
        <f t="shared" si="11"/>
        <v>30236</v>
      </c>
      <c r="O15" s="166">
        <v>32894</v>
      </c>
      <c r="P15" s="166">
        <v>92</v>
      </c>
      <c r="Q15" s="166">
        <v>46</v>
      </c>
      <c r="R15" s="166">
        <v>0</v>
      </c>
      <c r="S15" s="172">
        <f t="shared" si="2"/>
        <v>33032</v>
      </c>
      <c r="T15" s="187">
        <v>30171</v>
      </c>
      <c r="U15" s="166">
        <v>18</v>
      </c>
      <c r="V15" s="166">
        <v>54</v>
      </c>
      <c r="W15" s="166">
        <v>0</v>
      </c>
      <c r="X15" s="172">
        <f t="shared" si="12"/>
        <v>30243</v>
      </c>
      <c r="Y15" s="187">
        <v>31918</v>
      </c>
      <c r="Z15" s="166">
        <v>202</v>
      </c>
      <c r="AA15" s="166">
        <v>63</v>
      </c>
      <c r="AB15" s="319">
        <v>0</v>
      </c>
      <c r="AC15" s="172">
        <f t="shared" si="3"/>
        <v>32183</v>
      </c>
      <c r="AD15" s="187">
        <v>37280</v>
      </c>
      <c r="AE15" s="166">
        <v>0</v>
      </c>
      <c r="AF15" s="166">
        <v>90</v>
      </c>
      <c r="AG15" s="166">
        <v>1</v>
      </c>
      <c r="AH15" s="172">
        <f t="shared" si="4"/>
        <v>37371</v>
      </c>
      <c r="AI15" s="187">
        <v>36515</v>
      </c>
      <c r="AJ15" s="166">
        <v>69</v>
      </c>
      <c r="AK15" s="166">
        <v>66</v>
      </c>
      <c r="AL15" s="166">
        <v>0</v>
      </c>
      <c r="AM15" s="172">
        <f t="shared" si="13"/>
        <v>36650</v>
      </c>
      <c r="AN15" s="187">
        <v>34489</v>
      </c>
      <c r="AO15" s="166">
        <v>351</v>
      </c>
      <c r="AP15" s="166">
        <v>71</v>
      </c>
      <c r="AQ15" s="166">
        <v>0</v>
      </c>
      <c r="AR15" s="172">
        <f t="shared" si="1"/>
        <v>34911</v>
      </c>
      <c r="AS15" s="187">
        <v>42721</v>
      </c>
      <c r="AT15" s="166">
        <v>146</v>
      </c>
      <c r="AU15" s="166">
        <v>90</v>
      </c>
      <c r="AV15" s="166">
        <v>3</v>
      </c>
      <c r="AW15" s="172">
        <f t="shared" si="14"/>
        <v>42960</v>
      </c>
      <c r="AX15" s="187">
        <v>47151</v>
      </c>
      <c r="AY15" s="166">
        <v>221</v>
      </c>
      <c r="AZ15" s="166">
        <v>95</v>
      </c>
      <c r="BA15" s="166">
        <v>0</v>
      </c>
      <c r="BB15" s="172">
        <f t="shared" si="5"/>
        <v>47467</v>
      </c>
      <c r="BC15" s="187">
        <v>29927</v>
      </c>
      <c r="BD15" s="166">
        <v>199</v>
      </c>
      <c r="BE15" s="166">
        <v>147</v>
      </c>
      <c r="BF15" s="166">
        <v>0</v>
      </c>
      <c r="BG15" s="172">
        <f t="shared" si="6"/>
        <v>30273</v>
      </c>
      <c r="BH15" s="187">
        <v>0</v>
      </c>
      <c r="BI15" s="166">
        <v>0</v>
      </c>
      <c r="BJ15" s="166">
        <v>0</v>
      </c>
      <c r="BK15" s="166">
        <v>0</v>
      </c>
      <c r="BL15" s="172">
        <f t="shared" si="7"/>
        <v>0</v>
      </c>
      <c r="BM15" s="187">
        <v>0</v>
      </c>
      <c r="BN15" s="166">
        <v>0</v>
      </c>
      <c r="BO15" s="166">
        <v>0</v>
      </c>
      <c r="BP15" s="166">
        <v>0</v>
      </c>
      <c r="BQ15" s="172">
        <f t="shared" si="8"/>
        <v>0</v>
      </c>
      <c r="BR15" s="187">
        <f t="shared" si="9"/>
        <v>352964</v>
      </c>
      <c r="BS15" s="194">
        <f t="shared" si="9"/>
        <v>1468</v>
      </c>
      <c r="BT15" s="166">
        <f t="shared" si="9"/>
        <v>890</v>
      </c>
      <c r="BU15" s="166">
        <f t="shared" si="9"/>
        <v>4</v>
      </c>
      <c r="BV15" s="273">
        <f t="shared" si="10"/>
        <v>355326</v>
      </c>
      <c r="BW15" s="136"/>
      <c r="BX15" s="425"/>
      <c r="BZ15" s="316"/>
      <c r="CA15" s="316"/>
      <c r="CB15" s="316"/>
      <c r="CC15" s="316"/>
      <c r="CD15" s="316"/>
      <c r="CE15" s="317"/>
      <c r="CF15" s="317"/>
      <c r="CG15" s="317"/>
      <c r="CH15" s="136"/>
      <c r="CI15" s="317"/>
    </row>
    <row r="16" spans="1:87" x14ac:dyDescent="0.3">
      <c r="A16" s="308">
        <v>10</v>
      </c>
      <c r="B16" s="325" t="s">
        <v>216</v>
      </c>
      <c r="D16" s="324"/>
      <c r="E16" s="311">
        <v>291825</v>
      </c>
      <c r="F16" s="312">
        <v>-204489</v>
      </c>
      <c r="G16" s="312">
        <v>3876</v>
      </c>
      <c r="H16" s="313">
        <v>33054186</v>
      </c>
      <c r="I16" s="172">
        <f t="shared" si="0"/>
        <v>33145398</v>
      </c>
      <c r="J16" s="187">
        <v>14186</v>
      </c>
      <c r="K16" s="166">
        <v>27</v>
      </c>
      <c r="L16" s="166">
        <v>0</v>
      </c>
      <c r="M16" s="166">
        <v>0</v>
      </c>
      <c r="N16" s="172">
        <f t="shared" si="11"/>
        <v>14213</v>
      </c>
      <c r="O16" s="166">
        <v>15402</v>
      </c>
      <c r="P16" s="166">
        <v>62</v>
      </c>
      <c r="Q16" s="166">
        <v>362</v>
      </c>
      <c r="R16" s="166">
        <v>1000000</v>
      </c>
      <c r="S16" s="172">
        <f t="shared" si="2"/>
        <v>1015826</v>
      </c>
      <c r="T16" s="187">
        <v>15304</v>
      </c>
      <c r="U16" s="166">
        <v>21</v>
      </c>
      <c r="V16" s="166">
        <v>1842</v>
      </c>
      <c r="W16" s="166">
        <v>3000000</v>
      </c>
      <c r="X16" s="172">
        <f t="shared" si="12"/>
        <v>3017167</v>
      </c>
      <c r="Y16" s="187">
        <v>18170</v>
      </c>
      <c r="Z16" s="166">
        <v>0</v>
      </c>
      <c r="AA16" s="166">
        <v>77</v>
      </c>
      <c r="AB16" s="166">
        <v>0</v>
      </c>
      <c r="AC16" s="172">
        <f t="shared" si="3"/>
        <v>18247</v>
      </c>
      <c r="AD16" s="187">
        <v>17998</v>
      </c>
      <c r="AE16" s="166">
        <v>209</v>
      </c>
      <c r="AF16" s="166">
        <v>34</v>
      </c>
      <c r="AG16" s="166">
        <v>1582528</v>
      </c>
      <c r="AH16" s="172">
        <f t="shared" si="4"/>
        <v>1600769</v>
      </c>
      <c r="AI16" s="187">
        <v>17360</v>
      </c>
      <c r="AJ16" s="166">
        <v>8</v>
      </c>
      <c r="AK16" s="166">
        <v>392</v>
      </c>
      <c r="AL16" s="166">
        <v>0</v>
      </c>
      <c r="AM16" s="172">
        <f t="shared" si="13"/>
        <v>17760</v>
      </c>
      <c r="AN16" s="187">
        <v>14487</v>
      </c>
      <c r="AO16" s="166">
        <v>121</v>
      </c>
      <c r="AP16" s="166">
        <v>0</v>
      </c>
      <c r="AQ16" s="166">
        <v>0</v>
      </c>
      <c r="AR16" s="172">
        <f t="shared" si="1"/>
        <v>14608</v>
      </c>
      <c r="AS16" s="187">
        <v>21879</v>
      </c>
      <c r="AT16" s="166">
        <v>0</v>
      </c>
      <c r="AU16" s="166">
        <v>15</v>
      </c>
      <c r="AV16" s="166">
        <v>1000000</v>
      </c>
      <c r="AW16" s="172">
        <f t="shared" si="14"/>
        <v>1021894</v>
      </c>
      <c r="AX16" s="187">
        <v>18791</v>
      </c>
      <c r="AY16" s="166">
        <v>18</v>
      </c>
      <c r="AZ16" s="166">
        <v>448</v>
      </c>
      <c r="BA16" s="166">
        <v>6002310</v>
      </c>
      <c r="BB16" s="172">
        <f t="shared" si="5"/>
        <v>6021567</v>
      </c>
      <c r="BC16" s="187">
        <v>14208</v>
      </c>
      <c r="BD16" s="166">
        <v>-9</v>
      </c>
      <c r="BE16" s="166">
        <v>0</v>
      </c>
      <c r="BF16" s="166">
        <v>16709491</v>
      </c>
      <c r="BG16" s="172">
        <f t="shared" si="6"/>
        <v>16723690</v>
      </c>
      <c r="BH16" s="187">
        <v>0</v>
      </c>
      <c r="BI16" s="166">
        <v>0</v>
      </c>
      <c r="BJ16" s="166">
        <v>0</v>
      </c>
      <c r="BK16" s="166">
        <v>0</v>
      </c>
      <c r="BL16" s="172">
        <f t="shared" si="7"/>
        <v>0</v>
      </c>
      <c r="BM16" s="187">
        <v>0</v>
      </c>
      <c r="BN16" s="166">
        <v>0</v>
      </c>
      <c r="BO16" s="166">
        <v>0</v>
      </c>
      <c r="BP16" s="166">
        <v>0</v>
      </c>
      <c r="BQ16" s="172">
        <f t="shared" si="8"/>
        <v>0</v>
      </c>
      <c r="BR16" s="187">
        <f t="shared" si="9"/>
        <v>167785</v>
      </c>
      <c r="BS16" s="194">
        <f t="shared" si="9"/>
        <v>457</v>
      </c>
      <c r="BT16" s="166">
        <f t="shared" si="9"/>
        <v>3170</v>
      </c>
      <c r="BU16" s="166">
        <f t="shared" si="9"/>
        <v>29294329</v>
      </c>
      <c r="BV16" s="273">
        <f t="shared" si="10"/>
        <v>29465741</v>
      </c>
      <c r="BW16" s="136"/>
      <c r="BX16" s="427"/>
      <c r="BZ16" s="316"/>
      <c r="CA16" s="316"/>
      <c r="CB16" s="316"/>
      <c r="CC16" s="316"/>
      <c r="CD16" s="316"/>
      <c r="CE16" s="317"/>
      <c r="CF16" s="317"/>
      <c r="CG16" s="317"/>
      <c r="CH16" s="136"/>
      <c r="CI16" s="317"/>
    </row>
    <row r="17" spans="1:87" x14ac:dyDescent="0.3">
      <c r="A17" s="308">
        <v>11</v>
      </c>
      <c r="B17" s="309" t="s">
        <v>217</v>
      </c>
      <c r="D17" s="318"/>
      <c r="E17" s="311">
        <v>490879</v>
      </c>
      <c r="F17" s="312">
        <v>51289</v>
      </c>
      <c r="G17" s="312">
        <v>7955</v>
      </c>
      <c r="H17" s="313">
        <v>0</v>
      </c>
      <c r="I17" s="172">
        <f t="shared" si="0"/>
        <v>550123</v>
      </c>
      <c r="J17" s="187">
        <v>25666</v>
      </c>
      <c r="K17" s="166">
        <v>4131</v>
      </c>
      <c r="L17" s="166">
        <v>0</v>
      </c>
      <c r="M17" s="166">
        <v>0</v>
      </c>
      <c r="N17" s="172">
        <f t="shared" si="11"/>
        <v>29797</v>
      </c>
      <c r="O17" s="166">
        <v>46109</v>
      </c>
      <c r="P17" s="166">
        <v>5406</v>
      </c>
      <c r="Q17" s="166">
        <v>67</v>
      </c>
      <c r="R17" s="166">
        <v>0</v>
      </c>
      <c r="S17" s="172">
        <f t="shared" si="2"/>
        <v>51582</v>
      </c>
      <c r="T17" s="187">
        <v>31199</v>
      </c>
      <c r="U17" s="166">
        <v>4208</v>
      </c>
      <c r="V17" s="166">
        <v>1172</v>
      </c>
      <c r="W17" s="166">
        <v>0</v>
      </c>
      <c r="X17" s="172">
        <f t="shared" si="12"/>
        <v>36579</v>
      </c>
      <c r="Y17" s="187">
        <v>42968</v>
      </c>
      <c r="Z17" s="166">
        <v>5307</v>
      </c>
      <c r="AA17" s="166">
        <v>251</v>
      </c>
      <c r="AB17" s="319">
        <v>0</v>
      </c>
      <c r="AC17" s="172">
        <f t="shared" si="3"/>
        <v>48526</v>
      </c>
      <c r="AD17" s="187">
        <v>37020</v>
      </c>
      <c r="AE17" s="166">
        <v>4094</v>
      </c>
      <c r="AF17" s="166">
        <v>76</v>
      </c>
      <c r="AG17" s="166">
        <v>0</v>
      </c>
      <c r="AH17" s="172">
        <f t="shared" si="4"/>
        <v>41190</v>
      </c>
      <c r="AI17" s="187">
        <v>28827</v>
      </c>
      <c r="AJ17" s="166">
        <v>5741</v>
      </c>
      <c r="AK17" s="166">
        <v>1918</v>
      </c>
      <c r="AL17" s="166">
        <v>0</v>
      </c>
      <c r="AM17" s="172">
        <f t="shared" si="13"/>
        <v>36486</v>
      </c>
      <c r="AN17" s="187">
        <v>43016</v>
      </c>
      <c r="AO17" s="166">
        <v>3778</v>
      </c>
      <c r="AP17" s="166">
        <v>970</v>
      </c>
      <c r="AQ17" s="166">
        <v>0</v>
      </c>
      <c r="AR17" s="172">
        <f t="shared" si="1"/>
        <v>47764</v>
      </c>
      <c r="AS17" s="187">
        <v>38520</v>
      </c>
      <c r="AT17" s="166">
        <v>4182</v>
      </c>
      <c r="AU17" s="166">
        <v>4036</v>
      </c>
      <c r="AV17" s="166">
        <v>98</v>
      </c>
      <c r="AW17" s="172">
        <f t="shared" si="14"/>
        <v>46836</v>
      </c>
      <c r="AX17" s="187">
        <v>37735</v>
      </c>
      <c r="AY17" s="166">
        <v>3865</v>
      </c>
      <c r="AZ17" s="166">
        <v>1277</v>
      </c>
      <c r="BA17" s="166">
        <v>0</v>
      </c>
      <c r="BB17" s="172">
        <f t="shared" si="5"/>
        <v>42877</v>
      </c>
      <c r="BC17" s="187">
        <v>41815</v>
      </c>
      <c r="BD17" s="166">
        <v>3616</v>
      </c>
      <c r="BE17" s="166">
        <v>322</v>
      </c>
      <c r="BF17" s="166">
        <v>0</v>
      </c>
      <c r="BG17" s="172">
        <f t="shared" si="6"/>
        <v>45753</v>
      </c>
      <c r="BH17" s="187">
        <v>0</v>
      </c>
      <c r="BI17" s="166">
        <v>0</v>
      </c>
      <c r="BJ17" s="166">
        <v>0</v>
      </c>
      <c r="BK17" s="166">
        <v>0</v>
      </c>
      <c r="BL17" s="172">
        <f t="shared" si="7"/>
        <v>0</v>
      </c>
      <c r="BM17" s="187">
        <v>0</v>
      </c>
      <c r="BN17" s="166">
        <v>0</v>
      </c>
      <c r="BO17" s="166">
        <v>0</v>
      </c>
      <c r="BP17" s="166">
        <v>0</v>
      </c>
      <c r="BQ17" s="172">
        <f t="shared" si="8"/>
        <v>0</v>
      </c>
      <c r="BR17" s="187">
        <f t="shared" si="9"/>
        <v>372875</v>
      </c>
      <c r="BS17" s="194">
        <f t="shared" si="9"/>
        <v>44328</v>
      </c>
      <c r="BT17" s="166">
        <f t="shared" si="9"/>
        <v>10089</v>
      </c>
      <c r="BU17" s="166">
        <f t="shared" si="9"/>
        <v>98</v>
      </c>
      <c r="BV17" s="273">
        <f t="shared" si="10"/>
        <v>427390</v>
      </c>
      <c r="BW17" s="136"/>
      <c r="BX17" s="425"/>
      <c r="BZ17" s="316"/>
      <c r="CA17" s="316"/>
      <c r="CB17" s="316"/>
      <c r="CC17" s="316"/>
      <c r="CD17" s="316"/>
      <c r="CE17" s="317"/>
      <c r="CF17" s="317"/>
      <c r="CG17" s="317"/>
      <c r="CH17" s="136"/>
      <c r="CI17" s="317"/>
    </row>
    <row r="18" spans="1:87" x14ac:dyDescent="0.3">
      <c r="A18" s="308">
        <v>12</v>
      </c>
      <c r="B18" s="17" t="s">
        <v>218</v>
      </c>
      <c r="D18" s="310"/>
      <c r="E18" s="311">
        <v>293492</v>
      </c>
      <c r="F18" s="312">
        <v>611</v>
      </c>
      <c r="G18" s="312">
        <v>1438</v>
      </c>
      <c r="H18" s="313">
        <v>0</v>
      </c>
      <c r="I18" s="172">
        <f t="shared" si="0"/>
        <v>295541</v>
      </c>
      <c r="J18" s="187">
        <v>19265</v>
      </c>
      <c r="K18" s="166">
        <v>112</v>
      </c>
      <c r="L18" s="166">
        <v>41</v>
      </c>
      <c r="M18" s="166">
        <v>0</v>
      </c>
      <c r="N18" s="172">
        <f t="shared" si="11"/>
        <v>19418</v>
      </c>
      <c r="O18" s="166">
        <v>19507</v>
      </c>
      <c r="P18" s="166">
        <v>0</v>
      </c>
      <c r="Q18" s="166">
        <v>270</v>
      </c>
      <c r="R18" s="166">
        <v>0</v>
      </c>
      <c r="S18" s="172">
        <f t="shared" si="2"/>
        <v>19777</v>
      </c>
      <c r="T18" s="187">
        <v>23524</v>
      </c>
      <c r="U18" s="166">
        <v>240</v>
      </c>
      <c r="V18" s="166">
        <v>374</v>
      </c>
      <c r="W18" s="166">
        <v>0</v>
      </c>
      <c r="X18" s="172">
        <f t="shared" si="12"/>
        <v>24138</v>
      </c>
      <c r="Y18" s="187">
        <v>21514</v>
      </c>
      <c r="Z18" s="166">
        <v>1</v>
      </c>
      <c r="AA18" s="166">
        <v>178</v>
      </c>
      <c r="AB18" s="319">
        <v>0</v>
      </c>
      <c r="AC18" s="172">
        <f t="shared" si="3"/>
        <v>21693</v>
      </c>
      <c r="AD18" s="187">
        <v>19568</v>
      </c>
      <c r="AE18" s="166">
        <v>0</v>
      </c>
      <c r="AF18" s="166">
        <v>206</v>
      </c>
      <c r="AG18" s="166">
        <v>98</v>
      </c>
      <c r="AH18" s="172">
        <f t="shared" si="4"/>
        <v>19872</v>
      </c>
      <c r="AI18" s="187">
        <v>24559</v>
      </c>
      <c r="AJ18" s="166">
        <v>18</v>
      </c>
      <c r="AK18" s="166">
        <v>78</v>
      </c>
      <c r="AL18" s="166">
        <v>0</v>
      </c>
      <c r="AM18" s="172">
        <f t="shared" si="13"/>
        <v>24655</v>
      </c>
      <c r="AN18" s="187">
        <v>22445</v>
      </c>
      <c r="AO18" s="166">
        <v>115</v>
      </c>
      <c r="AP18" s="166">
        <v>103</v>
      </c>
      <c r="AQ18" s="166">
        <v>0</v>
      </c>
      <c r="AR18" s="172">
        <f t="shared" si="1"/>
        <v>22663</v>
      </c>
      <c r="AS18" s="187">
        <v>26309</v>
      </c>
      <c r="AT18" s="166">
        <v>56</v>
      </c>
      <c r="AU18" s="166">
        <v>187</v>
      </c>
      <c r="AV18" s="166">
        <v>0</v>
      </c>
      <c r="AW18" s="172">
        <f t="shared" si="14"/>
        <v>26552</v>
      </c>
      <c r="AX18" s="187">
        <v>26420</v>
      </c>
      <c r="AY18" s="166">
        <v>0</v>
      </c>
      <c r="AZ18" s="166">
        <v>96</v>
      </c>
      <c r="BA18" s="166">
        <v>0</v>
      </c>
      <c r="BB18" s="172">
        <f t="shared" si="5"/>
        <v>26516</v>
      </c>
      <c r="BC18" s="187">
        <v>26842</v>
      </c>
      <c r="BD18" s="166">
        <v>1</v>
      </c>
      <c r="BE18" s="166">
        <v>200</v>
      </c>
      <c r="BF18" s="166">
        <v>13</v>
      </c>
      <c r="BG18" s="172">
        <f t="shared" si="6"/>
        <v>27056</v>
      </c>
      <c r="BH18" s="187">
        <v>0</v>
      </c>
      <c r="BI18" s="166">
        <v>0</v>
      </c>
      <c r="BJ18" s="166">
        <v>0</v>
      </c>
      <c r="BK18" s="166">
        <v>0</v>
      </c>
      <c r="BL18" s="172">
        <f t="shared" si="7"/>
        <v>0</v>
      </c>
      <c r="BM18" s="187">
        <v>0</v>
      </c>
      <c r="BN18" s="166">
        <v>0</v>
      </c>
      <c r="BO18" s="166">
        <v>0</v>
      </c>
      <c r="BP18" s="166">
        <v>0</v>
      </c>
      <c r="BQ18" s="172">
        <f t="shared" si="8"/>
        <v>0</v>
      </c>
      <c r="BR18" s="187">
        <f t="shared" si="9"/>
        <v>229953</v>
      </c>
      <c r="BS18" s="194">
        <f t="shared" si="9"/>
        <v>543</v>
      </c>
      <c r="BT18" s="166">
        <f t="shared" si="9"/>
        <v>1733</v>
      </c>
      <c r="BU18" s="166">
        <f t="shared" si="9"/>
        <v>111</v>
      </c>
      <c r="BV18" s="273">
        <f t="shared" si="10"/>
        <v>232340</v>
      </c>
      <c r="BW18" s="136"/>
      <c r="BX18" s="426"/>
      <c r="BZ18" s="316"/>
      <c r="CA18" s="316"/>
      <c r="CB18" s="316"/>
      <c r="CC18" s="316"/>
      <c r="CD18" s="316"/>
      <c r="CE18" s="317"/>
      <c r="CF18" s="317"/>
      <c r="CG18" s="317"/>
      <c r="CH18" s="136"/>
      <c r="CI18" s="317"/>
    </row>
    <row r="19" spans="1:87" x14ac:dyDescent="0.3">
      <c r="A19" s="308">
        <v>13</v>
      </c>
      <c r="B19" s="17" t="s">
        <v>219</v>
      </c>
      <c r="D19" s="310"/>
      <c r="E19" s="311">
        <v>1093897</v>
      </c>
      <c r="F19" s="312">
        <v>7038737</v>
      </c>
      <c r="G19" s="312">
        <v>20095</v>
      </c>
      <c r="H19" s="313">
        <v>0</v>
      </c>
      <c r="I19" s="172">
        <f t="shared" si="0"/>
        <v>8152729</v>
      </c>
      <c r="J19" s="187">
        <v>49779</v>
      </c>
      <c r="K19" s="166">
        <v>64973</v>
      </c>
      <c r="L19" s="166">
        <v>144</v>
      </c>
      <c r="M19" s="166">
        <v>0</v>
      </c>
      <c r="N19" s="172">
        <f>SUM(J19:M19)</f>
        <v>114896</v>
      </c>
      <c r="O19" s="166">
        <v>69763</v>
      </c>
      <c r="P19" s="166">
        <v>1336323</v>
      </c>
      <c r="Q19" s="166">
        <v>105</v>
      </c>
      <c r="R19" s="166">
        <v>0</v>
      </c>
      <c r="S19" s="172">
        <f t="shared" si="2"/>
        <v>1406191</v>
      </c>
      <c r="T19" s="187">
        <v>57472</v>
      </c>
      <c r="U19" s="166">
        <v>97802</v>
      </c>
      <c r="V19" s="166">
        <v>67</v>
      </c>
      <c r="W19" s="166">
        <v>0</v>
      </c>
      <c r="X19" s="172">
        <f t="shared" si="12"/>
        <v>155341</v>
      </c>
      <c r="Y19" s="187">
        <v>76418</v>
      </c>
      <c r="Z19" s="166">
        <v>1568188</v>
      </c>
      <c r="AA19" s="166">
        <v>359</v>
      </c>
      <c r="AB19" s="319">
        <v>0</v>
      </c>
      <c r="AC19" s="172">
        <f t="shared" si="3"/>
        <v>1644965</v>
      </c>
      <c r="AD19" s="187">
        <v>76310</v>
      </c>
      <c r="AE19" s="166">
        <v>313844</v>
      </c>
      <c r="AF19" s="166">
        <v>148</v>
      </c>
      <c r="AG19" s="166">
        <v>0</v>
      </c>
      <c r="AH19" s="172">
        <f t="shared" si="4"/>
        <v>390302</v>
      </c>
      <c r="AI19" s="187">
        <v>67475</v>
      </c>
      <c r="AJ19" s="166">
        <v>151217</v>
      </c>
      <c r="AK19" s="166">
        <v>417</v>
      </c>
      <c r="AL19" s="166">
        <v>0</v>
      </c>
      <c r="AM19" s="172">
        <f t="shared" si="13"/>
        <v>219109</v>
      </c>
      <c r="AN19" s="187">
        <v>73944</v>
      </c>
      <c r="AO19" s="166">
        <v>1198677</v>
      </c>
      <c r="AP19" s="166">
        <v>1877</v>
      </c>
      <c r="AQ19" s="166">
        <v>0</v>
      </c>
      <c r="AR19" s="172">
        <f t="shared" si="1"/>
        <v>1274498</v>
      </c>
      <c r="AS19" s="187">
        <v>76395</v>
      </c>
      <c r="AT19" s="166">
        <v>384544</v>
      </c>
      <c r="AU19" s="166">
        <v>719</v>
      </c>
      <c r="AV19" s="166">
        <v>0</v>
      </c>
      <c r="AW19" s="172">
        <f t="shared" si="14"/>
        <v>461658</v>
      </c>
      <c r="AX19" s="187">
        <v>95001</v>
      </c>
      <c r="AY19" s="166">
        <v>425185</v>
      </c>
      <c r="AZ19" s="166">
        <v>493</v>
      </c>
      <c r="BA19" s="166">
        <v>0</v>
      </c>
      <c r="BB19" s="172">
        <f t="shared" si="5"/>
        <v>520679</v>
      </c>
      <c r="BC19" s="187">
        <v>67457</v>
      </c>
      <c r="BD19" s="166">
        <v>561446</v>
      </c>
      <c r="BE19" s="166">
        <v>1374</v>
      </c>
      <c r="BF19" s="166">
        <v>0</v>
      </c>
      <c r="BG19" s="172">
        <f t="shared" si="6"/>
        <v>630277</v>
      </c>
      <c r="BH19" s="187">
        <v>0</v>
      </c>
      <c r="BI19" s="166">
        <v>0</v>
      </c>
      <c r="BJ19" s="166">
        <v>0</v>
      </c>
      <c r="BK19" s="166">
        <v>0</v>
      </c>
      <c r="BL19" s="172">
        <f t="shared" si="7"/>
        <v>0</v>
      </c>
      <c r="BM19" s="187">
        <v>0</v>
      </c>
      <c r="BN19" s="166">
        <v>0</v>
      </c>
      <c r="BO19" s="166">
        <v>0</v>
      </c>
      <c r="BP19" s="166">
        <v>0</v>
      </c>
      <c r="BQ19" s="172">
        <f t="shared" si="8"/>
        <v>0</v>
      </c>
      <c r="BR19" s="187">
        <f t="shared" si="9"/>
        <v>710014</v>
      </c>
      <c r="BS19" s="194">
        <f t="shared" si="9"/>
        <v>6102199</v>
      </c>
      <c r="BT19" s="166">
        <f t="shared" si="9"/>
        <v>5703</v>
      </c>
      <c r="BU19" s="166">
        <f t="shared" si="9"/>
        <v>0</v>
      </c>
      <c r="BV19" s="273">
        <f t="shared" si="10"/>
        <v>6817916</v>
      </c>
      <c r="BW19" s="136"/>
      <c r="BX19" s="426"/>
      <c r="BZ19" s="316"/>
      <c r="CA19" s="316"/>
      <c r="CB19" s="316"/>
      <c r="CC19" s="316"/>
      <c r="CD19" s="316"/>
      <c r="CE19" s="317"/>
      <c r="CF19" s="317"/>
      <c r="CG19" s="317"/>
      <c r="CH19" s="136"/>
      <c r="CI19" s="317"/>
    </row>
    <row r="20" spans="1:87" x14ac:dyDescent="0.3">
      <c r="A20" s="308">
        <v>14</v>
      </c>
      <c r="B20" s="309" t="s">
        <v>220</v>
      </c>
      <c r="D20" s="318"/>
      <c r="E20" s="311">
        <v>2663531</v>
      </c>
      <c r="F20" s="312">
        <v>2200</v>
      </c>
      <c r="G20" s="312">
        <v>333696</v>
      </c>
      <c r="H20" s="313">
        <v>0</v>
      </c>
      <c r="I20" s="172">
        <f t="shared" si="0"/>
        <v>2999427</v>
      </c>
      <c r="J20" s="187">
        <v>487606</v>
      </c>
      <c r="K20" s="166">
        <v>214</v>
      </c>
      <c r="L20" s="166">
        <v>24563</v>
      </c>
      <c r="M20" s="166">
        <v>0</v>
      </c>
      <c r="N20" s="172">
        <f t="shared" si="11"/>
        <v>512383</v>
      </c>
      <c r="O20" s="166">
        <v>454267</v>
      </c>
      <c r="P20" s="166">
        <v>211</v>
      </c>
      <c r="Q20" s="166">
        <v>24805</v>
      </c>
      <c r="R20" s="166">
        <v>0</v>
      </c>
      <c r="S20" s="172">
        <f t="shared" si="2"/>
        <v>479283</v>
      </c>
      <c r="T20" s="187">
        <v>336882</v>
      </c>
      <c r="U20" s="166">
        <v>443</v>
      </c>
      <c r="V20" s="166">
        <v>25274</v>
      </c>
      <c r="W20" s="166">
        <v>0</v>
      </c>
      <c r="X20" s="172">
        <f t="shared" si="12"/>
        <v>362599</v>
      </c>
      <c r="Y20" s="187">
        <v>315519</v>
      </c>
      <c r="Z20" s="166">
        <v>11961</v>
      </c>
      <c r="AA20" s="166">
        <v>26203</v>
      </c>
      <c r="AB20" s="319">
        <v>0</v>
      </c>
      <c r="AC20" s="172">
        <f t="shared" si="3"/>
        <v>353683</v>
      </c>
      <c r="AD20" s="187">
        <v>225221</v>
      </c>
      <c r="AE20" s="166">
        <v>3537</v>
      </c>
      <c r="AF20" s="166">
        <v>25220</v>
      </c>
      <c r="AG20" s="166">
        <v>0</v>
      </c>
      <c r="AH20" s="172">
        <f t="shared" si="4"/>
        <v>253978</v>
      </c>
      <c r="AI20" s="187">
        <v>225279</v>
      </c>
      <c r="AJ20" s="166">
        <v>632</v>
      </c>
      <c r="AK20" s="166">
        <v>27849</v>
      </c>
      <c r="AL20" s="166">
        <v>0</v>
      </c>
      <c r="AM20" s="172">
        <f t="shared" si="13"/>
        <v>253760</v>
      </c>
      <c r="AN20" s="187">
        <v>217270</v>
      </c>
      <c r="AO20" s="166">
        <v>968</v>
      </c>
      <c r="AP20" s="166">
        <v>23417</v>
      </c>
      <c r="AQ20" s="166">
        <v>0</v>
      </c>
      <c r="AR20" s="172">
        <f t="shared" si="1"/>
        <v>241655</v>
      </c>
      <c r="AS20" s="187">
        <v>241996</v>
      </c>
      <c r="AT20" s="166">
        <v>1147</v>
      </c>
      <c r="AU20" s="166">
        <v>25084</v>
      </c>
      <c r="AV20" s="166">
        <v>0</v>
      </c>
      <c r="AW20" s="172">
        <f t="shared" si="14"/>
        <v>268227</v>
      </c>
      <c r="AX20" s="187">
        <v>191318</v>
      </c>
      <c r="AY20" s="166">
        <v>507</v>
      </c>
      <c r="AZ20" s="166">
        <v>25280</v>
      </c>
      <c r="BA20" s="166">
        <v>0</v>
      </c>
      <c r="BB20" s="172">
        <f t="shared" si="5"/>
        <v>217105</v>
      </c>
      <c r="BC20" s="187">
        <v>177737</v>
      </c>
      <c r="BD20" s="166">
        <v>261</v>
      </c>
      <c r="BE20" s="166">
        <v>24099</v>
      </c>
      <c r="BF20" s="166">
        <v>0</v>
      </c>
      <c r="BG20" s="172">
        <f t="shared" si="6"/>
        <v>202097</v>
      </c>
      <c r="BH20" s="187">
        <v>0</v>
      </c>
      <c r="BI20" s="166">
        <v>0</v>
      </c>
      <c r="BJ20" s="166">
        <v>0</v>
      </c>
      <c r="BK20" s="166">
        <v>0</v>
      </c>
      <c r="BL20" s="172">
        <f t="shared" si="7"/>
        <v>0</v>
      </c>
      <c r="BM20" s="187">
        <v>0</v>
      </c>
      <c r="BN20" s="166">
        <v>0</v>
      </c>
      <c r="BO20" s="166">
        <v>0</v>
      </c>
      <c r="BP20" s="166">
        <v>0</v>
      </c>
      <c r="BQ20" s="172">
        <f t="shared" si="8"/>
        <v>0</v>
      </c>
      <c r="BR20" s="187">
        <f t="shared" si="9"/>
        <v>2873095</v>
      </c>
      <c r="BS20" s="194">
        <f t="shared" si="9"/>
        <v>19881</v>
      </c>
      <c r="BT20" s="166">
        <f t="shared" si="9"/>
        <v>251794</v>
      </c>
      <c r="BU20" s="166">
        <f t="shared" si="9"/>
        <v>0</v>
      </c>
      <c r="BV20" s="273">
        <f t="shared" si="10"/>
        <v>3144770</v>
      </c>
      <c r="BW20" s="136"/>
      <c r="BX20" s="427"/>
      <c r="BZ20" s="316"/>
      <c r="CA20" s="316"/>
      <c r="CB20" s="316"/>
      <c r="CC20" s="316"/>
      <c r="CD20" s="316"/>
      <c r="CE20" s="317"/>
      <c r="CF20" s="317"/>
      <c r="CG20" s="317"/>
      <c r="CH20" s="136"/>
      <c r="CI20" s="317"/>
    </row>
    <row r="21" spans="1:87" x14ac:dyDescent="0.3">
      <c r="A21" s="308">
        <v>15</v>
      </c>
      <c r="B21" s="309" t="s">
        <v>221</v>
      </c>
      <c r="D21" s="318"/>
      <c r="E21" s="311">
        <v>131313</v>
      </c>
      <c r="F21" s="312">
        <v>46830</v>
      </c>
      <c r="G21" s="312">
        <v>2000</v>
      </c>
      <c r="H21" s="313">
        <v>0</v>
      </c>
      <c r="I21" s="172">
        <f t="shared" si="0"/>
        <v>180143</v>
      </c>
      <c r="J21" s="187">
        <v>7274</v>
      </c>
      <c r="K21" s="166">
        <v>0</v>
      </c>
      <c r="L21" s="166">
        <v>0</v>
      </c>
      <c r="M21" s="166">
        <v>0</v>
      </c>
      <c r="N21" s="172">
        <f>SUM(J21:M21)</f>
        <v>7274</v>
      </c>
      <c r="O21" s="166">
        <v>8838</v>
      </c>
      <c r="P21" s="166">
        <v>11705</v>
      </c>
      <c r="Q21" s="166">
        <v>169</v>
      </c>
      <c r="R21" s="166">
        <v>0</v>
      </c>
      <c r="S21" s="172">
        <f t="shared" si="2"/>
        <v>20712</v>
      </c>
      <c r="T21" s="187">
        <v>8812</v>
      </c>
      <c r="U21" s="166">
        <v>0</v>
      </c>
      <c r="V21" s="166">
        <v>81</v>
      </c>
      <c r="W21" s="166">
        <v>0</v>
      </c>
      <c r="X21" s="172">
        <f t="shared" si="12"/>
        <v>8893</v>
      </c>
      <c r="Y21" s="187">
        <v>9869</v>
      </c>
      <c r="Z21" s="166">
        <v>11705</v>
      </c>
      <c r="AA21" s="166">
        <v>83</v>
      </c>
      <c r="AB21" s="319">
        <v>0</v>
      </c>
      <c r="AC21" s="172">
        <f t="shared" si="3"/>
        <v>21657</v>
      </c>
      <c r="AD21" s="187">
        <v>9602</v>
      </c>
      <c r="AE21" s="166">
        <v>57</v>
      </c>
      <c r="AF21" s="166">
        <v>78</v>
      </c>
      <c r="AG21" s="166">
        <v>0</v>
      </c>
      <c r="AH21" s="172">
        <f t="shared" si="4"/>
        <v>9737</v>
      </c>
      <c r="AI21" s="187">
        <v>11571</v>
      </c>
      <c r="AJ21" s="166">
        <v>52</v>
      </c>
      <c r="AK21" s="166">
        <v>77</v>
      </c>
      <c r="AL21" s="166">
        <v>0</v>
      </c>
      <c r="AM21" s="172">
        <f t="shared" si="13"/>
        <v>11700</v>
      </c>
      <c r="AN21" s="187">
        <v>8997</v>
      </c>
      <c r="AO21" s="166">
        <v>2</v>
      </c>
      <c r="AP21" s="166">
        <v>77</v>
      </c>
      <c r="AQ21" s="166">
        <v>0</v>
      </c>
      <c r="AR21" s="172">
        <f t="shared" si="1"/>
        <v>9076</v>
      </c>
      <c r="AS21" s="187">
        <v>11777</v>
      </c>
      <c r="AT21" s="166">
        <v>11704</v>
      </c>
      <c r="AU21" s="166">
        <v>91</v>
      </c>
      <c r="AV21" s="166">
        <v>0</v>
      </c>
      <c r="AW21" s="172">
        <f t="shared" si="14"/>
        <v>23572</v>
      </c>
      <c r="AX21" s="187">
        <v>10892</v>
      </c>
      <c r="AY21" s="166">
        <v>89</v>
      </c>
      <c r="AZ21" s="166">
        <v>409</v>
      </c>
      <c r="BA21" s="166">
        <v>0</v>
      </c>
      <c r="BB21" s="172">
        <f t="shared" si="5"/>
        <v>11390</v>
      </c>
      <c r="BC21" s="187">
        <v>9362</v>
      </c>
      <c r="BD21" s="166">
        <v>11709</v>
      </c>
      <c r="BE21" s="166">
        <v>77</v>
      </c>
      <c r="BF21" s="166">
        <v>0</v>
      </c>
      <c r="BG21" s="172">
        <f t="shared" si="6"/>
        <v>21148</v>
      </c>
      <c r="BH21" s="187">
        <v>0</v>
      </c>
      <c r="BI21" s="166">
        <v>0</v>
      </c>
      <c r="BJ21" s="166">
        <v>0</v>
      </c>
      <c r="BK21" s="166">
        <v>0</v>
      </c>
      <c r="BL21" s="172">
        <f t="shared" si="7"/>
        <v>0</v>
      </c>
      <c r="BM21" s="187">
        <v>0</v>
      </c>
      <c r="BN21" s="166">
        <v>0</v>
      </c>
      <c r="BO21" s="166">
        <v>0</v>
      </c>
      <c r="BP21" s="166">
        <v>0</v>
      </c>
      <c r="BQ21" s="172">
        <f t="shared" si="8"/>
        <v>0</v>
      </c>
      <c r="BR21" s="187">
        <f t="shared" si="9"/>
        <v>96994</v>
      </c>
      <c r="BS21" s="194">
        <f t="shared" si="9"/>
        <v>47023</v>
      </c>
      <c r="BT21" s="166">
        <f t="shared" si="9"/>
        <v>1142</v>
      </c>
      <c r="BU21" s="166">
        <f t="shared" si="9"/>
        <v>0</v>
      </c>
      <c r="BV21" s="273">
        <f t="shared" si="10"/>
        <v>145159</v>
      </c>
      <c r="BW21" s="136"/>
      <c r="BX21" s="426"/>
      <c r="BZ21" s="316"/>
      <c r="CA21" s="316"/>
      <c r="CB21" s="316"/>
      <c r="CC21" s="316"/>
      <c r="CD21" s="316"/>
      <c r="CE21" s="317"/>
      <c r="CF21" s="317"/>
      <c r="CG21" s="317"/>
      <c r="CH21" s="136"/>
      <c r="CI21" s="317"/>
    </row>
    <row r="22" spans="1:87" x14ac:dyDescent="0.3">
      <c r="A22" s="308">
        <v>16</v>
      </c>
      <c r="B22" s="309" t="s">
        <v>222</v>
      </c>
      <c r="D22" s="310"/>
      <c r="E22" s="311">
        <v>2832611</v>
      </c>
      <c r="F22" s="312">
        <v>24799298</v>
      </c>
      <c r="G22" s="312">
        <v>2061086</v>
      </c>
      <c r="H22" s="313">
        <v>165</v>
      </c>
      <c r="I22" s="172">
        <f t="shared" si="0"/>
        <v>29693160</v>
      </c>
      <c r="J22" s="187">
        <v>126369</v>
      </c>
      <c r="K22" s="166">
        <v>5260362</v>
      </c>
      <c r="L22" s="166">
        <v>120055</v>
      </c>
      <c r="M22" s="166">
        <v>0</v>
      </c>
      <c r="N22" s="172">
        <f t="shared" si="11"/>
        <v>5506786</v>
      </c>
      <c r="O22" s="166">
        <v>100620</v>
      </c>
      <c r="P22" s="166">
        <v>2550976</v>
      </c>
      <c r="Q22" s="166">
        <v>51752</v>
      </c>
      <c r="R22" s="166">
        <v>8</v>
      </c>
      <c r="S22" s="172">
        <f t="shared" si="2"/>
        <v>2703356</v>
      </c>
      <c r="T22" s="187">
        <v>108674</v>
      </c>
      <c r="U22" s="166">
        <v>759239</v>
      </c>
      <c r="V22" s="166">
        <v>249596</v>
      </c>
      <c r="W22" s="166">
        <v>0</v>
      </c>
      <c r="X22" s="172">
        <f t="shared" si="12"/>
        <v>1117509</v>
      </c>
      <c r="Y22" s="187">
        <v>173203</v>
      </c>
      <c r="Z22" s="166">
        <v>1900972</v>
      </c>
      <c r="AA22" s="166">
        <v>160088</v>
      </c>
      <c r="AB22" s="166">
        <v>0</v>
      </c>
      <c r="AC22" s="172">
        <f t="shared" si="3"/>
        <v>2234263</v>
      </c>
      <c r="AD22" s="187">
        <v>123384</v>
      </c>
      <c r="AE22" s="166">
        <v>3997389</v>
      </c>
      <c r="AF22" s="166">
        <v>78439</v>
      </c>
      <c r="AG22" s="166">
        <v>147</v>
      </c>
      <c r="AH22" s="172">
        <f t="shared" si="4"/>
        <v>4199359</v>
      </c>
      <c r="AI22" s="187">
        <v>137186</v>
      </c>
      <c r="AJ22" s="166">
        <v>663445</v>
      </c>
      <c r="AK22" s="166">
        <v>173691</v>
      </c>
      <c r="AL22" s="166">
        <v>0</v>
      </c>
      <c r="AM22" s="172">
        <f t="shared" si="13"/>
        <v>974322</v>
      </c>
      <c r="AN22" s="187">
        <v>137853</v>
      </c>
      <c r="AO22" s="166">
        <v>1851377</v>
      </c>
      <c r="AP22" s="166">
        <v>110154</v>
      </c>
      <c r="AQ22" s="166">
        <v>0</v>
      </c>
      <c r="AR22" s="172">
        <f t="shared" si="1"/>
        <v>2099384</v>
      </c>
      <c r="AS22" s="187">
        <v>583573</v>
      </c>
      <c r="AT22" s="166">
        <v>1992750</v>
      </c>
      <c r="AU22" s="166">
        <v>87840</v>
      </c>
      <c r="AV22" s="166">
        <v>0</v>
      </c>
      <c r="AW22" s="172">
        <f t="shared" si="14"/>
        <v>2664163</v>
      </c>
      <c r="AX22" s="187">
        <v>293501</v>
      </c>
      <c r="AY22" s="166">
        <v>1954659</v>
      </c>
      <c r="AZ22" s="166">
        <v>48387</v>
      </c>
      <c r="BA22" s="166">
        <v>0</v>
      </c>
      <c r="BB22" s="172">
        <f t="shared" si="5"/>
        <v>2296547</v>
      </c>
      <c r="BC22" s="187">
        <v>134089</v>
      </c>
      <c r="BD22" s="166">
        <v>3162572</v>
      </c>
      <c r="BE22" s="166">
        <v>197621</v>
      </c>
      <c r="BF22" s="166">
        <v>0</v>
      </c>
      <c r="BG22" s="172">
        <f t="shared" si="6"/>
        <v>3494282</v>
      </c>
      <c r="BH22" s="187">
        <v>0</v>
      </c>
      <c r="BI22" s="166">
        <v>0</v>
      </c>
      <c r="BJ22" s="166">
        <v>0</v>
      </c>
      <c r="BK22" s="166">
        <v>0</v>
      </c>
      <c r="BL22" s="172">
        <f t="shared" si="7"/>
        <v>0</v>
      </c>
      <c r="BM22" s="187">
        <v>0</v>
      </c>
      <c r="BN22" s="166">
        <v>0</v>
      </c>
      <c r="BO22" s="166">
        <v>0</v>
      </c>
      <c r="BP22" s="166">
        <v>0</v>
      </c>
      <c r="BQ22" s="172">
        <f t="shared" si="8"/>
        <v>0</v>
      </c>
      <c r="BR22" s="187">
        <f t="shared" si="9"/>
        <v>1918452</v>
      </c>
      <c r="BS22" s="194">
        <f t="shared" si="9"/>
        <v>24093741</v>
      </c>
      <c r="BT22" s="166">
        <f t="shared" si="9"/>
        <v>1277623</v>
      </c>
      <c r="BU22" s="166">
        <f t="shared" si="9"/>
        <v>155</v>
      </c>
      <c r="BV22" s="273">
        <f t="shared" si="10"/>
        <v>27289971</v>
      </c>
      <c r="BW22" s="136"/>
      <c r="BX22" s="427"/>
      <c r="BZ22" s="316"/>
      <c r="CA22" s="316"/>
      <c r="CB22" s="316"/>
      <c r="CC22" s="316"/>
      <c r="CD22" s="316"/>
      <c r="CE22" s="317"/>
      <c r="CF22" s="317"/>
      <c r="CG22" s="317"/>
      <c r="CH22" s="136"/>
      <c r="CI22" s="317"/>
    </row>
    <row r="23" spans="1:87" x14ac:dyDescent="0.3">
      <c r="A23" s="308">
        <v>17</v>
      </c>
      <c r="B23" s="309" t="s">
        <v>223</v>
      </c>
      <c r="D23" s="310"/>
      <c r="E23" s="311">
        <v>11352258</v>
      </c>
      <c r="F23" s="312">
        <v>98369056</v>
      </c>
      <c r="G23" s="312">
        <v>16319</v>
      </c>
      <c r="H23" s="313">
        <v>0</v>
      </c>
      <c r="I23" s="172">
        <f t="shared" si="0"/>
        <v>109737633</v>
      </c>
      <c r="J23" s="187">
        <v>793383</v>
      </c>
      <c r="K23" s="166">
        <v>22357445</v>
      </c>
      <c r="L23" s="166">
        <v>193</v>
      </c>
      <c r="M23" s="166">
        <v>0</v>
      </c>
      <c r="N23" s="172">
        <f t="shared" si="11"/>
        <v>23151021</v>
      </c>
      <c r="O23" s="166">
        <v>821152</v>
      </c>
      <c r="P23" s="166">
        <v>10386217</v>
      </c>
      <c r="Q23" s="166">
        <v>410</v>
      </c>
      <c r="R23" s="166">
        <v>0</v>
      </c>
      <c r="S23" s="172">
        <f>SUM(O23:R23)</f>
        <v>11207779</v>
      </c>
      <c r="T23" s="187">
        <v>836668</v>
      </c>
      <c r="U23" s="166">
        <v>14909909</v>
      </c>
      <c r="V23" s="166">
        <v>330</v>
      </c>
      <c r="W23" s="166">
        <v>0</v>
      </c>
      <c r="X23" s="172">
        <f t="shared" si="12"/>
        <v>15746907</v>
      </c>
      <c r="Y23" s="187">
        <v>783013</v>
      </c>
      <c r="Z23" s="166">
        <v>4653790</v>
      </c>
      <c r="AA23" s="166">
        <v>320</v>
      </c>
      <c r="AB23" s="166">
        <v>0</v>
      </c>
      <c r="AC23" s="172">
        <f t="shared" si="3"/>
        <v>5437123</v>
      </c>
      <c r="AD23" s="187">
        <v>966722</v>
      </c>
      <c r="AE23" s="166">
        <v>14895834</v>
      </c>
      <c r="AF23" s="166">
        <v>1923</v>
      </c>
      <c r="AG23" s="166">
        <v>0</v>
      </c>
      <c r="AH23" s="172">
        <f t="shared" si="4"/>
        <v>15864479</v>
      </c>
      <c r="AI23" s="187">
        <v>916666</v>
      </c>
      <c r="AJ23" s="166">
        <v>3378349</v>
      </c>
      <c r="AK23" s="166">
        <v>13311</v>
      </c>
      <c r="AL23" s="166">
        <v>0</v>
      </c>
      <c r="AM23" s="172">
        <f t="shared" si="13"/>
        <v>4308326</v>
      </c>
      <c r="AN23" s="187">
        <v>841427</v>
      </c>
      <c r="AO23" s="166">
        <v>17020029</v>
      </c>
      <c r="AP23" s="166">
        <v>-12255</v>
      </c>
      <c r="AQ23" s="166">
        <v>0</v>
      </c>
      <c r="AR23" s="172">
        <f t="shared" si="1"/>
        <v>17849201</v>
      </c>
      <c r="AS23" s="187">
        <v>989280</v>
      </c>
      <c r="AT23" s="166">
        <v>4015638</v>
      </c>
      <c r="AU23" s="166">
        <v>1251</v>
      </c>
      <c r="AV23" s="166">
        <v>0</v>
      </c>
      <c r="AW23" s="172">
        <f t="shared" si="14"/>
        <v>5006169</v>
      </c>
      <c r="AX23" s="187">
        <v>971238</v>
      </c>
      <c r="AY23" s="166">
        <v>1516309</v>
      </c>
      <c r="AZ23" s="166">
        <v>1664</v>
      </c>
      <c r="BA23" s="166">
        <v>0</v>
      </c>
      <c r="BB23" s="172">
        <f t="shared" si="5"/>
        <v>2489211</v>
      </c>
      <c r="BC23" s="187">
        <v>1006994</v>
      </c>
      <c r="BD23" s="166">
        <v>2171251</v>
      </c>
      <c r="BE23" s="166">
        <v>399</v>
      </c>
      <c r="BF23" s="166">
        <v>0</v>
      </c>
      <c r="BG23" s="172">
        <f t="shared" si="6"/>
        <v>3178644</v>
      </c>
      <c r="BH23" s="187">
        <v>0</v>
      </c>
      <c r="BI23" s="166">
        <v>0</v>
      </c>
      <c r="BJ23" s="166">
        <v>0</v>
      </c>
      <c r="BK23" s="166">
        <v>0</v>
      </c>
      <c r="BL23" s="172">
        <f t="shared" si="7"/>
        <v>0</v>
      </c>
      <c r="BM23" s="187">
        <v>0</v>
      </c>
      <c r="BN23" s="166">
        <v>0</v>
      </c>
      <c r="BO23" s="166">
        <v>0</v>
      </c>
      <c r="BP23" s="166">
        <v>0</v>
      </c>
      <c r="BQ23" s="172">
        <f t="shared" si="8"/>
        <v>0</v>
      </c>
      <c r="BR23" s="187">
        <f t="shared" si="9"/>
        <v>8926543</v>
      </c>
      <c r="BS23" s="194">
        <f t="shared" si="9"/>
        <v>95304771</v>
      </c>
      <c r="BT23" s="166">
        <f t="shared" si="9"/>
        <v>7546</v>
      </c>
      <c r="BU23" s="166">
        <f t="shared" si="9"/>
        <v>0</v>
      </c>
      <c r="BV23" s="273">
        <f t="shared" si="10"/>
        <v>104238860</v>
      </c>
      <c r="BW23" s="136"/>
      <c r="BX23" s="427"/>
      <c r="BZ23" s="316"/>
      <c r="CA23" s="316"/>
      <c r="CB23" s="316"/>
      <c r="CC23" s="316"/>
      <c r="CD23" s="316"/>
      <c r="CE23" s="317"/>
      <c r="CF23" s="317"/>
      <c r="CG23" s="317"/>
      <c r="CH23" s="136"/>
      <c r="CI23" s="317"/>
    </row>
    <row r="24" spans="1:87" x14ac:dyDescent="0.3">
      <c r="A24" s="308">
        <v>18</v>
      </c>
      <c r="B24" s="309" t="s">
        <v>224</v>
      </c>
      <c r="D24" s="324"/>
      <c r="E24" s="311">
        <v>4792826</v>
      </c>
      <c r="F24" s="312">
        <v>58330880</v>
      </c>
      <c r="G24" s="312">
        <v>1432025</v>
      </c>
      <c r="H24" s="313">
        <v>0</v>
      </c>
      <c r="I24" s="172">
        <f t="shared" si="0"/>
        <v>64555731</v>
      </c>
      <c r="J24" s="187">
        <v>132393</v>
      </c>
      <c r="K24" s="166">
        <v>5634862</v>
      </c>
      <c r="L24" s="166">
        <v>9389</v>
      </c>
      <c r="M24" s="166">
        <v>0</v>
      </c>
      <c r="N24" s="172">
        <f t="shared" si="11"/>
        <v>5776644</v>
      </c>
      <c r="O24" s="166">
        <v>368497</v>
      </c>
      <c r="P24" s="166">
        <v>3603019</v>
      </c>
      <c r="Q24" s="166">
        <v>7456</v>
      </c>
      <c r="R24" s="166">
        <v>0</v>
      </c>
      <c r="S24" s="172">
        <f t="shared" ref="S24:S33" si="15">SUM(O24:R24)</f>
        <v>3978972</v>
      </c>
      <c r="T24" s="187">
        <v>155671</v>
      </c>
      <c r="U24" s="166">
        <v>5322751</v>
      </c>
      <c r="V24" s="166">
        <v>10416</v>
      </c>
      <c r="W24" s="166">
        <v>0</v>
      </c>
      <c r="X24" s="172">
        <f t="shared" si="12"/>
        <v>5488838</v>
      </c>
      <c r="Y24" s="187">
        <v>100434</v>
      </c>
      <c r="Z24" s="166">
        <v>6330028</v>
      </c>
      <c r="AA24" s="166">
        <v>10124</v>
      </c>
      <c r="AB24" s="166">
        <v>0</v>
      </c>
      <c r="AC24" s="172">
        <f t="shared" si="3"/>
        <v>6440586</v>
      </c>
      <c r="AD24" s="187">
        <v>170067</v>
      </c>
      <c r="AE24" s="166">
        <v>4143423</v>
      </c>
      <c r="AF24" s="166">
        <v>10461</v>
      </c>
      <c r="AG24" s="166">
        <v>5</v>
      </c>
      <c r="AH24" s="172">
        <f t="shared" si="4"/>
        <v>4323956</v>
      </c>
      <c r="AI24" s="187">
        <v>195697</v>
      </c>
      <c r="AJ24" s="166">
        <v>4125981</v>
      </c>
      <c r="AK24" s="166">
        <v>209514</v>
      </c>
      <c r="AL24" s="166">
        <v>21</v>
      </c>
      <c r="AM24" s="172">
        <f t="shared" si="13"/>
        <v>4531213</v>
      </c>
      <c r="AN24" s="187">
        <v>120230</v>
      </c>
      <c r="AO24" s="166">
        <v>6307812</v>
      </c>
      <c r="AP24" s="166">
        <v>240471</v>
      </c>
      <c r="AQ24" s="166">
        <v>261</v>
      </c>
      <c r="AR24" s="172">
        <f t="shared" si="1"/>
        <v>6668774</v>
      </c>
      <c r="AS24" s="187">
        <v>207417</v>
      </c>
      <c r="AT24" s="166">
        <v>4122948</v>
      </c>
      <c r="AU24" s="166">
        <v>22455</v>
      </c>
      <c r="AV24" s="166">
        <v>13</v>
      </c>
      <c r="AW24" s="172">
        <f t="shared" si="14"/>
        <v>4352833</v>
      </c>
      <c r="AX24" s="187">
        <v>127345</v>
      </c>
      <c r="AY24" s="166">
        <v>4137204</v>
      </c>
      <c r="AZ24" s="166">
        <v>92145</v>
      </c>
      <c r="BA24" s="166">
        <v>0</v>
      </c>
      <c r="BB24" s="172">
        <f t="shared" si="5"/>
        <v>4356694</v>
      </c>
      <c r="BC24" s="187">
        <v>122967</v>
      </c>
      <c r="BD24" s="166">
        <v>6246571</v>
      </c>
      <c r="BE24" s="166">
        <v>-81691</v>
      </c>
      <c r="BF24" s="166">
        <v>0</v>
      </c>
      <c r="BG24" s="172">
        <f t="shared" si="6"/>
        <v>6287847</v>
      </c>
      <c r="BH24" s="187">
        <v>0</v>
      </c>
      <c r="BI24" s="166">
        <v>0</v>
      </c>
      <c r="BJ24" s="166">
        <v>0</v>
      </c>
      <c r="BK24" s="166">
        <v>0</v>
      </c>
      <c r="BL24" s="172">
        <f t="shared" si="7"/>
        <v>0</v>
      </c>
      <c r="BM24" s="187">
        <v>0</v>
      </c>
      <c r="BN24" s="166">
        <v>0</v>
      </c>
      <c r="BO24" s="166">
        <v>0</v>
      </c>
      <c r="BP24" s="166">
        <v>0</v>
      </c>
      <c r="BQ24" s="172">
        <f t="shared" si="8"/>
        <v>0</v>
      </c>
      <c r="BR24" s="187">
        <f t="shared" si="9"/>
        <v>1700718</v>
      </c>
      <c r="BS24" s="194">
        <f t="shared" si="9"/>
        <v>49974599</v>
      </c>
      <c r="BT24" s="166">
        <f t="shared" si="9"/>
        <v>530740</v>
      </c>
      <c r="BU24" s="166">
        <f t="shared" si="9"/>
        <v>300</v>
      </c>
      <c r="BV24" s="273">
        <f t="shared" si="10"/>
        <v>52206357</v>
      </c>
      <c r="BW24" s="136"/>
      <c r="BX24" s="426"/>
      <c r="BZ24" s="316"/>
      <c r="CA24" s="316"/>
      <c r="CB24" s="316"/>
      <c r="CC24" s="316"/>
      <c r="CD24" s="316"/>
      <c r="CE24" s="317"/>
      <c r="CF24" s="317"/>
      <c r="CG24" s="317"/>
      <c r="CH24" s="136"/>
      <c r="CI24" s="317"/>
    </row>
    <row r="25" spans="1:87" x14ac:dyDescent="0.3">
      <c r="A25" s="320">
        <v>19</v>
      </c>
      <c r="B25" s="321" t="s">
        <v>225</v>
      </c>
      <c r="D25" s="326"/>
      <c r="E25" s="311">
        <v>938322</v>
      </c>
      <c r="F25" s="312">
        <v>250065389</v>
      </c>
      <c r="G25" s="312">
        <v>13181</v>
      </c>
      <c r="H25" s="313">
        <v>538000</v>
      </c>
      <c r="I25" s="172">
        <f t="shared" si="0"/>
        <v>251554892</v>
      </c>
      <c r="J25" s="187">
        <v>76013</v>
      </c>
      <c r="K25" s="166">
        <v>17752222</v>
      </c>
      <c r="L25" s="166">
        <v>5729</v>
      </c>
      <c r="M25" s="166">
        <v>0</v>
      </c>
      <c r="N25" s="172">
        <f t="shared" si="11"/>
        <v>17833964</v>
      </c>
      <c r="O25" s="166">
        <v>65785</v>
      </c>
      <c r="P25" s="166">
        <v>17445954</v>
      </c>
      <c r="Q25" s="166">
        <v>1220</v>
      </c>
      <c r="R25" s="166">
        <v>0</v>
      </c>
      <c r="S25" s="172">
        <f t="shared" si="15"/>
        <v>17512959</v>
      </c>
      <c r="T25" s="187">
        <v>63014</v>
      </c>
      <c r="U25" s="166">
        <v>19123337</v>
      </c>
      <c r="V25" s="166">
        <v>175</v>
      </c>
      <c r="W25" s="166">
        <v>0</v>
      </c>
      <c r="X25" s="172">
        <f t="shared" si="12"/>
        <v>19186526</v>
      </c>
      <c r="Y25" s="187">
        <v>81438</v>
      </c>
      <c r="Z25" s="166">
        <v>20472069</v>
      </c>
      <c r="AA25" s="166">
        <v>-1318</v>
      </c>
      <c r="AB25" s="166">
        <v>0</v>
      </c>
      <c r="AC25" s="172">
        <f t="shared" si="3"/>
        <v>20552189</v>
      </c>
      <c r="AD25" s="187">
        <v>96661</v>
      </c>
      <c r="AE25" s="166">
        <v>18404458</v>
      </c>
      <c r="AF25" s="166">
        <v>1864</v>
      </c>
      <c r="AG25" s="166">
        <v>0</v>
      </c>
      <c r="AH25" s="172">
        <f t="shared" si="4"/>
        <v>18502983</v>
      </c>
      <c r="AI25" s="187">
        <v>87169</v>
      </c>
      <c r="AJ25" s="166">
        <v>21404308</v>
      </c>
      <c r="AK25" s="166">
        <v>-381</v>
      </c>
      <c r="AL25" s="166">
        <v>0</v>
      </c>
      <c r="AM25" s="172">
        <f t="shared" si="13"/>
        <v>21491096</v>
      </c>
      <c r="AN25" s="187">
        <v>78231</v>
      </c>
      <c r="AO25" s="166">
        <v>23219671</v>
      </c>
      <c r="AP25" s="166">
        <v>-308</v>
      </c>
      <c r="AQ25" s="166">
        <v>0</v>
      </c>
      <c r="AR25" s="172">
        <f t="shared" si="1"/>
        <v>23297594</v>
      </c>
      <c r="AS25" s="187">
        <v>94588</v>
      </c>
      <c r="AT25" s="166">
        <v>20504031</v>
      </c>
      <c r="AU25" s="166">
        <v>10733</v>
      </c>
      <c r="AV25" s="166">
        <v>0</v>
      </c>
      <c r="AW25" s="172">
        <f t="shared" si="14"/>
        <v>20609352</v>
      </c>
      <c r="AX25" s="187">
        <v>97639</v>
      </c>
      <c r="AY25" s="166">
        <v>20454362</v>
      </c>
      <c r="AZ25" s="166">
        <v>223</v>
      </c>
      <c r="BA25" s="166">
        <v>0</v>
      </c>
      <c r="BB25" s="172">
        <f t="shared" si="5"/>
        <v>20552224</v>
      </c>
      <c r="BC25" s="187">
        <v>71175</v>
      </c>
      <c r="BD25" s="166">
        <v>21047770</v>
      </c>
      <c r="BE25" s="166">
        <v>-9143</v>
      </c>
      <c r="BF25" s="166">
        <v>0</v>
      </c>
      <c r="BG25" s="172">
        <f t="shared" si="6"/>
        <v>21109802</v>
      </c>
      <c r="BH25" s="187">
        <v>0</v>
      </c>
      <c r="BI25" s="166">
        <v>0</v>
      </c>
      <c r="BJ25" s="166">
        <v>0</v>
      </c>
      <c r="BK25" s="166">
        <v>0</v>
      </c>
      <c r="BL25" s="172">
        <f t="shared" si="7"/>
        <v>0</v>
      </c>
      <c r="BM25" s="187">
        <v>0</v>
      </c>
      <c r="BN25" s="166">
        <v>0</v>
      </c>
      <c r="BO25" s="166">
        <v>0</v>
      </c>
      <c r="BP25" s="166">
        <v>0</v>
      </c>
      <c r="BQ25" s="172">
        <f t="shared" si="8"/>
        <v>0</v>
      </c>
      <c r="BR25" s="187">
        <f t="shared" si="9"/>
        <v>811713</v>
      </c>
      <c r="BS25" s="194">
        <f t="shared" si="9"/>
        <v>199828182</v>
      </c>
      <c r="BT25" s="166">
        <f t="shared" si="9"/>
        <v>8794</v>
      </c>
      <c r="BU25" s="166">
        <f t="shared" si="9"/>
        <v>0</v>
      </c>
      <c r="BV25" s="273">
        <f t="shared" si="10"/>
        <v>200648689</v>
      </c>
      <c r="BW25" s="136"/>
      <c r="BX25" s="426"/>
      <c r="BZ25" s="316"/>
      <c r="CA25" s="316"/>
      <c r="CB25" s="316"/>
      <c r="CC25" s="316"/>
      <c r="CD25" s="316"/>
      <c r="CE25" s="317"/>
      <c r="CF25" s="317"/>
      <c r="CG25" s="317"/>
      <c r="CH25" s="136"/>
      <c r="CI25" s="317"/>
    </row>
    <row r="26" spans="1:87" x14ac:dyDescent="0.3">
      <c r="A26" s="320">
        <v>20</v>
      </c>
      <c r="B26" s="582" t="s">
        <v>226</v>
      </c>
      <c r="C26" s="582"/>
      <c r="D26" s="310"/>
      <c r="E26" s="311">
        <v>201763</v>
      </c>
      <c r="F26" s="312">
        <v>783999</v>
      </c>
      <c r="G26" s="312">
        <v>5952</v>
      </c>
      <c r="H26" s="313">
        <v>0</v>
      </c>
      <c r="I26" s="172">
        <f t="shared" si="0"/>
        <v>991714</v>
      </c>
      <c r="J26" s="187">
        <v>10708</v>
      </c>
      <c r="K26" s="166">
        <v>8393</v>
      </c>
      <c r="L26" s="166">
        <v>152</v>
      </c>
      <c r="M26" s="166">
        <v>0</v>
      </c>
      <c r="N26" s="172">
        <f t="shared" si="11"/>
        <v>19253</v>
      </c>
      <c r="O26" s="166">
        <v>14907</v>
      </c>
      <c r="P26" s="166">
        <v>389393</v>
      </c>
      <c r="Q26" s="166">
        <v>1693</v>
      </c>
      <c r="R26" s="166">
        <v>0</v>
      </c>
      <c r="S26" s="172">
        <f t="shared" si="15"/>
        <v>405993</v>
      </c>
      <c r="T26" s="187">
        <v>13835</v>
      </c>
      <c r="U26" s="166">
        <v>8393</v>
      </c>
      <c r="V26" s="166">
        <v>-91</v>
      </c>
      <c r="W26" s="166">
        <v>0</v>
      </c>
      <c r="X26" s="172">
        <f t="shared" si="12"/>
        <v>22137</v>
      </c>
      <c r="Y26" s="187">
        <v>13990</v>
      </c>
      <c r="Z26" s="166">
        <v>8393</v>
      </c>
      <c r="AA26" s="166">
        <v>-591</v>
      </c>
      <c r="AB26" s="166">
        <v>0</v>
      </c>
      <c r="AC26" s="172">
        <f t="shared" si="3"/>
        <v>21792</v>
      </c>
      <c r="AD26" s="187">
        <v>15490</v>
      </c>
      <c r="AE26" s="166">
        <v>143393</v>
      </c>
      <c r="AF26" s="166">
        <v>74</v>
      </c>
      <c r="AG26" s="166">
        <v>0</v>
      </c>
      <c r="AH26" s="172">
        <f t="shared" si="4"/>
        <v>158957</v>
      </c>
      <c r="AI26" s="187">
        <v>13775</v>
      </c>
      <c r="AJ26" s="166">
        <v>9881</v>
      </c>
      <c r="AK26" s="166">
        <v>83</v>
      </c>
      <c r="AL26" s="166">
        <v>0</v>
      </c>
      <c r="AM26" s="172">
        <f t="shared" si="13"/>
        <v>23739</v>
      </c>
      <c r="AN26" s="187">
        <v>13910</v>
      </c>
      <c r="AO26" s="166">
        <v>8394</v>
      </c>
      <c r="AP26" s="166">
        <v>70</v>
      </c>
      <c r="AQ26" s="166">
        <v>0</v>
      </c>
      <c r="AR26" s="172">
        <f t="shared" si="1"/>
        <v>22374</v>
      </c>
      <c r="AS26" s="187">
        <v>15577</v>
      </c>
      <c r="AT26" s="166">
        <v>8396</v>
      </c>
      <c r="AU26" s="166">
        <v>305</v>
      </c>
      <c r="AV26" s="166">
        <v>0</v>
      </c>
      <c r="AW26" s="172">
        <f t="shared" si="14"/>
        <v>24278</v>
      </c>
      <c r="AX26" s="187">
        <v>20211</v>
      </c>
      <c r="AY26" s="166">
        <v>143505</v>
      </c>
      <c r="AZ26" s="166">
        <v>355</v>
      </c>
      <c r="BA26" s="166">
        <v>0</v>
      </c>
      <c r="BB26" s="172">
        <f t="shared" si="5"/>
        <v>164071</v>
      </c>
      <c r="BC26" s="187">
        <v>11867</v>
      </c>
      <c r="BD26" s="166">
        <v>8411</v>
      </c>
      <c r="BE26" s="166">
        <v>-152</v>
      </c>
      <c r="BF26" s="166">
        <v>0</v>
      </c>
      <c r="BG26" s="172">
        <f t="shared" si="6"/>
        <v>20126</v>
      </c>
      <c r="BH26" s="187">
        <v>0</v>
      </c>
      <c r="BI26" s="166">
        <v>0</v>
      </c>
      <c r="BJ26" s="166">
        <v>0</v>
      </c>
      <c r="BK26" s="166">
        <v>0</v>
      </c>
      <c r="BL26" s="172">
        <f t="shared" si="7"/>
        <v>0</v>
      </c>
      <c r="BM26" s="187">
        <v>0</v>
      </c>
      <c r="BN26" s="166">
        <v>0</v>
      </c>
      <c r="BO26" s="166">
        <v>0</v>
      </c>
      <c r="BP26" s="166">
        <v>0</v>
      </c>
      <c r="BQ26" s="172">
        <f t="shared" si="8"/>
        <v>0</v>
      </c>
      <c r="BR26" s="187">
        <f t="shared" si="9"/>
        <v>144270</v>
      </c>
      <c r="BS26" s="194">
        <f t="shared" si="9"/>
        <v>736552</v>
      </c>
      <c r="BT26" s="166">
        <f t="shared" si="9"/>
        <v>1898</v>
      </c>
      <c r="BU26" s="166">
        <f t="shared" si="9"/>
        <v>0</v>
      </c>
      <c r="BV26" s="273">
        <f t="shared" si="10"/>
        <v>882720</v>
      </c>
      <c r="BW26" s="136"/>
      <c r="BX26" s="427"/>
      <c r="BZ26" s="316"/>
      <c r="CA26" s="316"/>
      <c r="CB26" s="316"/>
      <c r="CC26" s="316"/>
      <c r="CD26" s="316"/>
      <c r="CE26" s="317"/>
      <c r="CF26" s="317"/>
      <c r="CG26" s="317"/>
      <c r="CH26" s="136"/>
      <c r="CI26" s="317"/>
    </row>
    <row r="27" spans="1:87" x14ac:dyDescent="0.3">
      <c r="A27" s="320">
        <v>21</v>
      </c>
      <c r="B27" s="327" t="s">
        <v>227</v>
      </c>
      <c r="C27" s="327"/>
      <c r="D27" s="310"/>
      <c r="E27" s="311">
        <v>151897</v>
      </c>
      <c r="F27" s="312">
        <v>369</v>
      </c>
      <c r="G27" s="312">
        <v>3654</v>
      </c>
      <c r="H27" s="313">
        <v>0</v>
      </c>
      <c r="I27" s="172">
        <f t="shared" si="0"/>
        <v>155920</v>
      </c>
      <c r="J27" s="187">
        <v>13337</v>
      </c>
      <c r="K27" s="166">
        <v>27</v>
      </c>
      <c r="L27" s="166">
        <v>0</v>
      </c>
      <c r="M27" s="166">
        <v>0</v>
      </c>
      <c r="N27" s="172">
        <f t="shared" si="11"/>
        <v>13364</v>
      </c>
      <c r="O27" s="166">
        <v>10393</v>
      </c>
      <c r="P27" s="166">
        <v>38</v>
      </c>
      <c r="Q27" s="166">
        <v>19</v>
      </c>
      <c r="R27" s="166">
        <v>0</v>
      </c>
      <c r="S27" s="172">
        <f t="shared" si="15"/>
        <v>10450</v>
      </c>
      <c r="T27" s="187">
        <v>12237</v>
      </c>
      <c r="U27" s="166">
        <v>1</v>
      </c>
      <c r="V27" s="166">
        <v>30</v>
      </c>
      <c r="W27" s="166">
        <v>0</v>
      </c>
      <c r="X27" s="172">
        <f t="shared" si="12"/>
        <v>12268</v>
      </c>
      <c r="Y27" s="187">
        <v>14271</v>
      </c>
      <c r="Z27" s="166">
        <v>0</v>
      </c>
      <c r="AA27" s="166">
        <v>726</v>
      </c>
      <c r="AB27" s="166">
        <v>0</v>
      </c>
      <c r="AC27" s="172">
        <f t="shared" si="3"/>
        <v>14997</v>
      </c>
      <c r="AD27" s="187">
        <v>12844</v>
      </c>
      <c r="AE27" s="166">
        <v>173</v>
      </c>
      <c r="AF27" s="166">
        <v>3</v>
      </c>
      <c r="AG27" s="166">
        <v>0</v>
      </c>
      <c r="AH27" s="172">
        <f t="shared" si="4"/>
        <v>13020</v>
      </c>
      <c r="AI27" s="187">
        <v>11465</v>
      </c>
      <c r="AJ27" s="166">
        <v>81</v>
      </c>
      <c r="AK27" s="166">
        <v>3</v>
      </c>
      <c r="AL27" s="166">
        <v>0</v>
      </c>
      <c r="AM27" s="172">
        <f t="shared" si="13"/>
        <v>11549</v>
      </c>
      <c r="AN27" s="187">
        <v>14964</v>
      </c>
      <c r="AO27" s="166">
        <v>172</v>
      </c>
      <c r="AP27" s="166">
        <v>68</v>
      </c>
      <c r="AQ27" s="166">
        <v>0</v>
      </c>
      <c r="AR27" s="172">
        <f t="shared" si="1"/>
        <v>15204</v>
      </c>
      <c r="AS27" s="187">
        <v>13572</v>
      </c>
      <c r="AT27" s="166">
        <v>0</v>
      </c>
      <c r="AU27" s="166">
        <v>21</v>
      </c>
      <c r="AV27" s="166">
        <v>0</v>
      </c>
      <c r="AW27" s="172">
        <f t="shared" si="14"/>
        <v>13593</v>
      </c>
      <c r="AX27" s="187">
        <v>12615</v>
      </c>
      <c r="AY27" s="166">
        <v>14</v>
      </c>
      <c r="AZ27" s="166">
        <v>911</v>
      </c>
      <c r="BA27" s="166">
        <v>3</v>
      </c>
      <c r="BB27" s="172">
        <f t="shared" si="5"/>
        <v>13543</v>
      </c>
      <c r="BC27" s="187">
        <v>12329</v>
      </c>
      <c r="BD27" s="166">
        <v>0</v>
      </c>
      <c r="BE27" s="166">
        <v>-641</v>
      </c>
      <c r="BF27" s="166">
        <v>0</v>
      </c>
      <c r="BG27" s="172">
        <f t="shared" si="6"/>
        <v>11688</v>
      </c>
      <c r="BH27" s="187">
        <v>0</v>
      </c>
      <c r="BI27" s="166">
        <v>0</v>
      </c>
      <c r="BJ27" s="166">
        <v>0</v>
      </c>
      <c r="BK27" s="166">
        <v>0</v>
      </c>
      <c r="BL27" s="172">
        <f t="shared" si="7"/>
        <v>0</v>
      </c>
      <c r="BM27" s="187">
        <v>0</v>
      </c>
      <c r="BN27" s="166">
        <v>0</v>
      </c>
      <c r="BO27" s="166">
        <v>0</v>
      </c>
      <c r="BP27" s="166">
        <v>0</v>
      </c>
      <c r="BQ27" s="172">
        <f t="shared" si="8"/>
        <v>0</v>
      </c>
      <c r="BR27" s="187">
        <f t="shared" si="9"/>
        <v>128027</v>
      </c>
      <c r="BS27" s="194">
        <f t="shared" si="9"/>
        <v>506</v>
      </c>
      <c r="BT27" s="166">
        <f t="shared" si="9"/>
        <v>1140</v>
      </c>
      <c r="BU27" s="166">
        <f t="shared" si="9"/>
        <v>3</v>
      </c>
      <c r="BV27" s="273">
        <f t="shared" si="10"/>
        <v>129676</v>
      </c>
      <c r="BW27" s="136"/>
      <c r="BX27" s="426"/>
      <c r="BZ27" s="316"/>
      <c r="CA27" s="316"/>
      <c r="CB27" s="316"/>
      <c r="CC27" s="316"/>
      <c r="CD27" s="316"/>
      <c r="CE27" s="317"/>
      <c r="CF27" s="317"/>
      <c r="CG27" s="317"/>
      <c r="CH27" s="136"/>
      <c r="CI27" s="317"/>
    </row>
    <row r="28" spans="1:87" x14ac:dyDescent="0.3">
      <c r="A28" s="308">
        <v>22</v>
      </c>
      <c r="B28" s="309" t="s">
        <v>228</v>
      </c>
      <c r="D28" s="328"/>
      <c r="E28" s="311">
        <v>25246632</v>
      </c>
      <c r="F28" s="312">
        <v>722453</v>
      </c>
      <c r="G28" s="312">
        <v>566899</v>
      </c>
      <c r="H28" s="313">
        <v>0</v>
      </c>
      <c r="I28" s="172">
        <f t="shared" si="0"/>
        <v>26535984</v>
      </c>
      <c r="J28" s="187">
        <v>1775706</v>
      </c>
      <c r="K28" s="166">
        <v>92541</v>
      </c>
      <c r="L28" s="166">
        <v>3566</v>
      </c>
      <c r="M28" s="166">
        <v>0</v>
      </c>
      <c r="N28" s="172">
        <f t="shared" si="11"/>
        <v>1871813</v>
      </c>
      <c r="O28" s="166">
        <v>2044265</v>
      </c>
      <c r="P28" s="166">
        <v>19516</v>
      </c>
      <c r="Q28" s="166">
        <v>29754</v>
      </c>
      <c r="R28" s="166">
        <v>0</v>
      </c>
      <c r="S28" s="172">
        <f t="shared" si="15"/>
        <v>2093535</v>
      </c>
      <c r="T28" s="187">
        <v>2024735</v>
      </c>
      <c r="U28" s="166">
        <v>50216</v>
      </c>
      <c r="V28" s="166">
        <v>20610</v>
      </c>
      <c r="W28" s="166">
        <v>0</v>
      </c>
      <c r="X28" s="172">
        <f t="shared" si="12"/>
        <v>2095561</v>
      </c>
      <c r="Y28" s="187">
        <v>1945816</v>
      </c>
      <c r="Z28" s="166">
        <v>49925</v>
      </c>
      <c r="AA28" s="166">
        <v>8334</v>
      </c>
      <c r="AB28" s="166">
        <v>0</v>
      </c>
      <c r="AC28" s="172">
        <f t="shared" si="3"/>
        <v>2004075</v>
      </c>
      <c r="AD28" s="187">
        <v>2404780</v>
      </c>
      <c r="AE28" s="166">
        <v>59746</v>
      </c>
      <c r="AF28" s="166">
        <v>16534</v>
      </c>
      <c r="AG28" s="166">
        <v>0</v>
      </c>
      <c r="AH28" s="172">
        <f t="shared" si="4"/>
        <v>2481060</v>
      </c>
      <c r="AI28" s="187">
        <v>2117335</v>
      </c>
      <c r="AJ28" s="166">
        <v>50262</v>
      </c>
      <c r="AK28" s="166">
        <v>67563</v>
      </c>
      <c r="AL28" s="166">
        <v>0</v>
      </c>
      <c r="AM28" s="172">
        <f t="shared" si="13"/>
        <v>2235160</v>
      </c>
      <c r="AN28" s="187">
        <v>1950144</v>
      </c>
      <c r="AO28" s="166">
        <v>50297</v>
      </c>
      <c r="AP28" s="166">
        <v>64321</v>
      </c>
      <c r="AQ28" s="166">
        <v>3</v>
      </c>
      <c r="AR28" s="172">
        <f t="shared" si="1"/>
        <v>2064765</v>
      </c>
      <c r="AS28" s="187">
        <v>2564673</v>
      </c>
      <c r="AT28" s="166">
        <v>45355</v>
      </c>
      <c r="AU28" s="166">
        <v>14545</v>
      </c>
      <c r="AV28" s="166">
        <v>-3</v>
      </c>
      <c r="AW28" s="172">
        <f t="shared" si="14"/>
        <v>2624570</v>
      </c>
      <c r="AX28" s="187">
        <v>2173527</v>
      </c>
      <c r="AY28" s="166">
        <v>48020</v>
      </c>
      <c r="AZ28" s="166">
        <v>58720</v>
      </c>
      <c r="BA28" s="166">
        <v>0</v>
      </c>
      <c r="BB28" s="172">
        <f t="shared" si="5"/>
        <v>2280267</v>
      </c>
      <c r="BC28" s="187">
        <v>1998694</v>
      </c>
      <c r="BD28" s="166">
        <v>53414</v>
      </c>
      <c r="BE28" s="166">
        <v>5865</v>
      </c>
      <c r="BF28" s="166">
        <v>0</v>
      </c>
      <c r="BG28" s="172">
        <f t="shared" si="6"/>
        <v>2057973</v>
      </c>
      <c r="BH28" s="187">
        <v>0</v>
      </c>
      <c r="BI28" s="166">
        <v>0</v>
      </c>
      <c r="BJ28" s="166">
        <v>0</v>
      </c>
      <c r="BK28" s="166">
        <v>0</v>
      </c>
      <c r="BL28" s="172">
        <f t="shared" si="7"/>
        <v>0</v>
      </c>
      <c r="BM28" s="187">
        <v>0</v>
      </c>
      <c r="BN28" s="166">
        <v>0</v>
      </c>
      <c r="BO28" s="166">
        <v>0</v>
      </c>
      <c r="BP28" s="166">
        <v>0</v>
      </c>
      <c r="BQ28" s="172">
        <f t="shared" si="8"/>
        <v>0</v>
      </c>
      <c r="BR28" s="187">
        <f t="shared" si="9"/>
        <v>20999675</v>
      </c>
      <c r="BS28" s="194">
        <f t="shared" si="9"/>
        <v>519292</v>
      </c>
      <c r="BT28" s="166">
        <f t="shared" si="9"/>
        <v>289812</v>
      </c>
      <c r="BU28" s="166">
        <f t="shared" si="9"/>
        <v>0</v>
      </c>
      <c r="BV28" s="273">
        <f t="shared" si="10"/>
        <v>21808779</v>
      </c>
      <c r="BW28" s="136"/>
      <c r="BX28" s="426"/>
      <c r="BZ28" s="316"/>
      <c r="CA28" s="316"/>
      <c r="CB28" s="316"/>
      <c r="CC28" s="316"/>
      <c r="CD28" s="316"/>
      <c r="CE28" s="317"/>
      <c r="CF28" s="317"/>
      <c r="CG28" s="317"/>
      <c r="CH28" s="136"/>
      <c r="CI28" s="317"/>
    </row>
    <row r="29" spans="1:87" x14ac:dyDescent="0.3">
      <c r="A29" s="308">
        <v>23</v>
      </c>
      <c r="B29" s="309" t="s">
        <v>229</v>
      </c>
      <c r="D29" s="310"/>
      <c r="E29" s="311">
        <v>45272265</v>
      </c>
      <c r="F29" s="312">
        <v>5617872</v>
      </c>
      <c r="G29" s="312">
        <v>711475</v>
      </c>
      <c r="H29" s="313">
        <v>0</v>
      </c>
      <c r="I29" s="172">
        <f t="shared" si="0"/>
        <v>51601612</v>
      </c>
      <c r="J29" s="187">
        <v>3227323</v>
      </c>
      <c r="K29" s="166">
        <v>413061</v>
      </c>
      <c r="L29" s="166">
        <v>164065</v>
      </c>
      <c r="M29" s="166">
        <v>0</v>
      </c>
      <c r="N29" s="172">
        <f t="shared" si="11"/>
        <v>3804449</v>
      </c>
      <c r="O29" s="166">
        <v>3739948</v>
      </c>
      <c r="P29" s="166">
        <v>237816</v>
      </c>
      <c r="Q29" s="166">
        <v>186561</v>
      </c>
      <c r="R29" s="166">
        <v>0</v>
      </c>
      <c r="S29" s="172">
        <f t="shared" si="15"/>
        <v>4164325</v>
      </c>
      <c r="T29" s="187">
        <v>3588253</v>
      </c>
      <c r="U29" s="166">
        <v>200568</v>
      </c>
      <c r="V29" s="166">
        <v>15994</v>
      </c>
      <c r="W29" s="166">
        <v>0</v>
      </c>
      <c r="X29" s="172">
        <f t="shared" si="12"/>
        <v>3804815</v>
      </c>
      <c r="Y29" s="187">
        <v>3651033</v>
      </c>
      <c r="Z29" s="166">
        <v>598605</v>
      </c>
      <c r="AA29" s="166">
        <v>104479</v>
      </c>
      <c r="AB29" s="166">
        <v>0</v>
      </c>
      <c r="AC29" s="172">
        <f t="shared" si="3"/>
        <v>4354117</v>
      </c>
      <c r="AD29" s="187">
        <v>3878831</v>
      </c>
      <c r="AE29" s="166">
        <v>196432</v>
      </c>
      <c r="AF29" s="166">
        <v>67695</v>
      </c>
      <c r="AG29" s="166">
        <v>0</v>
      </c>
      <c r="AH29" s="172">
        <f t="shared" si="4"/>
        <v>4142958</v>
      </c>
      <c r="AI29" s="187">
        <v>3758950</v>
      </c>
      <c r="AJ29" s="166">
        <v>181810</v>
      </c>
      <c r="AK29" s="166">
        <v>27062</v>
      </c>
      <c r="AL29" s="166">
        <v>0</v>
      </c>
      <c r="AM29" s="172">
        <f t="shared" si="13"/>
        <v>3967822</v>
      </c>
      <c r="AN29" s="187">
        <v>4093450</v>
      </c>
      <c r="AO29" s="166">
        <v>582878</v>
      </c>
      <c r="AP29" s="166">
        <v>92716</v>
      </c>
      <c r="AQ29" s="166">
        <v>0</v>
      </c>
      <c r="AR29" s="172">
        <f t="shared" si="1"/>
        <v>4769044</v>
      </c>
      <c r="AS29" s="187">
        <v>3644597</v>
      </c>
      <c r="AT29" s="166">
        <v>334425</v>
      </c>
      <c r="AU29" s="166">
        <v>60608</v>
      </c>
      <c r="AV29" s="166">
        <v>0</v>
      </c>
      <c r="AW29" s="172">
        <f t="shared" si="14"/>
        <v>4039630</v>
      </c>
      <c r="AX29" s="187">
        <v>4253994</v>
      </c>
      <c r="AY29" s="166">
        <v>237998</v>
      </c>
      <c r="AZ29" s="166">
        <v>67565</v>
      </c>
      <c r="BA29" s="166">
        <v>0</v>
      </c>
      <c r="BB29" s="172">
        <f t="shared" si="5"/>
        <v>4559557</v>
      </c>
      <c r="BC29" s="187">
        <v>3613849</v>
      </c>
      <c r="BD29" s="166">
        <v>540872</v>
      </c>
      <c r="BE29" s="166">
        <v>155122</v>
      </c>
      <c r="BF29" s="166">
        <v>0</v>
      </c>
      <c r="BG29" s="172">
        <f t="shared" si="6"/>
        <v>4309843</v>
      </c>
      <c r="BH29" s="187">
        <v>0</v>
      </c>
      <c r="BI29" s="166">
        <v>0</v>
      </c>
      <c r="BJ29" s="166">
        <v>0</v>
      </c>
      <c r="BK29" s="166">
        <v>0</v>
      </c>
      <c r="BL29" s="172">
        <f t="shared" si="7"/>
        <v>0</v>
      </c>
      <c r="BM29" s="187">
        <v>0</v>
      </c>
      <c r="BN29" s="166">
        <v>0</v>
      </c>
      <c r="BO29" s="166">
        <v>0</v>
      </c>
      <c r="BP29" s="166">
        <v>0</v>
      </c>
      <c r="BQ29" s="172">
        <f>SUM(BM29:BP29)</f>
        <v>0</v>
      </c>
      <c r="BR29" s="187">
        <f t="shared" si="9"/>
        <v>37450228</v>
      </c>
      <c r="BS29" s="194">
        <f t="shared" si="9"/>
        <v>3524465</v>
      </c>
      <c r="BT29" s="166">
        <f t="shared" si="9"/>
        <v>941867</v>
      </c>
      <c r="BU29" s="166">
        <f t="shared" si="9"/>
        <v>0</v>
      </c>
      <c r="BV29" s="273">
        <f t="shared" si="10"/>
        <v>41916560</v>
      </c>
      <c r="BW29" s="136"/>
      <c r="BX29" s="426"/>
      <c r="BZ29" s="316"/>
      <c r="CA29" s="316"/>
      <c r="CB29" s="316"/>
      <c r="CC29" s="316"/>
      <c r="CD29" s="316"/>
      <c r="CE29" s="317"/>
      <c r="CF29" s="317"/>
      <c r="CG29" s="317"/>
      <c r="CH29" s="136"/>
      <c r="CI29" s="317"/>
    </row>
    <row r="30" spans="1:87" x14ac:dyDescent="0.3">
      <c r="A30" s="320">
        <v>24</v>
      </c>
      <c r="B30" s="321" t="s">
        <v>230</v>
      </c>
      <c r="D30" s="58"/>
      <c r="E30" s="311">
        <v>349627</v>
      </c>
      <c r="F30" s="312">
        <v>1278</v>
      </c>
      <c r="G30" s="312">
        <v>12624</v>
      </c>
      <c r="H30" s="313">
        <v>0</v>
      </c>
      <c r="I30" s="172">
        <f t="shared" si="0"/>
        <v>363529</v>
      </c>
      <c r="J30" s="187">
        <v>24119</v>
      </c>
      <c r="K30" s="166">
        <v>18</v>
      </c>
      <c r="L30" s="166">
        <v>0</v>
      </c>
      <c r="M30" s="166">
        <v>0</v>
      </c>
      <c r="N30" s="172">
        <f t="shared" si="11"/>
        <v>24137</v>
      </c>
      <c r="O30" s="166">
        <v>25413</v>
      </c>
      <c r="P30" s="166">
        <v>80</v>
      </c>
      <c r="Q30" s="166">
        <v>0</v>
      </c>
      <c r="R30" s="166">
        <v>0</v>
      </c>
      <c r="S30" s="172">
        <f t="shared" si="15"/>
        <v>25493</v>
      </c>
      <c r="T30" s="187">
        <v>27849</v>
      </c>
      <c r="U30" s="166">
        <v>64</v>
      </c>
      <c r="V30" s="166">
        <v>19</v>
      </c>
      <c r="W30" s="166">
        <v>0</v>
      </c>
      <c r="X30" s="172">
        <f t="shared" si="12"/>
        <v>27932</v>
      </c>
      <c r="Y30" s="187">
        <v>26819</v>
      </c>
      <c r="Z30" s="166">
        <v>51</v>
      </c>
      <c r="AA30" s="166">
        <v>31</v>
      </c>
      <c r="AB30" s="166">
        <v>0</v>
      </c>
      <c r="AC30" s="172">
        <f t="shared" si="3"/>
        <v>26901</v>
      </c>
      <c r="AD30" s="187">
        <v>26925</v>
      </c>
      <c r="AE30" s="166">
        <v>720</v>
      </c>
      <c r="AF30" s="166">
        <v>2</v>
      </c>
      <c r="AG30" s="166">
        <v>0</v>
      </c>
      <c r="AH30" s="172">
        <f t="shared" si="4"/>
        <v>27647</v>
      </c>
      <c r="AI30" s="187">
        <v>28290</v>
      </c>
      <c r="AJ30" s="166">
        <v>40</v>
      </c>
      <c r="AK30" s="166">
        <v>7</v>
      </c>
      <c r="AL30" s="166">
        <v>0</v>
      </c>
      <c r="AM30" s="172">
        <f t="shared" si="13"/>
        <v>28337</v>
      </c>
      <c r="AN30" s="187">
        <v>25403</v>
      </c>
      <c r="AO30" s="166">
        <v>107</v>
      </c>
      <c r="AP30" s="166">
        <v>854</v>
      </c>
      <c r="AQ30" s="166">
        <v>0</v>
      </c>
      <c r="AR30" s="172">
        <f t="shared" si="1"/>
        <v>26364</v>
      </c>
      <c r="AS30" s="187">
        <v>33477</v>
      </c>
      <c r="AT30" s="166">
        <v>59</v>
      </c>
      <c r="AU30" s="166">
        <v>126</v>
      </c>
      <c r="AV30" s="166">
        <v>0</v>
      </c>
      <c r="AW30" s="172">
        <f t="shared" si="14"/>
        <v>33662</v>
      </c>
      <c r="AX30" s="187">
        <v>26592</v>
      </c>
      <c r="AY30" s="166">
        <v>0</v>
      </c>
      <c r="AZ30" s="166">
        <v>4865</v>
      </c>
      <c r="BA30" s="166">
        <v>0</v>
      </c>
      <c r="BB30" s="172">
        <f t="shared" si="5"/>
        <v>31457</v>
      </c>
      <c r="BC30" s="187">
        <v>23876</v>
      </c>
      <c r="BD30" s="166">
        <v>35</v>
      </c>
      <c r="BE30" s="166">
        <v>-18</v>
      </c>
      <c r="BF30" s="166">
        <v>0</v>
      </c>
      <c r="BG30" s="172">
        <f t="shared" si="6"/>
        <v>23893</v>
      </c>
      <c r="BH30" s="187">
        <v>0</v>
      </c>
      <c r="BI30" s="166">
        <v>0</v>
      </c>
      <c r="BJ30" s="166">
        <v>0</v>
      </c>
      <c r="BK30" s="166">
        <v>0</v>
      </c>
      <c r="BL30" s="172">
        <f t="shared" si="7"/>
        <v>0</v>
      </c>
      <c r="BM30" s="187">
        <v>0</v>
      </c>
      <c r="BN30" s="166">
        <v>0</v>
      </c>
      <c r="BO30" s="166">
        <v>0</v>
      </c>
      <c r="BP30" s="166">
        <v>0</v>
      </c>
      <c r="BQ30" s="172">
        <f t="shared" si="8"/>
        <v>0</v>
      </c>
      <c r="BR30" s="187">
        <f t="shared" si="9"/>
        <v>268763</v>
      </c>
      <c r="BS30" s="194">
        <f t="shared" si="9"/>
        <v>1174</v>
      </c>
      <c r="BT30" s="166">
        <f t="shared" si="9"/>
        <v>5886</v>
      </c>
      <c r="BU30" s="166">
        <f t="shared" si="9"/>
        <v>0</v>
      </c>
      <c r="BV30" s="273">
        <f t="shared" si="10"/>
        <v>275823</v>
      </c>
      <c r="BW30" s="136"/>
      <c r="BX30" s="425"/>
      <c r="BZ30" s="323"/>
      <c r="CA30" s="323"/>
      <c r="CB30" s="323"/>
      <c r="CC30" s="323"/>
      <c r="CD30" s="323"/>
      <c r="CE30" s="317"/>
      <c r="CF30" s="317"/>
      <c r="CG30" s="317"/>
      <c r="CH30" s="136"/>
      <c r="CI30" s="317"/>
    </row>
    <row r="31" spans="1:87" x14ac:dyDescent="0.3">
      <c r="A31" s="308">
        <v>25</v>
      </c>
      <c r="B31" s="309" t="s">
        <v>231</v>
      </c>
      <c r="D31" s="310"/>
      <c r="E31" s="311">
        <v>16347869</v>
      </c>
      <c r="F31" s="312">
        <v>3309985</v>
      </c>
      <c r="G31" s="312">
        <v>823925</v>
      </c>
      <c r="H31" s="313">
        <v>245</v>
      </c>
      <c r="I31" s="172">
        <f t="shared" si="0"/>
        <v>20482024</v>
      </c>
      <c r="J31" s="187">
        <v>1033979</v>
      </c>
      <c r="K31" s="166">
        <v>260089</v>
      </c>
      <c r="L31" s="166">
        <v>15435</v>
      </c>
      <c r="M31" s="166">
        <v>0</v>
      </c>
      <c r="N31" s="172">
        <f t="shared" si="11"/>
        <v>1309503</v>
      </c>
      <c r="O31" s="166">
        <v>1057298</v>
      </c>
      <c r="P31" s="166">
        <v>260491</v>
      </c>
      <c r="Q31" s="166">
        <v>93035</v>
      </c>
      <c r="R31" s="166">
        <v>27</v>
      </c>
      <c r="S31" s="172">
        <f t="shared" si="15"/>
        <v>1410851</v>
      </c>
      <c r="T31" s="187">
        <v>83618</v>
      </c>
      <c r="U31" s="166">
        <v>275135</v>
      </c>
      <c r="V31" s="166">
        <v>41366</v>
      </c>
      <c r="W31" s="166">
        <v>7</v>
      </c>
      <c r="X31" s="172">
        <f t="shared" si="12"/>
        <v>400126</v>
      </c>
      <c r="Y31" s="187">
        <v>2346543</v>
      </c>
      <c r="Z31" s="166">
        <v>283847</v>
      </c>
      <c r="AA31" s="166">
        <v>51606</v>
      </c>
      <c r="AB31" s="166">
        <v>189</v>
      </c>
      <c r="AC31" s="172">
        <f t="shared" si="3"/>
        <v>2682185</v>
      </c>
      <c r="AD31" s="187">
        <v>1452368</v>
      </c>
      <c r="AE31" s="166">
        <v>263612</v>
      </c>
      <c r="AF31" s="166">
        <v>51105</v>
      </c>
      <c r="AG31" s="166">
        <v>8</v>
      </c>
      <c r="AH31" s="172">
        <f t="shared" si="4"/>
        <v>1767093</v>
      </c>
      <c r="AI31" s="187">
        <v>1170275</v>
      </c>
      <c r="AJ31" s="166">
        <v>264390</v>
      </c>
      <c r="AK31" s="166">
        <v>50404</v>
      </c>
      <c r="AL31" s="166">
        <v>786</v>
      </c>
      <c r="AM31" s="172">
        <f t="shared" si="13"/>
        <v>1485855</v>
      </c>
      <c r="AN31" s="187">
        <v>1579765</v>
      </c>
      <c r="AO31" s="166">
        <v>261737</v>
      </c>
      <c r="AP31" s="166">
        <v>60174</v>
      </c>
      <c r="AQ31" s="166">
        <v>-697</v>
      </c>
      <c r="AR31" s="172">
        <f t="shared" si="1"/>
        <v>1900979</v>
      </c>
      <c r="AS31" s="187">
        <v>1423265</v>
      </c>
      <c r="AT31" s="166">
        <v>258557</v>
      </c>
      <c r="AU31" s="166">
        <v>68474</v>
      </c>
      <c r="AV31" s="166">
        <v>106</v>
      </c>
      <c r="AW31" s="172">
        <f t="shared" si="14"/>
        <v>1750402</v>
      </c>
      <c r="AX31" s="187">
        <v>1513991</v>
      </c>
      <c r="AY31" s="166">
        <v>259952</v>
      </c>
      <c r="AZ31" s="166">
        <v>50540</v>
      </c>
      <c r="BA31" s="166">
        <v>609</v>
      </c>
      <c r="BB31" s="172">
        <f t="shared" si="5"/>
        <v>1825092</v>
      </c>
      <c r="BC31" s="187">
        <v>1397674</v>
      </c>
      <c r="BD31" s="166">
        <v>262045</v>
      </c>
      <c r="BE31" s="166">
        <v>69885</v>
      </c>
      <c r="BF31" s="166">
        <v>62</v>
      </c>
      <c r="BG31" s="172">
        <f t="shared" si="6"/>
        <v>1729666</v>
      </c>
      <c r="BH31" s="187">
        <v>0</v>
      </c>
      <c r="BI31" s="166">
        <v>0</v>
      </c>
      <c r="BJ31" s="166">
        <v>0</v>
      </c>
      <c r="BK31" s="166">
        <v>0</v>
      </c>
      <c r="BL31" s="172">
        <f t="shared" si="7"/>
        <v>0</v>
      </c>
      <c r="BM31" s="187">
        <v>0</v>
      </c>
      <c r="BN31" s="166">
        <v>0</v>
      </c>
      <c r="BO31" s="166">
        <v>0</v>
      </c>
      <c r="BP31" s="166">
        <v>0</v>
      </c>
      <c r="BQ31" s="172">
        <f t="shared" si="8"/>
        <v>0</v>
      </c>
      <c r="BR31" s="187">
        <f t="shared" si="9"/>
        <v>13058776</v>
      </c>
      <c r="BS31" s="194">
        <f t="shared" si="9"/>
        <v>2649855</v>
      </c>
      <c r="BT31" s="166">
        <f t="shared" si="9"/>
        <v>552024</v>
      </c>
      <c r="BU31" s="166">
        <f t="shared" si="9"/>
        <v>1097</v>
      </c>
      <c r="BV31" s="273">
        <f t="shared" si="10"/>
        <v>16261752</v>
      </c>
      <c r="BW31" s="136"/>
      <c r="BX31" s="426"/>
      <c r="BZ31" s="316"/>
      <c r="CA31" s="316"/>
      <c r="CB31" s="316"/>
      <c r="CC31" s="316"/>
      <c r="CD31" s="316"/>
      <c r="CE31" s="317"/>
      <c r="CF31" s="317"/>
      <c r="CG31" s="317"/>
      <c r="CH31" s="136"/>
      <c r="CI31" s="317"/>
    </row>
    <row r="32" spans="1:87" x14ac:dyDescent="0.3">
      <c r="A32" s="308">
        <v>26</v>
      </c>
      <c r="B32" s="309" t="s">
        <v>232</v>
      </c>
      <c r="D32" s="310"/>
      <c r="E32" s="311">
        <v>444892</v>
      </c>
      <c r="F32" s="312">
        <v>214706</v>
      </c>
      <c r="G32" s="312">
        <v>10434</v>
      </c>
      <c r="H32" s="313">
        <v>0</v>
      </c>
      <c r="I32" s="172">
        <f t="shared" si="0"/>
        <v>670032</v>
      </c>
      <c r="J32" s="187">
        <v>35233</v>
      </c>
      <c r="K32" s="166">
        <v>2208</v>
      </c>
      <c r="L32" s="166">
        <v>0</v>
      </c>
      <c r="M32" s="166">
        <v>0</v>
      </c>
      <c r="N32" s="172">
        <f>SUM(J32:M32)</f>
        <v>37441</v>
      </c>
      <c r="O32" s="166">
        <v>25013</v>
      </c>
      <c r="P32" s="166">
        <v>7455</v>
      </c>
      <c r="Q32" s="166">
        <v>58</v>
      </c>
      <c r="R32" s="166">
        <v>0</v>
      </c>
      <c r="S32" s="172">
        <f t="shared" si="15"/>
        <v>32526</v>
      </c>
      <c r="T32" s="187">
        <v>48498</v>
      </c>
      <c r="U32" s="166">
        <v>7302</v>
      </c>
      <c r="V32" s="166">
        <v>0</v>
      </c>
      <c r="W32" s="166">
        <v>0</v>
      </c>
      <c r="X32" s="172">
        <f t="shared" si="12"/>
        <v>55800</v>
      </c>
      <c r="Y32" s="187">
        <v>26741</v>
      </c>
      <c r="Z32" s="166">
        <v>14400</v>
      </c>
      <c r="AA32" s="166">
        <v>17</v>
      </c>
      <c r="AB32" s="166">
        <v>0</v>
      </c>
      <c r="AC32" s="172">
        <f t="shared" si="3"/>
        <v>41158</v>
      </c>
      <c r="AD32" s="187">
        <v>35972</v>
      </c>
      <c r="AE32" s="166">
        <v>9259</v>
      </c>
      <c r="AF32" s="166">
        <v>2006</v>
      </c>
      <c r="AG32" s="166">
        <v>0</v>
      </c>
      <c r="AH32" s="172">
        <f t="shared" si="4"/>
        <v>47237</v>
      </c>
      <c r="AI32" s="187">
        <v>33920</v>
      </c>
      <c r="AJ32" s="166">
        <v>7596</v>
      </c>
      <c r="AK32" s="166">
        <v>710</v>
      </c>
      <c r="AL32" s="166">
        <v>0</v>
      </c>
      <c r="AM32" s="172">
        <f t="shared" si="13"/>
        <v>42226</v>
      </c>
      <c r="AN32" s="187">
        <v>25893</v>
      </c>
      <c r="AO32" s="166">
        <v>3914</v>
      </c>
      <c r="AP32" s="166">
        <v>-335</v>
      </c>
      <c r="AQ32" s="166">
        <v>0</v>
      </c>
      <c r="AR32" s="172">
        <f t="shared" si="1"/>
        <v>29472</v>
      </c>
      <c r="AS32" s="187">
        <v>33440</v>
      </c>
      <c r="AT32" s="166">
        <v>9485</v>
      </c>
      <c r="AU32" s="166">
        <v>18</v>
      </c>
      <c r="AV32" s="166">
        <v>0</v>
      </c>
      <c r="AW32" s="172">
        <f t="shared" si="14"/>
        <v>42943</v>
      </c>
      <c r="AX32" s="187">
        <v>49149</v>
      </c>
      <c r="AY32" s="166">
        <v>5645</v>
      </c>
      <c r="AZ32" s="166">
        <v>0</v>
      </c>
      <c r="BA32" s="166">
        <v>0</v>
      </c>
      <c r="BB32" s="172">
        <f t="shared" si="5"/>
        <v>54794</v>
      </c>
      <c r="BC32" s="187">
        <v>54333</v>
      </c>
      <c r="BD32" s="166">
        <v>55084</v>
      </c>
      <c r="BE32" s="166">
        <v>0</v>
      </c>
      <c r="BF32" s="166">
        <v>0</v>
      </c>
      <c r="BG32" s="172">
        <f t="shared" si="6"/>
        <v>109417</v>
      </c>
      <c r="BH32" s="187">
        <v>0</v>
      </c>
      <c r="BI32" s="166">
        <v>0</v>
      </c>
      <c r="BJ32" s="166">
        <v>0</v>
      </c>
      <c r="BK32" s="166">
        <v>0</v>
      </c>
      <c r="BL32" s="172">
        <f t="shared" si="7"/>
        <v>0</v>
      </c>
      <c r="BM32" s="187">
        <v>0</v>
      </c>
      <c r="BN32" s="166">
        <v>0</v>
      </c>
      <c r="BO32" s="166">
        <v>0</v>
      </c>
      <c r="BP32" s="166">
        <v>0</v>
      </c>
      <c r="BQ32" s="172">
        <f t="shared" si="8"/>
        <v>0</v>
      </c>
      <c r="BR32" s="187">
        <f t="shared" si="9"/>
        <v>368192</v>
      </c>
      <c r="BS32" s="194">
        <f t="shared" si="9"/>
        <v>122348</v>
      </c>
      <c r="BT32" s="166">
        <f t="shared" si="9"/>
        <v>2474</v>
      </c>
      <c r="BU32" s="166">
        <f t="shared" si="9"/>
        <v>0</v>
      </c>
      <c r="BV32" s="273">
        <f t="shared" si="10"/>
        <v>493014</v>
      </c>
      <c r="BW32" s="136"/>
      <c r="BX32" s="425"/>
      <c r="BZ32" s="316"/>
      <c r="CA32" s="316"/>
      <c r="CB32" s="316"/>
      <c r="CC32" s="316"/>
      <c r="CD32" s="316"/>
      <c r="CE32" s="317"/>
      <c r="CF32" s="317"/>
      <c r="CG32" s="317"/>
      <c r="CH32" s="136"/>
      <c r="CI32" s="317"/>
    </row>
    <row r="33" spans="1:112" x14ac:dyDescent="0.3">
      <c r="A33" s="308">
        <v>27</v>
      </c>
      <c r="B33" s="17" t="s">
        <v>233</v>
      </c>
      <c r="D33" s="310"/>
      <c r="E33" s="311">
        <v>1220446</v>
      </c>
      <c r="F33" s="312">
        <v>3866</v>
      </c>
      <c r="G33" s="312">
        <v>138566</v>
      </c>
      <c r="H33" s="313">
        <v>0</v>
      </c>
      <c r="I33" s="172">
        <f t="shared" si="0"/>
        <v>1362878</v>
      </c>
      <c r="J33" s="187">
        <v>79139</v>
      </c>
      <c r="K33" s="166">
        <v>1172</v>
      </c>
      <c r="L33" s="166">
        <v>3830</v>
      </c>
      <c r="M33" s="166">
        <v>0</v>
      </c>
      <c r="N33" s="172">
        <f t="shared" si="11"/>
        <v>84141</v>
      </c>
      <c r="O33" s="166">
        <v>119442</v>
      </c>
      <c r="P33" s="166">
        <v>4000</v>
      </c>
      <c r="Q33" s="166">
        <v>8824</v>
      </c>
      <c r="R33" s="166">
        <v>0</v>
      </c>
      <c r="S33" s="172">
        <f t="shared" si="15"/>
        <v>132266</v>
      </c>
      <c r="T33" s="187">
        <v>84968</v>
      </c>
      <c r="U33" s="166">
        <v>1078</v>
      </c>
      <c r="V33" s="166">
        <v>5847</v>
      </c>
      <c r="W33" s="166">
        <v>0</v>
      </c>
      <c r="X33" s="172">
        <f t="shared" si="12"/>
        <v>91893</v>
      </c>
      <c r="Y33" s="187">
        <v>88894</v>
      </c>
      <c r="Z33" s="166">
        <v>222</v>
      </c>
      <c r="AA33" s="166">
        <v>7293</v>
      </c>
      <c r="AB33" s="166">
        <v>0</v>
      </c>
      <c r="AC33" s="172">
        <f t="shared" si="3"/>
        <v>96409</v>
      </c>
      <c r="AD33" s="187">
        <v>92467</v>
      </c>
      <c r="AE33" s="166">
        <v>729</v>
      </c>
      <c r="AF33" s="166">
        <v>5822</v>
      </c>
      <c r="AG33" s="166">
        <v>0</v>
      </c>
      <c r="AH33" s="172">
        <f t="shared" si="4"/>
        <v>99018</v>
      </c>
      <c r="AI33" s="187">
        <v>86514</v>
      </c>
      <c r="AJ33" s="166">
        <v>70</v>
      </c>
      <c r="AK33" s="166">
        <v>8029</v>
      </c>
      <c r="AL33" s="166">
        <v>0</v>
      </c>
      <c r="AM33" s="172">
        <f t="shared" si="13"/>
        <v>94613</v>
      </c>
      <c r="AN33" s="187">
        <v>92336</v>
      </c>
      <c r="AO33" s="166">
        <v>492</v>
      </c>
      <c r="AP33" s="166">
        <v>4992</v>
      </c>
      <c r="AQ33" s="166">
        <v>0</v>
      </c>
      <c r="AR33" s="172">
        <f t="shared" si="1"/>
        <v>97820</v>
      </c>
      <c r="AS33" s="187">
        <v>106190</v>
      </c>
      <c r="AT33" s="166">
        <v>903</v>
      </c>
      <c r="AU33" s="166">
        <v>36427</v>
      </c>
      <c r="AV33" s="166">
        <v>0</v>
      </c>
      <c r="AW33" s="172">
        <f t="shared" si="14"/>
        <v>143520</v>
      </c>
      <c r="AX33" s="187">
        <v>101755</v>
      </c>
      <c r="AY33" s="166">
        <v>142</v>
      </c>
      <c r="AZ33" s="166">
        <v>5631</v>
      </c>
      <c r="BA33" s="166">
        <v>0</v>
      </c>
      <c r="BB33" s="172">
        <f t="shared" si="5"/>
        <v>107528</v>
      </c>
      <c r="BC33" s="187">
        <v>78217</v>
      </c>
      <c r="BD33" s="166">
        <v>90</v>
      </c>
      <c r="BE33" s="166">
        <v>7428</v>
      </c>
      <c r="BF33" s="166">
        <v>0</v>
      </c>
      <c r="BG33" s="172">
        <f t="shared" si="6"/>
        <v>85735</v>
      </c>
      <c r="BH33" s="187">
        <v>0</v>
      </c>
      <c r="BI33" s="166">
        <v>0</v>
      </c>
      <c r="BJ33" s="166">
        <v>0</v>
      </c>
      <c r="BK33" s="166">
        <v>0</v>
      </c>
      <c r="BL33" s="172">
        <f t="shared" si="7"/>
        <v>0</v>
      </c>
      <c r="BM33" s="187">
        <v>0</v>
      </c>
      <c r="BN33" s="166">
        <v>0</v>
      </c>
      <c r="BO33" s="166">
        <v>0</v>
      </c>
      <c r="BP33" s="166">
        <v>0</v>
      </c>
      <c r="BQ33" s="172">
        <f t="shared" si="8"/>
        <v>0</v>
      </c>
      <c r="BR33" s="187">
        <f t="shared" si="9"/>
        <v>929922</v>
      </c>
      <c r="BS33" s="194">
        <f t="shared" si="9"/>
        <v>8898</v>
      </c>
      <c r="BT33" s="166">
        <f t="shared" si="9"/>
        <v>94123</v>
      </c>
      <c r="BU33" s="166">
        <f t="shared" si="9"/>
        <v>0</v>
      </c>
      <c r="BV33" s="273">
        <f t="shared" si="10"/>
        <v>1032943</v>
      </c>
      <c r="BW33" s="136"/>
      <c r="BX33" s="425"/>
      <c r="BZ33" s="316"/>
      <c r="CA33" s="316"/>
      <c r="CB33" s="316"/>
      <c r="CC33" s="316"/>
      <c r="CD33" s="316"/>
      <c r="CE33" s="317"/>
      <c r="CF33" s="317"/>
      <c r="CG33" s="317"/>
      <c r="CH33" s="136"/>
      <c r="CI33" s="317"/>
    </row>
    <row r="34" spans="1:112" s="331" customFormat="1" x14ac:dyDescent="0.3">
      <c r="A34" s="329">
        <v>28</v>
      </c>
      <c r="B34" s="330" t="s">
        <v>234</v>
      </c>
      <c r="D34" s="332"/>
      <c r="E34" s="333">
        <v>97822645</v>
      </c>
      <c r="F34" s="334">
        <v>1259399</v>
      </c>
      <c r="G34" s="334">
        <v>3472918</v>
      </c>
      <c r="H34" s="174">
        <v>0</v>
      </c>
      <c r="I34" s="171">
        <f t="shared" si="0"/>
        <v>102554962</v>
      </c>
      <c r="J34" s="335">
        <v>6887612</v>
      </c>
      <c r="K34" s="176">
        <v>109445</v>
      </c>
      <c r="L34" s="176">
        <v>77932</v>
      </c>
      <c r="M34" s="176">
        <v>591</v>
      </c>
      <c r="N34" s="171">
        <f t="shared" si="11"/>
        <v>7075580</v>
      </c>
      <c r="O34" s="176">
        <v>7568130</v>
      </c>
      <c r="P34" s="176">
        <v>138747</v>
      </c>
      <c r="Q34" s="176">
        <v>180749</v>
      </c>
      <c r="R34" s="176">
        <v>6048</v>
      </c>
      <c r="S34" s="171">
        <f>SUM(O34:R34)</f>
        <v>7893674</v>
      </c>
      <c r="T34" s="335">
        <v>7638170</v>
      </c>
      <c r="U34" s="176">
        <v>137317</v>
      </c>
      <c r="V34" s="176">
        <v>107783</v>
      </c>
      <c r="W34" s="176">
        <v>1532</v>
      </c>
      <c r="X34" s="171">
        <f t="shared" si="12"/>
        <v>7884802</v>
      </c>
      <c r="Y34" s="335">
        <v>8130661</v>
      </c>
      <c r="Z34" s="176">
        <v>82747</v>
      </c>
      <c r="AA34" s="176">
        <v>117189</v>
      </c>
      <c r="AB34" s="176">
        <v>3153</v>
      </c>
      <c r="AC34" s="171">
        <f t="shared" si="3"/>
        <v>8333750</v>
      </c>
      <c r="AD34" s="335">
        <v>7608902</v>
      </c>
      <c r="AE34" s="176">
        <v>149145</v>
      </c>
      <c r="AF34" s="176">
        <v>191142</v>
      </c>
      <c r="AG34" s="176">
        <v>5111</v>
      </c>
      <c r="AH34" s="171">
        <f t="shared" si="4"/>
        <v>7954300</v>
      </c>
      <c r="AI34" s="335">
        <v>8025303</v>
      </c>
      <c r="AJ34" s="176">
        <v>208336</v>
      </c>
      <c r="AK34" s="176">
        <v>251272</v>
      </c>
      <c r="AL34" s="176">
        <v>14602</v>
      </c>
      <c r="AM34" s="171">
        <f t="shared" si="13"/>
        <v>8499513</v>
      </c>
      <c r="AN34" s="335">
        <v>7928392</v>
      </c>
      <c r="AO34" s="176">
        <v>134417</v>
      </c>
      <c r="AP34" s="176">
        <v>242282</v>
      </c>
      <c r="AQ34" s="176">
        <v>21598</v>
      </c>
      <c r="AR34" s="171">
        <f t="shared" si="1"/>
        <v>8326689</v>
      </c>
      <c r="AS34" s="187">
        <v>9311346</v>
      </c>
      <c r="AT34" s="176">
        <v>124038</v>
      </c>
      <c r="AU34" s="176">
        <v>396852</v>
      </c>
      <c r="AV34" s="176">
        <v>11219</v>
      </c>
      <c r="AW34" s="171">
        <f t="shared" si="14"/>
        <v>9843455</v>
      </c>
      <c r="AX34" s="335">
        <v>8471582</v>
      </c>
      <c r="AY34" s="176">
        <v>84017</v>
      </c>
      <c r="AZ34" s="176">
        <v>252270</v>
      </c>
      <c r="BA34" s="176">
        <v>4778</v>
      </c>
      <c r="BB34" s="171">
        <f t="shared" si="5"/>
        <v>8812647</v>
      </c>
      <c r="BC34" s="335">
        <v>8014355</v>
      </c>
      <c r="BD34" s="176">
        <v>167247</v>
      </c>
      <c r="BE34" s="176">
        <v>145924</v>
      </c>
      <c r="BF34" s="176">
        <v>5854</v>
      </c>
      <c r="BG34" s="171">
        <f t="shared" si="6"/>
        <v>8333380</v>
      </c>
      <c r="BH34" s="335">
        <v>0</v>
      </c>
      <c r="BI34" s="176">
        <v>0</v>
      </c>
      <c r="BJ34" s="176">
        <v>0</v>
      </c>
      <c r="BK34" s="176">
        <v>0</v>
      </c>
      <c r="BL34" s="171">
        <f t="shared" si="7"/>
        <v>0</v>
      </c>
      <c r="BM34" s="335">
        <v>0</v>
      </c>
      <c r="BN34" s="176">
        <v>0</v>
      </c>
      <c r="BO34" s="176">
        <v>0</v>
      </c>
      <c r="BP34" s="176">
        <v>0</v>
      </c>
      <c r="BQ34" s="171">
        <f t="shared" si="8"/>
        <v>0</v>
      </c>
      <c r="BR34" s="187">
        <f t="shared" si="9"/>
        <v>79584453</v>
      </c>
      <c r="BS34" s="194">
        <f t="shared" si="9"/>
        <v>1335456</v>
      </c>
      <c r="BT34" s="166">
        <f t="shared" si="9"/>
        <v>1963395</v>
      </c>
      <c r="BU34" s="166">
        <f t="shared" si="9"/>
        <v>74486</v>
      </c>
      <c r="BV34" s="336">
        <f t="shared" si="10"/>
        <v>82957790</v>
      </c>
      <c r="BW34" s="170"/>
      <c r="BX34" s="426"/>
      <c r="BZ34" s="337"/>
      <c r="CA34" s="337"/>
      <c r="CB34" s="337"/>
      <c r="CC34" s="337"/>
      <c r="CD34" s="337"/>
      <c r="CE34" s="338"/>
      <c r="CF34" s="338"/>
      <c r="CG34" s="338"/>
      <c r="CH34" s="170"/>
      <c r="CI34" s="338"/>
    </row>
    <row r="35" spans="1:112" x14ac:dyDescent="0.3">
      <c r="A35" s="308">
        <v>29</v>
      </c>
      <c r="B35" s="309" t="s">
        <v>235</v>
      </c>
      <c r="D35" s="310"/>
      <c r="E35" s="311">
        <v>8228703</v>
      </c>
      <c r="F35" s="312">
        <v>7879168</v>
      </c>
      <c r="G35" s="312">
        <v>1425772</v>
      </c>
      <c r="H35" s="313">
        <v>0</v>
      </c>
      <c r="I35" s="172">
        <f t="shared" si="0"/>
        <v>17533643</v>
      </c>
      <c r="J35" s="187">
        <v>447596</v>
      </c>
      <c r="K35" s="166">
        <v>513855</v>
      </c>
      <c r="L35" s="166">
        <v>15473</v>
      </c>
      <c r="M35" s="166">
        <v>0</v>
      </c>
      <c r="N35" s="172">
        <f t="shared" si="11"/>
        <v>976924</v>
      </c>
      <c r="O35" s="166">
        <v>473106</v>
      </c>
      <c r="P35" s="166">
        <v>235421</v>
      </c>
      <c r="Q35" s="166">
        <v>32360</v>
      </c>
      <c r="R35" s="166">
        <v>36</v>
      </c>
      <c r="S35" s="172">
        <f>SUM(O35:R35)</f>
        <v>740923</v>
      </c>
      <c r="T35" s="187">
        <v>466067</v>
      </c>
      <c r="U35" s="166">
        <v>260125</v>
      </c>
      <c r="V35" s="166">
        <v>43122</v>
      </c>
      <c r="W35" s="166">
        <v>0</v>
      </c>
      <c r="X35" s="187">
        <f t="shared" si="12"/>
        <v>769314</v>
      </c>
      <c r="Y35" s="187">
        <v>512029</v>
      </c>
      <c r="Z35" s="166">
        <v>476181</v>
      </c>
      <c r="AA35" s="166">
        <v>113621</v>
      </c>
      <c r="AB35" s="166">
        <v>0</v>
      </c>
      <c r="AC35" s="172">
        <f t="shared" si="3"/>
        <v>1101831</v>
      </c>
      <c r="AD35" s="187">
        <v>504667</v>
      </c>
      <c r="AE35" s="166">
        <v>1769858</v>
      </c>
      <c r="AF35" s="166">
        <v>71817</v>
      </c>
      <c r="AG35" s="166">
        <v>0</v>
      </c>
      <c r="AH35" s="172">
        <f t="shared" si="4"/>
        <v>2346342</v>
      </c>
      <c r="AI35" s="187">
        <v>474869</v>
      </c>
      <c r="AJ35" s="166">
        <v>646567</v>
      </c>
      <c r="AK35" s="166">
        <v>68709</v>
      </c>
      <c r="AL35" s="166">
        <v>0</v>
      </c>
      <c r="AM35" s="172">
        <f t="shared" si="13"/>
        <v>1190145</v>
      </c>
      <c r="AN35" s="187">
        <v>447596</v>
      </c>
      <c r="AO35" s="166">
        <v>1032185</v>
      </c>
      <c r="AP35" s="166">
        <v>447086</v>
      </c>
      <c r="AQ35" s="166">
        <v>0</v>
      </c>
      <c r="AR35" s="172">
        <f t="shared" si="1"/>
        <v>1926867</v>
      </c>
      <c r="AS35" s="187">
        <v>809002</v>
      </c>
      <c r="AT35" s="166">
        <v>360589</v>
      </c>
      <c r="AU35" s="166">
        <v>64324</v>
      </c>
      <c r="AV35" s="166">
        <v>0</v>
      </c>
      <c r="AW35" s="172">
        <f t="shared" si="14"/>
        <v>1233915</v>
      </c>
      <c r="AX35" s="187">
        <v>570189</v>
      </c>
      <c r="AY35" s="166">
        <v>322647</v>
      </c>
      <c r="AZ35" s="166">
        <v>116814</v>
      </c>
      <c r="BA35" s="166">
        <v>0</v>
      </c>
      <c r="BB35" s="172">
        <f t="shared" si="5"/>
        <v>1009650</v>
      </c>
      <c r="BC35" s="187">
        <v>589725</v>
      </c>
      <c r="BD35" s="166">
        <v>440667</v>
      </c>
      <c r="BE35" s="166">
        <v>77109</v>
      </c>
      <c r="BF35" s="166">
        <v>352</v>
      </c>
      <c r="BG35" s="172">
        <f t="shared" si="6"/>
        <v>1107853</v>
      </c>
      <c r="BH35" s="187">
        <v>0</v>
      </c>
      <c r="BI35" s="166">
        <v>0</v>
      </c>
      <c r="BJ35" s="166">
        <v>0</v>
      </c>
      <c r="BK35" s="166">
        <v>0</v>
      </c>
      <c r="BL35" s="172">
        <f t="shared" si="7"/>
        <v>0</v>
      </c>
      <c r="BM35" s="187">
        <v>0</v>
      </c>
      <c r="BN35" s="166">
        <v>0</v>
      </c>
      <c r="BO35" s="166">
        <v>0</v>
      </c>
      <c r="BP35" s="166">
        <v>0</v>
      </c>
      <c r="BQ35" s="172">
        <f t="shared" si="8"/>
        <v>0</v>
      </c>
      <c r="BR35" s="187">
        <f t="shared" si="9"/>
        <v>5294846</v>
      </c>
      <c r="BS35" s="194">
        <f t="shared" si="9"/>
        <v>6058095</v>
      </c>
      <c r="BT35" s="166">
        <f t="shared" si="9"/>
        <v>1050435</v>
      </c>
      <c r="BU35" s="166">
        <f t="shared" si="9"/>
        <v>388</v>
      </c>
      <c r="BV35" s="273">
        <f t="shared" si="10"/>
        <v>12403764</v>
      </c>
      <c r="BW35" s="136"/>
      <c r="BX35" s="425"/>
      <c r="BZ35" s="316"/>
      <c r="CA35" s="316"/>
      <c r="CB35" s="316"/>
      <c r="CC35" s="316"/>
      <c r="CD35" s="316"/>
      <c r="CE35" s="317"/>
      <c r="CF35" s="317"/>
      <c r="CG35" s="317"/>
      <c r="CH35" s="136"/>
      <c r="CI35" s="317"/>
    </row>
    <row r="36" spans="1:112" x14ac:dyDescent="0.3">
      <c r="A36" s="308">
        <v>30</v>
      </c>
      <c r="B36" s="309" t="s">
        <v>236</v>
      </c>
      <c r="D36" s="310"/>
      <c r="E36" s="311">
        <v>953874</v>
      </c>
      <c r="F36" s="312">
        <v>1960420</v>
      </c>
      <c r="G36" s="312">
        <v>13483</v>
      </c>
      <c r="H36" s="313">
        <v>0</v>
      </c>
      <c r="I36" s="172">
        <f t="shared" si="0"/>
        <v>2927777</v>
      </c>
      <c r="J36" s="187">
        <v>31030</v>
      </c>
      <c r="K36" s="166">
        <v>425514</v>
      </c>
      <c r="L36" s="166">
        <v>63</v>
      </c>
      <c r="M36" s="166">
        <v>37</v>
      </c>
      <c r="N36" s="172">
        <f t="shared" si="11"/>
        <v>456644</v>
      </c>
      <c r="O36" s="166">
        <v>58611</v>
      </c>
      <c r="P36" s="166">
        <v>78347</v>
      </c>
      <c r="Q36" s="166">
        <v>414</v>
      </c>
      <c r="R36" s="166">
        <v>0</v>
      </c>
      <c r="S36" s="172">
        <f>SUM(O36:R36)</f>
        <v>137372</v>
      </c>
      <c r="T36" s="187">
        <v>66840</v>
      </c>
      <c r="U36" s="166">
        <v>391630</v>
      </c>
      <c r="V36" s="166">
        <v>0</v>
      </c>
      <c r="W36" s="166">
        <v>0</v>
      </c>
      <c r="X36" s="172">
        <f t="shared" si="12"/>
        <v>458470</v>
      </c>
      <c r="Y36" s="187">
        <v>62592</v>
      </c>
      <c r="Z36" s="166">
        <v>364459</v>
      </c>
      <c r="AA36" s="166">
        <v>1965</v>
      </c>
      <c r="AB36" s="166">
        <v>97</v>
      </c>
      <c r="AC36" s="172">
        <f t="shared" si="3"/>
        <v>429113</v>
      </c>
      <c r="AD36" s="187">
        <v>47673</v>
      </c>
      <c r="AE36" s="166">
        <v>26118</v>
      </c>
      <c r="AF36" s="166">
        <v>-126</v>
      </c>
      <c r="AG36" s="166">
        <v>0</v>
      </c>
      <c r="AH36" s="172">
        <f t="shared" si="4"/>
        <v>73665</v>
      </c>
      <c r="AI36" s="187">
        <v>65940</v>
      </c>
      <c r="AJ36" s="166">
        <v>55</v>
      </c>
      <c r="AK36" s="166">
        <v>142</v>
      </c>
      <c r="AL36" s="166">
        <v>15</v>
      </c>
      <c r="AM36" s="172">
        <f t="shared" si="13"/>
        <v>66152</v>
      </c>
      <c r="AN36" s="187">
        <v>46231</v>
      </c>
      <c r="AO36" s="166">
        <v>341438</v>
      </c>
      <c r="AP36" s="166">
        <v>544</v>
      </c>
      <c r="AQ36" s="166">
        <v>53</v>
      </c>
      <c r="AR36" s="172">
        <f t="shared" si="1"/>
        <v>388266</v>
      </c>
      <c r="AS36" s="335">
        <v>77173</v>
      </c>
      <c r="AT36" s="166">
        <v>165</v>
      </c>
      <c r="AU36" s="166">
        <v>534</v>
      </c>
      <c r="AV36" s="166">
        <v>32</v>
      </c>
      <c r="AW36" s="172">
        <f t="shared" si="14"/>
        <v>77904</v>
      </c>
      <c r="AX36" s="187">
        <v>53080</v>
      </c>
      <c r="AY36" s="166">
        <v>168</v>
      </c>
      <c r="AZ36" s="166">
        <v>1560</v>
      </c>
      <c r="BA36" s="166">
        <v>20</v>
      </c>
      <c r="BB36" s="172">
        <f t="shared" si="5"/>
        <v>54828</v>
      </c>
      <c r="BC36" s="187">
        <v>41942</v>
      </c>
      <c r="BD36" s="166">
        <v>277876</v>
      </c>
      <c r="BE36" s="166">
        <v>1</v>
      </c>
      <c r="BF36" s="166">
        <v>59</v>
      </c>
      <c r="BG36" s="172">
        <f t="shared" si="6"/>
        <v>319878</v>
      </c>
      <c r="BH36" s="187">
        <v>0</v>
      </c>
      <c r="BI36" s="166">
        <v>0</v>
      </c>
      <c r="BJ36" s="166">
        <v>0</v>
      </c>
      <c r="BK36" s="166">
        <v>0</v>
      </c>
      <c r="BL36" s="172">
        <f t="shared" si="7"/>
        <v>0</v>
      </c>
      <c r="BM36" s="187">
        <v>0</v>
      </c>
      <c r="BN36" s="166">
        <v>0</v>
      </c>
      <c r="BO36" s="166">
        <v>0</v>
      </c>
      <c r="BP36" s="166">
        <v>0</v>
      </c>
      <c r="BQ36" s="172">
        <f t="shared" si="8"/>
        <v>0</v>
      </c>
      <c r="BR36" s="187">
        <f t="shared" si="9"/>
        <v>551112</v>
      </c>
      <c r="BS36" s="194">
        <f t="shared" si="9"/>
        <v>1905770</v>
      </c>
      <c r="BT36" s="166">
        <f t="shared" si="9"/>
        <v>5097</v>
      </c>
      <c r="BU36" s="166">
        <f t="shared" si="9"/>
        <v>313</v>
      </c>
      <c r="BV36" s="273">
        <f t="shared" si="10"/>
        <v>2462292</v>
      </c>
      <c r="BW36" s="136"/>
      <c r="BX36" s="426"/>
      <c r="BZ36" s="316"/>
      <c r="CA36" s="316"/>
      <c r="CB36" s="316"/>
      <c r="CC36" s="316"/>
      <c r="CD36" s="316"/>
      <c r="CE36" s="317"/>
      <c r="CF36" s="317"/>
      <c r="CG36" s="317"/>
      <c r="CH36" s="136"/>
      <c r="CI36" s="317"/>
    </row>
    <row r="37" spans="1:112" x14ac:dyDescent="0.3">
      <c r="A37" s="308">
        <v>31</v>
      </c>
      <c r="B37" s="309" t="s">
        <v>237</v>
      </c>
      <c r="D37" s="310"/>
      <c r="E37" s="311">
        <v>2206165</v>
      </c>
      <c r="F37" s="312">
        <v>1801812</v>
      </c>
      <c r="G37" s="312">
        <v>99799</v>
      </c>
      <c r="H37" s="313">
        <v>0</v>
      </c>
      <c r="I37" s="172">
        <f t="shared" si="0"/>
        <v>4107776</v>
      </c>
      <c r="J37" s="187">
        <v>141990</v>
      </c>
      <c r="K37" s="166">
        <v>14197</v>
      </c>
      <c r="L37" s="166">
        <v>2018</v>
      </c>
      <c r="M37" s="166">
        <v>0</v>
      </c>
      <c r="N37" s="172">
        <f t="shared" si="11"/>
        <v>158205</v>
      </c>
      <c r="O37" s="166">
        <v>182846</v>
      </c>
      <c r="P37" s="166">
        <v>470184</v>
      </c>
      <c r="Q37" s="166">
        <v>3585</v>
      </c>
      <c r="R37" s="166">
        <v>0</v>
      </c>
      <c r="S37" s="172">
        <f>SUM(O37:R37)</f>
        <v>656615</v>
      </c>
      <c r="T37" s="187">
        <v>159691</v>
      </c>
      <c r="U37" s="166">
        <v>39157</v>
      </c>
      <c r="V37" s="166">
        <v>2681</v>
      </c>
      <c r="W37" s="166">
        <v>2</v>
      </c>
      <c r="X37" s="172">
        <f t="shared" si="12"/>
        <v>201531</v>
      </c>
      <c r="Y37" s="187">
        <v>146083</v>
      </c>
      <c r="Z37" s="166">
        <v>272634</v>
      </c>
      <c r="AA37" s="166">
        <v>1150</v>
      </c>
      <c r="AB37" s="166">
        <v>0</v>
      </c>
      <c r="AC37" s="172">
        <f t="shared" si="3"/>
        <v>419867</v>
      </c>
      <c r="AD37" s="187">
        <v>172147</v>
      </c>
      <c r="AE37" s="166">
        <v>59140</v>
      </c>
      <c r="AF37" s="166">
        <v>4430</v>
      </c>
      <c r="AG37" s="166">
        <v>2</v>
      </c>
      <c r="AH37" s="172">
        <f t="shared" si="4"/>
        <v>235719</v>
      </c>
      <c r="AI37" s="187">
        <v>181606</v>
      </c>
      <c r="AJ37" s="166">
        <v>5700</v>
      </c>
      <c r="AK37" s="166">
        <v>5379</v>
      </c>
      <c r="AL37" s="166">
        <v>0</v>
      </c>
      <c r="AM37" s="172">
        <f t="shared" si="13"/>
        <v>192685</v>
      </c>
      <c r="AN37" s="187">
        <v>183806</v>
      </c>
      <c r="AO37" s="166">
        <v>325077</v>
      </c>
      <c r="AP37" s="166">
        <v>8360</v>
      </c>
      <c r="AQ37" s="166">
        <v>0</v>
      </c>
      <c r="AR37" s="172">
        <f t="shared" si="1"/>
        <v>517243</v>
      </c>
      <c r="AS37" s="187">
        <v>194355</v>
      </c>
      <c r="AT37" s="166">
        <v>66711</v>
      </c>
      <c r="AU37" s="166">
        <v>20515</v>
      </c>
      <c r="AV37" s="166">
        <v>305</v>
      </c>
      <c r="AW37" s="172">
        <f t="shared" si="14"/>
        <v>281886</v>
      </c>
      <c r="AX37" s="187">
        <v>168372</v>
      </c>
      <c r="AY37" s="166">
        <v>389657</v>
      </c>
      <c r="AZ37" s="166">
        <v>5448</v>
      </c>
      <c r="BA37" s="166">
        <v>0</v>
      </c>
      <c r="BB37" s="172">
        <f t="shared" si="5"/>
        <v>563477</v>
      </c>
      <c r="BC37" s="187">
        <v>160000</v>
      </c>
      <c r="BD37" s="166">
        <v>5965</v>
      </c>
      <c r="BE37" s="166">
        <v>2020</v>
      </c>
      <c r="BF37" s="166">
        <v>11</v>
      </c>
      <c r="BG37" s="172">
        <f t="shared" si="6"/>
        <v>167996</v>
      </c>
      <c r="BH37" s="187">
        <v>0</v>
      </c>
      <c r="BI37" s="166">
        <v>0</v>
      </c>
      <c r="BJ37" s="166">
        <v>0</v>
      </c>
      <c r="BK37" s="166">
        <v>0</v>
      </c>
      <c r="BL37" s="172">
        <f t="shared" si="7"/>
        <v>0</v>
      </c>
      <c r="BM37" s="187">
        <v>0</v>
      </c>
      <c r="BN37" s="166">
        <v>0</v>
      </c>
      <c r="BO37" s="166">
        <v>0</v>
      </c>
      <c r="BP37" s="166">
        <v>0</v>
      </c>
      <c r="BQ37" s="172">
        <f t="shared" si="8"/>
        <v>0</v>
      </c>
      <c r="BR37" s="187">
        <f t="shared" si="9"/>
        <v>1690896</v>
      </c>
      <c r="BS37" s="194">
        <f t="shared" si="9"/>
        <v>1648422</v>
      </c>
      <c r="BT37" s="166">
        <f t="shared" si="9"/>
        <v>55586</v>
      </c>
      <c r="BU37" s="166">
        <f t="shared" si="9"/>
        <v>320</v>
      </c>
      <c r="BV37" s="273">
        <f t="shared" si="10"/>
        <v>3395224</v>
      </c>
      <c r="BW37" s="136"/>
      <c r="BX37" s="426"/>
      <c r="BZ37" s="316"/>
      <c r="CA37" s="316"/>
      <c r="CB37" s="316"/>
      <c r="CC37" s="316"/>
      <c r="CD37" s="316"/>
      <c r="CE37" s="317"/>
      <c r="CF37" s="317"/>
      <c r="CG37" s="317"/>
      <c r="CH37" s="136"/>
      <c r="CI37" s="317"/>
    </row>
    <row r="38" spans="1:112" x14ac:dyDescent="0.3">
      <c r="A38" s="308">
        <v>32</v>
      </c>
      <c r="B38" s="325" t="s">
        <v>238</v>
      </c>
      <c r="D38" s="310"/>
      <c r="E38" s="311">
        <v>6587378</v>
      </c>
      <c r="F38" s="312">
        <v>2044675</v>
      </c>
      <c r="G38" s="312">
        <v>362196</v>
      </c>
      <c r="H38" s="313">
        <v>590</v>
      </c>
      <c r="I38" s="172">
        <f t="shared" si="0"/>
        <v>8994839</v>
      </c>
      <c r="J38" s="187">
        <v>208857</v>
      </c>
      <c r="K38" s="166">
        <v>226502</v>
      </c>
      <c r="L38" s="166">
        <v>14181</v>
      </c>
      <c r="M38" s="166">
        <v>0</v>
      </c>
      <c r="N38" s="172">
        <f t="shared" si="11"/>
        <v>449540</v>
      </c>
      <c r="O38" s="166">
        <v>392418</v>
      </c>
      <c r="P38" s="166">
        <v>446031</v>
      </c>
      <c r="Q38" s="166">
        <v>17397</v>
      </c>
      <c r="R38" s="166">
        <v>0</v>
      </c>
      <c r="S38" s="172">
        <f>SUM(O38:R38)</f>
        <v>855846</v>
      </c>
      <c r="T38" s="187">
        <v>505197</v>
      </c>
      <c r="U38" s="166">
        <v>129606</v>
      </c>
      <c r="V38" s="166">
        <v>24490</v>
      </c>
      <c r="W38" s="166">
        <v>2</v>
      </c>
      <c r="X38" s="172">
        <f t="shared" si="12"/>
        <v>659295</v>
      </c>
      <c r="Y38" s="187">
        <v>424275</v>
      </c>
      <c r="Z38" s="166">
        <v>192442</v>
      </c>
      <c r="AA38" s="166">
        <v>42381</v>
      </c>
      <c r="AB38" s="166">
        <v>315</v>
      </c>
      <c r="AC38" s="172">
        <f t="shared" si="3"/>
        <v>659413</v>
      </c>
      <c r="AD38" s="187">
        <v>455151</v>
      </c>
      <c r="AE38" s="166">
        <v>306601</v>
      </c>
      <c r="AF38" s="166">
        <v>16834</v>
      </c>
      <c r="AG38" s="166">
        <v>823</v>
      </c>
      <c r="AH38" s="172">
        <f>SUM(AD38:AG38)</f>
        <v>779409</v>
      </c>
      <c r="AI38" s="187">
        <v>495334</v>
      </c>
      <c r="AJ38" s="166">
        <v>208805</v>
      </c>
      <c r="AK38" s="166">
        <v>43340</v>
      </c>
      <c r="AL38" s="166">
        <v>315</v>
      </c>
      <c r="AM38" s="172">
        <f t="shared" si="13"/>
        <v>747794</v>
      </c>
      <c r="AN38" s="187">
        <v>382088</v>
      </c>
      <c r="AO38" s="166">
        <v>228267</v>
      </c>
      <c r="AP38" s="166">
        <v>17752</v>
      </c>
      <c r="AQ38" s="166">
        <v>496</v>
      </c>
      <c r="AR38" s="172">
        <f t="shared" si="1"/>
        <v>628603</v>
      </c>
      <c r="AS38" s="187">
        <v>436063</v>
      </c>
      <c r="AT38" s="166">
        <v>373953</v>
      </c>
      <c r="AU38" s="166">
        <v>40877</v>
      </c>
      <c r="AV38" s="166">
        <v>105</v>
      </c>
      <c r="AW38" s="172">
        <f t="shared" si="14"/>
        <v>850998</v>
      </c>
      <c r="AX38" s="187">
        <v>581791</v>
      </c>
      <c r="AY38" s="166">
        <v>226894</v>
      </c>
      <c r="AZ38" s="166">
        <v>67169</v>
      </c>
      <c r="BA38" s="166">
        <v>24</v>
      </c>
      <c r="BB38" s="172">
        <f t="shared" si="5"/>
        <v>875878</v>
      </c>
      <c r="BC38" s="187">
        <v>306553</v>
      </c>
      <c r="BD38" s="166">
        <v>212347</v>
      </c>
      <c r="BE38" s="166">
        <v>15720</v>
      </c>
      <c r="BF38" s="166">
        <v>132</v>
      </c>
      <c r="BG38" s="172">
        <f t="shared" si="6"/>
        <v>534752</v>
      </c>
      <c r="BH38" s="187">
        <v>0</v>
      </c>
      <c r="BI38" s="166">
        <v>0</v>
      </c>
      <c r="BJ38" s="166">
        <v>0</v>
      </c>
      <c r="BK38" s="166">
        <v>0</v>
      </c>
      <c r="BL38" s="172">
        <f t="shared" si="7"/>
        <v>0</v>
      </c>
      <c r="BM38" s="187">
        <v>0</v>
      </c>
      <c r="BN38" s="166">
        <v>0</v>
      </c>
      <c r="BO38" s="166">
        <v>0</v>
      </c>
      <c r="BP38" s="166">
        <v>0</v>
      </c>
      <c r="BQ38" s="172">
        <f t="shared" si="8"/>
        <v>0</v>
      </c>
      <c r="BR38" s="187">
        <f t="shared" si="9"/>
        <v>4187727</v>
      </c>
      <c r="BS38" s="194">
        <f t="shared" si="9"/>
        <v>2551448</v>
      </c>
      <c r="BT38" s="166">
        <f t="shared" si="9"/>
        <v>300141</v>
      </c>
      <c r="BU38" s="166">
        <f t="shared" si="9"/>
        <v>2212</v>
      </c>
      <c r="BV38" s="273">
        <f t="shared" si="10"/>
        <v>7041528</v>
      </c>
      <c r="BW38" s="136"/>
      <c r="BX38" s="426"/>
      <c r="BZ38" s="316"/>
      <c r="CA38" s="316"/>
      <c r="CB38" s="316"/>
      <c r="CC38" s="316"/>
      <c r="CD38" s="316"/>
      <c r="CE38" s="317"/>
      <c r="CF38" s="317"/>
      <c r="CG38" s="317"/>
      <c r="CH38" s="136"/>
      <c r="CI38" s="317"/>
    </row>
    <row r="39" spans="1:112" x14ac:dyDescent="0.3">
      <c r="A39" s="320">
        <v>33</v>
      </c>
      <c r="B39" s="17" t="s">
        <v>239</v>
      </c>
      <c r="D39" s="326"/>
      <c r="E39" s="311">
        <v>947323</v>
      </c>
      <c r="F39" s="312">
        <v>32515658</v>
      </c>
      <c r="G39" s="312">
        <v>15284</v>
      </c>
      <c r="H39" s="313">
        <v>209</v>
      </c>
      <c r="I39" s="172">
        <f t="shared" si="0"/>
        <v>33478474</v>
      </c>
      <c r="J39" s="187">
        <v>43951</v>
      </c>
      <c r="K39" s="166">
        <v>1029197</v>
      </c>
      <c r="L39" s="166">
        <v>587</v>
      </c>
      <c r="M39" s="166">
        <v>0</v>
      </c>
      <c r="N39" s="172">
        <f t="shared" si="11"/>
        <v>1073735</v>
      </c>
      <c r="O39" s="166">
        <v>44260</v>
      </c>
      <c r="P39" s="166">
        <v>1696861</v>
      </c>
      <c r="Q39" s="166">
        <v>224</v>
      </c>
      <c r="R39" s="166">
        <v>42</v>
      </c>
      <c r="S39" s="172">
        <f t="shared" ref="S39:S47" si="16">SUM(O39:R39)</f>
        <v>1741387</v>
      </c>
      <c r="T39" s="187">
        <v>49228</v>
      </c>
      <c r="U39" s="166">
        <v>2226920</v>
      </c>
      <c r="V39" s="166">
        <v>1787</v>
      </c>
      <c r="W39" s="166">
        <v>0</v>
      </c>
      <c r="X39" s="172">
        <f t="shared" si="12"/>
        <v>2277935</v>
      </c>
      <c r="Y39" s="187">
        <v>65135</v>
      </c>
      <c r="Z39" s="166">
        <v>2357990</v>
      </c>
      <c r="AA39" s="166">
        <v>1336</v>
      </c>
      <c r="AB39" s="166">
        <v>95</v>
      </c>
      <c r="AC39" s="172">
        <f t="shared" si="3"/>
        <v>2424556</v>
      </c>
      <c r="AD39" s="187">
        <v>55606</v>
      </c>
      <c r="AE39" s="166">
        <v>4653764</v>
      </c>
      <c r="AF39" s="166">
        <v>752</v>
      </c>
      <c r="AG39" s="166">
        <v>30</v>
      </c>
      <c r="AH39" s="172">
        <f t="shared" si="4"/>
        <v>4710152</v>
      </c>
      <c r="AI39" s="187">
        <v>56006</v>
      </c>
      <c r="AJ39" s="166">
        <v>1853208</v>
      </c>
      <c r="AK39" s="166">
        <v>-459</v>
      </c>
      <c r="AL39" s="166">
        <v>0</v>
      </c>
      <c r="AM39" s="172">
        <f t="shared" si="13"/>
        <v>1908755</v>
      </c>
      <c r="AN39" s="187">
        <v>52993</v>
      </c>
      <c r="AO39" s="166">
        <v>1492907</v>
      </c>
      <c r="AP39" s="166">
        <v>1354</v>
      </c>
      <c r="AQ39" s="166">
        <v>0</v>
      </c>
      <c r="AR39" s="172">
        <f t="shared" si="1"/>
        <v>1547254</v>
      </c>
      <c r="AS39" s="187">
        <v>78032</v>
      </c>
      <c r="AT39" s="166">
        <v>5112769</v>
      </c>
      <c r="AU39" s="166">
        <v>637</v>
      </c>
      <c r="AV39" s="166">
        <v>0</v>
      </c>
      <c r="AW39" s="172">
        <f t="shared" si="14"/>
        <v>5191438</v>
      </c>
      <c r="AX39" s="187">
        <v>69460</v>
      </c>
      <c r="AY39" s="166">
        <v>1811456</v>
      </c>
      <c r="AZ39" s="166">
        <v>558</v>
      </c>
      <c r="BA39" s="166">
        <v>0</v>
      </c>
      <c r="BB39" s="172">
        <f t="shared" si="5"/>
        <v>1881474</v>
      </c>
      <c r="BC39" s="187">
        <v>48241</v>
      </c>
      <c r="BD39" s="166">
        <v>1811106</v>
      </c>
      <c r="BE39" s="166">
        <v>1379</v>
      </c>
      <c r="BF39" s="166">
        <v>0</v>
      </c>
      <c r="BG39" s="172">
        <f t="shared" si="6"/>
        <v>1860726</v>
      </c>
      <c r="BH39" s="187">
        <v>0</v>
      </c>
      <c r="BI39" s="166">
        <v>0</v>
      </c>
      <c r="BJ39" s="166">
        <v>0</v>
      </c>
      <c r="BK39" s="166">
        <v>0</v>
      </c>
      <c r="BL39" s="172">
        <f t="shared" si="7"/>
        <v>0</v>
      </c>
      <c r="BM39" s="187">
        <v>0</v>
      </c>
      <c r="BN39" s="166">
        <v>0</v>
      </c>
      <c r="BO39" s="166">
        <v>0</v>
      </c>
      <c r="BP39" s="166">
        <v>0</v>
      </c>
      <c r="BQ39" s="172">
        <f t="shared" si="8"/>
        <v>0</v>
      </c>
      <c r="BR39" s="187">
        <f t="shared" si="9"/>
        <v>562912</v>
      </c>
      <c r="BS39" s="194">
        <f t="shared" si="9"/>
        <v>24046178</v>
      </c>
      <c r="BT39" s="166">
        <f t="shared" si="9"/>
        <v>8155</v>
      </c>
      <c r="BU39" s="166">
        <f t="shared" si="9"/>
        <v>167</v>
      </c>
      <c r="BV39" s="273">
        <f t="shared" si="10"/>
        <v>24617412</v>
      </c>
      <c r="BW39" s="136"/>
      <c r="BX39" s="425"/>
      <c r="BZ39" s="316"/>
      <c r="CA39" s="316"/>
      <c r="CB39" s="316"/>
      <c r="CC39" s="316"/>
      <c r="CD39" s="316"/>
      <c r="CE39" s="317"/>
      <c r="CF39" s="317"/>
      <c r="CG39" s="317"/>
      <c r="CH39" s="136"/>
      <c r="CI39" s="317"/>
    </row>
    <row r="40" spans="1:112" x14ac:dyDescent="0.3">
      <c r="A40" s="308">
        <v>34</v>
      </c>
      <c r="B40" s="309" t="s">
        <v>240</v>
      </c>
      <c r="D40" s="310"/>
      <c r="E40" s="311">
        <v>2401075</v>
      </c>
      <c r="F40" s="312">
        <v>8033000</v>
      </c>
      <c r="G40" s="312">
        <v>13462</v>
      </c>
      <c r="H40" s="313">
        <v>0</v>
      </c>
      <c r="I40" s="172">
        <f t="shared" si="0"/>
        <v>10447537</v>
      </c>
      <c r="J40" s="187">
        <v>103988</v>
      </c>
      <c r="K40" s="166">
        <v>654425</v>
      </c>
      <c r="L40" s="166">
        <v>312</v>
      </c>
      <c r="M40" s="166">
        <v>0</v>
      </c>
      <c r="N40" s="172">
        <f t="shared" si="11"/>
        <v>758725</v>
      </c>
      <c r="O40" s="166">
        <v>119345</v>
      </c>
      <c r="P40" s="166">
        <v>520242</v>
      </c>
      <c r="Q40" s="166">
        <v>-118</v>
      </c>
      <c r="R40" s="166">
        <v>0</v>
      </c>
      <c r="S40" s="172">
        <f t="shared" si="16"/>
        <v>639469</v>
      </c>
      <c r="T40" s="187">
        <v>113384</v>
      </c>
      <c r="U40" s="166">
        <v>193724</v>
      </c>
      <c r="V40" s="166">
        <v>548</v>
      </c>
      <c r="W40" s="166">
        <v>0</v>
      </c>
      <c r="X40" s="172">
        <f t="shared" si="12"/>
        <v>307656</v>
      </c>
      <c r="Y40" s="187">
        <v>164543</v>
      </c>
      <c r="Z40" s="166">
        <v>759490</v>
      </c>
      <c r="AA40" s="166">
        <v>690</v>
      </c>
      <c r="AB40" s="166">
        <v>0</v>
      </c>
      <c r="AC40" s="172">
        <f t="shared" si="3"/>
        <v>924723</v>
      </c>
      <c r="AD40" s="187">
        <v>123694</v>
      </c>
      <c r="AE40" s="166">
        <v>233649</v>
      </c>
      <c r="AF40" s="166">
        <v>69</v>
      </c>
      <c r="AG40" s="166">
        <v>0</v>
      </c>
      <c r="AH40" s="172">
        <f t="shared" si="4"/>
        <v>357412</v>
      </c>
      <c r="AI40" s="187">
        <v>123177</v>
      </c>
      <c r="AJ40" s="166">
        <v>948950</v>
      </c>
      <c r="AK40" s="166">
        <v>354</v>
      </c>
      <c r="AL40" s="166">
        <v>0</v>
      </c>
      <c r="AM40" s="172">
        <f t="shared" si="13"/>
        <v>1072481</v>
      </c>
      <c r="AN40" s="187">
        <v>122144</v>
      </c>
      <c r="AO40" s="166">
        <v>144238</v>
      </c>
      <c r="AP40" s="166">
        <v>296</v>
      </c>
      <c r="AQ40" s="166">
        <v>0</v>
      </c>
      <c r="AR40" s="172">
        <f t="shared" si="1"/>
        <v>266678</v>
      </c>
      <c r="AS40" s="187">
        <v>148136</v>
      </c>
      <c r="AT40" s="166">
        <v>1842388</v>
      </c>
      <c r="AU40" s="166">
        <v>813</v>
      </c>
      <c r="AV40" s="166">
        <v>0</v>
      </c>
      <c r="AW40" s="172">
        <f t="shared" si="14"/>
        <v>1991337</v>
      </c>
      <c r="AX40" s="187">
        <v>176605</v>
      </c>
      <c r="AY40" s="166">
        <v>163353</v>
      </c>
      <c r="AZ40" s="166">
        <v>4556</v>
      </c>
      <c r="BA40" s="166">
        <v>0</v>
      </c>
      <c r="BB40" s="172">
        <f t="shared" si="5"/>
        <v>344514</v>
      </c>
      <c r="BC40" s="187">
        <v>138874</v>
      </c>
      <c r="BD40" s="166">
        <v>75156</v>
      </c>
      <c r="BE40" s="166">
        <v>-288</v>
      </c>
      <c r="BF40" s="166">
        <v>0</v>
      </c>
      <c r="BG40" s="172">
        <f t="shared" si="6"/>
        <v>213742</v>
      </c>
      <c r="BH40" s="187">
        <v>0</v>
      </c>
      <c r="BI40" s="166">
        <v>0</v>
      </c>
      <c r="BJ40" s="166">
        <v>0</v>
      </c>
      <c r="BK40" s="166">
        <v>0</v>
      </c>
      <c r="BL40" s="172">
        <f t="shared" si="7"/>
        <v>0</v>
      </c>
      <c r="BM40" s="187">
        <v>0</v>
      </c>
      <c r="BN40" s="166">
        <v>0</v>
      </c>
      <c r="BO40" s="166">
        <v>0</v>
      </c>
      <c r="BP40" s="166">
        <v>0</v>
      </c>
      <c r="BQ40" s="172">
        <f t="shared" si="8"/>
        <v>0</v>
      </c>
      <c r="BR40" s="187">
        <f t="shared" si="9"/>
        <v>1333890</v>
      </c>
      <c r="BS40" s="194">
        <f t="shared" si="9"/>
        <v>5535615</v>
      </c>
      <c r="BT40" s="166">
        <f t="shared" si="9"/>
        <v>7232</v>
      </c>
      <c r="BU40" s="166">
        <f t="shared" si="9"/>
        <v>0</v>
      </c>
      <c r="BV40" s="273">
        <f t="shared" si="10"/>
        <v>6876737</v>
      </c>
      <c r="BW40" s="136"/>
      <c r="BX40" s="425"/>
      <c r="BZ40" s="316"/>
      <c r="CA40" s="316"/>
      <c r="CB40" s="316"/>
      <c r="CC40" s="316"/>
      <c r="CD40" s="316"/>
      <c r="CE40" s="317"/>
      <c r="CF40" s="317"/>
      <c r="CG40" s="317"/>
      <c r="CH40" s="136"/>
      <c r="CI40" s="317"/>
    </row>
    <row r="41" spans="1:112" x14ac:dyDescent="0.3">
      <c r="A41" s="308">
        <v>35</v>
      </c>
      <c r="B41" s="309" t="s">
        <v>241</v>
      </c>
      <c r="D41" s="310"/>
      <c r="E41" s="311">
        <v>579881</v>
      </c>
      <c r="F41" s="312">
        <v>8554102</v>
      </c>
      <c r="G41" s="312">
        <v>11279</v>
      </c>
      <c r="H41" s="313">
        <v>0</v>
      </c>
      <c r="I41" s="172">
        <f t="shared" si="0"/>
        <v>9145262</v>
      </c>
      <c r="J41" s="187">
        <v>33450</v>
      </c>
      <c r="K41" s="166">
        <v>883670</v>
      </c>
      <c r="L41" s="166">
        <v>0</v>
      </c>
      <c r="M41" s="166">
        <v>0</v>
      </c>
      <c r="N41" s="172">
        <f t="shared" si="11"/>
        <v>917120</v>
      </c>
      <c r="O41" s="166">
        <v>39315</v>
      </c>
      <c r="P41" s="166">
        <v>12271</v>
      </c>
      <c r="Q41" s="166">
        <v>546</v>
      </c>
      <c r="R41" s="166">
        <v>0</v>
      </c>
      <c r="S41" s="172">
        <f t="shared" si="16"/>
        <v>52132</v>
      </c>
      <c r="T41" s="187">
        <v>47178</v>
      </c>
      <c r="U41" s="166">
        <v>80237</v>
      </c>
      <c r="V41" s="166">
        <v>268</v>
      </c>
      <c r="W41" s="166">
        <v>0</v>
      </c>
      <c r="X41" s="172">
        <f t="shared" si="12"/>
        <v>127683</v>
      </c>
      <c r="Y41" s="187">
        <v>57038</v>
      </c>
      <c r="Z41" s="166">
        <v>1520406</v>
      </c>
      <c r="AA41" s="166">
        <v>411</v>
      </c>
      <c r="AB41" s="166">
        <v>3</v>
      </c>
      <c r="AC41" s="172">
        <f t="shared" si="3"/>
        <v>1577858</v>
      </c>
      <c r="AD41" s="187">
        <v>53161</v>
      </c>
      <c r="AE41" s="166">
        <v>1593079</v>
      </c>
      <c r="AF41" s="166">
        <v>1572</v>
      </c>
      <c r="AG41" s="166">
        <v>0</v>
      </c>
      <c r="AH41" s="172">
        <f t="shared" si="4"/>
        <v>1647812</v>
      </c>
      <c r="AI41" s="187">
        <v>39148</v>
      </c>
      <c r="AJ41" s="166">
        <v>199549</v>
      </c>
      <c r="AK41" s="166">
        <v>281</v>
      </c>
      <c r="AL41" s="166">
        <v>0</v>
      </c>
      <c r="AM41" s="172">
        <f t="shared" si="13"/>
        <v>238978</v>
      </c>
      <c r="AN41" s="187">
        <v>46637</v>
      </c>
      <c r="AO41" s="166">
        <v>790010</v>
      </c>
      <c r="AP41" s="166">
        <v>530</v>
      </c>
      <c r="AQ41" s="166">
        <v>0</v>
      </c>
      <c r="AR41" s="172">
        <f t="shared" si="1"/>
        <v>837177</v>
      </c>
      <c r="AS41" s="187">
        <v>56641</v>
      </c>
      <c r="AT41" s="166">
        <v>544903</v>
      </c>
      <c r="AU41" s="166">
        <v>1346</v>
      </c>
      <c r="AV41" s="166">
        <v>4</v>
      </c>
      <c r="AW41" s="172">
        <f t="shared" si="14"/>
        <v>602894</v>
      </c>
      <c r="AX41" s="187">
        <v>64882</v>
      </c>
      <c r="AY41" s="166">
        <v>981761</v>
      </c>
      <c r="AZ41" s="166">
        <v>-106</v>
      </c>
      <c r="BA41" s="166">
        <v>0</v>
      </c>
      <c r="BB41" s="172">
        <f t="shared" si="5"/>
        <v>1046537</v>
      </c>
      <c r="BC41" s="187">
        <v>38914</v>
      </c>
      <c r="BD41" s="166">
        <v>710603</v>
      </c>
      <c r="BE41" s="166">
        <v>535</v>
      </c>
      <c r="BF41" s="166">
        <v>0</v>
      </c>
      <c r="BG41" s="172">
        <f t="shared" si="6"/>
        <v>750052</v>
      </c>
      <c r="BH41" s="187">
        <v>0</v>
      </c>
      <c r="BI41" s="166">
        <v>0</v>
      </c>
      <c r="BJ41" s="166">
        <v>0</v>
      </c>
      <c r="BK41" s="166">
        <v>0</v>
      </c>
      <c r="BL41" s="172">
        <f t="shared" si="7"/>
        <v>0</v>
      </c>
      <c r="BM41" s="187">
        <v>0</v>
      </c>
      <c r="BN41" s="166">
        <v>0</v>
      </c>
      <c r="BO41" s="166">
        <v>0</v>
      </c>
      <c r="BP41" s="166">
        <v>0</v>
      </c>
      <c r="BQ41" s="172">
        <f t="shared" si="8"/>
        <v>0</v>
      </c>
      <c r="BR41" s="187">
        <f t="shared" si="9"/>
        <v>476364</v>
      </c>
      <c r="BS41" s="194">
        <f t="shared" si="9"/>
        <v>7316489</v>
      </c>
      <c r="BT41" s="166">
        <f t="shared" si="9"/>
        <v>5383</v>
      </c>
      <c r="BU41" s="166">
        <f t="shared" si="9"/>
        <v>7</v>
      </c>
      <c r="BV41" s="273">
        <f t="shared" si="10"/>
        <v>7798243</v>
      </c>
      <c r="BW41" s="136"/>
      <c r="BX41" s="426"/>
      <c r="BZ41" s="316"/>
      <c r="CA41" s="316"/>
      <c r="CB41" s="316"/>
      <c r="CC41" s="316"/>
      <c r="CD41" s="316"/>
      <c r="CE41" s="317"/>
      <c r="CF41" s="317"/>
      <c r="CG41" s="317"/>
      <c r="CH41" s="136"/>
      <c r="CI41" s="317"/>
    </row>
    <row r="42" spans="1:112" x14ac:dyDescent="0.3">
      <c r="A42" s="308">
        <v>36</v>
      </c>
      <c r="B42" s="17" t="s">
        <v>242</v>
      </c>
      <c r="D42" s="310"/>
      <c r="E42" s="311">
        <v>252752</v>
      </c>
      <c r="F42" s="312">
        <v>2275401</v>
      </c>
      <c r="G42" s="312">
        <v>4736</v>
      </c>
      <c r="H42" s="313">
        <v>0</v>
      </c>
      <c r="I42" s="172">
        <f t="shared" si="0"/>
        <v>2532889</v>
      </c>
      <c r="J42" s="187">
        <v>16439</v>
      </c>
      <c r="K42" s="166">
        <v>98450</v>
      </c>
      <c r="L42" s="166">
        <v>76</v>
      </c>
      <c r="M42" s="166">
        <v>0</v>
      </c>
      <c r="N42" s="172">
        <f t="shared" si="11"/>
        <v>114965</v>
      </c>
      <c r="O42" s="166">
        <v>16433</v>
      </c>
      <c r="P42" s="166">
        <v>92125</v>
      </c>
      <c r="Q42" s="166">
        <v>105</v>
      </c>
      <c r="R42" s="166">
        <v>0</v>
      </c>
      <c r="S42" s="172">
        <f t="shared" si="16"/>
        <v>108663</v>
      </c>
      <c r="T42" s="187">
        <v>22791</v>
      </c>
      <c r="U42" s="166">
        <v>345486</v>
      </c>
      <c r="V42" s="166">
        <v>181</v>
      </c>
      <c r="W42" s="166">
        <v>0</v>
      </c>
      <c r="X42" s="172">
        <f t="shared" si="12"/>
        <v>368458</v>
      </c>
      <c r="Y42" s="187">
        <v>17916</v>
      </c>
      <c r="Z42" s="166">
        <v>114678</v>
      </c>
      <c r="AA42" s="166">
        <v>81</v>
      </c>
      <c r="AB42" s="166">
        <v>0</v>
      </c>
      <c r="AC42" s="172">
        <f t="shared" si="3"/>
        <v>132675</v>
      </c>
      <c r="AD42" s="187">
        <v>19916</v>
      </c>
      <c r="AE42" s="166">
        <v>194438</v>
      </c>
      <c r="AF42" s="166">
        <v>106</v>
      </c>
      <c r="AG42" s="166">
        <v>0</v>
      </c>
      <c r="AH42" s="172">
        <f>SUM(AD42:AG42)</f>
        <v>214460</v>
      </c>
      <c r="AI42" s="187">
        <v>23942</v>
      </c>
      <c r="AJ42" s="166">
        <v>336583</v>
      </c>
      <c r="AK42" s="166">
        <v>41</v>
      </c>
      <c r="AL42" s="166">
        <v>0</v>
      </c>
      <c r="AM42" s="172">
        <f t="shared" si="13"/>
        <v>360566</v>
      </c>
      <c r="AN42" s="187">
        <v>15771</v>
      </c>
      <c r="AO42" s="166">
        <v>220769</v>
      </c>
      <c r="AP42" s="166">
        <v>87</v>
      </c>
      <c r="AQ42" s="166">
        <v>0</v>
      </c>
      <c r="AR42" s="172">
        <f t="shared" si="1"/>
        <v>236627</v>
      </c>
      <c r="AS42" s="187">
        <v>21466</v>
      </c>
      <c r="AT42" s="166">
        <v>337211</v>
      </c>
      <c r="AU42" s="166">
        <v>28</v>
      </c>
      <c r="AV42" s="166">
        <v>0</v>
      </c>
      <c r="AW42" s="172">
        <f t="shared" si="14"/>
        <v>358705</v>
      </c>
      <c r="AX42" s="187">
        <v>14708</v>
      </c>
      <c r="AY42" s="166">
        <v>93899</v>
      </c>
      <c r="AZ42" s="166">
        <v>1332</v>
      </c>
      <c r="BA42" s="166">
        <v>0</v>
      </c>
      <c r="BB42" s="172">
        <f t="shared" si="5"/>
        <v>109939</v>
      </c>
      <c r="BC42" s="187">
        <v>23057</v>
      </c>
      <c r="BD42" s="166">
        <v>314753</v>
      </c>
      <c r="BE42" s="166">
        <v>37</v>
      </c>
      <c r="BF42" s="166">
        <v>0</v>
      </c>
      <c r="BG42" s="172">
        <f t="shared" si="6"/>
        <v>337847</v>
      </c>
      <c r="BH42" s="187">
        <v>0</v>
      </c>
      <c r="BI42" s="166">
        <v>0</v>
      </c>
      <c r="BJ42" s="166">
        <v>0</v>
      </c>
      <c r="BK42" s="166">
        <v>0</v>
      </c>
      <c r="BL42" s="172">
        <f t="shared" si="7"/>
        <v>0</v>
      </c>
      <c r="BM42" s="187">
        <v>0</v>
      </c>
      <c r="BN42" s="166">
        <v>0</v>
      </c>
      <c r="BO42" s="166">
        <v>0</v>
      </c>
      <c r="BP42" s="166">
        <v>0</v>
      </c>
      <c r="BQ42" s="172">
        <f t="shared" si="8"/>
        <v>0</v>
      </c>
      <c r="BR42" s="187">
        <f t="shared" si="9"/>
        <v>192439</v>
      </c>
      <c r="BS42" s="194">
        <f t="shared" si="9"/>
        <v>2148392</v>
      </c>
      <c r="BT42" s="166">
        <f t="shared" si="9"/>
        <v>2074</v>
      </c>
      <c r="BU42" s="166">
        <f t="shared" si="9"/>
        <v>0</v>
      </c>
      <c r="BV42" s="273">
        <f t="shared" si="10"/>
        <v>2342905</v>
      </c>
      <c r="BW42" s="136"/>
      <c r="BX42" s="427"/>
      <c r="BZ42" s="316"/>
      <c r="CA42" s="316"/>
      <c r="CB42" s="316"/>
      <c r="CC42" s="316"/>
      <c r="CD42" s="316"/>
      <c r="CE42" s="317"/>
      <c r="CF42" s="317"/>
      <c r="CG42" s="317"/>
      <c r="CH42" s="136"/>
      <c r="CI42" s="317"/>
    </row>
    <row r="43" spans="1:112" x14ac:dyDescent="0.3">
      <c r="A43" s="308">
        <v>37</v>
      </c>
      <c r="B43" s="17" t="s">
        <v>243</v>
      </c>
      <c r="D43" s="339"/>
      <c r="E43" s="311">
        <v>1054261</v>
      </c>
      <c r="F43" s="312">
        <v>5092464</v>
      </c>
      <c r="G43" s="312">
        <v>158728</v>
      </c>
      <c r="H43" s="313">
        <v>0</v>
      </c>
      <c r="I43" s="172">
        <f>SUM(E43:H43)</f>
        <v>6305453</v>
      </c>
      <c r="J43" s="187">
        <v>41529</v>
      </c>
      <c r="K43" s="166">
        <v>685421</v>
      </c>
      <c r="L43" s="166">
        <v>0</v>
      </c>
      <c r="M43" s="166">
        <v>0</v>
      </c>
      <c r="N43" s="172">
        <f t="shared" si="11"/>
        <v>726950</v>
      </c>
      <c r="O43" s="166">
        <v>120894</v>
      </c>
      <c r="P43" s="166">
        <v>26438</v>
      </c>
      <c r="Q43" s="166">
        <v>0</v>
      </c>
      <c r="R43" s="166">
        <v>0</v>
      </c>
      <c r="S43" s="172">
        <f>SUM(O43:R43)</f>
        <v>147332</v>
      </c>
      <c r="T43" s="187">
        <v>58851</v>
      </c>
      <c r="U43" s="166">
        <v>85997</v>
      </c>
      <c r="V43" s="166">
        <v>56</v>
      </c>
      <c r="W43" s="166">
        <v>0</v>
      </c>
      <c r="X43" s="172">
        <f t="shared" si="12"/>
        <v>144904</v>
      </c>
      <c r="Y43" s="187">
        <v>97026</v>
      </c>
      <c r="Z43" s="166">
        <v>1138916</v>
      </c>
      <c r="AA43" s="166">
        <v>5563</v>
      </c>
      <c r="AB43" s="166">
        <v>20</v>
      </c>
      <c r="AC43" s="172">
        <f t="shared" si="3"/>
        <v>1241525</v>
      </c>
      <c r="AD43" s="187">
        <v>84694</v>
      </c>
      <c r="AE43" s="166">
        <v>297877</v>
      </c>
      <c r="AF43" s="166">
        <v>309</v>
      </c>
      <c r="AG43" s="166">
        <v>0</v>
      </c>
      <c r="AH43" s="172">
        <f t="shared" si="4"/>
        <v>382880</v>
      </c>
      <c r="AI43" s="187">
        <v>81933</v>
      </c>
      <c r="AJ43" s="166">
        <v>54534</v>
      </c>
      <c r="AK43" s="166">
        <v>126</v>
      </c>
      <c r="AL43" s="166">
        <v>21</v>
      </c>
      <c r="AM43" s="172">
        <f t="shared" si="13"/>
        <v>136614</v>
      </c>
      <c r="AN43" s="187">
        <v>73317</v>
      </c>
      <c r="AO43" s="166">
        <v>868247</v>
      </c>
      <c r="AP43" s="166">
        <v>656</v>
      </c>
      <c r="AQ43" s="166">
        <v>0</v>
      </c>
      <c r="AR43" s="172">
        <f t="shared" si="1"/>
        <v>942220</v>
      </c>
      <c r="AS43" s="187">
        <v>103128</v>
      </c>
      <c r="AT43" s="166">
        <v>235290</v>
      </c>
      <c r="AU43" s="166">
        <v>759</v>
      </c>
      <c r="AV43" s="166">
        <v>3</v>
      </c>
      <c r="AW43" s="172">
        <f t="shared" si="14"/>
        <v>339180</v>
      </c>
      <c r="AX43" s="187">
        <v>83331</v>
      </c>
      <c r="AY43" s="166">
        <v>470942</v>
      </c>
      <c r="AZ43" s="166">
        <v>4878</v>
      </c>
      <c r="BA43" s="166">
        <v>0</v>
      </c>
      <c r="BB43" s="172">
        <f t="shared" si="5"/>
        <v>559151</v>
      </c>
      <c r="BC43" s="187">
        <v>50026</v>
      </c>
      <c r="BD43" s="166">
        <v>806777</v>
      </c>
      <c r="BE43" s="166">
        <v>13903</v>
      </c>
      <c r="BF43" s="166">
        <v>0</v>
      </c>
      <c r="BG43" s="172">
        <f t="shared" si="6"/>
        <v>870706</v>
      </c>
      <c r="BH43" s="187">
        <v>0</v>
      </c>
      <c r="BI43" s="166">
        <v>0</v>
      </c>
      <c r="BJ43" s="166">
        <v>0</v>
      </c>
      <c r="BK43" s="166">
        <v>0</v>
      </c>
      <c r="BL43" s="172">
        <f t="shared" si="7"/>
        <v>0</v>
      </c>
      <c r="BM43" s="187">
        <v>0</v>
      </c>
      <c r="BN43" s="166">
        <v>0</v>
      </c>
      <c r="BO43" s="166">
        <v>0</v>
      </c>
      <c r="BP43" s="166">
        <v>0</v>
      </c>
      <c r="BQ43" s="172">
        <f t="shared" si="8"/>
        <v>0</v>
      </c>
      <c r="BR43" s="187">
        <f t="shared" si="9"/>
        <v>794729</v>
      </c>
      <c r="BS43" s="194">
        <f t="shared" si="9"/>
        <v>4670439</v>
      </c>
      <c r="BT43" s="166">
        <f t="shared" si="9"/>
        <v>26250</v>
      </c>
      <c r="BU43" s="166">
        <f t="shared" si="9"/>
        <v>44</v>
      </c>
      <c r="BV43" s="273">
        <f t="shared" si="10"/>
        <v>5491462</v>
      </c>
      <c r="BW43" s="136"/>
      <c r="BX43" s="426"/>
      <c r="BZ43" s="316"/>
      <c r="CA43" s="316"/>
      <c r="CB43" s="316"/>
      <c r="CC43" s="316"/>
      <c r="CD43" s="316"/>
      <c r="CE43" s="317"/>
      <c r="CF43" s="317"/>
      <c r="CG43" s="317"/>
      <c r="CH43" s="136"/>
      <c r="CI43" s="317"/>
    </row>
    <row r="44" spans="1:112" x14ac:dyDescent="0.3">
      <c r="A44" s="308">
        <v>38</v>
      </c>
      <c r="B44" s="309" t="s">
        <v>244</v>
      </c>
      <c r="D44" s="310"/>
      <c r="E44" s="311">
        <v>931907</v>
      </c>
      <c r="F44" s="312">
        <v>1565615</v>
      </c>
      <c r="G44" s="312">
        <v>4835</v>
      </c>
      <c r="H44" s="313">
        <v>0</v>
      </c>
      <c r="I44" s="172">
        <f t="shared" si="0"/>
        <v>2502357</v>
      </c>
      <c r="J44" s="187">
        <v>49075</v>
      </c>
      <c r="K44" s="166">
        <v>531832</v>
      </c>
      <c r="L44" s="166">
        <v>21085</v>
      </c>
      <c r="M44" s="166">
        <v>0</v>
      </c>
      <c r="N44" s="172">
        <f t="shared" si="11"/>
        <v>601992</v>
      </c>
      <c r="O44" s="166">
        <v>67173</v>
      </c>
      <c r="P44" s="166">
        <v>2238</v>
      </c>
      <c r="Q44" s="166">
        <v>443</v>
      </c>
      <c r="R44" s="166">
        <v>21</v>
      </c>
      <c r="S44" s="172">
        <f t="shared" si="16"/>
        <v>69875</v>
      </c>
      <c r="T44" s="187">
        <v>71784</v>
      </c>
      <c r="U44" s="166">
        <v>170</v>
      </c>
      <c r="V44" s="166">
        <v>189</v>
      </c>
      <c r="W44" s="166">
        <v>34</v>
      </c>
      <c r="X44" s="172">
        <f t="shared" si="12"/>
        <v>72177</v>
      </c>
      <c r="Y44" s="187">
        <v>45306</v>
      </c>
      <c r="Z44" s="166">
        <v>89183</v>
      </c>
      <c r="AA44" s="166">
        <v>258</v>
      </c>
      <c r="AB44" s="166">
        <v>0</v>
      </c>
      <c r="AC44" s="172">
        <f t="shared" si="3"/>
        <v>134747</v>
      </c>
      <c r="AD44" s="187">
        <v>72426</v>
      </c>
      <c r="AE44" s="166">
        <v>728</v>
      </c>
      <c r="AF44" s="166">
        <v>64</v>
      </c>
      <c r="AG44" s="166">
        <v>394</v>
      </c>
      <c r="AH44" s="172">
        <f t="shared" si="4"/>
        <v>73612</v>
      </c>
      <c r="AI44" s="187">
        <v>48031</v>
      </c>
      <c r="AJ44" s="166">
        <v>4352</v>
      </c>
      <c r="AK44" s="166">
        <v>464</v>
      </c>
      <c r="AL44" s="166">
        <v>308</v>
      </c>
      <c r="AM44" s="172">
        <f t="shared" si="13"/>
        <v>53155</v>
      </c>
      <c r="AN44" s="187">
        <v>92659</v>
      </c>
      <c r="AO44" s="166">
        <v>620435</v>
      </c>
      <c r="AP44" s="166">
        <v>26804</v>
      </c>
      <c r="AQ44" s="166">
        <v>91</v>
      </c>
      <c r="AR44" s="172">
        <f t="shared" si="1"/>
        <v>739989</v>
      </c>
      <c r="AS44" s="187">
        <v>69698</v>
      </c>
      <c r="AT44" s="166">
        <v>1468</v>
      </c>
      <c r="AU44" s="166">
        <v>1086</v>
      </c>
      <c r="AV44" s="166">
        <v>0</v>
      </c>
      <c r="AW44" s="172">
        <f t="shared" si="14"/>
        <v>72252</v>
      </c>
      <c r="AX44" s="187">
        <v>50967</v>
      </c>
      <c r="AY44" s="166">
        <v>271</v>
      </c>
      <c r="AZ44" s="166">
        <v>540</v>
      </c>
      <c r="BA44" s="166">
        <v>0</v>
      </c>
      <c r="BB44" s="172">
        <f t="shared" si="5"/>
        <v>51778</v>
      </c>
      <c r="BC44" s="187">
        <v>48731</v>
      </c>
      <c r="BD44" s="166">
        <v>219440</v>
      </c>
      <c r="BE44" s="166">
        <v>358</v>
      </c>
      <c r="BF44" s="166">
        <v>8</v>
      </c>
      <c r="BG44" s="172">
        <f t="shared" si="6"/>
        <v>268537</v>
      </c>
      <c r="BH44" s="187">
        <v>0</v>
      </c>
      <c r="BI44" s="166">
        <v>0</v>
      </c>
      <c r="BJ44" s="166">
        <v>0</v>
      </c>
      <c r="BK44" s="166">
        <v>0</v>
      </c>
      <c r="BL44" s="172">
        <f t="shared" si="7"/>
        <v>0</v>
      </c>
      <c r="BM44" s="187">
        <v>0</v>
      </c>
      <c r="BN44" s="166">
        <v>0</v>
      </c>
      <c r="BO44" s="166">
        <v>0</v>
      </c>
      <c r="BP44" s="166">
        <v>0</v>
      </c>
      <c r="BQ44" s="172">
        <f t="shared" si="8"/>
        <v>0</v>
      </c>
      <c r="BR44" s="187">
        <f t="shared" si="9"/>
        <v>615850</v>
      </c>
      <c r="BS44" s="194">
        <f t="shared" si="9"/>
        <v>1470117</v>
      </c>
      <c r="BT44" s="166">
        <f t="shared" si="9"/>
        <v>51291</v>
      </c>
      <c r="BU44" s="166">
        <f t="shared" si="9"/>
        <v>856</v>
      </c>
      <c r="BV44" s="273">
        <f t="shared" si="10"/>
        <v>2138114</v>
      </c>
      <c r="BW44" s="136"/>
      <c r="BX44" s="426"/>
      <c r="BZ44" s="316"/>
      <c r="CA44" s="316"/>
      <c r="CB44" s="316"/>
      <c r="CC44" s="316"/>
      <c r="CD44" s="316"/>
      <c r="CE44" s="317"/>
      <c r="CF44" s="317"/>
      <c r="CG44" s="317"/>
      <c r="CH44" s="136"/>
      <c r="CI44" s="317"/>
    </row>
    <row r="45" spans="1:112" x14ac:dyDescent="0.3">
      <c r="A45" s="308">
        <v>39</v>
      </c>
      <c r="B45" s="309" t="s">
        <v>245</v>
      </c>
      <c r="D45" s="310"/>
      <c r="E45" s="311">
        <v>1769770</v>
      </c>
      <c r="F45" s="312">
        <v>9130708</v>
      </c>
      <c r="G45" s="312">
        <v>13074</v>
      </c>
      <c r="H45" s="313">
        <v>1</v>
      </c>
      <c r="I45" s="172">
        <f t="shared" si="0"/>
        <v>10913553</v>
      </c>
      <c r="J45" s="187">
        <v>110634</v>
      </c>
      <c r="K45" s="166">
        <v>734772</v>
      </c>
      <c r="L45" s="166">
        <v>0</v>
      </c>
      <c r="M45" s="166">
        <v>0</v>
      </c>
      <c r="N45" s="172">
        <f>SUM(J45:M45)</f>
        <v>845406</v>
      </c>
      <c r="O45" s="166">
        <v>117358</v>
      </c>
      <c r="P45" s="166">
        <v>316350</v>
      </c>
      <c r="Q45" s="166">
        <v>0</v>
      </c>
      <c r="R45" s="166">
        <v>0</v>
      </c>
      <c r="S45" s="172">
        <f>SUM(O45:R45)</f>
        <v>433708</v>
      </c>
      <c r="T45" s="187">
        <v>118697</v>
      </c>
      <c r="U45" s="166">
        <v>726142</v>
      </c>
      <c r="V45" s="166">
        <v>0</v>
      </c>
      <c r="W45" s="166">
        <v>0</v>
      </c>
      <c r="X45" s="172">
        <f t="shared" si="12"/>
        <v>844839</v>
      </c>
      <c r="Y45" s="187">
        <v>144316</v>
      </c>
      <c r="Z45" s="166">
        <v>606032</v>
      </c>
      <c r="AA45" s="166">
        <v>120</v>
      </c>
      <c r="AB45" s="166">
        <v>1</v>
      </c>
      <c r="AC45" s="172">
        <f t="shared" si="3"/>
        <v>750469</v>
      </c>
      <c r="AD45" s="187">
        <v>117199</v>
      </c>
      <c r="AE45" s="166">
        <v>885390</v>
      </c>
      <c r="AF45" s="166">
        <v>683</v>
      </c>
      <c r="AG45" s="166">
        <v>0</v>
      </c>
      <c r="AH45" s="172">
        <f>SUM(AD45:AG45)</f>
        <v>1003272</v>
      </c>
      <c r="AI45" s="187">
        <v>165110</v>
      </c>
      <c r="AJ45" s="166">
        <v>1560839</v>
      </c>
      <c r="AK45" s="166">
        <v>94</v>
      </c>
      <c r="AL45" s="166">
        <v>0</v>
      </c>
      <c r="AM45" s="172">
        <f t="shared" si="13"/>
        <v>1726043</v>
      </c>
      <c r="AN45" s="187">
        <v>137176</v>
      </c>
      <c r="AO45" s="166">
        <v>397570</v>
      </c>
      <c r="AP45" s="166">
        <v>139</v>
      </c>
      <c r="AQ45" s="166">
        <v>0</v>
      </c>
      <c r="AR45" s="172">
        <f t="shared" si="1"/>
        <v>534885</v>
      </c>
      <c r="AS45" s="187">
        <v>133348</v>
      </c>
      <c r="AT45" s="166">
        <v>526823</v>
      </c>
      <c r="AU45" s="166">
        <v>1692</v>
      </c>
      <c r="AV45" s="166">
        <v>0</v>
      </c>
      <c r="AW45" s="172">
        <f t="shared" si="14"/>
        <v>661863</v>
      </c>
      <c r="AX45" s="187">
        <v>141444</v>
      </c>
      <c r="AY45" s="166">
        <v>802304</v>
      </c>
      <c r="AZ45" s="166">
        <v>56</v>
      </c>
      <c r="BA45" s="166">
        <v>0</v>
      </c>
      <c r="BB45" s="172">
        <f t="shared" si="5"/>
        <v>943804</v>
      </c>
      <c r="BC45" s="187">
        <v>131174</v>
      </c>
      <c r="BD45" s="166">
        <v>221608</v>
      </c>
      <c r="BE45" s="166">
        <v>-15</v>
      </c>
      <c r="BF45" s="166">
        <v>0</v>
      </c>
      <c r="BG45" s="172">
        <f t="shared" si="6"/>
        <v>352767</v>
      </c>
      <c r="BH45" s="187">
        <v>0</v>
      </c>
      <c r="BI45" s="166">
        <v>0</v>
      </c>
      <c r="BJ45" s="166">
        <v>0</v>
      </c>
      <c r="BK45" s="166">
        <v>0</v>
      </c>
      <c r="BL45" s="172">
        <f t="shared" si="7"/>
        <v>0</v>
      </c>
      <c r="BM45" s="187">
        <v>0</v>
      </c>
      <c r="BN45" s="166">
        <v>0</v>
      </c>
      <c r="BO45" s="166">
        <v>0</v>
      </c>
      <c r="BP45" s="166">
        <v>0</v>
      </c>
      <c r="BQ45" s="172">
        <f t="shared" si="8"/>
        <v>0</v>
      </c>
      <c r="BR45" s="187">
        <f t="shared" si="9"/>
        <v>1316456</v>
      </c>
      <c r="BS45" s="194">
        <f t="shared" si="9"/>
        <v>6777830</v>
      </c>
      <c r="BT45" s="166">
        <f t="shared" si="9"/>
        <v>2769</v>
      </c>
      <c r="BU45" s="166">
        <f t="shared" si="9"/>
        <v>1</v>
      </c>
      <c r="BV45" s="273">
        <f t="shared" si="10"/>
        <v>8097056</v>
      </c>
      <c r="BW45" s="136"/>
      <c r="BX45" s="425"/>
      <c r="BZ45" s="316"/>
      <c r="CA45" s="316"/>
      <c r="CB45" s="316"/>
      <c r="CC45" s="316"/>
      <c r="CD45" s="316"/>
      <c r="CE45" s="317"/>
      <c r="CF45" s="317"/>
      <c r="CG45" s="317"/>
      <c r="CH45" s="136"/>
      <c r="CI45" s="317"/>
    </row>
    <row r="46" spans="1:112" x14ac:dyDescent="0.3">
      <c r="A46" s="308">
        <v>40</v>
      </c>
      <c r="B46" s="309" t="s">
        <v>246</v>
      </c>
      <c r="D46" s="310"/>
      <c r="E46" s="311">
        <v>1499244</v>
      </c>
      <c r="F46" s="312">
        <v>69885698</v>
      </c>
      <c r="G46" s="312">
        <v>12871</v>
      </c>
      <c r="H46" s="313">
        <v>23736424</v>
      </c>
      <c r="I46" s="172">
        <f t="shared" si="0"/>
        <v>95134237</v>
      </c>
      <c r="J46" s="187">
        <v>46400</v>
      </c>
      <c r="K46" s="166">
        <v>6110871</v>
      </c>
      <c r="L46" s="166">
        <v>35</v>
      </c>
      <c r="M46" s="166">
        <v>0</v>
      </c>
      <c r="N46" s="172">
        <f t="shared" si="11"/>
        <v>6157306</v>
      </c>
      <c r="O46" s="166">
        <v>91672</v>
      </c>
      <c r="P46" s="166">
        <v>7925226</v>
      </c>
      <c r="Q46" s="166">
        <v>503</v>
      </c>
      <c r="R46" s="166">
        <v>0</v>
      </c>
      <c r="S46" s="172">
        <f t="shared" si="16"/>
        <v>8017401</v>
      </c>
      <c r="T46" s="187">
        <v>89093</v>
      </c>
      <c r="U46" s="166">
        <v>1319260</v>
      </c>
      <c r="V46" s="166">
        <v>529</v>
      </c>
      <c r="W46" s="166">
        <v>0</v>
      </c>
      <c r="X46" s="172">
        <f t="shared" si="12"/>
        <v>1408882</v>
      </c>
      <c r="Y46" s="187">
        <v>84177</v>
      </c>
      <c r="Z46" s="166">
        <v>11683165</v>
      </c>
      <c r="AA46" s="166">
        <v>308</v>
      </c>
      <c r="AB46" s="166">
        <v>24</v>
      </c>
      <c r="AC46" s="172">
        <f t="shared" si="3"/>
        <v>11767674</v>
      </c>
      <c r="AD46" s="187">
        <v>83334</v>
      </c>
      <c r="AE46" s="166">
        <v>5218454</v>
      </c>
      <c r="AF46" s="166">
        <v>552</v>
      </c>
      <c r="AG46" s="166">
        <v>42</v>
      </c>
      <c r="AH46" s="172">
        <f t="shared" si="4"/>
        <v>5302382</v>
      </c>
      <c r="AI46" s="187">
        <v>148693</v>
      </c>
      <c r="AJ46" s="166">
        <v>1451313</v>
      </c>
      <c r="AK46" s="166">
        <v>449</v>
      </c>
      <c r="AL46" s="166">
        <v>14</v>
      </c>
      <c r="AM46" s="172">
        <f t="shared" si="13"/>
        <v>1600469</v>
      </c>
      <c r="AN46" s="187">
        <v>85607</v>
      </c>
      <c r="AO46" s="166">
        <v>6061963</v>
      </c>
      <c r="AP46" s="166">
        <v>189</v>
      </c>
      <c r="AQ46" s="166">
        <v>13</v>
      </c>
      <c r="AR46" s="172">
        <f t="shared" si="1"/>
        <v>6147772</v>
      </c>
      <c r="AS46" s="187">
        <v>122898</v>
      </c>
      <c r="AT46" s="166">
        <v>7316962</v>
      </c>
      <c r="AU46" s="166">
        <v>1297</v>
      </c>
      <c r="AV46" s="166">
        <v>0</v>
      </c>
      <c r="AW46" s="172">
        <f>SUM(AS46:AV46)</f>
        <v>7441157</v>
      </c>
      <c r="AX46" s="187">
        <v>80772</v>
      </c>
      <c r="AY46" s="166">
        <v>2344995</v>
      </c>
      <c r="AZ46" s="166">
        <v>1067</v>
      </c>
      <c r="BA46" s="166">
        <v>27</v>
      </c>
      <c r="BB46" s="172">
        <f t="shared" si="5"/>
        <v>2426861</v>
      </c>
      <c r="BC46" s="187">
        <v>100673</v>
      </c>
      <c r="BD46" s="166">
        <v>6873031</v>
      </c>
      <c r="BE46" s="166">
        <v>2203</v>
      </c>
      <c r="BF46" s="166">
        <v>8980064</v>
      </c>
      <c r="BG46" s="172">
        <f t="shared" si="6"/>
        <v>15955971</v>
      </c>
      <c r="BH46" s="187">
        <v>0</v>
      </c>
      <c r="BI46" s="166">
        <v>0</v>
      </c>
      <c r="BJ46" s="166">
        <v>0</v>
      </c>
      <c r="BK46" s="166">
        <v>0</v>
      </c>
      <c r="BL46" s="172">
        <f t="shared" si="7"/>
        <v>0</v>
      </c>
      <c r="BM46" s="187">
        <v>0</v>
      </c>
      <c r="BN46" s="166">
        <v>0</v>
      </c>
      <c r="BO46" s="166">
        <v>0</v>
      </c>
      <c r="BP46" s="166">
        <v>0</v>
      </c>
      <c r="BQ46" s="172">
        <f t="shared" si="8"/>
        <v>0</v>
      </c>
      <c r="BR46" s="187">
        <f t="shared" si="9"/>
        <v>933319</v>
      </c>
      <c r="BS46" s="194">
        <f t="shared" si="9"/>
        <v>56305240</v>
      </c>
      <c r="BT46" s="166">
        <f t="shared" si="9"/>
        <v>7132</v>
      </c>
      <c r="BU46" s="166">
        <f t="shared" si="9"/>
        <v>8980184</v>
      </c>
      <c r="BV46" s="273">
        <f t="shared" si="10"/>
        <v>66225875</v>
      </c>
      <c r="BW46" s="136"/>
      <c r="BX46" s="425"/>
      <c r="BZ46" s="316"/>
      <c r="CA46" s="316"/>
      <c r="CB46" s="316"/>
      <c r="CC46" s="316"/>
      <c r="CD46" s="316"/>
      <c r="CE46" s="317"/>
      <c r="CF46" s="317"/>
      <c r="CG46" s="317"/>
      <c r="CH46" s="136"/>
      <c r="CI46" s="317"/>
    </row>
    <row r="47" spans="1:112" x14ac:dyDescent="0.3">
      <c r="A47" s="340">
        <v>41</v>
      </c>
      <c r="B47" s="341" t="s">
        <v>247</v>
      </c>
      <c r="C47" s="342"/>
      <c r="D47" s="343"/>
      <c r="E47" s="344">
        <v>3732701</v>
      </c>
      <c r="F47" s="345">
        <v>10665368</v>
      </c>
      <c r="G47" s="345">
        <v>4156941</v>
      </c>
      <c r="H47" s="346">
        <v>0</v>
      </c>
      <c r="I47" s="172">
        <f t="shared" si="0"/>
        <v>18555010</v>
      </c>
      <c r="J47" s="187">
        <v>251329</v>
      </c>
      <c r="K47" s="166">
        <v>962792</v>
      </c>
      <c r="L47" s="166">
        <v>19254</v>
      </c>
      <c r="M47" s="166">
        <v>0</v>
      </c>
      <c r="N47" s="172">
        <f t="shared" si="11"/>
        <v>1233375</v>
      </c>
      <c r="O47" s="166">
        <v>290981</v>
      </c>
      <c r="P47" s="166">
        <v>1594</v>
      </c>
      <c r="Q47" s="166">
        <v>75140</v>
      </c>
      <c r="R47" s="166">
        <v>0</v>
      </c>
      <c r="S47" s="172">
        <f t="shared" si="16"/>
        <v>367715</v>
      </c>
      <c r="T47" s="187">
        <v>100940</v>
      </c>
      <c r="U47" s="166">
        <v>475188</v>
      </c>
      <c r="V47" s="166">
        <v>245384</v>
      </c>
      <c r="W47" s="166">
        <v>0</v>
      </c>
      <c r="X47" s="172">
        <f t="shared" si="12"/>
        <v>821512</v>
      </c>
      <c r="Y47" s="187">
        <v>344314</v>
      </c>
      <c r="Z47" s="166">
        <v>645885</v>
      </c>
      <c r="AA47" s="166">
        <v>164316</v>
      </c>
      <c r="AB47" s="166">
        <v>0</v>
      </c>
      <c r="AC47" s="172">
        <f t="shared" si="3"/>
        <v>1154515</v>
      </c>
      <c r="AD47" s="187">
        <v>297668</v>
      </c>
      <c r="AE47" s="166">
        <v>865091</v>
      </c>
      <c r="AF47" s="166">
        <v>192420</v>
      </c>
      <c r="AG47" s="166">
        <v>0</v>
      </c>
      <c r="AH47" s="172">
        <f>SUM(AD47:AG47)</f>
        <v>1355179</v>
      </c>
      <c r="AI47" s="187">
        <v>369527</v>
      </c>
      <c r="AJ47" s="166">
        <v>1410903</v>
      </c>
      <c r="AK47" s="166">
        <v>297171</v>
      </c>
      <c r="AL47" s="166">
        <v>0</v>
      </c>
      <c r="AM47" s="172">
        <f t="shared" si="13"/>
        <v>2077601</v>
      </c>
      <c r="AN47" s="187">
        <v>281489</v>
      </c>
      <c r="AO47" s="166">
        <v>772809</v>
      </c>
      <c r="AP47" s="166">
        <v>174023</v>
      </c>
      <c r="AQ47" s="166">
        <v>190</v>
      </c>
      <c r="AR47" s="172">
        <f t="shared" si="1"/>
        <v>1228511</v>
      </c>
      <c r="AS47" s="187">
        <v>299429</v>
      </c>
      <c r="AT47" s="166">
        <v>898090</v>
      </c>
      <c r="AU47" s="166">
        <v>216956</v>
      </c>
      <c r="AV47" s="166">
        <v>2</v>
      </c>
      <c r="AW47" s="172">
        <f>SUM(AS47:AV47)</f>
        <v>1414477</v>
      </c>
      <c r="AX47" s="187">
        <v>259739</v>
      </c>
      <c r="AY47" s="166">
        <v>863704</v>
      </c>
      <c r="AZ47" s="166">
        <v>623226</v>
      </c>
      <c r="BA47" s="166">
        <v>5</v>
      </c>
      <c r="BB47" s="172">
        <f t="shared" si="5"/>
        <v>1746674</v>
      </c>
      <c r="BC47" s="187">
        <v>334983</v>
      </c>
      <c r="BD47" s="166">
        <v>842295</v>
      </c>
      <c r="BE47" s="166">
        <v>73090</v>
      </c>
      <c r="BF47" s="166">
        <v>0</v>
      </c>
      <c r="BG47" s="172">
        <f t="shared" si="6"/>
        <v>1250368</v>
      </c>
      <c r="BH47" s="187">
        <v>0</v>
      </c>
      <c r="BI47" s="166">
        <v>0</v>
      </c>
      <c r="BJ47" s="166">
        <v>0</v>
      </c>
      <c r="BK47" s="166">
        <v>0</v>
      </c>
      <c r="BL47" s="172">
        <f t="shared" si="7"/>
        <v>0</v>
      </c>
      <c r="BM47" s="187">
        <v>0</v>
      </c>
      <c r="BN47" s="166">
        <v>0</v>
      </c>
      <c r="BO47" s="166">
        <v>0</v>
      </c>
      <c r="BP47" s="166">
        <v>0</v>
      </c>
      <c r="BQ47" s="172">
        <f t="shared" si="8"/>
        <v>0</v>
      </c>
      <c r="BR47" s="187">
        <f t="shared" si="9"/>
        <v>2830399</v>
      </c>
      <c r="BS47" s="194">
        <f t="shared" si="9"/>
        <v>7738351</v>
      </c>
      <c r="BT47" s="166">
        <f t="shared" si="9"/>
        <v>2080980</v>
      </c>
      <c r="BU47" s="166">
        <f t="shared" si="9"/>
        <v>197</v>
      </c>
      <c r="BV47" s="273">
        <f t="shared" si="10"/>
        <v>12649927</v>
      </c>
      <c r="BW47" s="136"/>
      <c r="BX47" s="425"/>
      <c r="BZ47" s="316"/>
      <c r="CA47" s="316"/>
      <c r="CB47" s="316"/>
      <c r="CC47" s="316"/>
      <c r="CD47" s="316"/>
      <c r="CE47" s="317"/>
      <c r="CF47" s="317"/>
      <c r="CG47" s="317"/>
      <c r="CH47" s="136"/>
      <c r="CI47" s="317"/>
    </row>
    <row r="48" spans="1:112" s="122" customFormat="1" x14ac:dyDescent="0.3">
      <c r="A48" s="347" t="s">
        <v>248</v>
      </c>
      <c r="B48" s="348"/>
      <c r="D48" s="349"/>
      <c r="E48" s="350">
        <f>SUM(E7:E47)</f>
        <v>267619302</v>
      </c>
      <c r="F48" s="351">
        <f>SUM(F7:F47)</f>
        <v>755359648</v>
      </c>
      <c r="G48" s="351">
        <f>SUM(G7:G47)</f>
        <v>16869269</v>
      </c>
      <c r="H48" s="351">
        <f>SUM(H7:H47)</f>
        <v>59187441</v>
      </c>
      <c r="I48" s="352">
        <f>SUM(I7:I47)</f>
        <v>1099035660</v>
      </c>
      <c r="J48" s="353">
        <f t="shared" ref="J48:BU48" si="17">SUM(J7:J47)</f>
        <v>17835015</v>
      </c>
      <c r="K48" s="354">
        <f t="shared" si="17"/>
        <v>66987788</v>
      </c>
      <c r="L48" s="354">
        <f t="shared" si="17"/>
        <v>507871</v>
      </c>
      <c r="M48" s="354">
        <f t="shared" si="17"/>
        <v>664427</v>
      </c>
      <c r="N48" s="352">
        <f>SUM(N7:N47)</f>
        <v>85995101</v>
      </c>
      <c r="O48" s="354">
        <f t="shared" si="17"/>
        <v>20298553</v>
      </c>
      <c r="P48" s="354">
        <f t="shared" si="17"/>
        <v>50177552</v>
      </c>
      <c r="Q48" s="354">
        <f>SUM(Q7:Q47)</f>
        <v>786759</v>
      </c>
      <c r="R48" s="354">
        <f t="shared" si="17"/>
        <v>1006182</v>
      </c>
      <c r="S48" s="352">
        <f>SUM(S7:S47)</f>
        <v>72269046</v>
      </c>
      <c r="T48" s="353">
        <f t="shared" si="17"/>
        <v>18818267</v>
      </c>
      <c r="U48" s="354">
        <f>SUM(U7:U47)</f>
        <v>50712253</v>
      </c>
      <c r="V48" s="354">
        <f>SUM(V7:V47)</f>
        <v>839943</v>
      </c>
      <c r="W48" s="354">
        <f t="shared" si="17"/>
        <v>3001732</v>
      </c>
      <c r="X48" s="352">
        <f t="shared" si="17"/>
        <v>73372195</v>
      </c>
      <c r="Y48" s="353">
        <f>SUM(Y7:Y47)</f>
        <v>21996920</v>
      </c>
      <c r="Z48" s="354">
        <f t="shared" si="17"/>
        <v>97511252</v>
      </c>
      <c r="AA48" s="354">
        <f t="shared" si="17"/>
        <v>797132</v>
      </c>
      <c r="AB48" s="354">
        <f t="shared" si="17"/>
        <v>145726</v>
      </c>
      <c r="AC48" s="352">
        <f t="shared" si="17"/>
        <v>120451030</v>
      </c>
      <c r="AD48" s="353">
        <f t="shared" si="17"/>
        <v>21062551</v>
      </c>
      <c r="AE48" s="354">
        <f t="shared" si="17"/>
        <v>61813443</v>
      </c>
      <c r="AF48" s="354">
        <f t="shared" si="17"/>
        <v>775873</v>
      </c>
      <c r="AG48" s="354">
        <f t="shared" si="17"/>
        <v>1607472</v>
      </c>
      <c r="AH48" s="352">
        <f>SUM(AH7:AH47)</f>
        <v>85259339</v>
      </c>
      <c r="AI48" s="353">
        <f t="shared" si="17"/>
        <v>21357389</v>
      </c>
      <c r="AJ48" s="354">
        <f t="shared" si="17"/>
        <v>42603745</v>
      </c>
      <c r="AK48" s="354">
        <f t="shared" si="17"/>
        <v>1296346</v>
      </c>
      <c r="AL48" s="354">
        <f>SUM(AL7:AL47)</f>
        <v>16467</v>
      </c>
      <c r="AM48" s="352">
        <f>SUM(AM7:AM47)</f>
        <v>65273947</v>
      </c>
      <c r="AN48" s="353">
        <f t="shared" si="17"/>
        <v>21077585</v>
      </c>
      <c r="AO48" s="354">
        <f t="shared" si="17"/>
        <v>67796976</v>
      </c>
      <c r="AP48" s="354">
        <f t="shared" si="17"/>
        <v>1529510</v>
      </c>
      <c r="AQ48" s="354">
        <f t="shared" si="17"/>
        <v>22049</v>
      </c>
      <c r="AR48" s="352">
        <f t="shared" si="17"/>
        <v>90426120</v>
      </c>
      <c r="AS48" s="353">
        <f>SUM(AS7:AS47)</f>
        <v>24006318</v>
      </c>
      <c r="AT48" s="354">
        <f>SUM(AT7:AT47)</f>
        <v>53482987</v>
      </c>
      <c r="AU48" s="354">
        <f t="shared" si="17"/>
        <v>1131640</v>
      </c>
      <c r="AV48" s="354">
        <f t="shared" si="17"/>
        <v>1011893</v>
      </c>
      <c r="AW48" s="352">
        <f t="shared" si="17"/>
        <v>79632838</v>
      </c>
      <c r="AX48" s="354">
        <f t="shared" si="17"/>
        <v>22834717</v>
      </c>
      <c r="AY48" s="354">
        <f t="shared" si="17"/>
        <v>68518026</v>
      </c>
      <c r="AZ48" s="354">
        <f t="shared" si="17"/>
        <v>1512795</v>
      </c>
      <c r="BA48" s="354">
        <f t="shared" si="17"/>
        <v>6008007</v>
      </c>
      <c r="BB48" s="352">
        <f t="shared" si="17"/>
        <v>98873545</v>
      </c>
      <c r="BC48" s="354">
        <f t="shared" si="17"/>
        <v>20657983</v>
      </c>
      <c r="BD48" s="354">
        <f t="shared" si="17"/>
        <v>51046422</v>
      </c>
      <c r="BE48" s="354">
        <f t="shared" si="17"/>
        <v>766562</v>
      </c>
      <c r="BF48" s="354">
        <f t="shared" si="17"/>
        <v>25833951</v>
      </c>
      <c r="BG48" s="352">
        <f t="shared" si="17"/>
        <v>98304918</v>
      </c>
      <c r="BH48" s="353">
        <f t="shared" si="17"/>
        <v>0</v>
      </c>
      <c r="BI48" s="354">
        <f t="shared" si="17"/>
        <v>0</v>
      </c>
      <c r="BJ48" s="354">
        <f>SUM(BJ7:BJ47)</f>
        <v>0</v>
      </c>
      <c r="BK48" s="354">
        <f t="shared" si="17"/>
        <v>0</v>
      </c>
      <c r="BL48" s="352">
        <f t="shared" si="17"/>
        <v>0</v>
      </c>
      <c r="BM48" s="353">
        <f t="shared" si="17"/>
        <v>0</v>
      </c>
      <c r="BN48" s="354">
        <f>SUM(BN7:BN47)</f>
        <v>0</v>
      </c>
      <c r="BO48" s="354">
        <f>SUM(BO7:BO47)</f>
        <v>0</v>
      </c>
      <c r="BP48" s="354">
        <f t="shared" si="17"/>
        <v>0</v>
      </c>
      <c r="BQ48" s="352">
        <f t="shared" si="17"/>
        <v>0</v>
      </c>
      <c r="BR48" s="353">
        <f t="shared" si="17"/>
        <v>209945298</v>
      </c>
      <c r="BS48" s="354">
        <f t="shared" si="17"/>
        <v>610650444</v>
      </c>
      <c r="BT48" s="354">
        <f t="shared" si="17"/>
        <v>9944431</v>
      </c>
      <c r="BU48" s="354">
        <f t="shared" si="17"/>
        <v>39317906</v>
      </c>
      <c r="BV48" s="355">
        <f t="shared" ref="BV48" si="18">SUM(BV7:BV47)</f>
        <v>869858079</v>
      </c>
      <c r="BW48" s="136"/>
      <c r="BX48" s="426"/>
      <c r="BY48" s="17"/>
      <c r="BZ48" s="356"/>
      <c r="CA48" s="356"/>
      <c r="CB48" s="356"/>
      <c r="CC48" s="356"/>
      <c r="CD48" s="356"/>
      <c r="CE48" s="357"/>
      <c r="CF48" s="357"/>
      <c r="CG48" s="357"/>
      <c r="CH48" s="357"/>
      <c r="CI48" s="35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</row>
    <row r="49" spans="1:87" x14ac:dyDescent="0.3">
      <c r="A49" s="358" t="s">
        <v>249</v>
      </c>
      <c r="B49" s="309"/>
      <c r="D49" s="359"/>
      <c r="E49" s="311"/>
      <c r="F49" s="312"/>
      <c r="G49" s="312"/>
      <c r="H49" s="312"/>
      <c r="I49" s="236"/>
      <c r="J49" s="274"/>
      <c r="K49" s="47"/>
      <c r="L49" s="47"/>
      <c r="M49" s="47"/>
      <c r="N49" s="236"/>
      <c r="O49" s="47"/>
      <c r="P49" s="47"/>
      <c r="Q49" s="47"/>
      <c r="R49" s="47"/>
      <c r="S49" s="236"/>
      <c r="T49" s="274"/>
      <c r="U49" s="47"/>
      <c r="V49" s="47"/>
      <c r="W49" s="47"/>
      <c r="X49" s="236"/>
      <c r="Y49" s="274"/>
      <c r="Z49" s="47"/>
      <c r="AA49" s="47"/>
      <c r="AB49" s="47"/>
      <c r="AC49" s="236"/>
      <c r="AD49" s="274"/>
      <c r="AE49" s="47"/>
      <c r="AF49" s="47"/>
      <c r="AG49" s="47"/>
      <c r="AH49" s="236"/>
      <c r="AI49" s="274"/>
      <c r="AJ49" s="47"/>
      <c r="AK49" s="47"/>
      <c r="AL49" s="47"/>
      <c r="AM49" s="236"/>
      <c r="AN49" s="274"/>
      <c r="AO49" s="47"/>
      <c r="AP49" s="47"/>
      <c r="AQ49" s="47"/>
      <c r="AR49" s="236"/>
      <c r="AS49" s="274"/>
      <c r="AT49" s="47"/>
      <c r="AU49" s="47"/>
      <c r="AV49" s="47"/>
      <c r="AW49" s="236"/>
      <c r="AX49" s="47"/>
      <c r="AY49" s="47"/>
      <c r="AZ49" s="47"/>
      <c r="BA49" s="47"/>
      <c r="BB49" s="236"/>
      <c r="BC49" s="47"/>
      <c r="BD49" s="47"/>
      <c r="BE49" s="47"/>
      <c r="BF49" s="47"/>
      <c r="BG49" s="236"/>
      <c r="BH49" s="274"/>
      <c r="BI49" s="47"/>
      <c r="BJ49" s="47"/>
      <c r="BK49" s="47"/>
      <c r="BL49" s="236"/>
      <c r="BM49" s="274"/>
      <c r="BN49" s="47"/>
      <c r="BO49" s="47"/>
      <c r="BP49" s="47"/>
      <c r="BQ49" s="236"/>
      <c r="BR49" s="274"/>
      <c r="BS49" s="47"/>
      <c r="BT49" s="47"/>
      <c r="BU49" s="47"/>
      <c r="BV49" s="360"/>
      <c r="BW49" s="136"/>
      <c r="BX49" s="426"/>
    </row>
    <row r="50" spans="1:87" x14ac:dyDescent="0.3">
      <c r="A50" s="302" t="s">
        <v>25</v>
      </c>
      <c r="D50" s="361"/>
      <c r="E50" s="311"/>
      <c r="F50" s="312"/>
      <c r="G50" s="312"/>
      <c r="H50" s="312"/>
      <c r="I50" s="236"/>
      <c r="J50" s="362"/>
      <c r="K50" s="184"/>
      <c r="L50" s="184"/>
      <c r="M50" s="184"/>
      <c r="N50" s="236"/>
      <c r="O50" s="184"/>
      <c r="P50" s="184"/>
      <c r="Q50" s="184"/>
      <c r="R50" s="184"/>
      <c r="S50" s="274"/>
      <c r="T50" s="362"/>
      <c r="U50" s="184"/>
      <c r="V50" s="184"/>
      <c r="W50" s="184"/>
      <c r="X50" s="274"/>
      <c r="Y50" s="362"/>
      <c r="Z50" s="184"/>
      <c r="AA50" s="184"/>
      <c r="AB50" s="184"/>
      <c r="AC50" s="274"/>
      <c r="AD50" s="362"/>
      <c r="AE50" s="184"/>
      <c r="AF50" s="184"/>
      <c r="AG50" s="184"/>
      <c r="AH50" s="274"/>
      <c r="AI50" s="362"/>
      <c r="AJ50" s="184"/>
      <c r="AK50" s="184"/>
      <c r="AL50" s="184"/>
      <c r="AM50" s="274"/>
      <c r="AN50" s="362"/>
      <c r="AO50" s="184"/>
      <c r="AP50" s="184"/>
      <c r="AQ50" s="184"/>
      <c r="AR50" s="236"/>
      <c r="AS50" s="184"/>
      <c r="AT50" s="184"/>
      <c r="AU50" s="184"/>
      <c r="AV50" s="184"/>
      <c r="AW50" s="236"/>
      <c r="AX50" s="184"/>
      <c r="AY50" s="184"/>
      <c r="AZ50" s="184"/>
      <c r="BA50" s="184"/>
      <c r="BB50" s="236"/>
      <c r="BC50" s="184"/>
      <c r="BD50" s="184"/>
      <c r="BE50" s="184"/>
      <c r="BF50" s="184"/>
      <c r="BG50" s="236"/>
      <c r="BH50" s="362"/>
      <c r="BI50" s="184"/>
      <c r="BJ50" s="184"/>
      <c r="BK50" s="184"/>
      <c r="BL50" s="236"/>
      <c r="BM50" s="362"/>
      <c r="BN50" s="184"/>
      <c r="BO50" s="184"/>
      <c r="BP50" s="184"/>
      <c r="BQ50" s="236"/>
      <c r="BR50" s="362"/>
      <c r="BS50" s="184"/>
      <c r="BT50" s="184"/>
      <c r="BU50" s="184"/>
      <c r="BV50" s="360"/>
      <c r="BW50" s="363"/>
      <c r="BX50" s="426"/>
    </row>
    <row r="51" spans="1:87" x14ac:dyDescent="0.3">
      <c r="A51" s="308" t="s">
        <v>250</v>
      </c>
      <c r="B51" s="364"/>
      <c r="C51" s="364"/>
      <c r="D51" s="361"/>
      <c r="E51" s="311">
        <v>7704</v>
      </c>
      <c r="F51" s="312">
        <v>0</v>
      </c>
      <c r="G51" s="312">
        <v>0</v>
      </c>
      <c r="H51" s="312">
        <v>0</v>
      </c>
      <c r="I51" s="172">
        <f t="shared" ref="I51:I56" si="19">SUM(E51:H51)</f>
        <v>7704</v>
      </c>
      <c r="J51" s="365">
        <v>475</v>
      </c>
      <c r="K51" s="194">
        <v>0</v>
      </c>
      <c r="L51" s="194">
        <v>0</v>
      </c>
      <c r="M51" s="194">
        <v>0</v>
      </c>
      <c r="N51" s="172">
        <f>SUM(J51:M51)</f>
        <v>475</v>
      </c>
      <c r="O51" s="194">
        <v>475</v>
      </c>
      <c r="P51" s="194">
        <v>0</v>
      </c>
      <c r="Q51" s="194">
        <v>0</v>
      </c>
      <c r="R51" s="194">
        <v>0</v>
      </c>
      <c r="S51" s="172">
        <f>SUM(O51:R51)</f>
        <v>475</v>
      </c>
      <c r="T51" s="194">
        <v>475</v>
      </c>
      <c r="U51" s="194">
        <v>0</v>
      </c>
      <c r="V51" s="194">
        <v>0</v>
      </c>
      <c r="W51" s="194">
        <v>0</v>
      </c>
      <c r="X51" s="172">
        <f>SUM(T51:W51)</f>
        <v>475</v>
      </c>
      <c r="Y51" s="314">
        <v>573</v>
      </c>
      <c r="Z51" s="194">
        <v>0</v>
      </c>
      <c r="AA51" s="194">
        <v>0</v>
      </c>
      <c r="AB51" s="194">
        <v>0</v>
      </c>
      <c r="AC51" s="172">
        <f>SUM(Y51:AB51)</f>
        <v>573</v>
      </c>
      <c r="AD51" s="194">
        <v>497</v>
      </c>
      <c r="AE51" s="194">
        <v>0</v>
      </c>
      <c r="AF51" s="194">
        <v>0</v>
      </c>
      <c r="AG51" s="194">
        <v>0</v>
      </c>
      <c r="AH51" s="172">
        <f>SUM(AD51:AG51)</f>
        <v>497</v>
      </c>
      <c r="AI51" s="194">
        <v>482</v>
      </c>
      <c r="AJ51" s="194">
        <v>0</v>
      </c>
      <c r="AK51" s="194">
        <v>0</v>
      </c>
      <c r="AL51" s="194">
        <v>0</v>
      </c>
      <c r="AM51" s="172">
        <f>SUM(AI51:AL51)</f>
        <v>482</v>
      </c>
      <c r="AN51" s="194">
        <v>482</v>
      </c>
      <c r="AO51" s="194">
        <v>0</v>
      </c>
      <c r="AP51" s="194">
        <v>0</v>
      </c>
      <c r="AQ51" s="194">
        <v>0</v>
      </c>
      <c r="AR51" s="172">
        <f>SUM(AN51:AQ51)</f>
        <v>482</v>
      </c>
      <c r="AS51" s="194">
        <v>482</v>
      </c>
      <c r="AT51" s="194">
        <v>0</v>
      </c>
      <c r="AU51" s="194">
        <v>0</v>
      </c>
      <c r="AV51" s="194">
        <v>0</v>
      </c>
      <c r="AW51" s="172">
        <f>SUM(AS51:AV51)</f>
        <v>482</v>
      </c>
      <c r="AX51" s="194">
        <v>482</v>
      </c>
      <c r="AY51" s="194">
        <v>0</v>
      </c>
      <c r="AZ51" s="194">
        <v>0</v>
      </c>
      <c r="BA51" s="194">
        <v>0</v>
      </c>
      <c r="BB51" s="172">
        <f>SUM(AX51:BA51)</f>
        <v>482</v>
      </c>
      <c r="BC51" s="194">
        <v>964</v>
      </c>
      <c r="BD51" s="194">
        <v>0</v>
      </c>
      <c r="BE51" s="194">
        <v>0</v>
      </c>
      <c r="BF51" s="194">
        <v>0</v>
      </c>
      <c r="BG51" s="172">
        <f>SUM(BC51:BF51)</f>
        <v>964</v>
      </c>
      <c r="BH51" s="194">
        <v>0</v>
      </c>
      <c r="BI51" s="194">
        <v>0</v>
      </c>
      <c r="BJ51" s="194">
        <v>0</v>
      </c>
      <c r="BK51" s="194">
        <v>0</v>
      </c>
      <c r="BL51" s="172">
        <f>SUM(BH51:BK51)</f>
        <v>0</v>
      </c>
      <c r="BM51" s="194">
        <v>0</v>
      </c>
      <c r="BN51" s="194">
        <v>0</v>
      </c>
      <c r="BO51" s="194">
        <v>0</v>
      </c>
      <c r="BP51" s="194">
        <v>0</v>
      </c>
      <c r="BQ51" s="172">
        <f>SUM(BM51:BP51)</f>
        <v>0</v>
      </c>
      <c r="BR51" s="194">
        <f t="shared" ref="BR51:BU52" si="20">+J51+O51+T51+Y51+AD51+AI51+AN51+AS51+AX51+BC51+BH51+BM51</f>
        <v>5387</v>
      </c>
      <c r="BS51" s="194">
        <f t="shared" si="20"/>
        <v>0</v>
      </c>
      <c r="BT51" s="194">
        <f t="shared" si="20"/>
        <v>0</v>
      </c>
      <c r="BU51" s="194">
        <f t="shared" si="20"/>
        <v>0</v>
      </c>
      <c r="BV51" s="273">
        <f>SUM(BR51:BU51)</f>
        <v>5387</v>
      </c>
      <c r="BW51" s="136"/>
      <c r="BX51" s="426"/>
      <c r="BZ51" s="316"/>
      <c r="CA51" s="316"/>
      <c r="CB51" s="316"/>
      <c r="CC51" s="316"/>
      <c r="CD51" s="316"/>
      <c r="CE51" s="317"/>
      <c r="CF51" s="317"/>
      <c r="CG51" s="317"/>
      <c r="CH51" s="136"/>
      <c r="CI51" s="317"/>
    </row>
    <row r="52" spans="1:87" x14ac:dyDescent="0.3">
      <c r="A52" s="308" t="s">
        <v>251</v>
      </c>
      <c r="B52" s="364"/>
      <c r="D52" s="359" t="s">
        <v>70</v>
      </c>
      <c r="E52" s="311">
        <v>471709</v>
      </c>
      <c r="F52" s="312">
        <v>0</v>
      </c>
      <c r="G52" s="312">
        <v>0</v>
      </c>
      <c r="H52" s="312">
        <v>0</v>
      </c>
      <c r="I52" s="172">
        <f t="shared" si="19"/>
        <v>471709</v>
      </c>
      <c r="J52" s="365">
        <v>39309</v>
      </c>
      <c r="K52" s="194">
        <v>0</v>
      </c>
      <c r="L52" s="194">
        <v>0</v>
      </c>
      <c r="M52" s="194">
        <v>0</v>
      </c>
      <c r="N52" s="172">
        <f>SUM(J52:M52)</f>
        <v>39309</v>
      </c>
      <c r="O52" s="194">
        <v>39309</v>
      </c>
      <c r="P52" s="194">
        <v>0</v>
      </c>
      <c r="Q52" s="194">
        <v>0</v>
      </c>
      <c r="R52" s="194">
        <v>0</v>
      </c>
      <c r="S52" s="172">
        <f>SUM(O52:R52)</f>
        <v>39309</v>
      </c>
      <c r="T52" s="194">
        <v>39309</v>
      </c>
      <c r="U52" s="194">
        <v>0</v>
      </c>
      <c r="V52" s="194">
        <v>0</v>
      </c>
      <c r="W52" s="194">
        <v>0</v>
      </c>
      <c r="X52" s="172">
        <f>SUM(T52:W52)</f>
        <v>39309</v>
      </c>
      <c r="Y52" s="194">
        <v>39309</v>
      </c>
      <c r="Z52" s="194">
        <v>0</v>
      </c>
      <c r="AA52" s="194">
        <v>0</v>
      </c>
      <c r="AB52" s="194">
        <v>0</v>
      </c>
      <c r="AC52" s="172">
        <f>SUM(Y52:AB52)</f>
        <v>39309</v>
      </c>
      <c r="AD52" s="194">
        <v>39309</v>
      </c>
      <c r="AE52" s="194">
        <v>0</v>
      </c>
      <c r="AF52" s="194">
        <v>0</v>
      </c>
      <c r="AG52" s="194">
        <v>0</v>
      </c>
      <c r="AH52" s="172">
        <f>SUM(AD52:AG52)</f>
        <v>39309</v>
      </c>
      <c r="AI52" s="194">
        <v>39309</v>
      </c>
      <c r="AJ52" s="194">
        <v>0</v>
      </c>
      <c r="AK52" s="194">
        <v>0</v>
      </c>
      <c r="AL52" s="194">
        <v>0</v>
      </c>
      <c r="AM52" s="172">
        <f>SUM(AI52:AL52)</f>
        <v>39309</v>
      </c>
      <c r="AN52" s="194">
        <v>39309</v>
      </c>
      <c r="AO52" s="194">
        <v>0</v>
      </c>
      <c r="AP52" s="194">
        <v>0</v>
      </c>
      <c r="AQ52" s="194">
        <v>0</v>
      </c>
      <c r="AR52" s="172">
        <f>SUM(AN52:AQ52)</f>
        <v>39309</v>
      </c>
      <c r="AS52" s="194">
        <v>39309</v>
      </c>
      <c r="AT52" s="194">
        <v>0</v>
      </c>
      <c r="AU52" s="194">
        <v>0</v>
      </c>
      <c r="AV52" s="194">
        <v>0</v>
      </c>
      <c r="AW52" s="172">
        <f>SUM(AS52:AV52)</f>
        <v>39309</v>
      </c>
      <c r="AX52" s="194">
        <v>39309</v>
      </c>
      <c r="AY52" s="194">
        <v>0</v>
      </c>
      <c r="AZ52" s="194">
        <v>0</v>
      </c>
      <c r="BA52" s="194">
        <v>0</v>
      </c>
      <c r="BB52" s="172">
        <f>SUM(AX52:BA52)</f>
        <v>39309</v>
      </c>
      <c r="BC52" s="194">
        <v>39309</v>
      </c>
      <c r="BD52" s="194">
        <v>0</v>
      </c>
      <c r="BE52" s="194">
        <v>0</v>
      </c>
      <c r="BF52" s="194">
        <v>0</v>
      </c>
      <c r="BG52" s="172">
        <f>SUM(BC52:BF52)</f>
        <v>39309</v>
      </c>
      <c r="BH52" s="194">
        <v>0</v>
      </c>
      <c r="BI52" s="194">
        <v>0</v>
      </c>
      <c r="BJ52" s="194">
        <v>0</v>
      </c>
      <c r="BK52" s="194">
        <v>0</v>
      </c>
      <c r="BL52" s="172">
        <f>SUM(BH52:BK52)</f>
        <v>0</v>
      </c>
      <c r="BM52" s="194">
        <v>0</v>
      </c>
      <c r="BN52" s="194">
        <v>0</v>
      </c>
      <c r="BO52" s="194">
        <v>0</v>
      </c>
      <c r="BP52" s="194">
        <v>0</v>
      </c>
      <c r="BQ52" s="172">
        <f>SUM(BM52:BP52)</f>
        <v>0</v>
      </c>
      <c r="BR52" s="194">
        <f t="shared" si="20"/>
        <v>393090</v>
      </c>
      <c r="BS52" s="194">
        <f t="shared" si="20"/>
        <v>0</v>
      </c>
      <c r="BT52" s="194">
        <f t="shared" si="20"/>
        <v>0</v>
      </c>
      <c r="BU52" s="194">
        <f t="shared" si="20"/>
        <v>0</v>
      </c>
      <c r="BV52" s="273">
        <f>SUM(BR52:BU52)</f>
        <v>393090</v>
      </c>
      <c r="BW52" s="136"/>
      <c r="BX52" s="426"/>
      <c r="BZ52" s="316"/>
      <c r="CA52" s="316"/>
      <c r="CB52" s="316"/>
      <c r="CC52" s="316"/>
      <c r="CD52" s="316"/>
      <c r="CE52" s="317"/>
      <c r="CF52" s="317"/>
      <c r="CG52" s="317"/>
      <c r="CH52" s="136"/>
      <c r="CI52" s="317"/>
    </row>
    <row r="53" spans="1:87" x14ac:dyDescent="0.3">
      <c r="A53" s="308" t="s">
        <v>252</v>
      </c>
      <c r="B53" s="364"/>
      <c r="D53" s="366"/>
      <c r="E53" s="311">
        <f t="shared" ref="E53:M53" si="21">SUM(E54:E55)</f>
        <v>307738809</v>
      </c>
      <c r="F53" s="312">
        <f t="shared" si="21"/>
        <v>0</v>
      </c>
      <c r="G53" s="312">
        <f t="shared" si="21"/>
        <v>0</v>
      </c>
      <c r="H53" s="312">
        <f t="shared" si="21"/>
        <v>0</v>
      </c>
      <c r="I53" s="172">
        <f t="shared" si="21"/>
        <v>307738809</v>
      </c>
      <c r="J53" s="365">
        <f t="shared" si="21"/>
        <v>3383917.5034699999</v>
      </c>
      <c r="K53" s="194">
        <f t="shared" si="21"/>
        <v>0</v>
      </c>
      <c r="L53" s="194">
        <f t="shared" si="21"/>
        <v>0</v>
      </c>
      <c r="M53" s="196">
        <f t="shared" si="21"/>
        <v>0</v>
      </c>
      <c r="N53" s="172">
        <f>SUM(J53:M53)</f>
        <v>3383917.5034699999</v>
      </c>
      <c r="O53" s="194">
        <f>O54+O55</f>
        <v>2612522.952</v>
      </c>
      <c r="P53" s="194">
        <f>SUM(P54:P55)</f>
        <v>0</v>
      </c>
      <c r="Q53" s="194">
        <f>SUM(Q54:Q55)</f>
        <v>0</v>
      </c>
      <c r="R53" s="194">
        <f>SUM(R54:R55)</f>
        <v>0</v>
      </c>
      <c r="S53" s="172">
        <f t="shared" ref="S53:BQ53" si="22">SUM(S54:S55)</f>
        <v>2612522.952</v>
      </c>
      <c r="T53" s="311">
        <f t="shared" si="22"/>
        <v>29876720</v>
      </c>
      <c r="U53" s="194">
        <f t="shared" si="22"/>
        <v>0</v>
      </c>
      <c r="V53" s="194">
        <f t="shared" si="22"/>
        <v>0</v>
      </c>
      <c r="W53" s="194">
        <f t="shared" si="22"/>
        <v>0</v>
      </c>
      <c r="X53" s="172">
        <f t="shared" si="22"/>
        <v>29876720</v>
      </c>
      <c r="Y53" s="194">
        <f>SUM(Y54:Y55)</f>
        <v>46420658.013999999</v>
      </c>
      <c r="Z53" s="194">
        <f t="shared" si="22"/>
        <v>0</v>
      </c>
      <c r="AA53" s="194">
        <f t="shared" si="22"/>
        <v>0</v>
      </c>
      <c r="AB53" s="194">
        <f t="shared" si="22"/>
        <v>0</v>
      </c>
      <c r="AC53" s="172">
        <f t="shared" si="22"/>
        <v>46420658.013999999</v>
      </c>
      <c r="AD53" s="311">
        <f t="shared" si="22"/>
        <v>40543167</v>
      </c>
      <c r="AE53" s="312">
        <f t="shared" si="22"/>
        <v>0</v>
      </c>
      <c r="AF53" s="312">
        <f t="shared" si="22"/>
        <v>0</v>
      </c>
      <c r="AG53" s="312">
        <f t="shared" si="22"/>
        <v>0</v>
      </c>
      <c r="AH53" s="172">
        <f t="shared" si="22"/>
        <v>40543167</v>
      </c>
      <c r="AI53" s="194">
        <f>SUM(AI54:AI55)</f>
        <v>24956108.072999999</v>
      </c>
      <c r="AJ53" s="194">
        <f t="shared" si="22"/>
        <v>0</v>
      </c>
      <c r="AK53" s="194">
        <f t="shared" si="22"/>
        <v>0</v>
      </c>
      <c r="AL53" s="194">
        <f t="shared" si="22"/>
        <v>0</v>
      </c>
      <c r="AM53" s="172">
        <f t="shared" si="22"/>
        <v>24956108.072999999</v>
      </c>
      <c r="AN53" s="194">
        <f t="shared" si="22"/>
        <v>6483835</v>
      </c>
      <c r="AO53" s="194">
        <f t="shared" si="22"/>
        <v>0</v>
      </c>
      <c r="AP53" s="194">
        <f t="shared" si="22"/>
        <v>0</v>
      </c>
      <c r="AQ53" s="194">
        <f t="shared" si="22"/>
        <v>0</v>
      </c>
      <c r="AR53" s="193">
        <f t="shared" si="22"/>
        <v>6483835</v>
      </c>
      <c r="AS53" s="194">
        <f t="shared" si="22"/>
        <v>3371859</v>
      </c>
      <c r="AT53" s="194">
        <f t="shared" si="22"/>
        <v>0</v>
      </c>
      <c r="AU53" s="194">
        <f t="shared" si="22"/>
        <v>0</v>
      </c>
      <c r="AV53" s="194">
        <f t="shared" si="22"/>
        <v>0</v>
      </c>
      <c r="AW53" s="193">
        <f t="shared" si="22"/>
        <v>3371859</v>
      </c>
      <c r="AX53" s="194">
        <f>SUM(AX54:AX55)</f>
        <v>30525325.083000001</v>
      </c>
      <c r="AY53" s="194">
        <f t="shared" si="22"/>
        <v>0</v>
      </c>
      <c r="AZ53" s="194">
        <f t="shared" si="22"/>
        <v>0</v>
      </c>
      <c r="BA53" s="194">
        <f t="shared" si="22"/>
        <v>0</v>
      </c>
      <c r="BB53" s="193">
        <f t="shared" si="22"/>
        <v>30525325.083000001</v>
      </c>
      <c r="BC53" s="311">
        <f t="shared" si="22"/>
        <v>49904871.368009999</v>
      </c>
      <c r="BD53" s="312">
        <f t="shared" si="22"/>
        <v>0</v>
      </c>
      <c r="BE53" s="312">
        <f t="shared" si="22"/>
        <v>0</v>
      </c>
      <c r="BF53" s="312">
        <f t="shared" si="22"/>
        <v>0</v>
      </c>
      <c r="BG53" s="193">
        <f t="shared" si="22"/>
        <v>49904871.368009999</v>
      </c>
      <c r="BH53" s="194">
        <v>0</v>
      </c>
      <c r="BI53" s="194">
        <f t="shared" si="22"/>
        <v>0</v>
      </c>
      <c r="BJ53" s="194">
        <f t="shared" si="22"/>
        <v>0</v>
      </c>
      <c r="BK53" s="194">
        <f t="shared" si="22"/>
        <v>0</v>
      </c>
      <c r="BL53" s="193">
        <f t="shared" si="22"/>
        <v>0</v>
      </c>
      <c r="BM53" s="194">
        <f t="shared" si="22"/>
        <v>0</v>
      </c>
      <c r="BN53" s="194">
        <f t="shared" si="22"/>
        <v>0</v>
      </c>
      <c r="BO53" s="194">
        <f t="shared" si="22"/>
        <v>0</v>
      </c>
      <c r="BP53" s="194">
        <f t="shared" si="22"/>
        <v>0</v>
      </c>
      <c r="BQ53" s="193">
        <f t="shared" si="22"/>
        <v>0</v>
      </c>
      <c r="BR53" s="194">
        <f>SUM(BR54:BR55)</f>
        <v>238078983.99348003</v>
      </c>
      <c r="BS53" s="194">
        <f>SUM(BS54:BS55)</f>
        <v>0</v>
      </c>
      <c r="BT53" s="194">
        <f>SUM(BT54:BT55)</f>
        <v>0</v>
      </c>
      <c r="BU53" s="194">
        <f>SUM(BU54:BU55)</f>
        <v>0</v>
      </c>
      <c r="BV53" s="273">
        <f>SUM(BV54:BV55)</f>
        <v>238078983.99348003</v>
      </c>
      <c r="BW53" s="136"/>
      <c r="BX53" s="426"/>
      <c r="BZ53" s="316"/>
      <c r="CA53" s="316"/>
      <c r="CB53" s="316"/>
      <c r="CC53" s="316"/>
      <c r="CD53" s="316"/>
      <c r="CE53" s="317"/>
      <c r="CF53" s="317"/>
      <c r="CG53" s="317"/>
      <c r="CH53" s="136"/>
      <c r="CI53" s="317"/>
    </row>
    <row r="54" spans="1:87" s="68" customFormat="1" x14ac:dyDescent="0.3">
      <c r="A54" s="367" t="s">
        <v>134</v>
      </c>
      <c r="D54" s="366"/>
      <c r="E54" s="368">
        <v>307518809</v>
      </c>
      <c r="F54" s="369">
        <v>0</v>
      </c>
      <c r="G54" s="369">
        <v>0</v>
      </c>
      <c r="H54" s="369">
        <v>0</v>
      </c>
      <c r="I54" s="198">
        <f>SUM(E54:H54)</f>
        <v>307518809</v>
      </c>
      <c r="J54" s="370">
        <f>3383843979.68/1000</f>
        <v>3383843.9796799999</v>
      </c>
      <c r="K54" s="203">
        <v>0</v>
      </c>
      <c r="L54" s="203">
        <v>0</v>
      </c>
      <c r="M54" s="203">
        <v>0</v>
      </c>
      <c r="N54" s="198">
        <f t="shared" ref="N54:N66" si="23">SUM(J54:M54)</f>
        <v>3383843.9796799999</v>
      </c>
      <c r="O54" s="203">
        <f>2598616.651</f>
        <v>2598616.6510000001</v>
      </c>
      <c r="P54" s="203">
        <v>0</v>
      </c>
      <c r="Q54" s="203">
        <v>0</v>
      </c>
      <c r="R54" s="203">
        <v>0</v>
      </c>
      <c r="S54" s="198">
        <f t="shared" ref="S54:S66" si="24">SUM(O54:R54)</f>
        <v>2598616.6510000001</v>
      </c>
      <c r="T54" s="203">
        <v>29864719</v>
      </c>
      <c r="U54" s="203">
        <v>0</v>
      </c>
      <c r="V54" s="203">
        <v>0</v>
      </c>
      <c r="W54" s="203">
        <v>0</v>
      </c>
      <c r="X54" s="198">
        <f t="shared" ref="X54:X65" si="25">SUM(T54:W54)</f>
        <v>29864719</v>
      </c>
      <c r="Y54" s="371">
        <v>46420138.457000002</v>
      </c>
      <c r="Z54" s="371">
        <v>0</v>
      </c>
      <c r="AA54" s="371">
        <v>0</v>
      </c>
      <c r="AB54" s="371">
        <v>0</v>
      </c>
      <c r="AC54" s="198">
        <f t="shared" ref="AC54:AC66" si="26">SUM(Y54:AB54)</f>
        <v>46420138.457000002</v>
      </c>
      <c r="AD54" s="371">
        <v>40442839</v>
      </c>
      <c r="AE54" s="371">
        <v>0</v>
      </c>
      <c r="AF54" s="371">
        <v>0</v>
      </c>
      <c r="AG54" s="371">
        <v>0</v>
      </c>
      <c r="AH54" s="198">
        <f t="shared" ref="AH54:AH61" si="27">SUM(AD54:AG54)</f>
        <v>40442839</v>
      </c>
      <c r="AI54" s="371">
        <v>24968264.114999998</v>
      </c>
      <c r="AJ54" s="371">
        <v>0</v>
      </c>
      <c r="AK54" s="371">
        <v>0</v>
      </c>
      <c r="AL54" s="371">
        <v>0</v>
      </c>
      <c r="AM54" s="198">
        <f t="shared" ref="AM54:AM66" si="28">SUM(AI54:AL54)</f>
        <v>24968264.114999998</v>
      </c>
      <c r="AN54" s="371">
        <f>6483835-15000</f>
        <v>6468835</v>
      </c>
      <c r="AO54" s="371">
        <v>0</v>
      </c>
      <c r="AP54" s="371">
        <v>0</v>
      </c>
      <c r="AQ54" s="371">
        <v>0</v>
      </c>
      <c r="AR54" s="198">
        <f t="shared" ref="AR54:AR75" si="29">SUM(AN54:AQ54)</f>
        <v>6468835</v>
      </c>
      <c r="AS54" s="371">
        <v>3371670</v>
      </c>
      <c r="AT54" s="371">
        <v>0</v>
      </c>
      <c r="AU54" s="371">
        <v>0</v>
      </c>
      <c r="AV54" s="371">
        <v>0</v>
      </c>
      <c r="AW54" s="198">
        <f t="shared" ref="AW54:AW66" si="30">SUM(AS54:AV54)</f>
        <v>3371670</v>
      </c>
      <c r="AX54" s="371">
        <f>30497112.693+15001</f>
        <v>30512113.693</v>
      </c>
      <c r="AY54" s="371">
        <v>0</v>
      </c>
      <c r="AZ54" s="371">
        <v>0</v>
      </c>
      <c r="BA54" s="371">
        <v>0</v>
      </c>
      <c r="BB54" s="198">
        <f t="shared" ref="BB54:BB66" si="31">SUM(AX54:BA54)</f>
        <v>30512113.693</v>
      </c>
      <c r="BC54" s="371">
        <f>49904115.85284</f>
        <v>49904115.852839999</v>
      </c>
      <c r="BD54" s="371">
        <v>0</v>
      </c>
      <c r="BE54" s="371">
        <v>0</v>
      </c>
      <c r="BF54" s="371">
        <v>0</v>
      </c>
      <c r="BG54" s="198">
        <f t="shared" ref="BG54:BG66" si="32">SUM(BC54:BF54)</f>
        <v>49904115.852839999</v>
      </c>
      <c r="BH54" s="371">
        <v>0</v>
      </c>
      <c r="BI54" s="371">
        <v>0</v>
      </c>
      <c r="BJ54" s="371">
        <v>0</v>
      </c>
      <c r="BK54" s="371">
        <v>0</v>
      </c>
      <c r="BL54" s="198">
        <f t="shared" ref="BL54:BL66" si="33">SUM(BH54:BK54)</f>
        <v>0</v>
      </c>
      <c r="BM54" s="371">
        <v>0</v>
      </c>
      <c r="BN54" s="371">
        <v>0</v>
      </c>
      <c r="BO54" s="371">
        <v>0</v>
      </c>
      <c r="BP54" s="371">
        <v>0</v>
      </c>
      <c r="BQ54" s="198">
        <f t="shared" ref="BQ54:BQ59" si="34">SUM(BM54:BP54)</f>
        <v>0</v>
      </c>
      <c r="BR54" s="371">
        <f>+J54+O54+T54+Y54+AD54+AI54+AN54+AS54+AX54+BC54+BH54+BM54</f>
        <v>237935155.74852002</v>
      </c>
      <c r="BS54" s="371">
        <f t="shared" ref="BR54:BU66" si="35">+K54+P54+U54+Z54+AE54+AJ54+AO54+AT54+AY54+BD54+BI54+BN54</f>
        <v>0</v>
      </c>
      <c r="BT54" s="371">
        <f t="shared" si="35"/>
        <v>0</v>
      </c>
      <c r="BU54" s="371">
        <f t="shared" si="35"/>
        <v>0</v>
      </c>
      <c r="BV54" s="372">
        <f t="shared" ref="BV54:BV59" si="36">SUM(BR54:BU54)</f>
        <v>237935155.74852002</v>
      </c>
      <c r="BW54" s="159"/>
      <c r="BX54" s="428"/>
      <c r="BZ54" s="373"/>
      <c r="CA54" s="373"/>
      <c r="CB54" s="373"/>
      <c r="CC54" s="373"/>
      <c r="CD54" s="373"/>
      <c r="CE54" s="374"/>
      <c r="CF54" s="374"/>
      <c r="CG54" s="374"/>
      <c r="CH54" s="159"/>
      <c r="CI54" s="374"/>
    </row>
    <row r="55" spans="1:87" s="68" customFormat="1" x14ac:dyDescent="0.3">
      <c r="A55" s="367" t="s">
        <v>253</v>
      </c>
      <c r="D55" s="366"/>
      <c r="E55" s="375">
        <v>220000</v>
      </c>
      <c r="F55" s="376">
        <v>0</v>
      </c>
      <c r="G55" s="376">
        <v>0</v>
      </c>
      <c r="H55" s="376">
        <v>0</v>
      </c>
      <c r="I55" s="198">
        <f>SUM(E55:H55)</f>
        <v>220000</v>
      </c>
      <c r="J55" s="377">
        <f>73523.79/1000</f>
        <v>73.523789999999991</v>
      </c>
      <c r="K55" s="371">
        <v>0</v>
      </c>
      <c r="L55" s="371">
        <v>0</v>
      </c>
      <c r="M55" s="371">
        <v>0</v>
      </c>
      <c r="N55" s="198">
        <f t="shared" si="23"/>
        <v>73.523789999999991</v>
      </c>
      <c r="O55" s="371">
        <v>13906.300999999999</v>
      </c>
      <c r="P55" s="371">
        <v>0</v>
      </c>
      <c r="Q55" s="371">
        <v>0</v>
      </c>
      <c r="R55" s="371">
        <v>0</v>
      </c>
      <c r="S55" s="198">
        <f t="shared" si="24"/>
        <v>13906.300999999999</v>
      </c>
      <c r="T55" s="371">
        <v>12001</v>
      </c>
      <c r="U55" s="371">
        <v>0</v>
      </c>
      <c r="V55" s="371">
        <v>0</v>
      </c>
      <c r="W55" s="371">
        <v>0</v>
      </c>
      <c r="X55" s="198">
        <f t="shared" si="25"/>
        <v>12001</v>
      </c>
      <c r="Y55" s="371">
        <v>519.55700000000002</v>
      </c>
      <c r="Z55" s="371">
        <v>0</v>
      </c>
      <c r="AA55" s="371">
        <v>0</v>
      </c>
      <c r="AB55" s="371">
        <v>0</v>
      </c>
      <c r="AC55" s="198">
        <f t="shared" si="26"/>
        <v>519.55700000000002</v>
      </c>
      <c r="AD55" s="371">
        <v>100328</v>
      </c>
      <c r="AE55" s="371">
        <v>0</v>
      </c>
      <c r="AF55" s="371">
        <v>0</v>
      </c>
      <c r="AG55" s="371">
        <v>0</v>
      </c>
      <c r="AH55" s="198">
        <f t="shared" si="27"/>
        <v>100328</v>
      </c>
      <c r="AI55" s="371">
        <v>-12156.041999999999</v>
      </c>
      <c r="AJ55" s="371">
        <v>0</v>
      </c>
      <c r="AK55" s="371">
        <v>0</v>
      </c>
      <c r="AL55" s="371">
        <v>0</v>
      </c>
      <c r="AM55" s="198">
        <f t="shared" si="28"/>
        <v>-12156.041999999999</v>
      </c>
      <c r="AN55" s="371">
        <v>15000</v>
      </c>
      <c r="AO55" s="371">
        <v>0</v>
      </c>
      <c r="AP55" s="371">
        <v>0</v>
      </c>
      <c r="AQ55" s="371">
        <v>0</v>
      </c>
      <c r="AR55" s="198">
        <f t="shared" si="29"/>
        <v>15000</v>
      </c>
      <c r="AS55" s="371">
        <v>189</v>
      </c>
      <c r="AT55" s="371">
        <v>0</v>
      </c>
      <c r="AU55" s="371">
        <v>0</v>
      </c>
      <c r="AV55" s="371">
        <v>0</v>
      </c>
      <c r="AW55" s="198">
        <f t="shared" si="30"/>
        <v>189</v>
      </c>
      <c r="AX55" s="371">
        <f>28061.39-14850</f>
        <v>13211.39</v>
      </c>
      <c r="AY55" s="371">
        <v>0</v>
      </c>
      <c r="AZ55" s="371">
        <v>0</v>
      </c>
      <c r="BA55" s="371">
        <v>0</v>
      </c>
      <c r="BB55" s="198">
        <f t="shared" si="31"/>
        <v>13211.39</v>
      </c>
      <c r="BC55" s="371">
        <f>755.51517</f>
        <v>755.51517000000001</v>
      </c>
      <c r="BD55" s="371">
        <v>0</v>
      </c>
      <c r="BE55" s="371">
        <v>0</v>
      </c>
      <c r="BF55" s="371">
        <v>0</v>
      </c>
      <c r="BG55" s="198">
        <f t="shared" si="32"/>
        <v>755.51517000000001</v>
      </c>
      <c r="BH55" s="371">
        <v>0</v>
      </c>
      <c r="BI55" s="371">
        <v>0</v>
      </c>
      <c r="BJ55" s="371">
        <v>0</v>
      </c>
      <c r="BK55" s="371">
        <v>0</v>
      </c>
      <c r="BL55" s="198">
        <f t="shared" si="33"/>
        <v>0</v>
      </c>
      <c r="BM55" s="371">
        <v>0</v>
      </c>
      <c r="BN55" s="371">
        <v>0</v>
      </c>
      <c r="BO55" s="371">
        <v>0</v>
      </c>
      <c r="BP55" s="371">
        <v>0</v>
      </c>
      <c r="BQ55" s="198">
        <f t="shared" si="34"/>
        <v>0</v>
      </c>
      <c r="BR55" s="371">
        <f t="shared" si="35"/>
        <v>143828.24496000001</v>
      </c>
      <c r="BS55" s="371">
        <f t="shared" si="35"/>
        <v>0</v>
      </c>
      <c r="BT55" s="371">
        <f t="shared" si="35"/>
        <v>0</v>
      </c>
      <c r="BU55" s="371">
        <f t="shared" si="35"/>
        <v>0</v>
      </c>
      <c r="BV55" s="372">
        <f t="shared" si="36"/>
        <v>143828.24496000001</v>
      </c>
      <c r="BW55" s="159"/>
      <c r="BX55" s="428"/>
      <c r="BZ55" s="373"/>
      <c r="CA55" s="373"/>
      <c r="CB55" s="373"/>
      <c r="CC55" s="373"/>
      <c r="CD55" s="373"/>
      <c r="CE55" s="374"/>
      <c r="CF55" s="374"/>
      <c r="CG55" s="374"/>
      <c r="CH55" s="159"/>
      <c r="CI55" s="374"/>
    </row>
    <row r="56" spans="1:87" x14ac:dyDescent="0.3">
      <c r="A56" s="308" t="s">
        <v>254</v>
      </c>
      <c r="B56" s="364"/>
      <c r="D56" s="359"/>
      <c r="E56" s="378">
        <v>0</v>
      </c>
      <c r="F56" s="379">
        <v>570868206</v>
      </c>
      <c r="G56" s="379">
        <v>0</v>
      </c>
      <c r="H56" s="379">
        <v>0</v>
      </c>
      <c r="I56" s="172">
        <f t="shared" si="19"/>
        <v>570868206</v>
      </c>
      <c r="J56" s="380">
        <v>0</v>
      </c>
      <c r="K56" s="381">
        <v>46729733</v>
      </c>
      <c r="L56" s="381">
        <v>0</v>
      </c>
      <c r="M56" s="381">
        <v>0</v>
      </c>
      <c r="N56" s="172">
        <f t="shared" si="23"/>
        <v>46729733</v>
      </c>
      <c r="O56" s="381">
        <v>0</v>
      </c>
      <c r="P56" s="381">
        <v>46729733</v>
      </c>
      <c r="Q56" s="381">
        <v>0</v>
      </c>
      <c r="R56" s="381">
        <v>0</v>
      </c>
      <c r="S56" s="172">
        <f t="shared" si="24"/>
        <v>46729733</v>
      </c>
      <c r="T56" s="381">
        <v>0</v>
      </c>
      <c r="U56" s="381">
        <v>46729733</v>
      </c>
      <c r="V56" s="381">
        <v>0</v>
      </c>
      <c r="W56" s="381">
        <v>0</v>
      </c>
      <c r="X56" s="172">
        <f t="shared" si="25"/>
        <v>46729733</v>
      </c>
      <c r="Y56" s="381">
        <v>0</v>
      </c>
      <c r="Z56" s="381">
        <v>46729733</v>
      </c>
      <c r="AA56" s="381">
        <v>0</v>
      </c>
      <c r="AB56" s="381">
        <v>0</v>
      </c>
      <c r="AC56" s="172">
        <f t="shared" si="26"/>
        <v>46729733</v>
      </c>
      <c r="AD56" s="381">
        <v>0</v>
      </c>
      <c r="AE56" s="381">
        <v>46729733</v>
      </c>
      <c r="AF56" s="381">
        <v>0</v>
      </c>
      <c r="AG56" s="381">
        <v>0</v>
      </c>
      <c r="AH56" s="172">
        <f t="shared" si="27"/>
        <v>46729733</v>
      </c>
      <c r="AI56" s="381">
        <v>0</v>
      </c>
      <c r="AJ56" s="381">
        <v>46729733</v>
      </c>
      <c r="AK56" s="381">
        <v>0</v>
      </c>
      <c r="AL56" s="381">
        <v>0</v>
      </c>
      <c r="AM56" s="172">
        <f t="shared" si="28"/>
        <v>46729733</v>
      </c>
      <c r="AN56" s="381">
        <v>0</v>
      </c>
      <c r="AO56" s="381">
        <v>46729733</v>
      </c>
      <c r="AP56" s="381">
        <v>0</v>
      </c>
      <c r="AQ56" s="381">
        <v>0</v>
      </c>
      <c r="AR56" s="172">
        <f t="shared" si="29"/>
        <v>46729733</v>
      </c>
      <c r="AS56" s="381">
        <v>0</v>
      </c>
      <c r="AT56" s="381">
        <v>46729733</v>
      </c>
      <c r="AU56" s="381">
        <v>0</v>
      </c>
      <c r="AV56" s="381">
        <v>0</v>
      </c>
      <c r="AW56" s="172">
        <f t="shared" si="30"/>
        <v>46729733</v>
      </c>
      <c r="AX56" s="381">
        <v>0</v>
      </c>
      <c r="AY56" s="381">
        <v>46729733</v>
      </c>
      <c r="AZ56" s="381">
        <v>0</v>
      </c>
      <c r="BA56" s="381">
        <v>0</v>
      </c>
      <c r="BB56" s="172">
        <f t="shared" si="31"/>
        <v>46729733</v>
      </c>
      <c r="BC56" s="381">
        <v>0</v>
      </c>
      <c r="BD56" s="381">
        <v>52815985</v>
      </c>
      <c r="BE56" s="381">
        <v>0</v>
      </c>
      <c r="BF56" s="381">
        <v>0</v>
      </c>
      <c r="BG56" s="172">
        <f t="shared" si="32"/>
        <v>52815985</v>
      </c>
      <c r="BH56" s="381">
        <v>0</v>
      </c>
      <c r="BI56" s="381">
        <v>0</v>
      </c>
      <c r="BJ56" s="381">
        <v>0</v>
      </c>
      <c r="BK56" s="381">
        <v>0</v>
      </c>
      <c r="BL56" s="172">
        <f t="shared" si="33"/>
        <v>0</v>
      </c>
      <c r="BM56" s="381">
        <v>0</v>
      </c>
      <c r="BN56" s="381">
        <v>0</v>
      </c>
      <c r="BO56" s="381">
        <v>0</v>
      </c>
      <c r="BP56" s="381">
        <v>0</v>
      </c>
      <c r="BQ56" s="172">
        <f t="shared" si="34"/>
        <v>0</v>
      </c>
      <c r="BR56" s="381">
        <f t="shared" si="35"/>
        <v>0</v>
      </c>
      <c r="BS56" s="381">
        <f t="shared" si="35"/>
        <v>473383582</v>
      </c>
      <c r="BT56" s="381">
        <f t="shared" si="35"/>
        <v>0</v>
      </c>
      <c r="BU56" s="381">
        <f t="shared" si="35"/>
        <v>0</v>
      </c>
      <c r="BV56" s="273">
        <f t="shared" si="36"/>
        <v>473383582</v>
      </c>
      <c r="BW56" s="136"/>
      <c r="BX56" s="426"/>
      <c r="BZ56" s="382"/>
      <c r="CA56" s="382"/>
      <c r="CB56" s="382"/>
      <c r="CC56" s="382"/>
      <c r="CD56" s="382"/>
      <c r="CE56" s="317"/>
      <c r="CF56" s="317"/>
      <c r="CG56" s="317"/>
      <c r="CH56" s="136"/>
      <c r="CI56" s="317"/>
    </row>
    <row r="57" spans="1:87" ht="13.5" customHeight="1" x14ac:dyDescent="0.3">
      <c r="A57" s="320" t="s">
        <v>255</v>
      </c>
      <c r="B57" s="383"/>
      <c r="D57" s="384"/>
      <c r="E57" s="378">
        <v>0</v>
      </c>
      <c r="F57" s="379">
        <v>15334823</v>
      </c>
      <c r="G57" s="379">
        <v>0</v>
      </c>
      <c r="H57" s="379">
        <v>0</v>
      </c>
      <c r="I57" s="172">
        <f>SUM(E57:H57)</f>
        <v>15334823</v>
      </c>
      <c r="J57" s="380">
        <v>0</v>
      </c>
      <c r="K57" s="381">
        <v>0</v>
      </c>
      <c r="L57" s="381">
        <v>0</v>
      </c>
      <c r="M57" s="381">
        <v>0</v>
      </c>
      <c r="N57" s="172">
        <f t="shared" si="23"/>
        <v>0</v>
      </c>
      <c r="O57" s="381">
        <v>0</v>
      </c>
      <c r="P57" s="381">
        <v>0</v>
      </c>
      <c r="Q57" s="381">
        <v>0</v>
      </c>
      <c r="R57" s="381">
        <v>0</v>
      </c>
      <c r="S57" s="172">
        <f t="shared" si="24"/>
        <v>0</v>
      </c>
      <c r="T57" s="381">
        <v>0</v>
      </c>
      <c r="U57" s="381">
        <v>0</v>
      </c>
      <c r="V57" s="381">
        <v>0</v>
      </c>
      <c r="W57" s="381">
        <v>0</v>
      </c>
      <c r="X57" s="172">
        <f t="shared" si="25"/>
        <v>0</v>
      </c>
      <c r="Y57" s="381">
        <v>0</v>
      </c>
      <c r="Z57" s="381">
        <v>0</v>
      </c>
      <c r="AA57" s="381">
        <v>0</v>
      </c>
      <c r="AB57" s="381">
        <v>0</v>
      </c>
      <c r="AC57" s="172">
        <f t="shared" si="26"/>
        <v>0</v>
      </c>
      <c r="AD57" s="381">
        <v>0</v>
      </c>
      <c r="AE57" s="381">
        <v>5111607</v>
      </c>
      <c r="AF57" s="381">
        <v>0</v>
      </c>
      <c r="AG57" s="381">
        <v>0</v>
      </c>
      <c r="AH57" s="172">
        <f t="shared" si="27"/>
        <v>5111607</v>
      </c>
      <c r="AI57" s="381">
        <v>0</v>
      </c>
      <c r="AJ57" s="381">
        <v>0</v>
      </c>
      <c r="AK57" s="381">
        <v>0</v>
      </c>
      <c r="AL57" s="381">
        <v>0</v>
      </c>
      <c r="AM57" s="172">
        <f t="shared" si="28"/>
        <v>0</v>
      </c>
      <c r="AN57" s="381">
        <v>0</v>
      </c>
      <c r="AO57" s="381">
        <v>0</v>
      </c>
      <c r="AP57" s="381">
        <v>0</v>
      </c>
      <c r="AQ57" s="381">
        <v>0</v>
      </c>
      <c r="AR57" s="172">
        <f t="shared" si="29"/>
        <v>0</v>
      </c>
      <c r="AS57" s="381">
        <v>0</v>
      </c>
      <c r="AT57" s="381">
        <v>0</v>
      </c>
      <c r="AU57" s="381">
        <v>0</v>
      </c>
      <c r="AV57" s="381">
        <v>0</v>
      </c>
      <c r="AW57" s="172">
        <f t="shared" si="30"/>
        <v>0</v>
      </c>
      <c r="AX57" s="381">
        <v>0</v>
      </c>
      <c r="AY57" s="381">
        <v>5111607</v>
      </c>
      <c r="AZ57" s="381">
        <v>0</v>
      </c>
      <c r="BA57" s="381">
        <v>0</v>
      </c>
      <c r="BB57" s="172">
        <f t="shared" si="31"/>
        <v>5111607</v>
      </c>
      <c r="BC57" s="381">
        <v>0</v>
      </c>
      <c r="BD57" s="381">
        <v>0</v>
      </c>
      <c r="BE57" s="381">
        <v>0</v>
      </c>
      <c r="BF57" s="381">
        <v>0</v>
      </c>
      <c r="BG57" s="172">
        <f t="shared" si="32"/>
        <v>0</v>
      </c>
      <c r="BH57" s="381">
        <v>0</v>
      </c>
      <c r="BI57" s="381">
        <v>0</v>
      </c>
      <c r="BJ57" s="381">
        <v>0</v>
      </c>
      <c r="BK57" s="381">
        <v>0</v>
      </c>
      <c r="BL57" s="172">
        <f t="shared" si="33"/>
        <v>0</v>
      </c>
      <c r="BM57" s="381">
        <v>0</v>
      </c>
      <c r="BN57" s="381">
        <v>0</v>
      </c>
      <c r="BO57" s="381">
        <v>0</v>
      </c>
      <c r="BP57" s="381">
        <v>0</v>
      </c>
      <c r="BQ57" s="172">
        <f t="shared" si="34"/>
        <v>0</v>
      </c>
      <c r="BR57" s="381">
        <f t="shared" si="35"/>
        <v>0</v>
      </c>
      <c r="BS57" s="381">
        <f t="shared" si="35"/>
        <v>10223214</v>
      </c>
      <c r="BT57" s="381">
        <f t="shared" si="35"/>
        <v>0</v>
      </c>
      <c r="BU57" s="381">
        <f t="shared" si="35"/>
        <v>0</v>
      </c>
      <c r="BV57" s="273">
        <f t="shared" si="36"/>
        <v>10223214</v>
      </c>
      <c r="BW57" s="136"/>
      <c r="BX57" s="426"/>
      <c r="BZ57" s="385"/>
      <c r="CA57" s="385"/>
      <c r="CB57" s="385"/>
      <c r="CC57" s="385"/>
      <c r="CD57" s="385"/>
      <c r="CE57" s="317"/>
      <c r="CF57" s="317"/>
      <c r="CG57" s="317"/>
      <c r="CH57" s="136"/>
      <c r="CI57" s="317"/>
    </row>
    <row r="58" spans="1:87" ht="12.75" customHeight="1" x14ac:dyDescent="0.3">
      <c r="A58" s="308" t="s">
        <v>256</v>
      </c>
      <c r="B58" s="364"/>
      <c r="D58" s="359" t="s">
        <v>87</v>
      </c>
      <c r="E58" s="378">
        <v>0</v>
      </c>
      <c r="F58" s="379">
        <v>0</v>
      </c>
      <c r="G58" s="379">
        <v>0</v>
      </c>
      <c r="H58" s="379">
        <v>263112</v>
      </c>
      <c r="I58" s="172">
        <f t="shared" ref="I58:I66" si="37">SUM(E58:H58)</f>
        <v>263112</v>
      </c>
      <c r="J58" s="380">
        <v>0</v>
      </c>
      <c r="K58" s="381">
        <v>0</v>
      </c>
      <c r="L58" s="381">
        <v>0</v>
      </c>
      <c r="M58" s="381">
        <f>-[45]original!$G$40</f>
        <v>183362</v>
      </c>
      <c r="N58" s="172">
        <f t="shared" si="23"/>
        <v>183362</v>
      </c>
      <c r="O58" s="381">
        <v>0</v>
      </c>
      <c r="P58" s="381">
        <v>0</v>
      </c>
      <c r="Q58" s="381">
        <v>0</v>
      </c>
      <c r="R58" s="381">
        <f>-[46]original!$H$40</f>
        <v>60398</v>
      </c>
      <c r="S58" s="172">
        <f>SUM(O58:R58)</f>
        <v>60398</v>
      </c>
      <c r="T58" s="381">
        <v>0</v>
      </c>
      <c r="U58" s="381">
        <v>0</v>
      </c>
      <c r="V58" s="381">
        <v>0</v>
      </c>
      <c r="W58" s="381">
        <v>19201</v>
      </c>
      <c r="X58" s="172">
        <f t="shared" si="25"/>
        <v>19201</v>
      </c>
      <c r="Y58" s="381">
        <v>0</v>
      </c>
      <c r="Z58" s="381">
        <v>0</v>
      </c>
      <c r="AA58" s="381">
        <v>0</v>
      </c>
      <c r="AB58" s="381">
        <f>-[48]original!$J$40</f>
        <v>9</v>
      </c>
      <c r="AC58" s="172">
        <f t="shared" si="26"/>
        <v>9</v>
      </c>
      <c r="AD58" s="381">
        <v>0</v>
      </c>
      <c r="AE58" s="381">
        <v>0</v>
      </c>
      <c r="AF58" s="381">
        <v>0</v>
      </c>
      <c r="AG58" s="386">
        <f>-[49]original!$K$40</f>
        <v>118</v>
      </c>
      <c r="AH58" s="172">
        <f>SUM(AD58:AG58)</f>
        <v>118</v>
      </c>
      <c r="AI58" s="381">
        <v>0</v>
      </c>
      <c r="AJ58" s="381">
        <v>0</v>
      </c>
      <c r="AK58" s="381">
        <v>0</v>
      </c>
      <c r="AL58" s="381">
        <f>-[50]original!$L$40</f>
        <v>24</v>
      </c>
      <c r="AM58" s="172">
        <f>SUM(AI58:AL58)</f>
        <v>24</v>
      </c>
      <c r="AN58" s="381">
        <v>0</v>
      </c>
      <c r="AO58" s="381">
        <v>0</v>
      </c>
      <c r="AP58" s="381">
        <v>0</v>
      </c>
      <c r="AQ58" s="381">
        <f>-[44]original!$M$40</f>
        <v>19</v>
      </c>
      <c r="AR58" s="172">
        <f t="shared" si="29"/>
        <v>19</v>
      </c>
      <c r="AS58" s="381">
        <v>0</v>
      </c>
      <c r="AT58" s="381">
        <v>0</v>
      </c>
      <c r="AU58" s="381">
        <v>0</v>
      </c>
      <c r="AV58" s="386">
        <f>-[51]original!$N$40</f>
        <v>25</v>
      </c>
      <c r="AW58" s="172">
        <f t="shared" si="30"/>
        <v>25</v>
      </c>
      <c r="AX58" s="381">
        <v>0</v>
      </c>
      <c r="AY58" s="381">
        <v>0</v>
      </c>
      <c r="AZ58" s="381">
        <v>0</v>
      </c>
      <c r="BA58" s="381">
        <f>-[52]original!$O$40</f>
        <v>47</v>
      </c>
      <c r="BB58" s="172">
        <f t="shared" si="31"/>
        <v>47</v>
      </c>
      <c r="BC58" s="381">
        <v>0</v>
      </c>
      <c r="BD58" s="381">
        <v>0</v>
      </c>
      <c r="BE58" s="381">
        <v>0</v>
      </c>
      <c r="BF58" s="381">
        <f>-[53]original!$P$40</f>
        <v>1</v>
      </c>
      <c r="BG58" s="172">
        <f t="shared" si="32"/>
        <v>1</v>
      </c>
      <c r="BH58" s="381">
        <v>0</v>
      </c>
      <c r="BI58" s="381">
        <v>0</v>
      </c>
      <c r="BJ58" s="381">
        <v>0</v>
      </c>
      <c r="BK58" s="381">
        <v>0</v>
      </c>
      <c r="BL58" s="172">
        <f t="shared" si="33"/>
        <v>0</v>
      </c>
      <c r="BM58" s="381">
        <v>0</v>
      </c>
      <c r="BN58" s="381">
        <v>0</v>
      </c>
      <c r="BO58" s="381">
        <v>0</v>
      </c>
      <c r="BP58" s="381">
        <v>0</v>
      </c>
      <c r="BQ58" s="172">
        <f t="shared" si="34"/>
        <v>0</v>
      </c>
      <c r="BR58" s="381">
        <f t="shared" si="35"/>
        <v>0</v>
      </c>
      <c r="BS58" s="381">
        <f>+K58+P58+U58+Z58+AE58+AJ58+AO58+AT58+AY58+BD58+BI58+BN58</f>
        <v>0</v>
      </c>
      <c r="BT58" s="381">
        <f t="shared" si="35"/>
        <v>0</v>
      </c>
      <c r="BU58" s="381">
        <f t="shared" si="35"/>
        <v>263204</v>
      </c>
      <c r="BV58" s="273">
        <f t="shared" si="36"/>
        <v>263204</v>
      </c>
      <c r="BW58" s="136"/>
      <c r="BX58" s="426"/>
      <c r="BZ58" s="382"/>
      <c r="CA58" s="382"/>
      <c r="CB58" s="382"/>
      <c r="CC58" s="382"/>
      <c r="CD58" s="382"/>
      <c r="CE58" s="317"/>
      <c r="CF58" s="387"/>
      <c r="CG58" s="317"/>
      <c r="CH58" s="136"/>
      <c r="CI58" s="317"/>
    </row>
    <row r="59" spans="1:87" x14ac:dyDescent="0.3">
      <c r="A59" s="320" t="s">
        <v>257</v>
      </c>
      <c r="B59" s="383"/>
      <c r="D59" s="388"/>
      <c r="E59" s="378">
        <v>0</v>
      </c>
      <c r="F59" s="379">
        <v>72582</v>
      </c>
      <c r="G59" s="379">
        <v>0</v>
      </c>
      <c r="H59" s="379">
        <v>0</v>
      </c>
      <c r="I59" s="172">
        <f t="shared" si="37"/>
        <v>72582</v>
      </c>
      <c r="J59" s="380">
        <v>0</v>
      </c>
      <c r="K59" s="381">
        <v>0</v>
      </c>
      <c r="L59" s="381">
        <v>0</v>
      </c>
      <c r="M59" s="381">
        <v>0</v>
      </c>
      <c r="N59" s="172">
        <f t="shared" si="23"/>
        <v>0</v>
      </c>
      <c r="O59" s="381">
        <v>0</v>
      </c>
      <c r="P59" s="381">
        <v>0</v>
      </c>
      <c r="Q59" s="381">
        <v>0</v>
      </c>
      <c r="R59" s="381">
        <v>0</v>
      </c>
      <c r="S59" s="172">
        <f t="shared" si="24"/>
        <v>0</v>
      </c>
      <c r="T59" s="381">
        <v>0</v>
      </c>
      <c r="U59" s="381">
        <v>42582</v>
      </c>
      <c r="V59" s="381">
        <v>0</v>
      </c>
      <c r="W59" s="381">
        <v>0</v>
      </c>
      <c r="X59" s="172">
        <f t="shared" si="25"/>
        <v>42582</v>
      </c>
      <c r="Y59" s="381">
        <v>0</v>
      </c>
      <c r="Z59" s="381">
        <v>30000</v>
      </c>
      <c r="AA59" s="381">
        <v>0</v>
      </c>
      <c r="AB59" s="381">
        <v>0</v>
      </c>
      <c r="AC59" s="172">
        <f t="shared" si="26"/>
        <v>30000</v>
      </c>
      <c r="AD59" s="381">
        <v>0</v>
      </c>
      <c r="AE59" s="381">
        <v>0</v>
      </c>
      <c r="AF59" s="381">
        <v>0</v>
      </c>
      <c r="AG59" s="381">
        <v>0</v>
      </c>
      <c r="AH59" s="172">
        <f t="shared" si="27"/>
        <v>0</v>
      </c>
      <c r="AI59" s="381">
        <v>0</v>
      </c>
      <c r="AJ59" s="381">
        <v>0</v>
      </c>
      <c r="AK59" s="381">
        <v>0</v>
      </c>
      <c r="AL59" s="381">
        <v>0</v>
      </c>
      <c r="AM59" s="172">
        <f t="shared" si="28"/>
        <v>0</v>
      </c>
      <c r="AN59" s="381">
        <v>0</v>
      </c>
      <c r="AO59" s="381">
        <v>0</v>
      </c>
      <c r="AP59" s="381">
        <v>0</v>
      </c>
      <c r="AQ59" s="381">
        <v>0</v>
      </c>
      <c r="AR59" s="172">
        <f t="shared" si="29"/>
        <v>0</v>
      </c>
      <c r="AS59" s="381">
        <v>0</v>
      </c>
      <c r="AT59" s="381">
        <v>0</v>
      </c>
      <c r="AU59" s="381">
        <v>0</v>
      </c>
      <c r="AV59" s="381">
        <v>0</v>
      </c>
      <c r="AW59" s="172">
        <f t="shared" si="30"/>
        <v>0</v>
      </c>
      <c r="AX59" s="381">
        <v>0</v>
      </c>
      <c r="AY59" s="381">
        <v>0</v>
      </c>
      <c r="AZ59" s="381">
        <v>0</v>
      </c>
      <c r="BA59" s="381">
        <v>0</v>
      </c>
      <c r="BB59" s="172">
        <f t="shared" si="31"/>
        <v>0</v>
      </c>
      <c r="BC59" s="381">
        <v>0</v>
      </c>
      <c r="BD59" s="381">
        <v>0</v>
      </c>
      <c r="BE59" s="381">
        <v>0</v>
      </c>
      <c r="BF59" s="381">
        <v>0</v>
      </c>
      <c r="BG59" s="172">
        <f t="shared" si="32"/>
        <v>0</v>
      </c>
      <c r="BH59" s="381">
        <v>0</v>
      </c>
      <c r="BI59" s="381">
        <v>0</v>
      </c>
      <c r="BJ59" s="381">
        <v>0</v>
      </c>
      <c r="BK59" s="381">
        <v>0</v>
      </c>
      <c r="BL59" s="172">
        <f>SUM(BH59:BK59)</f>
        <v>0</v>
      </c>
      <c r="BM59" s="381">
        <v>0</v>
      </c>
      <c r="BN59" s="381">
        <v>0</v>
      </c>
      <c r="BO59" s="381">
        <v>0</v>
      </c>
      <c r="BP59" s="381">
        <v>0</v>
      </c>
      <c r="BQ59" s="172">
        <f t="shared" si="34"/>
        <v>0</v>
      </c>
      <c r="BR59" s="381">
        <f>+J59+O59+T59+Y59+AD59+AI59+AN59+AS59+AX59+BC59+BH59+BM59</f>
        <v>0</v>
      </c>
      <c r="BS59" s="381">
        <f>+K59+P59+U59+Z59+AE59+AJ59+AO59+AT59+AY59+BD59+BI59+BN59</f>
        <v>72582</v>
      </c>
      <c r="BT59" s="381">
        <f>+L59+Q59+V59+AA59+AF59+AK59+AP59+AU59+AZ59+BE59+BJ59+BO59</f>
        <v>0</v>
      </c>
      <c r="BU59" s="381">
        <f t="shared" si="35"/>
        <v>0</v>
      </c>
      <c r="BV59" s="273">
        <f t="shared" si="36"/>
        <v>72582</v>
      </c>
      <c r="BW59" s="136"/>
      <c r="BX59" s="426"/>
      <c r="BZ59" s="385"/>
      <c r="CA59" s="385"/>
      <c r="CB59" s="385"/>
      <c r="CC59" s="385"/>
      <c r="CD59" s="385"/>
      <c r="CE59" s="317"/>
      <c r="CF59" s="317"/>
      <c r="CG59" s="317"/>
      <c r="CH59" s="136"/>
      <c r="CI59" s="317"/>
    </row>
    <row r="60" spans="1:87" x14ac:dyDescent="0.3">
      <c r="A60" s="83" t="s">
        <v>258</v>
      </c>
      <c r="B60" s="383"/>
      <c r="D60" s="388"/>
      <c r="E60" s="378">
        <f>SUM(E61)</f>
        <v>0</v>
      </c>
      <c r="F60" s="379">
        <f>SUM(F61)</f>
        <v>204700</v>
      </c>
      <c r="G60" s="379">
        <f>SUM(G61)</f>
        <v>0</v>
      </c>
      <c r="H60" s="379">
        <f>SUM(H62)</f>
        <v>101557</v>
      </c>
      <c r="I60" s="172">
        <f>SUM(I61:I62)</f>
        <v>306257</v>
      </c>
      <c r="J60" s="380">
        <v>0</v>
      </c>
      <c r="K60" s="381">
        <v>0</v>
      </c>
      <c r="L60" s="381">
        <v>0</v>
      </c>
      <c r="M60" s="381">
        <v>0</v>
      </c>
      <c r="N60" s="172">
        <v>0</v>
      </c>
      <c r="O60" s="381">
        <v>0</v>
      </c>
      <c r="P60" s="381">
        <v>0</v>
      </c>
      <c r="Q60" s="381">
        <v>0</v>
      </c>
      <c r="R60" s="381">
        <v>0</v>
      </c>
      <c r="S60" s="172">
        <v>0</v>
      </c>
      <c r="T60" s="381">
        <v>0</v>
      </c>
      <c r="U60" s="381">
        <v>0</v>
      </c>
      <c r="V60" s="381">
        <v>0</v>
      </c>
      <c r="W60" s="381">
        <v>0</v>
      </c>
      <c r="X60" s="172">
        <f t="shared" si="25"/>
        <v>0</v>
      </c>
      <c r="Y60" s="381">
        <f>SUM(Y61)</f>
        <v>0</v>
      </c>
      <c r="Z60" s="381">
        <f>SUM(Z61)</f>
        <v>0</v>
      </c>
      <c r="AA60" s="381">
        <f>SUM(AA61)</f>
        <v>0</v>
      </c>
      <c r="AB60" s="381">
        <f>SUM(AB61)</f>
        <v>5192</v>
      </c>
      <c r="AC60" s="172">
        <f>SUM(AC61)</f>
        <v>5192</v>
      </c>
      <c r="AD60" s="381">
        <v>0</v>
      </c>
      <c r="AE60" s="381">
        <v>0</v>
      </c>
      <c r="AF60" s="381">
        <v>0</v>
      </c>
      <c r="AG60" s="381">
        <v>0</v>
      </c>
      <c r="AH60" s="172">
        <f t="shared" si="27"/>
        <v>0</v>
      </c>
      <c r="AI60" s="381">
        <v>0</v>
      </c>
      <c r="AJ60" s="381">
        <v>0</v>
      </c>
      <c r="AK60" s="381">
        <v>0</v>
      </c>
      <c r="AL60" s="381">
        <f>SUM(AL61)</f>
        <v>195467</v>
      </c>
      <c r="AM60" s="172">
        <f t="shared" si="28"/>
        <v>195467</v>
      </c>
      <c r="AN60" s="381">
        <v>0</v>
      </c>
      <c r="AO60" s="381">
        <v>0</v>
      </c>
      <c r="AP60" s="381">
        <v>0</v>
      </c>
      <c r="AQ60" s="381">
        <v>0</v>
      </c>
      <c r="AR60" s="172">
        <f t="shared" si="29"/>
        <v>0</v>
      </c>
      <c r="AS60" s="381">
        <v>0</v>
      </c>
      <c r="AT60" s="381">
        <v>0</v>
      </c>
      <c r="AU60" s="381">
        <v>0</v>
      </c>
      <c r="AV60" s="381">
        <v>0</v>
      </c>
      <c r="AW60" s="172">
        <f t="shared" si="30"/>
        <v>0</v>
      </c>
      <c r="AX60" s="381">
        <f>SUM(AX61)</f>
        <v>0</v>
      </c>
      <c r="AY60" s="381">
        <f>SUM(AY61)</f>
        <v>0</v>
      </c>
      <c r="AZ60" s="381">
        <f>SUM(AZ61)</f>
        <v>0</v>
      </c>
      <c r="BA60" s="381">
        <f>SUM(BA61)</f>
        <v>0</v>
      </c>
      <c r="BB60" s="172">
        <f>SUM(BB61:BB62)</f>
        <v>0</v>
      </c>
      <c r="BC60" s="381">
        <v>0</v>
      </c>
      <c r="BD60" s="381">
        <v>0</v>
      </c>
      <c r="BE60" s="381">
        <v>0</v>
      </c>
      <c r="BF60" s="381">
        <v>0</v>
      </c>
      <c r="BG60" s="172">
        <f t="shared" si="32"/>
        <v>0</v>
      </c>
      <c r="BH60" s="381"/>
      <c r="BI60" s="381"/>
      <c r="BJ60" s="381"/>
      <c r="BK60" s="381"/>
      <c r="BL60" s="172"/>
      <c r="BM60" s="381"/>
      <c r="BN60" s="381"/>
      <c r="BO60" s="381"/>
      <c r="BP60" s="381"/>
      <c r="BQ60" s="172"/>
      <c r="BR60" s="381">
        <f>SUM(BR61)</f>
        <v>0</v>
      </c>
      <c r="BS60" s="381">
        <f>SUM(BS61)</f>
        <v>0</v>
      </c>
      <c r="BT60" s="381">
        <f>SUM(BT61)</f>
        <v>0</v>
      </c>
      <c r="BU60" s="381">
        <f>SUM(BU61)</f>
        <v>200659</v>
      </c>
      <c r="BV60" s="273">
        <f>SUM(BV61:BV62)</f>
        <v>200659</v>
      </c>
      <c r="BW60" s="136"/>
      <c r="BX60" s="426"/>
      <c r="BZ60" s="385"/>
      <c r="CA60" s="385"/>
      <c r="CB60" s="385"/>
      <c r="CC60" s="385"/>
      <c r="CD60" s="385"/>
      <c r="CE60" s="317"/>
      <c r="CF60" s="317"/>
      <c r="CG60" s="317"/>
      <c r="CH60" s="136"/>
      <c r="CI60" s="317"/>
    </row>
    <row r="61" spans="1:87" s="68" customFormat="1" x14ac:dyDescent="0.3">
      <c r="A61" s="389"/>
      <c r="B61" s="390" t="s">
        <v>259</v>
      </c>
      <c r="D61" s="388"/>
      <c r="E61" s="375">
        <v>0</v>
      </c>
      <c r="F61" s="376">
        <v>204700</v>
      </c>
      <c r="G61" s="376">
        <v>0</v>
      </c>
      <c r="H61" s="376">
        <v>0</v>
      </c>
      <c r="I61" s="198">
        <f t="shared" si="37"/>
        <v>204700</v>
      </c>
      <c r="J61" s="377">
        <v>0</v>
      </c>
      <c r="K61" s="371">
        <v>0</v>
      </c>
      <c r="L61" s="371">
        <v>0</v>
      </c>
      <c r="M61" s="371">
        <v>0</v>
      </c>
      <c r="N61" s="198">
        <v>0</v>
      </c>
      <c r="O61" s="371">
        <v>0</v>
      </c>
      <c r="P61" s="371">
        <v>0</v>
      </c>
      <c r="Q61" s="371">
        <v>0</v>
      </c>
      <c r="R61" s="371">
        <v>0</v>
      </c>
      <c r="S61" s="198">
        <v>0</v>
      </c>
      <c r="T61" s="371">
        <v>0</v>
      </c>
      <c r="U61" s="371">
        <v>0</v>
      </c>
      <c r="V61" s="371">
        <v>0</v>
      </c>
      <c r="W61" s="371">
        <v>0</v>
      </c>
      <c r="X61" s="198">
        <f t="shared" si="25"/>
        <v>0</v>
      </c>
      <c r="Y61" s="371">
        <v>0</v>
      </c>
      <c r="Z61" s="371">
        <v>0</v>
      </c>
      <c r="AA61" s="371">
        <v>0</v>
      </c>
      <c r="AB61" s="371">
        <v>5192</v>
      </c>
      <c r="AC61" s="198">
        <f t="shared" si="26"/>
        <v>5192</v>
      </c>
      <c r="AD61" s="371">
        <v>0</v>
      </c>
      <c r="AE61" s="371">
        <v>0</v>
      </c>
      <c r="AF61" s="371">
        <v>0</v>
      </c>
      <c r="AG61" s="371">
        <v>0</v>
      </c>
      <c r="AH61" s="198">
        <f t="shared" si="27"/>
        <v>0</v>
      </c>
      <c r="AI61" s="371">
        <v>0</v>
      </c>
      <c r="AJ61" s="371">
        <v>0</v>
      </c>
      <c r="AK61" s="371">
        <v>0</v>
      </c>
      <c r="AL61" s="371">
        <v>195467</v>
      </c>
      <c r="AM61" s="198">
        <f t="shared" si="28"/>
        <v>195467</v>
      </c>
      <c r="AN61" s="371">
        <v>0</v>
      </c>
      <c r="AO61" s="371">
        <v>0</v>
      </c>
      <c r="AP61" s="371">
        <v>0</v>
      </c>
      <c r="AQ61" s="371">
        <v>0</v>
      </c>
      <c r="AR61" s="172">
        <f t="shared" si="29"/>
        <v>0</v>
      </c>
      <c r="AS61" s="371">
        <v>0</v>
      </c>
      <c r="AT61" s="371">
        <v>0</v>
      </c>
      <c r="AU61" s="371">
        <v>0</v>
      </c>
      <c r="AV61" s="371">
        <v>0</v>
      </c>
      <c r="AW61" s="198">
        <f t="shared" si="30"/>
        <v>0</v>
      </c>
      <c r="AX61" s="371">
        <v>0</v>
      </c>
      <c r="AY61" s="371">
        <v>0</v>
      </c>
      <c r="AZ61" s="371">
        <v>0</v>
      </c>
      <c r="BA61" s="371">
        <v>0</v>
      </c>
      <c r="BB61" s="198">
        <f t="shared" si="31"/>
        <v>0</v>
      </c>
      <c r="BC61" s="371">
        <v>0</v>
      </c>
      <c r="BD61" s="371">
        <v>0</v>
      </c>
      <c r="BE61" s="371">
        <v>0</v>
      </c>
      <c r="BF61" s="371">
        <v>0</v>
      </c>
      <c r="BG61" s="198">
        <f t="shared" si="32"/>
        <v>0</v>
      </c>
      <c r="BH61" s="371"/>
      <c r="BI61" s="371"/>
      <c r="BJ61" s="371"/>
      <c r="BK61" s="371"/>
      <c r="BL61" s="198"/>
      <c r="BM61" s="371"/>
      <c r="BN61" s="371"/>
      <c r="BO61" s="371"/>
      <c r="BP61" s="371"/>
      <c r="BQ61" s="198"/>
      <c r="BR61" s="371">
        <f>+J61+O61+T61+Y61+AD61+AI61+AN61+AS61+AX61+BC61+BH61+BM61</f>
        <v>0</v>
      </c>
      <c r="BS61" s="371">
        <f>+K61+P61+U61+Z61+AE61+AJ61+AO61+AT61+AY61+BD61+BI61+BN61</f>
        <v>0</v>
      </c>
      <c r="BT61" s="371">
        <f>+L61+Q61+V61+AA61+AF61+AK61+AP61+AU61+AZ61+BE61+BJ61+BO61</f>
        <v>0</v>
      </c>
      <c r="BU61" s="371">
        <f>+M61+R61+W61+AB61+AG61+AL61+AQ61+AV61+BA61+BF61+BK61+BP61</f>
        <v>200659</v>
      </c>
      <c r="BV61" s="372">
        <f t="shared" ref="BV61:BV66" si="38">SUM(BR61:BU61)</f>
        <v>200659</v>
      </c>
      <c r="BW61" s="159"/>
      <c r="BX61" s="426"/>
      <c r="BZ61" s="391"/>
      <c r="CA61" s="391"/>
      <c r="CB61" s="391"/>
      <c r="CC61" s="391"/>
      <c r="CD61" s="391"/>
      <c r="CE61" s="374"/>
      <c r="CF61" s="374"/>
      <c r="CG61" s="374"/>
      <c r="CH61" s="159"/>
      <c r="CI61" s="374"/>
    </row>
    <row r="62" spans="1:87" s="68" customFormat="1" x14ac:dyDescent="0.3">
      <c r="A62" s="389"/>
      <c r="B62" s="390" t="s">
        <v>260</v>
      </c>
      <c r="D62" s="388"/>
      <c r="E62" s="375">
        <v>0</v>
      </c>
      <c r="F62" s="376">
        <v>0</v>
      </c>
      <c r="G62" s="376">
        <v>0</v>
      </c>
      <c r="H62" s="376">
        <v>101557</v>
      </c>
      <c r="I62" s="198">
        <f t="shared" si="37"/>
        <v>101557</v>
      </c>
      <c r="J62" s="377"/>
      <c r="K62" s="371"/>
      <c r="L62" s="371"/>
      <c r="M62" s="371"/>
      <c r="N62" s="198"/>
      <c r="O62" s="371"/>
      <c r="P62" s="371"/>
      <c r="Q62" s="371"/>
      <c r="R62" s="371"/>
      <c r="S62" s="198"/>
      <c r="T62" s="371"/>
      <c r="U62" s="371"/>
      <c r="V62" s="371"/>
      <c r="W62" s="371"/>
      <c r="X62" s="198"/>
      <c r="Y62" s="371"/>
      <c r="Z62" s="371"/>
      <c r="AA62" s="371"/>
      <c r="AB62" s="371"/>
      <c r="AC62" s="198"/>
      <c r="AD62" s="371"/>
      <c r="AE62" s="371"/>
      <c r="AF62" s="371"/>
      <c r="AG62" s="371"/>
      <c r="AH62" s="198"/>
      <c r="AI62" s="371"/>
      <c r="AJ62" s="371"/>
      <c r="AK62" s="371"/>
      <c r="AL62" s="371"/>
      <c r="AM62" s="198"/>
      <c r="AN62" s="371"/>
      <c r="AO62" s="371"/>
      <c r="AP62" s="371"/>
      <c r="AQ62" s="371"/>
      <c r="AR62" s="172"/>
      <c r="AS62" s="371"/>
      <c r="AT62" s="371"/>
      <c r="AU62" s="371"/>
      <c r="AV62" s="371"/>
      <c r="AW62" s="198"/>
      <c r="AX62" s="371">
        <v>0</v>
      </c>
      <c r="AY62" s="371">
        <v>0</v>
      </c>
      <c r="AZ62" s="371">
        <v>0</v>
      </c>
      <c r="BA62" s="371">
        <v>0</v>
      </c>
      <c r="BB62" s="198">
        <f t="shared" si="31"/>
        <v>0</v>
      </c>
      <c r="BC62" s="371">
        <v>0</v>
      </c>
      <c r="BD62" s="371">
        <v>0</v>
      </c>
      <c r="BE62" s="371">
        <v>0</v>
      </c>
      <c r="BF62" s="371">
        <v>0</v>
      </c>
      <c r="BG62" s="198">
        <f t="shared" si="32"/>
        <v>0</v>
      </c>
      <c r="BH62" s="371"/>
      <c r="BI62" s="371"/>
      <c r="BJ62" s="371"/>
      <c r="BK62" s="371"/>
      <c r="BL62" s="198"/>
      <c r="BM62" s="371"/>
      <c r="BN62" s="371"/>
      <c r="BO62" s="371"/>
      <c r="BP62" s="371"/>
      <c r="BQ62" s="198"/>
      <c r="BR62" s="371">
        <v>0</v>
      </c>
      <c r="BS62" s="371">
        <v>0</v>
      </c>
      <c r="BT62" s="371">
        <v>0</v>
      </c>
      <c r="BU62" s="371">
        <v>0</v>
      </c>
      <c r="BV62" s="372">
        <f t="shared" si="38"/>
        <v>0</v>
      </c>
      <c r="BW62" s="159"/>
      <c r="BX62" s="426"/>
      <c r="BZ62" s="391"/>
      <c r="CA62" s="391"/>
      <c r="CB62" s="391"/>
      <c r="CC62" s="391"/>
      <c r="CD62" s="391"/>
      <c r="CE62" s="374"/>
      <c r="CF62" s="374"/>
      <c r="CG62" s="374"/>
      <c r="CH62" s="159"/>
      <c r="CI62" s="374"/>
    </row>
    <row r="63" spans="1:87" x14ac:dyDescent="0.3">
      <c r="A63" s="320" t="s">
        <v>261</v>
      </c>
      <c r="B63" s="383"/>
      <c r="C63" s="383"/>
      <c r="D63" s="384"/>
      <c r="E63" s="378">
        <v>0</v>
      </c>
      <c r="F63" s="379">
        <v>21238137</v>
      </c>
      <c r="G63" s="379">
        <v>0</v>
      </c>
      <c r="H63" s="379">
        <v>0</v>
      </c>
      <c r="I63" s="172">
        <f>SUM(E63:H63)</f>
        <v>21238137</v>
      </c>
      <c r="J63" s="380">
        <v>0</v>
      </c>
      <c r="K63" s="381">
        <v>1894466</v>
      </c>
      <c r="L63" s="381">
        <v>0</v>
      </c>
      <c r="M63" s="381">
        <v>0</v>
      </c>
      <c r="N63" s="172">
        <f t="shared" si="23"/>
        <v>1894466</v>
      </c>
      <c r="O63" s="381">
        <v>0</v>
      </c>
      <c r="P63" s="381">
        <v>1656276</v>
      </c>
      <c r="Q63" s="381">
        <v>0</v>
      </c>
      <c r="R63" s="381">
        <v>0</v>
      </c>
      <c r="S63" s="172">
        <f t="shared" si="24"/>
        <v>1656276</v>
      </c>
      <c r="T63" s="381">
        <v>0</v>
      </c>
      <c r="U63" s="381">
        <v>340</v>
      </c>
      <c r="V63" s="381">
        <v>0</v>
      </c>
      <c r="W63" s="381">
        <v>0</v>
      </c>
      <c r="X63" s="172">
        <f>SUM(T63:W63)</f>
        <v>340</v>
      </c>
      <c r="Y63" s="381">
        <v>0</v>
      </c>
      <c r="Z63" s="381">
        <v>1612402</v>
      </c>
      <c r="AA63" s="381">
        <v>0</v>
      </c>
      <c r="AB63" s="381">
        <v>0</v>
      </c>
      <c r="AC63" s="172">
        <f t="shared" si="26"/>
        <v>1612402</v>
      </c>
      <c r="AD63" s="381">
        <v>0</v>
      </c>
      <c r="AE63" s="381">
        <v>3319943</v>
      </c>
      <c r="AF63" s="381">
        <v>0</v>
      </c>
      <c r="AG63" s="381">
        <v>0</v>
      </c>
      <c r="AH63" s="172">
        <f>SUM(AD63:AG63)</f>
        <v>3319943</v>
      </c>
      <c r="AI63" s="381">
        <v>0</v>
      </c>
      <c r="AJ63" s="381">
        <v>1666735</v>
      </c>
      <c r="AK63" s="381">
        <v>0</v>
      </c>
      <c r="AL63" s="381">
        <v>0</v>
      </c>
      <c r="AM63" s="172">
        <f t="shared" si="28"/>
        <v>1666735</v>
      </c>
      <c r="AN63" s="381">
        <v>0</v>
      </c>
      <c r="AO63" s="381">
        <v>1719424</v>
      </c>
      <c r="AP63" s="381">
        <v>0</v>
      </c>
      <c r="AQ63" s="381">
        <v>0</v>
      </c>
      <c r="AR63" s="172">
        <f t="shared" si="29"/>
        <v>1719424</v>
      </c>
      <c r="AS63" s="381">
        <v>0</v>
      </c>
      <c r="AT63" s="381">
        <v>1718306</v>
      </c>
      <c r="AU63" s="381">
        <v>0</v>
      </c>
      <c r="AV63" s="381">
        <v>0</v>
      </c>
      <c r="AW63" s="172">
        <f t="shared" si="30"/>
        <v>1718306</v>
      </c>
      <c r="AX63" s="381">
        <v>0</v>
      </c>
      <c r="AY63" s="381">
        <v>1700134</v>
      </c>
      <c r="AZ63" s="381">
        <v>0</v>
      </c>
      <c r="BA63" s="381">
        <v>0</v>
      </c>
      <c r="BB63" s="172">
        <f t="shared" si="31"/>
        <v>1700134</v>
      </c>
      <c r="BC63" s="381">
        <v>0</v>
      </c>
      <c r="BD63" s="381">
        <v>1934519</v>
      </c>
      <c r="BE63" s="381">
        <v>0</v>
      </c>
      <c r="BF63" s="381">
        <v>0</v>
      </c>
      <c r="BG63" s="172">
        <f t="shared" si="32"/>
        <v>1934519</v>
      </c>
      <c r="BH63" s="381">
        <v>0</v>
      </c>
      <c r="BI63" s="381">
        <v>0</v>
      </c>
      <c r="BJ63" s="381">
        <v>0</v>
      </c>
      <c r="BK63" s="381">
        <v>0</v>
      </c>
      <c r="BL63" s="172">
        <f t="shared" si="33"/>
        <v>0</v>
      </c>
      <c r="BM63" s="381">
        <v>0</v>
      </c>
      <c r="BN63" s="381">
        <v>0</v>
      </c>
      <c r="BO63" s="381">
        <v>0</v>
      </c>
      <c r="BP63" s="381">
        <v>0</v>
      </c>
      <c r="BQ63" s="172">
        <f>SUM(BM63:BP63)</f>
        <v>0</v>
      </c>
      <c r="BR63" s="381">
        <f t="shared" ref="BR63:BT66" si="39">+J63+O63+T63+Y63+AD63+AI63+AN63+AS63+AX63+BC63+BH63+BM63</f>
        <v>0</v>
      </c>
      <c r="BS63" s="381">
        <f t="shared" si="39"/>
        <v>17222545</v>
      </c>
      <c r="BT63" s="381">
        <f t="shared" si="39"/>
        <v>0</v>
      </c>
      <c r="BU63" s="381">
        <f t="shared" si="35"/>
        <v>0</v>
      </c>
      <c r="BV63" s="273">
        <f t="shared" si="38"/>
        <v>17222545</v>
      </c>
      <c r="BW63" s="136"/>
      <c r="BX63" s="426"/>
      <c r="BZ63" s="385"/>
      <c r="CA63" s="385"/>
      <c r="CB63" s="385"/>
      <c r="CC63" s="385"/>
      <c r="CD63" s="385"/>
      <c r="CE63" s="317"/>
      <c r="CF63" s="317"/>
      <c r="CG63" s="317"/>
      <c r="CH63" s="136"/>
      <c r="CI63" s="317"/>
    </row>
    <row r="64" spans="1:87" x14ac:dyDescent="0.3">
      <c r="A64" s="308" t="s">
        <v>262</v>
      </c>
      <c r="B64" s="364"/>
      <c r="D64" s="361"/>
      <c r="E64" s="378">
        <v>2343063</v>
      </c>
      <c r="F64" s="379">
        <v>55443</v>
      </c>
      <c r="G64" s="379">
        <v>0</v>
      </c>
      <c r="H64" s="379">
        <v>0</v>
      </c>
      <c r="I64" s="172">
        <f t="shared" si="37"/>
        <v>2398506</v>
      </c>
      <c r="J64" s="380">
        <v>180659</v>
      </c>
      <c r="K64" s="381">
        <v>2642</v>
      </c>
      <c r="L64" s="381">
        <v>0</v>
      </c>
      <c r="M64" s="381">
        <v>0</v>
      </c>
      <c r="N64" s="172">
        <f t="shared" si="23"/>
        <v>183301</v>
      </c>
      <c r="O64" s="381">
        <v>181983</v>
      </c>
      <c r="P64" s="381">
        <v>3438</v>
      </c>
      <c r="Q64" s="381">
        <v>0</v>
      </c>
      <c r="R64" s="381">
        <v>0</v>
      </c>
      <c r="S64" s="172">
        <f t="shared" si="24"/>
        <v>185421</v>
      </c>
      <c r="T64" s="381">
        <v>178898</v>
      </c>
      <c r="U64" s="381">
        <v>3764</v>
      </c>
      <c r="V64" s="381">
        <v>0</v>
      </c>
      <c r="W64" s="381">
        <v>0</v>
      </c>
      <c r="X64" s="172">
        <f t="shared" si="25"/>
        <v>182662</v>
      </c>
      <c r="Y64" s="381">
        <v>247999</v>
      </c>
      <c r="Z64" s="392">
        <v>4247</v>
      </c>
      <c r="AA64" s="381">
        <v>0</v>
      </c>
      <c r="AB64" s="381">
        <v>0</v>
      </c>
      <c r="AC64" s="172">
        <f t="shared" si="26"/>
        <v>252246</v>
      </c>
      <c r="AD64" s="381">
        <v>186656</v>
      </c>
      <c r="AE64" s="381">
        <v>8028</v>
      </c>
      <c r="AF64" s="381">
        <v>0</v>
      </c>
      <c r="AG64" s="381">
        <v>0</v>
      </c>
      <c r="AH64" s="172">
        <f>SUM(AD64:AG64)</f>
        <v>194684</v>
      </c>
      <c r="AI64" s="381">
        <v>185050</v>
      </c>
      <c r="AJ64" s="381">
        <v>1474</v>
      </c>
      <c r="AK64" s="381">
        <v>0</v>
      </c>
      <c r="AL64" s="381">
        <v>0</v>
      </c>
      <c r="AM64" s="172">
        <f t="shared" si="28"/>
        <v>186524</v>
      </c>
      <c r="AN64" s="381">
        <v>184041</v>
      </c>
      <c r="AO64" s="381">
        <v>6717</v>
      </c>
      <c r="AP64" s="381">
        <v>0</v>
      </c>
      <c r="AQ64" s="381">
        <v>0</v>
      </c>
      <c r="AR64" s="172">
        <f t="shared" si="29"/>
        <v>190758</v>
      </c>
      <c r="AS64" s="381">
        <v>182943</v>
      </c>
      <c r="AT64" s="381">
        <v>576</v>
      </c>
      <c r="AU64" s="381">
        <v>0</v>
      </c>
      <c r="AV64" s="381">
        <v>0</v>
      </c>
      <c r="AW64" s="172">
        <f t="shared" si="30"/>
        <v>183519</v>
      </c>
      <c r="AX64" s="381">
        <v>183904</v>
      </c>
      <c r="AY64" s="381">
        <v>422</v>
      </c>
      <c r="AZ64" s="381">
        <v>0</v>
      </c>
      <c r="BA64" s="381">
        <v>0</v>
      </c>
      <c r="BB64" s="172">
        <f t="shared" si="31"/>
        <v>184326</v>
      </c>
      <c r="BC64" s="381">
        <v>178955</v>
      </c>
      <c r="BD64" s="381">
        <v>2776</v>
      </c>
      <c r="BE64" s="381">
        <v>0</v>
      </c>
      <c r="BF64" s="381">
        <v>0</v>
      </c>
      <c r="BG64" s="172">
        <f t="shared" si="32"/>
        <v>181731</v>
      </c>
      <c r="BH64" s="381">
        <v>0</v>
      </c>
      <c r="BI64" s="381">
        <v>0</v>
      </c>
      <c r="BJ64" s="381">
        <v>0</v>
      </c>
      <c r="BK64" s="381">
        <v>0</v>
      </c>
      <c r="BL64" s="172">
        <f t="shared" si="33"/>
        <v>0</v>
      </c>
      <c r="BM64" s="381">
        <v>0</v>
      </c>
      <c r="BN64" s="381">
        <v>0</v>
      </c>
      <c r="BO64" s="381">
        <v>0</v>
      </c>
      <c r="BP64" s="381">
        <v>0</v>
      </c>
      <c r="BQ64" s="172">
        <f>SUM(BM64:BP64)</f>
        <v>0</v>
      </c>
      <c r="BR64" s="381">
        <f t="shared" si="39"/>
        <v>1891088</v>
      </c>
      <c r="BS64" s="381">
        <f t="shared" si="39"/>
        <v>34084</v>
      </c>
      <c r="BT64" s="381">
        <f t="shared" si="39"/>
        <v>0</v>
      </c>
      <c r="BU64" s="381">
        <f t="shared" si="35"/>
        <v>0</v>
      </c>
      <c r="BV64" s="273">
        <f t="shared" si="38"/>
        <v>1925172</v>
      </c>
      <c r="BW64" s="136"/>
      <c r="BX64" s="426"/>
      <c r="BZ64" s="382"/>
      <c r="CA64" s="382"/>
      <c r="CB64" s="382"/>
      <c r="CC64" s="382"/>
      <c r="CD64" s="382"/>
      <c r="CE64" s="317"/>
      <c r="CF64" s="317"/>
      <c r="CG64" s="317"/>
      <c r="CH64" s="136"/>
      <c r="CI64" s="317"/>
    </row>
    <row r="65" spans="1:112" x14ac:dyDescent="0.3">
      <c r="A65" s="320" t="s">
        <v>263</v>
      </c>
      <c r="B65" s="383"/>
      <c r="D65" s="361"/>
      <c r="E65" s="378">
        <v>1112765</v>
      </c>
      <c r="F65" s="379">
        <v>134353</v>
      </c>
      <c r="G65" s="379">
        <v>0</v>
      </c>
      <c r="H65" s="379">
        <v>0</v>
      </c>
      <c r="I65" s="172">
        <f t="shared" si="37"/>
        <v>1247118</v>
      </c>
      <c r="J65" s="380">
        <v>82065</v>
      </c>
      <c r="K65" s="381">
        <v>1660</v>
      </c>
      <c r="L65" s="381">
        <v>0</v>
      </c>
      <c r="M65" s="381">
        <v>0</v>
      </c>
      <c r="N65" s="172">
        <f t="shared" si="23"/>
        <v>83725</v>
      </c>
      <c r="O65" s="381">
        <v>86976</v>
      </c>
      <c r="P65" s="381">
        <v>2017</v>
      </c>
      <c r="Q65" s="381">
        <v>0</v>
      </c>
      <c r="R65" s="381">
        <v>0</v>
      </c>
      <c r="S65" s="172">
        <f t="shared" si="24"/>
        <v>88993</v>
      </c>
      <c r="T65" s="381">
        <v>84087</v>
      </c>
      <c r="U65" s="381">
        <v>4091</v>
      </c>
      <c r="V65" s="381">
        <v>0</v>
      </c>
      <c r="W65" s="381">
        <v>0</v>
      </c>
      <c r="X65" s="172">
        <f t="shared" si="25"/>
        <v>88178</v>
      </c>
      <c r="Y65" s="381">
        <v>111910</v>
      </c>
      <c r="Z65" s="392">
        <v>5101</v>
      </c>
      <c r="AA65" s="381">
        <v>0</v>
      </c>
      <c r="AB65" s="381">
        <v>0</v>
      </c>
      <c r="AC65" s="172">
        <f t="shared" si="26"/>
        <v>117011</v>
      </c>
      <c r="AD65" s="381">
        <v>92146</v>
      </c>
      <c r="AE65" s="381">
        <v>12044</v>
      </c>
      <c r="AF65" s="381">
        <v>0</v>
      </c>
      <c r="AG65" s="381">
        <v>0</v>
      </c>
      <c r="AH65" s="172">
        <f>SUM(AD65:AG65)</f>
        <v>104190</v>
      </c>
      <c r="AI65" s="381">
        <v>87053</v>
      </c>
      <c r="AJ65" s="381">
        <v>8182</v>
      </c>
      <c r="AK65" s="381">
        <v>0</v>
      </c>
      <c r="AL65" s="381">
        <v>0</v>
      </c>
      <c r="AM65" s="172">
        <f t="shared" si="28"/>
        <v>95235</v>
      </c>
      <c r="AN65" s="381">
        <v>91546</v>
      </c>
      <c r="AO65" s="381">
        <v>6757</v>
      </c>
      <c r="AP65" s="381">
        <v>0</v>
      </c>
      <c r="AQ65" s="381">
        <v>0</v>
      </c>
      <c r="AR65" s="172">
        <f t="shared" si="29"/>
        <v>98303</v>
      </c>
      <c r="AS65" s="381">
        <v>88795</v>
      </c>
      <c r="AT65" s="381">
        <v>8095</v>
      </c>
      <c r="AU65" s="381">
        <v>0</v>
      </c>
      <c r="AV65" s="381">
        <v>0</v>
      </c>
      <c r="AW65" s="172">
        <f t="shared" si="30"/>
        <v>96890</v>
      </c>
      <c r="AX65" s="381">
        <v>83729</v>
      </c>
      <c r="AY65" s="381">
        <v>6675</v>
      </c>
      <c r="AZ65" s="381">
        <v>0</v>
      </c>
      <c r="BA65" s="381">
        <v>0</v>
      </c>
      <c r="BB65" s="172">
        <f t="shared" si="31"/>
        <v>90404</v>
      </c>
      <c r="BC65" s="381">
        <v>84106</v>
      </c>
      <c r="BD65" s="381">
        <v>442</v>
      </c>
      <c r="BE65" s="381">
        <v>0</v>
      </c>
      <c r="BF65" s="381">
        <v>0</v>
      </c>
      <c r="BG65" s="172">
        <f t="shared" si="32"/>
        <v>84548</v>
      </c>
      <c r="BH65" s="381">
        <v>0</v>
      </c>
      <c r="BI65" s="381">
        <v>0</v>
      </c>
      <c r="BJ65" s="381">
        <v>0</v>
      </c>
      <c r="BK65" s="381">
        <v>0</v>
      </c>
      <c r="BL65" s="172">
        <f t="shared" si="33"/>
        <v>0</v>
      </c>
      <c r="BM65" s="381">
        <v>0</v>
      </c>
      <c r="BN65" s="381">
        <v>0</v>
      </c>
      <c r="BO65" s="381">
        <v>0</v>
      </c>
      <c r="BP65" s="381">
        <v>0</v>
      </c>
      <c r="BQ65" s="172">
        <f>SUM(BM65:BP65)</f>
        <v>0</v>
      </c>
      <c r="BR65" s="381">
        <f t="shared" si="39"/>
        <v>892413</v>
      </c>
      <c r="BS65" s="381">
        <f t="shared" si="39"/>
        <v>55064</v>
      </c>
      <c r="BT65" s="381">
        <f t="shared" si="39"/>
        <v>0</v>
      </c>
      <c r="BU65" s="381">
        <f t="shared" si="35"/>
        <v>0</v>
      </c>
      <c r="BV65" s="273">
        <f t="shared" si="38"/>
        <v>947477</v>
      </c>
      <c r="BW65" s="136"/>
      <c r="BX65" s="426"/>
      <c r="BZ65" s="382"/>
      <c r="CA65" s="382"/>
      <c r="CB65" s="382"/>
      <c r="CC65" s="382"/>
      <c r="CD65" s="382"/>
      <c r="CE65" s="317"/>
      <c r="CF65" s="317"/>
      <c r="CG65" s="317"/>
      <c r="CH65" s="136"/>
      <c r="CI65" s="317"/>
    </row>
    <row r="66" spans="1:112" x14ac:dyDescent="0.3">
      <c r="A66" s="340" t="s">
        <v>264</v>
      </c>
      <c r="B66" s="309"/>
      <c r="D66" s="361"/>
      <c r="E66" s="393">
        <v>0</v>
      </c>
      <c r="F66" s="394">
        <v>12034</v>
      </c>
      <c r="G66" s="394">
        <v>0</v>
      </c>
      <c r="H66" s="395">
        <v>0</v>
      </c>
      <c r="I66" s="172">
        <f t="shared" si="37"/>
        <v>12034</v>
      </c>
      <c r="J66" s="187">
        <v>0</v>
      </c>
      <c r="K66" s="166">
        <v>0</v>
      </c>
      <c r="L66" s="166">
        <v>0</v>
      </c>
      <c r="M66" s="166">
        <v>0</v>
      </c>
      <c r="N66" s="172">
        <f t="shared" si="23"/>
        <v>0</v>
      </c>
      <c r="O66" s="166">
        <v>0</v>
      </c>
      <c r="P66" s="166">
        <v>0</v>
      </c>
      <c r="Q66" s="166">
        <v>0</v>
      </c>
      <c r="R66" s="166">
        <v>0</v>
      </c>
      <c r="S66" s="172">
        <f t="shared" si="24"/>
        <v>0</v>
      </c>
      <c r="T66" s="187">
        <v>0</v>
      </c>
      <c r="U66" s="166">
        <v>0</v>
      </c>
      <c r="V66" s="166">
        <v>0</v>
      </c>
      <c r="W66" s="166">
        <v>0</v>
      </c>
      <c r="X66" s="172">
        <f>SUM(T66:W66)</f>
        <v>0</v>
      </c>
      <c r="Y66" s="187">
        <v>0</v>
      </c>
      <c r="Z66" s="166">
        <v>0</v>
      </c>
      <c r="AA66" s="166">
        <v>0</v>
      </c>
      <c r="AB66" s="166">
        <v>0</v>
      </c>
      <c r="AC66" s="172">
        <f t="shared" si="26"/>
        <v>0</v>
      </c>
      <c r="AD66" s="187">
        <v>0</v>
      </c>
      <c r="AE66" s="166">
        <v>0</v>
      </c>
      <c r="AF66" s="166">
        <v>0</v>
      </c>
      <c r="AG66" s="166">
        <v>0</v>
      </c>
      <c r="AH66" s="172">
        <f>SUM(AD66:AG66)</f>
        <v>0</v>
      </c>
      <c r="AI66" s="187">
        <v>0</v>
      </c>
      <c r="AJ66" s="166">
        <v>0</v>
      </c>
      <c r="AK66" s="166">
        <v>0</v>
      </c>
      <c r="AL66" s="166">
        <v>0</v>
      </c>
      <c r="AM66" s="172">
        <f t="shared" si="28"/>
        <v>0</v>
      </c>
      <c r="AN66" s="187">
        <v>0</v>
      </c>
      <c r="AO66" s="166">
        <v>0</v>
      </c>
      <c r="AP66" s="166">
        <v>0</v>
      </c>
      <c r="AQ66" s="166">
        <v>0</v>
      </c>
      <c r="AR66" s="172">
        <f t="shared" si="29"/>
        <v>0</v>
      </c>
      <c r="AS66" s="187">
        <v>0</v>
      </c>
      <c r="AT66" s="166">
        <v>0</v>
      </c>
      <c r="AU66" s="166">
        <v>0</v>
      </c>
      <c r="AV66" s="166">
        <v>0</v>
      </c>
      <c r="AW66" s="172">
        <f t="shared" si="30"/>
        <v>0</v>
      </c>
      <c r="AX66" s="187">
        <v>0</v>
      </c>
      <c r="AY66" s="166">
        <v>0</v>
      </c>
      <c r="AZ66" s="166">
        <v>0</v>
      </c>
      <c r="BA66" s="166">
        <v>0</v>
      </c>
      <c r="BB66" s="172">
        <f t="shared" si="31"/>
        <v>0</v>
      </c>
      <c r="BC66" s="187">
        <v>0</v>
      </c>
      <c r="BD66" s="166">
        <v>0</v>
      </c>
      <c r="BE66" s="166">
        <v>0</v>
      </c>
      <c r="BF66" s="166">
        <v>0</v>
      </c>
      <c r="BG66" s="172">
        <f t="shared" si="32"/>
        <v>0</v>
      </c>
      <c r="BH66" s="187">
        <v>0</v>
      </c>
      <c r="BI66" s="166">
        <v>0</v>
      </c>
      <c r="BJ66" s="166">
        <v>0</v>
      </c>
      <c r="BK66" s="166">
        <v>0</v>
      </c>
      <c r="BL66" s="172">
        <f t="shared" si="33"/>
        <v>0</v>
      </c>
      <c r="BM66" s="187">
        <v>0</v>
      </c>
      <c r="BN66" s="166">
        <v>0</v>
      </c>
      <c r="BO66" s="166">
        <v>0</v>
      </c>
      <c r="BP66" s="166">
        <v>0</v>
      </c>
      <c r="BQ66" s="172">
        <f>SUM(BM66:BP66)</f>
        <v>0</v>
      </c>
      <c r="BR66" s="187">
        <f t="shared" si="39"/>
        <v>0</v>
      </c>
      <c r="BS66" s="381">
        <f t="shared" si="39"/>
        <v>0</v>
      </c>
      <c r="BT66" s="166">
        <f>+L66+Q66+V66+AA66+AF66+AK66+AP66+AU66+AZ66+BE66+BJ66+BO66</f>
        <v>0</v>
      </c>
      <c r="BU66" s="166">
        <f t="shared" si="35"/>
        <v>0</v>
      </c>
      <c r="BV66" s="273">
        <f t="shared" si="38"/>
        <v>0</v>
      </c>
      <c r="BW66" s="136"/>
      <c r="BX66" s="426"/>
      <c r="BZ66" s="382"/>
      <c r="CA66" s="382"/>
      <c r="CB66" s="382"/>
      <c r="CC66" s="382"/>
      <c r="CD66" s="382"/>
      <c r="CE66" s="317"/>
      <c r="CF66" s="317"/>
      <c r="CG66" s="317"/>
      <c r="CH66" s="136"/>
      <c r="CI66" s="317"/>
    </row>
    <row r="67" spans="1:112" s="404" customFormat="1" x14ac:dyDescent="0.3">
      <c r="A67" s="396" t="s">
        <v>265</v>
      </c>
      <c r="B67" s="396"/>
      <c r="C67" s="397"/>
      <c r="D67" s="398"/>
      <c r="E67" s="399">
        <f>SUM(E51:E66)-E53-E60</f>
        <v>311674050</v>
      </c>
      <c r="F67" s="400">
        <f>SUM(F51:F66)-F53-F60</f>
        <v>607920278</v>
      </c>
      <c r="G67" s="400">
        <f>SUM(G51:G66)-G53-G60</f>
        <v>0</v>
      </c>
      <c r="H67" s="400">
        <f>SUM(H51:H66)-H53-H60</f>
        <v>364669</v>
      </c>
      <c r="I67" s="352">
        <f>SUM(I51:I66)-I53-I60</f>
        <v>919958997</v>
      </c>
      <c r="J67" s="353">
        <f>+J51+J52+J53+J56+J57+J58+J59+J63+J64+J65+J66</f>
        <v>3686425.5034699999</v>
      </c>
      <c r="K67" s="354">
        <f t="shared" ref="K67:BQ67" si="40">+K51+K52+K53+K56+K57+K58+K59+K63+K64+K65+K66</f>
        <v>48628501</v>
      </c>
      <c r="L67" s="354">
        <f t="shared" si="40"/>
        <v>0</v>
      </c>
      <c r="M67" s="354">
        <f t="shared" si="40"/>
        <v>183362</v>
      </c>
      <c r="N67" s="352">
        <f>+N51+N52+N53+N56+N57+N58+N59+N63+N64+N65+N66</f>
        <v>52498288.503470004</v>
      </c>
      <c r="O67" s="354">
        <f t="shared" si="40"/>
        <v>2921265.952</v>
      </c>
      <c r="P67" s="354">
        <f t="shared" si="40"/>
        <v>48391464</v>
      </c>
      <c r="Q67" s="354">
        <f t="shared" si="40"/>
        <v>0</v>
      </c>
      <c r="R67" s="401">
        <f t="shared" si="40"/>
        <v>60398</v>
      </c>
      <c r="S67" s="352">
        <f t="shared" si="40"/>
        <v>51373127.952</v>
      </c>
      <c r="T67" s="354">
        <f t="shared" si="40"/>
        <v>30179489</v>
      </c>
      <c r="U67" s="354">
        <f t="shared" si="40"/>
        <v>46780510</v>
      </c>
      <c r="V67" s="354">
        <f t="shared" si="40"/>
        <v>0</v>
      </c>
      <c r="W67" s="354">
        <f t="shared" si="40"/>
        <v>19201</v>
      </c>
      <c r="X67" s="352">
        <f t="shared" si="40"/>
        <v>76979200</v>
      </c>
      <c r="Y67" s="354">
        <f>SUM(Y51:Y66)-Y53-Y60</f>
        <v>46820449.013999999</v>
      </c>
      <c r="Z67" s="354">
        <f>SUM(Z51:Z66)-Z53-Z60</f>
        <v>48381483</v>
      </c>
      <c r="AA67" s="354">
        <f>SUM(AA51:AA66)-AA53-AA60</f>
        <v>0</v>
      </c>
      <c r="AB67" s="354">
        <f>SUM(AB51:AB66)-AB53-AB60</f>
        <v>5201</v>
      </c>
      <c r="AC67" s="352">
        <f>SUM(AC51:AC66)-AC53-AC60</f>
        <v>95207133.013999999</v>
      </c>
      <c r="AD67" s="354">
        <f t="shared" si="40"/>
        <v>40861775</v>
      </c>
      <c r="AE67" s="354">
        <f t="shared" si="40"/>
        <v>55181355</v>
      </c>
      <c r="AF67" s="354">
        <f t="shared" si="40"/>
        <v>0</v>
      </c>
      <c r="AG67" s="354">
        <f t="shared" si="40"/>
        <v>118</v>
      </c>
      <c r="AH67" s="352">
        <f>+AH51+AH52+AH53+AH56+AH57+AH58+AH59+AH61+AH63+AH64+AH65+AH66</f>
        <v>96043248</v>
      </c>
      <c r="AI67" s="354">
        <f t="shared" si="40"/>
        <v>25268002.072999999</v>
      </c>
      <c r="AJ67" s="354">
        <f t="shared" si="40"/>
        <v>48406124</v>
      </c>
      <c r="AK67" s="354">
        <f t="shared" si="40"/>
        <v>0</v>
      </c>
      <c r="AL67" s="354">
        <f>+AL51+AL52+AL53+AL56+AL57+AL58+AL59+AL63+AL64+AL65+AL66+AL60</f>
        <v>195491</v>
      </c>
      <c r="AM67" s="352">
        <f>SUM(AM51:AM66)-AM53-AM60</f>
        <v>73869617.072999999</v>
      </c>
      <c r="AN67" s="354">
        <f t="shared" si="40"/>
        <v>6799213</v>
      </c>
      <c r="AO67" s="354">
        <f t="shared" si="40"/>
        <v>48462631</v>
      </c>
      <c r="AP67" s="354">
        <f t="shared" si="40"/>
        <v>0</v>
      </c>
      <c r="AQ67" s="354">
        <f t="shared" si="40"/>
        <v>19</v>
      </c>
      <c r="AR67" s="352">
        <f t="shared" si="40"/>
        <v>55261863</v>
      </c>
      <c r="AS67" s="354">
        <f t="shared" si="40"/>
        <v>3683388</v>
      </c>
      <c r="AT67" s="354">
        <f t="shared" si="40"/>
        <v>48456710</v>
      </c>
      <c r="AU67" s="354">
        <f t="shared" si="40"/>
        <v>0</v>
      </c>
      <c r="AV67" s="354">
        <f t="shared" si="40"/>
        <v>25</v>
      </c>
      <c r="AW67" s="352">
        <f t="shared" si="40"/>
        <v>52140123</v>
      </c>
      <c r="AX67" s="354">
        <f t="shared" si="40"/>
        <v>30832749.083000001</v>
      </c>
      <c r="AY67" s="354">
        <f t="shared" si="40"/>
        <v>53548571</v>
      </c>
      <c r="AZ67" s="354">
        <f t="shared" si="40"/>
        <v>0</v>
      </c>
      <c r="BA67" s="354">
        <f t="shared" si="40"/>
        <v>47</v>
      </c>
      <c r="BB67" s="352">
        <f t="shared" si="40"/>
        <v>84381367.083000004</v>
      </c>
      <c r="BC67" s="354">
        <f t="shared" si="40"/>
        <v>50208205.368009999</v>
      </c>
      <c r="BD67" s="354">
        <f t="shared" si="40"/>
        <v>54753722</v>
      </c>
      <c r="BE67" s="354">
        <f t="shared" si="40"/>
        <v>0</v>
      </c>
      <c r="BF67" s="354">
        <f t="shared" si="40"/>
        <v>1</v>
      </c>
      <c r="BG67" s="352">
        <f t="shared" si="40"/>
        <v>104961928.36801</v>
      </c>
      <c r="BH67" s="354">
        <f t="shared" si="40"/>
        <v>0</v>
      </c>
      <c r="BI67" s="354">
        <f t="shared" si="40"/>
        <v>0</v>
      </c>
      <c r="BJ67" s="354">
        <f t="shared" si="40"/>
        <v>0</v>
      </c>
      <c r="BK67" s="354">
        <f t="shared" si="40"/>
        <v>0</v>
      </c>
      <c r="BL67" s="354">
        <f t="shared" si="40"/>
        <v>0</v>
      </c>
      <c r="BM67" s="354">
        <f t="shared" si="40"/>
        <v>0</v>
      </c>
      <c r="BN67" s="354">
        <f t="shared" si="40"/>
        <v>0</v>
      </c>
      <c r="BO67" s="354">
        <f t="shared" si="40"/>
        <v>0</v>
      </c>
      <c r="BP67" s="354">
        <f t="shared" si="40"/>
        <v>0</v>
      </c>
      <c r="BQ67" s="354">
        <f t="shared" si="40"/>
        <v>0</v>
      </c>
      <c r="BR67" s="354">
        <f>SUM(BR51:BR66)-BR53-BR60</f>
        <v>241260961.99348003</v>
      </c>
      <c r="BS67" s="354">
        <f>SUM(BS51:BS66)-BS53-BS60</f>
        <v>500991071</v>
      </c>
      <c r="BT67" s="354">
        <f>SUM(BT51:BT66)-BT53-BT60</f>
        <v>0</v>
      </c>
      <c r="BU67" s="354">
        <f>SUM(BU51:BU66)-BU53-BU60</f>
        <v>463863</v>
      </c>
      <c r="BV67" s="355">
        <f>SUM(BV51:BV66)-BV53-BV60</f>
        <v>742715895.99347997</v>
      </c>
      <c r="BW67" s="47"/>
      <c r="BX67" s="429"/>
      <c r="BY67" s="47"/>
      <c r="BZ67" s="47"/>
      <c r="CA67" s="47"/>
      <c r="CB67" s="47"/>
      <c r="CC67" s="47"/>
      <c r="CD67" s="402"/>
      <c r="CE67" s="403"/>
      <c r="CF67" s="403"/>
      <c r="CG67" s="403"/>
      <c r="CH67" s="403"/>
      <c r="CI67" s="403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</row>
    <row r="68" spans="1:112" s="408" customFormat="1" x14ac:dyDescent="0.3">
      <c r="A68" s="396" t="s">
        <v>201</v>
      </c>
      <c r="B68" s="405"/>
      <c r="C68" s="404"/>
      <c r="D68" s="406"/>
      <c r="E68" s="354">
        <f>+E48+E67</f>
        <v>579293352</v>
      </c>
      <c r="F68" s="354">
        <f>+F48+F67</f>
        <v>1363279926</v>
      </c>
      <c r="G68" s="354">
        <f>+G48+G67</f>
        <v>16869269</v>
      </c>
      <c r="H68" s="354">
        <f>+H48+H67</f>
        <v>59552110</v>
      </c>
      <c r="I68" s="352">
        <f>+I48+I67</f>
        <v>2018994657</v>
      </c>
      <c r="J68" s="354">
        <f t="shared" ref="J68:AM68" si="41">+K48+J67</f>
        <v>70674213.503470004</v>
      </c>
      <c r="K68" s="354">
        <f t="shared" si="41"/>
        <v>49136372</v>
      </c>
      <c r="L68" s="354">
        <f t="shared" si="41"/>
        <v>664427</v>
      </c>
      <c r="M68" s="354">
        <f t="shared" si="41"/>
        <v>86178463</v>
      </c>
      <c r="N68" s="352">
        <f t="shared" si="41"/>
        <v>72796841.503470004</v>
      </c>
      <c r="O68" s="354">
        <f t="shared" si="41"/>
        <v>53098817.952</v>
      </c>
      <c r="P68" s="354">
        <f t="shared" si="41"/>
        <v>49178223</v>
      </c>
      <c r="Q68" s="354">
        <f t="shared" si="41"/>
        <v>1006182</v>
      </c>
      <c r="R68" s="354">
        <f t="shared" si="41"/>
        <v>72329444</v>
      </c>
      <c r="S68" s="352">
        <f t="shared" si="41"/>
        <v>70191394.951999992</v>
      </c>
      <c r="T68" s="354">
        <f t="shared" si="41"/>
        <v>80891742</v>
      </c>
      <c r="U68" s="354">
        <f t="shared" si="41"/>
        <v>47620453</v>
      </c>
      <c r="V68" s="354">
        <f t="shared" si="41"/>
        <v>3001732</v>
      </c>
      <c r="W68" s="354">
        <f t="shared" si="41"/>
        <v>73391396</v>
      </c>
      <c r="X68" s="352">
        <f t="shared" si="41"/>
        <v>98976120</v>
      </c>
      <c r="Y68" s="354">
        <f t="shared" si="41"/>
        <v>144331701.014</v>
      </c>
      <c r="Z68" s="354">
        <f t="shared" si="41"/>
        <v>49178615</v>
      </c>
      <c r="AA68" s="354">
        <f t="shared" si="41"/>
        <v>145726</v>
      </c>
      <c r="AB68" s="354">
        <f t="shared" si="41"/>
        <v>120456231</v>
      </c>
      <c r="AC68" s="352">
        <f t="shared" si="41"/>
        <v>116269684.014</v>
      </c>
      <c r="AD68" s="354">
        <f t="shared" si="41"/>
        <v>102675218</v>
      </c>
      <c r="AE68" s="354">
        <f t="shared" si="41"/>
        <v>55957228</v>
      </c>
      <c r="AF68" s="354">
        <f t="shared" si="41"/>
        <v>1607472</v>
      </c>
      <c r="AG68" s="354">
        <f t="shared" si="41"/>
        <v>85259457</v>
      </c>
      <c r="AH68" s="352">
        <f t="shared" si="41"/>
        <v>117400637</v>
      </c>
      <c r="AI68" s="354">
        <f t="shared" si="41"/>
        <v>67871747.072999999</v>
      </c>
      <c r="AJ68" s="354">
        <f t="shared" si="41"/>
        <v>49702470</v>
      </c>
      <c r="AK68" s="354">
        <f t="shared" si="41"/>
        <v>16467</v>
      </c>
      <c r="AL68" s="354">
        <f t="shared" si="41"/>
        <v>65469438</v>
      </c>
      <c r="AM68" s="352">
        <f t="shared" si="41"/>
        <v>94947202.072999999</v>
      </c>
      <c r="AN68" s="354">
        <f t="shared" ref="AN68:BG68" si="42">+AN48+AN67</f>
        <v>27876798</v>
      </c>
      <c r="AO68" s="354">
        <f t="shared" si="42"/>
        <v>116259607</v>
      </c>
      <c r="AP68" s="354">
        <f t="shared" si="42"/>
        <v>1529510</v>
      </c>
      <c r="AQ68" s="354">
        <f t="shared" si="42"/>
        <v>22068</v>
      </c>
      <c r="AR68" s="352">
        <f t="shared" si="42"/>
        <v>145687983</v>
      </c>
      <c r="AS68" s="354">
        <f t="shared" si="42"/>
        <v>27689706</v>
      </c>
      <c r="AT68" s="354">
        <f t="shared" si="42"/>
        <v>101939697</v>
      </c>
      <c r="AU68" s="354">
        <f t="shared" si="42"/>
        <v>1131640</v>
      </c>
      <c r="AV68" s="354">
        <f t="shared" si="42"/>
        <v>1011918</v>
      </c>
      <c r="AW68" s="352">
        <f t="shared" si="42"/>
        <v>131772961</v>
      </c>
      <c r="AX68" s="354">
        <f t="shared" si="42"/>
        <v>53667466.083000004</v>
      </c>
      <c r="AY68" s="354">
        <f t="shared" si="42"/>
        <v>122066597</v>
      </c>
      <c r="AZ68" s="354">
        <f t="shared" si="42"/>
        <v>1512795</v>
      </c>
      <c r="BA68" s="354">
        <f t="shared" si="42"/>
        <v>6008054</v>
      </c>
      <c r="BB68" s="407">
        <f t="shared" si="42"/>
        <v>183254912.083</v>
      </c>
      <c r="BC68" s="354">
        <f t="shared" si="42"/>
        <v>70866188.368009999</v>
      </c>
      <c r="BD68" s="354">
        <f t="shared" si="42"/>
        <v>105800144</v>
      </c>
      <c r="BE68" s="354">
        <f t="shared" si="42"/>
        <v>766562</v>
      </c>
      <c r="BF68" s="354">
        <f t="shared" si="42"/>
        <v>25833952</v>
      </c>
      <c r="BG68" s="407">
        <f t="shared" si="42"/>
        <v>203266846.36800998</v>
      </c>
      <c r="BH68" s="354"/>
      <c r="BI68" s="354"/>
      <c r="BJ68" s="354"/>
      <c r="BK68" s="354"/>
      <c r="BL68" s="352"/>
      <c r="BM68" s="354"/>
      <c r="BN68" s="354"/>
      <c r="BO68" s="354"/>
      <c r="BP68" s="354"/>
      <c r="BQ68" s="352"/>
      <c r="BR68" s="354">
        <f>+BR48+BR67</f>
        <v>451206259.99348003</v>
      </c>
      <c r="BS68" s="354">
        <f>+BS48+BS67</f>
        <v>1111641515</v>
      </c>
      <c r="BT68" s="354">
        <f>+BT48+BT67</f>
        <v>9944431</v>
      </c>
      <c r="BU68" s="354">
        <f>+BU48+BU67</f>
        <v>39781769</v>
      </c>
      <c r="BV68" s="355">
        <f>+BV48+BV67</f>
        <v>1612573974.99348</v>
      </c>
      <c r="BW68" s="136"/>
      <c r="BX68" s="426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</row>
    <row r="69" spans="1:112" hidden="1" x14ac:dyDescent="0.3">
      <c r="A69" s="358" t="s">
        <v>266</v>
      </c>
      <c r="B69" s="309"/>
      <c r="D69" s="366"/>
      <c r="E69" s="166">
        <v>0</v>
      </c>
      <c r="F69" s="166">
        <v>0</v>
      </c>
      <c r="G69" s="166">
        <v>0</v>
      </c>
      <c r="H69" s="166">
        <v>0</v>
      </c>
      <c r="I69" s="172">
        <f t="shared" ref="I69:I74" si="43">SUM(E69:H69)</f>
        <v>0</v>
      </c>
      <c r="J69" s="187">
        <v>0</v>
      </c>
      <c r="K69" s="166">
        <v>0</v>
      </c>
      <c r="L69" s="166">
        <v>0</v>
      </c>
      <c r="M69" s="166">
        <v>0</v>
      </c>
      <c r="N69" s="172">
        <v>0</v>
      </c>
      <c r="O69" s="166">
        <v>0</v>
      </c>
      <c r="P69" s="166">
        <v>0</v>
      </c>
      <c r="Q69" s="166">
        <v>0</v>
      </c>
      <c r="R69" s="166">
        <v>0</v>
      </c>
      <c r="S69" s="172">
        <v>0</v>
      </c>
      <c r="T69" s="166">
        <v>0</v>
      </c>
      <c r="U69" s="166">
        <v>0</v>
      </c>
      <c r="V69" s="166">
        <v>0</v>
      </c>
      <c r="W69" s="166">
        <v>0</v>
      </c>
      <c r="X69" s="172">
        <v>0</v>
      </c>
      <c r="Y69" s="166">
        <v>0</v>
      </c>
      <c r="Z69" s="166">
        <v>0</v>
      </c>
      <c r="AA69" s="166">
        <v>0</v>
      </c>
      <c r="AB69" s="166">
        <v>0</v>
      </c>
      <c r="AC69" s="172">
        <v>0</v>
      </c>
      <c r="AD69" s="166">
        <v>0</v>
      </c>
      <c r="AE69" s="166">
        <v>0</v>
      </c>
      <c r="AF69" s="166">
        <v>0</v>
      </c>
      <c r="AG69" s="166">
        <v>0</v>
      </c>
      <c r="AH69" s="172">
        <v>0</v>
      </c>
      <c r="AI69" s="166">
        <v>0</v>
      </c>
      <c r="AJ69" s="166">
        <v>0</v>
      </c>
      <c r="AK69" s="166">
        <v>0</v>
      </c>
      <c r="AL69" s="166">
        <v>0</v>
      </c>
      <c r="AM69" s="172">
        <v>0</v>
      </c>
      <c r="AN69" s="166">
        <v>0</v>
      </c>
      <c r="AO69" s="166">
        <v>0</v>
      </c>
      <c r="AP69" s="166">
        <v>0</v>
      </c>
      <c r="AQ69" s="166">
        <v>0</v>
      </c>
      <c r="AR69" s="172">
        <v>0</v>
      </c>
      <c r="AS69" s="166">
        <v>0</v>
      </c>
      <c r="AT69" s="166">
        <v>0</v>
      </c>
      <c r="AU69" s="166">
        <v>0</v>
      </c>
      <c r="AV69" s="166">
        <v>0</v>
      </c>
      <c r="AW69" s="172">
        <v>0</v>
      </c>
      <c r="AX69" s="166">
        <v>0</v>
      </c>
      <c r="AY69" s="166">
        <v>0</v>
      </c>
      <c r="AZ69" s="166">
        <v>0</v>
      </c>
      <c r="BA69" s="166">
        <v>0</v>
      </c>
      <c r="BB69" s="172">
        <v>0</v>
      </c>
      <c r="BC69" s="166"/>
      <c r="BD69" s="166"/>
      <c r="BE69" s="166"/>
      <c r="BF69" s="166"/>
      <c r="BG69" s="172"/>
      <c r="BH69" s="166"/>
      <c r="BI69" s="166"/>
      <c r="BJ69" s="166"/>
      <c r="BK69" s="166"/>
      <c r="BL69" s="172"/>
      <c r="BM69" s="166"/>
      <c r="BN69" s="166"/>
      <c r="BO69" s="166"/>
      <c r="BP69" s="166"/>
      <c r="BQ69" s="172"/>
      <c r="BR69" s="166">
        <v>0</v>
      </c>
      <c r="BS69" s="166">
        <v>0</v>
      </c>
      <c r="BT69" s="166">
        <v>0</v>
      </c>
      <c r="BU69" s="166">
        <v>0</v>
      </c>
      <c r="BV69" s="273">
        <v>0</v>
      </c>
      <c r="BW69" s="136"/>
      <c r="BX69" s="426"/>
    </row>
    <row r="70" spans="1:112" x14ac:dyDescent="0.3">
      <c r="A70" s="409" t="s">
        <v>267</v>
      </c>
      <c r="B70" s="309"/>
      <c r="D70" s="361"/>
      <c r="E70" s="187">
        <v>150509</v>
      </c>
      <c r="F70" s="166">
        <v>0</v>
      </c>
      <c r="G70" s="166">
        <v>0</v>
      </c>
      <c r="H70" s="166">
        <v>0</v>
      </c>
      <c r="I70" s="172">
        <f t="shared" si="43"/>
        <v>150509</v>
      </c>
      <c r="J70" s="187">
        <v>0</v>
      </c>
      <c r="K70" s="166">
        <v>0</v>
      </c>
      <c r="L70" s="166">
        <v>0</v>
      </c>
      <c r="M70" s="166">
        <v>0</v>
      </c>
      <c r="N70" s="172">
        <v>0</v>
      </c>
      <c r="O70" s="166">
        <v>0</v>
      </c>
      <c r="P70" s="166">
        <v>0</v>
      </c>
      <c r="Q70" s="166">
        <v>0</v>
      </c>
      <c r="R70" s="166">
        <v>0</v>
      </c>
      <c r="S70" s="172">
        <v>0</v>
      </c>
      <c r="T70" s="166">
        <v>0</v>
      </c>
      <c r="U70" s="166">
        <v>0</v>
      </c>
      <c r="V70" s="166">
        <v>0</v>
      </c>
      <c r="W70" s="166">
        <v>0</v>
      </c>
      <c r="X70" s="172">
        <v>0</v>
      </c>
      <c r="Y70" s="166">
        <v>0</v>
      </c>
      <c r="Z70" s="166">
        <v>0</v>
      </c>
      <c r="AA70" s="166">
        <v>0</v>
      </c>
      <c r="AB70" s="166">
        <v>0</v>
      </c>
      <c r="AC70" s="172">
        <v>0</v>
      </c>
      <c r="AD70" s="166">
        <v>0</v>
      </c>
      <c r="AE70" s="166">
        <v>0</v>
      </c>
      <c r="AF70" s="166">
        <v>0</v>
      </c>
      <c r="AG70" s="166">
        <v>0</v>
      </c>
      <c r="AH70" s="172">
        <v>0</v>
      </c>
      <c r="AI70" s="166">
        <v>0</v>
      </c>
      <c r="AJ70" s="166">
        <v>0</v>
      </c>
      <c r="AK70" s="166">
        <v>0</v>
      </c>
      <c r="AL70" s="166">
        <v>0</v>
      </c>
      <c r="AM70" s="172">
        <v>0</v>
      </c>
      <c r="AN70" s="166">
        <v>0</v>
      </c>
      <c r="AO70" s="166">
        <v>0</v>
      </c>
      <c r="AP70" s="166">
        <v>0</v>
      </c>
      <c r="AQ70" s="166">
        <v>0</v>
      </c>
      <c r="AR70" s="172">
        <f>SUM(AN70:AQ70)</f>
        <v>0</v>
      </c>
      <c r="AS70" s="166">
        <v>0</v>
      </c>
      <c r="AT70" s="166">
        <v>0</v>
      </c>
      <c r="AU70" s="166">
        <v>0</v>
      </c>
      <c r="AV70" s="166">
        <v>0</v>
      </c>
      <c r="AW70" s="172">
        <v>0</v>
      </c>
      <c r="AX70" s="166">
        <v>0</v>
      </c>
      <c r="AY70" s="166">
        <v>0</v>
      </c>
      <c r="AZ70" s="166">
        <v>0</v>
      </c>
      <c r="BA70" s="166">
        <v>0</v>
      </c>
      <c r="BB70" s="172">
        <v>0</v>
      </c>
      <c r="BC70" s="166">
        <v>0</v>
      </c>
      <c r="BD70" s="166">
        <v>0</v>
      </c>
      <c r="BE70" s="166">
        <v>0</v>
      </c>
      <c r="BF70" s="166">
        <v>0</v>
      </c>
      <c r="BG70" s="172">
        <v>0</v>
      </c>
      <c r="BH70" s="166"/>
      <c r="BI70" s="166"/>
      <c r="BJ70" s="166"/>
      <c r="BK70" s="166"/>
      <c r="BL70" s="172"/>
      <c r="BM70" s="166"/>
      <c r="BN70" s="166"/>
      <c r="BO70" s="166"/>
      <c r="BP70" s="166"/>
      <c r="BQ70" s="172"/>
      <c r="BR70" s="166">
        <f t="shared" ref="BR70:BU74" si="44">+J70+O70+T70+Y70+AD70+AI70+AN70+AS70+AX70+BC70+BH70+BM70</f>
        <v>0</v>
      </c>
      <c r="BS70" s="166">
        <f t="shared" si="44"/>
        <v>0</v>
      </c>
      <c r="BT70" s="166">
        <f t="shared" si="44"/>
        <v>0</v>
      </c>
      <c r="BU70" s="166">
        <f t="shared" si="44"/>
        <v>0</v>
      </c>
      <c r="BV70" s="273">
        <f>SUM(BR70:BU70)</f>
        <v>0</v>
      </c>
      <c r="BW70" s="136"/>
      <c r="BX70" s="426"/>
      <c r="BZ70" s="410"/>
      <c r="CA70" s="410"/>
      <c r="CB70" s="410"/>
      <c r="CC70" s="410"/>
      <c r="CD70" s="410"/>
      <c r="CE70" s="411"/>
      <c r="CF70" s="411"/>
      <c r="CG70" s="411"/>
      <c r="CH70" s="411"/>
      <c r="CI70" s="411"/>
    </row>
    <row r="71" spans="1:112" ht="13.5" hidden="1" customHeight="1" x14ac:dyDescent="0.3">
      <c r="A71" s="409" t="s">
        <v>268</v>
      </c>
      <c r="B71" s="309"/>
      <c r="D71" s="361"/>
      <c r="E71" s="166">
        <v>0</v>
      </c>
      <c r="F71" s="166">
        <v>0</v>
      </c>
      <c r="G71" s="166">
        <v>0</v>
      </c>
      <c r="H71" s="166">
        <v>0</v>
      </c>
      <c r="I71" s="172">
        <f t="shared" si="43"/>
        <v>0</v>
      </c>
      <c r="J71" s="187"/>
      <c r="K71" s="166"/>
      <c r="L71" s="166"/>
      <c r="M71" s="166"/>
      <c r="N71" s="172"/>
      <c r="O71" s="166"/>
      <c r="P71" s="166"/>
      <c r="Q71" s="166"/>
      <c r="R71" s="166"/>
      <c r="S71" s="172"/>
      <c r="T71" s="166"/>
      <c r="U71" s="166"/>
      <c r="V71" s="166"/>
      <c r="W71" s="166"/>
      <c r="X71" s="172"/>
      <c r="Y71" s="166"/>
      <c r="Z71" s="166"/>
      <c r="AA71" s="166"/>
      <c r="AB71" s="166"/>
      <c r="AC71" s="172"/>
      <c r="AD71" s="166"/>
      <c r="AE71" s="166"/>
      <c r="AF71" s="166"/>
      <c r="AG71" s="166"/>
      <c r="AH71" s="172"/>
      <c r="AI71" s="166"/>
      <c r="AJ71" s="166"/>
      <c r="AK71" s="166"/>
      <c r="AL71" s="166"/>
      <c r="AM71" s="278"/>
      <c r="AN71" s="166">
        <v>0</v>
      </c>
      <c r="AO71" s="166">
        <v>0</v>
      </c>
      <c r="AP71" s="166">
        <v>0</v>
      </c>
      <c r="AQ71" s="166">
        <v>0</v>
      </c>
      <c r="AR71" s="172">
        <f>SUM(AN71:AQ71)</f>
        <v>0</v>
      </c>
      <c r="AS71" s="166"/>
      <c r="AT71" s="166"/>
      <c r="AU71" s="166"/>
      <c r="AV71" s="166"/>
      <c r="AW71" s="172"/>
      <c r="AX71" s="166"/>
      <c r="AY71" s="166"/>
      <c r="AZ71" s="166"/>
      <c r="BA71" s="166"/>
      <c r="BB71" s="172"/>
      <c r="BC71" s="166"/>
      <c r="BD71" s="166"/>
      <c r="BE71" s="166"/>
      <c r="BF71" s="166"/>
      <c r="BG71" s="172"/>
      <c r="BH71" s="166"/>
      <c r="BI71" s="166"/>
      <c r="BJ71" s="166"/>
      <c r="BK71" s="166"/>
      <c r="BL71" s="172"/>
      <c r="BM71" s="166"/>
      <c r="BN71" s="166"/>
      <c r="BO71" s="166"/>
      <c r="BP71" s="166"/>
      <c r="BQ71" s="172"/>
      <c r="BR71" s="166">
        <f t="shared" si="44"/>
        <v>0</v>
      </c>
      <c r="BS71" s="166">
        <f t="shared" si="44"/>
        <v>0</v>
      </c>
      <c r="BT71" s="166">
        <f t="shared" si="44"/>
        <v>0</v>
      </c>
      <c r="BU71" s="166">
        <f t="shared" si="44"/>
        <v>0</v>
      </c>
      <c r="BV71" s="273">
        <f>SUM(BR71:BU71)</f>
        <v>0</v>
      </c>
      <c r="BW71" s="136"/>
      <c r="BX71" s="426"/>
      <c r="BZ71" s="410"/>
      <c r="CA71" s="410"/>
      <c r="CB71" s="410"/>
      <c r="CC71" s="410"/>
      <c r="CD71" s="410"/>
      <c r="CE71" s="411"/>
      <c r="CF71" s="411"/>
      <c r="CG71" s="411"/>
      <c r="CH71" s="411"/>
      <c r="CI71" s="411"/>
    </row>
    <row r="72" spans="1:112" ht="13.5" customHeight="1" x14ac:dyDescent="0.3">
      <c r="A72" s="409" t="s">
        <v>269</v>
      </c>
      <c r="B72" s="409"/>
      <c r="D72" s="361"/>
      <c r="E72" s="166">
        <v>5000000</v>
      </c>
      <c r="F72" s="166">
        <v>0</v>
      </c>
      <c r="G72" s="166">
        <v>0</v>
      </c>
      <c r="H72" s="166">
        <v>0</v>
      </c>
      <c r="I72" s="172">
        <f t="shared" si="43"/>
        <v>5000000</v>
      </c>
      <c r="J72" s="187">
        <v>0</v>
      </c>
      <c r="K72" s="166">
        <v>0</v>
      </c>
      <c r="L72" s="166">
        <v>0</v>
      </c>
      <c r="M72" s="166">
        <v>0</v>
      </c>
      <c r="N72" s="172">
        <v>0</v>
      </c>
      <c r="O72" s="166">
        <v>0</v>
      </c>
      <c r="P72" s="166">
        <v>0</v>
      </c>
      <c r="Q72" s="166">
        <v>0</v>
      </c>
      <c r="R72" s="166">
        <v>0</v>
      </c>
      <c r="S72" s="172">
        <v>0</v>
      </c>
      <c r="T72" s="166">
        <v>0</v>
      </c>
      <c r="U72" s="166">
        <v>0</v>
      </c>
      <c r="V72" s="166">
        <v>0</v>
      </c>
      <c r="W72" s="166">
        <v>0</v>
      </c>
      <c r="X72" s="172">
        <v>0</v>
      </c>
      <c r="Y72" s="166">
        <v>0</v>
      </c>
      <c r="Z72" s="166">
        <v>0</v>
      </c>
      <c r="AA72" s="166">
        <v>0</v>
      </c>
      <c r="AB72" s="166">
        <v>0</v>
      </c>
      <c r="AC72" s="172">
        <v>0</v>
      </c>
      <c r="AD72" s="166">
        <v>0</v>
      </c>
      <c r="AE72" s="166">
        <v>0</v>
      </c>
      <c r="AF72" s="166">
        <v>0</v>
      </c>
      <c r="AG72" s="166">
        <v>0</v>
      </c>
      <c r="AH72" s="172">
        <v>0</v>
      </c>
      <c r="AI72" s="166">
        <v>0</v>
      </c>
      <c r="AJ72" s="166">
        <v>0</v>
      </c>
      <c r="AK72" s="166">
        <v>0</v>
      </c>
      <c r="AL72" s="166">
        <v>0</v>
      </c>
      <c r="AM72" s="172">
        <v>0</v>
      </c>
      <c r="AN72" s="166">
        <v>0</v>
      </c>
      <c r="AO72" s="166">
        <v>0</v>
      </c>
      <c r="AP72" s="166">
        <v>0</v>
      </c>
      <c r="AQ72" s="166">
        <v>0</v>
      </c>
      <c r="AR72" s="172">
        <v>0</v>
      </c>
      <c r="AS72" s="166">
        <v>0</v>
      </c>
      <c r="AT72" s="166">
        <v>0</v>
      </c>
      <c r="AU72" s="166">
        <v>0</v>
      </c>
      <c r="AV72" s="166">
        <v>0</v>
      </c>
      <c r="AW72" s="172">
        <v>0</v>
      </c>
      <c r="AX72" s="166">
        <v>0</v>
      </c>
      <c r="AY72" s="166">
        <v>0</v>
      </c>
      <c r="AZ72" s="166">
        <v>0</v>
      </c>
      <c r="BA72" s="166">
        <v>0</v>
      </c>
      <c r="BB72" s="172">
        <v>0</v>
      </c>
      <c r="BC72" s="166">
        <v>0</v>
      </c>
      <c r="BD72" s="166">
        <v>0</v>
      </c>
      <c r="BE72" s="166">
        <v>0</v>
      </c>
      <c r="BF72" s="166">
        <v>0</v>
      </c>
      <c r="BG72" s="172">
        <v>0</v>
      </c>
      <c r="BH72" s="166"/>
      <c r="BI72" s="166"/>
      <c r="BJ72" s="166"/>
      <c r="BK72" s="166"/>
      <c r="BL72" s="172"/>
      <c r="BM72" s="166"/>
      <c r="BN72" s="166"/>
      <c r="BO72" s="166"/>
      <c r="BP72" s="166"/>
      <c r="BQ72" s="172"/>
      <c r="BR72" s="166">
        <f t="shared" si="44"/>
        <v>0</v>
      </c>
      <c r="BS72" s="166">
        <f t="shared" si="44"/>
        <v>0</v>
      </c>
      <c r="BT72" s="166">
        <f t="shared" si="44"/>
        <v>0</v>
      </c>
      <c r="BU72" s="166">
        <f t="shared" si="44"/>
        <v>0</v>
      </c>
      <c r="BV72" s="273">
        <f>SUM(BR72:BU72)</f>
        <v>0</v>
      </c>
      <c r="BW72" s="136"/>
      <c r="BX72" s="426"/>
      <c r="BZ72" s="410"/>
      <c r="CA72" s="410"/>
      <c r="CB72" s="410"/>
      <c r="CC72" s="410"/>
      <c r="CD72" s="410"/>
      <c r="CE72" s="411"/>
      <c r="CF72" s="411"/>
      <c r="CG72" s="411"/>
      <c r="CH72" s="411"/>
      <c r="CI72" s="411"/>
    </row>
    <row r="73" spans="1:112" ht="13.5" customHeight="1" x14ac:dyDescent="0.3">
      <c r="A73" s="409" t="s">
        <v>270</v>
      </c>
      <c r="B73" s="409"/>
      <c r="D73" s="361"/>
      <c r="E73" s="166">
        <v>-3917343</v>
      </c>
      <c r="F73" s="166">
        <v>0</v>
      </c>
      <c r="G73" s="166">
        <v>0</v>
      </c>
      <c r="H73" s="166">
        <v>0</v>
      </c>
      <c r="I73" s="172">
        <f t="shared" si="43"/>
        <v>-3917343</v>
      </c>
      <c r="J73" s="187">
        <v>0</v>
      </c>
      <c r="K73" s="166">
        <v>0</v>
      </c>
      <c r="L73" s="166">
        <v>0</v>
      </c>
      <c r="M73" s="166">
        <v>0</v>
      </c>
      <c r="N73" s="172">
        <v>0</v>
      </c>
      <c r="O73" s="166">
        <v>0</v>
      </c>
      <c r="P73" s="166">
        <v>0</v>
      </c>
      <c r="Q73" s="166">
        <v>0</v>
      </c>
      <c r="R73" s="166">
        <v>0</v>
      </c>
      <c r="S73" s="172">
        <v>0</v>
      </c>
      <c r="T73" s="166">
        <v>0</v>
      </c>
      <c r="U73" s="166">
        <v>0</v>
      </c>
      <c r="V73" s="166">
        <v>0</v>
      </c>
      <c r="W73" s="166">
        <v>0</v>
      </c>
      <c r="X73" s="172">
        <v>0</v>
      </c>
      <c r="Y73" s="166">
        <v>0</v>
      </c>
      <c r="Z73" s="166">
        <v>0</v>
      </c>
      <c r="AA73" s="166">
        <v>0</v>
      </c>
      <c r="AB73" s="166">
        <v>0</v>
      </c>
      <c r="AC73" s="172">
        <v>0</v>
      </c>
      <c r="AD73" s="166">
        <v>0</v>
      </c>
      <c r="AE73" s="166">
        <v>0</v>
      </c>
      <c r="AF73" s="166">
        <v>0</v>
      </c>
      <c r="AG73" s="166">
        <v>0</v>
      </c>
      <c r="AH73" s="172">
        <v>0</v>
      </c>
      <c r="AI73" s="166">
        <v>0</v>
      </c>
      <c r="AJ73" s="166">
        <v>0</v>
      </c>
      <c r="AK73" s="166">
        <v>0</v>
      </c>
      <c r="AL73" s="166">
        <v>0</v>
      </c>
      <c r="AM73" s="172">
        <v>0</v>
      </c>
      <c r="AN73" s="166">
        <v>0</v>
      </c>
      <c r="AO73" s="166">
        <v>0</v>
      </c>
      <c r="AP73" s="166">
        <v>0</v>
      </c>
      <c r="AQ73" s="166">
        <v>0</v>
      </c>
      <c r="AR73" s="172">
        <v>0</v>
      </c>
      <c r="AS73" s="166">
        <v>0</v>
      </c>
      <c r="AT73" s="166">
        <v>0</v>
      </c>
      <c r="AU73" s="166">
        <v>0</v>
      </c>
      <c r="AV73" s="166">
        <v>0</v>
      </c>
      <c r="AW73" s="172">
        <v>0</v>
      </c>
      <c r="AX73" s="166">
        <v>0</v>
      </c>
      <c r="AY73" s="166">
        <v>0</v>
      </c>
      <c r="AZ73" s="166">
        <v>0</v>
      </c>
      <c r="BA73" s="166">
        <v>0</v>
      </c>
      <c r="BB73" s="172">
        <v>0</v>
      </c>
      <c r="BC73" s="166">
        <v>0</v>
      </c>
      <c r="BD73" s="166">
        <v>0</v>
      </c>
      <c r="BE73" s="166">
        <v>0</v>
      </c>
      <c r="BF73" s="166">
        <v>0</v>
      </c>
      <c r="BG73" s="172">
        <v>0</v>
      </c>
      <c r="BH73" s="166"/>
      <c r="BI73" s="166"/>
      <c r="BJ73" s="166"/>
      <c r="BK73" s="166"/>
      <c r="BL73" s="172"/>
      <c r="BM73" s="166"/>
      <c r="BN73" s="166"/>
      <c r="BO73" s="166"/>
      <c r="BP73" s="166"/>
      <c r="BQ73" s="172"/>
      <c r="BR73" s="166">
        <f t="shared" si="44"/>
        <v>0</v>
      </c>
      <c r="BS73" s="166">
        <f t="shared" si="44"/>
        <v>0</v>
      </c>
      <c r="BT73" s="166">
        <f t="shared" si="44"/>
        <v>0</v>
      </c>
      <c r="BU73" s="166">
        <f t="shared" si="44"/>
        <v>0</v>
      </c>
      <c r="BV73" s="273">
        <f>SUM(BR73:BU73)</f>
        <v>0</v>
      </c>
      <c r="BW73" s="136"/>
      <c r="BX73" s="426"/>
      <c r="BZ73" s="410"/>
      <c r="CA73" s="410"/>
      <c r="CB73" s="410"/>
      <c r="CC73" s="410"/>
      <c r="CD73" s="410"/>
      <c r="CE73" s="411"/>
      <c r="CF73" s="411"/>
      <c r="CG73" s="411"/>
      <c r="CH73" s="411"/>
      <c r="CI73" s="411"/>
    </row>
    <row r="74" spans="1:112" ht="13.5" customHeight="1" x14ac:dyDescent="0.3">
      <c r="A74" s="409" t="s">
        <v>271</v>
      </c>
      <c r="B74" s="409"/>
      <c r="D74" s="361"/>
      <c r="E74" s="166">
        <v>-2000000</v>
      </c>
      <c r="F74" s="166">
        <v>0</v>
      </c>
      <c r="G74" s="166">
        <v>0</v>
      </c>
      <c r="H74" s="166">
        <v>0</v>
      </c>
      <c r="I74" s="172">
        <f t="shared" si="43"/>
        <v>-2000000</v>
      </c>
      <c r="J74" s="187">
        <v>0</v>
      </c>
      <c r="K74" s="166">
        <v>0</v>
      </c>
      <c r="L74" s="166">
        <v>0</v>
      </c>
      <c r="M74" s="166">
        <v>0</v>
      </c>
      <c r="N74" s="172">
        <v>0</v>
      </c>
      <c r="O74" s="166">
        <v>0</v>
      </c>
      <c r="P74" s="166">
        <v>0</v>
      </c>
      <c r="Q74" s="166">
        <v>0</v>
      </c>
      <c r="R74" s="166">
        <v>0</v>
      </c>
      <c r="S74" s="172">
        <v>0</v>
      </c>
      <c r="T74" s="166">
        <v>0</v>
      </c>
      <c r="U74" s="166">
        <v>0</v>
      </c>
      <c r="V74" s="166">
        <v>0</v>
      </c>
      <c r="W74" s="166">
        <v>0</v>
      </c>
      <c r="X74" s="172">
        <v>0</v>
      </c>
      <c r="Y74" s="166">
        <v>0</v>
      </c>
      <c r="Z74" s="166">
        <v>0</v>
      </c>
      <c r="AA74" s="166">
        <v>0</v>
      </c>
      <c r="AB74" s="166">
        <v>0</v>
      </c>
      <c r="AC74" s="172">
        <v>0</v>
      </c>
      <c r="AD74" s="166">
        <v>0</v>
      </c>
      <c r="AE74" s="166">
        <v>0</v>
      </c>
      <c r="AF74" s="166">
        <v>0</v>
      </c>
      <c r="AG74" s="166">
        <v>0</v>
      </c>
      <c r="AH74" s="172">
        <v>0</v>
      </c>
      <c r="AI74" s="166">
        <v>0</v>
      </c>
      <c r="AJ74" s="166">
        <v>0</v>
      </c>
      <c r="AK74" s="166">
        <v>0</v>
      </c>
      <c r="AL74" s="166">
        <v>0</v>
      </c>
      <c r="AM74" s="172">
        <v>0</v>
      </c>
      <c r="AN74" s="166">
        <v>0</v>
      </c>
      <c r="AO74" s="166">
        <v>0</v>
      </c>
      <c r="AP74" s="166">
        <v>0</v>
      </c>
      <c r="AQ74" s="166">
        <v>0</v>
      </c>
      <c r="AR74" s="172">
        <v>0</v>
      </c>
      <c r="AS74" s="166">
        <v>0</v>
      </c>
      <c r="AT74" s="166">
        <v>0</v>
      </c>
      <c r="AU74" s="166">
        <v>0</v>
      </c>
      <c r="AV74" s="166">
        <v>0</v>
      </c>
      <c r="AW74" s="172">
        <v>0</v>
      </c>
      <c r="AX74" s="166">
        <v>0</v>
      </c>
      <c r="AY74" s="166">
        <v>0</v>
      </c>
      <c r="AZ74" s="166">
        <v>0</v>
      </c>
      <c r="BA74" s="166">
        <v>0</v>
      </c>
      <c r="BB74" s="172">
        <v>0</v>
      </c>
      <c r="BC74" s="166">
        <v>0</v>
      </c>
      <c r="BD74" s="166">
        <v>0</v>
      </c>
      <c r="BE74" s="166">
        <v>0</v>
      </c>
      <c r="BF74" s="166">
        <v>0</v>
      </c>
      <c r="BG74" s="172">
        <v>0</v>
      </c>
      <c r="BH74" s="166"/>
      <c r="BI74" s="166"/>
      <c r="BJ74" s="166"/>
      <c r="BK74" s="166"/>
      <c r="BL74" s="172"/>
      <c r="BM74" s="166"/>
      <c r="BN74" s="166"/>
      <c r="BO74" s="166"/>
      <c r="BP74" s="166"/>
      <c r="BQ74" s="172"/>
      <c r="BR74" s="166">
        <f t="shared" si="44"/>
        <v>0</v>
      </c>
      <c r="BS74" s="166">
        <f t="shared" si="44"/>
        <v>0</v>
      </c>
      <c r="BT74" s="166">
        <f t="shared" si="44"/>
        <v>0</v>
      </c>
      <c r="BU74" s="166">
        <f t="shared" si="44"/>
        <v>0</v>
      </c>
      <c r="BV74" s="273">
        <f>SUM(BR74:BU74)</f>
        <v>0</v>
      </c>
      <c r="BW74" s="136"/>
      <c r="BX74" s="426"/>
      <c r="BZ74" s="410"/>
      <c r="CA74" s="410"/>
      <c r="CB74" s="410"/>
      <c r="CC74" s="410"/>
      <c r="CD74" s="410"/>
      <c r="CE74" s="411"/>
      <c r="CF74" s="411"/>
      <c r="CG74" s="411"/>
      <c r="CH74" s="411"/>
      <c r="CI74" s="411"/>
    </row>
    <row r="75" spans="1:112" s="408" customFormat="1" x14ac:dyDescent="0.3">
      <c r="A75" s="396" t="s">
        <v>201</v>
      </c>
      <c r="B75" s="405"/>
      <c r="C75" s="404"/>
      <c r="D75" s="406"/>
      <c r="E75" s="354">
        <f>+E48+E67+E70+E71</f>
        <v>579443861</v>
      </c>
      <c r="F75" s="354">
        <f>+F48+F67+F70+F71</f>
        <v>1363279926</v>
      </c>
      <c r="G75" s="354">
        <f>+G48+G67+G70+G71</f>
        <v>16869269</v>
      </c>
      <c r="H75" s="354">
        <f>+H48+H67+H70+H71</f>
        <v>59552110</v>
      </c>
      <c r="I75" s="352">
        <f>+I68+I69+I70+I71+I72+I73+I74</f>
        <v>2018227823</v>
      </c>
      <c r="J75" s="353">
        <f t="shared" ref="J75:AQ75" si="45">+J48+J67</f>
        <v>21521440.50347</v>
      </c>
      <c r="K75" s="354">
        <f t="shared" si="45"/>
        <v>115616289</v>
      </c>
      <c r="L75" s="354">
        <f t="shared" si="45"/>
        <v>507871</v>
      </c>
      <c r="M75" s="354">
        <f t="shared" si="45"/>
        <v>847789</v>
      </c>
      <c r="N75" s="352">
        <f t="shared" si="45"/>
        <v>138493389.50347</v>
      </c>
      <c r="O75" s="354">
        <f t="shared" si="45"/>
        <v>23219818.952</v>
      </c>
      <c r="P75" s="354">
        <f t="shared" si="45"/>
        <v>98569016</v>
      </c>
      <c r="Q75" s="354">
        <f t="shared" si="45"/>
        <v>786759</v>
      </c>
      <c r="R75" s="354">
        <f t="shared" si="45"/>
        <v>1066580</v>
      </c>
      <c r="S75" s="352">
        <f t="shared" si="45"/>
        <v>123642173.95199999</v>
      </c>
      <c r="T75" s="354">
        <f t="shared" si="45"/>
        <v>48997756</v>
      </c>
      <c r="U75" s="354">
        <f t="shared" si="45"/>
        <v>97492763</v>
      </c>
      <c r="V75" s="354">
        <f t="shared" si="45"/>
        <v>839943</v>
      </c>
      <c r="W75" s="354">
        <f t="shared" si="45"/>
        <v>3020933</v>
      </c>
      <c r="X75" s="352">
        <f t="shared" si="45"/>
        <v>150351395</v>
      </c>
      <c r="Y75" s="354">
        <f t="shared" si="45"/>
        <v>68817369.013999999</v>
      </c>
      <c r="Z75" s="354">
        <f t="shared" si="45"/>
        <v>145892735</v>
      </c>
      <c r="AA75" s="354">
        <f t="shared" si="45"/>
        <v>797132</v>
      </c>
      <c r="AB75" s="354">
        <f t="shared" si="45"/>
        <v>150927</v>
      </c>
      <c r="AC75" s="352">
        <f t="shared" si="45"/>
        <v>215658163.014</v>
      </c>
      <c r="AD75" s="354">
        <f t="shared" si="45"/>
        <v>61924326</v>
      </c>
      <c r="AE75" s="354">
        <f t="shared" si="45"/>
        <v>116994798</v>
      </c>
      <c r="AF75" s="354">
        <f t="shared" si="45"/>
        <v>775873</v>
      </c>
      <c r="AG75" s="354">
        <f t="shared" si="45"/>
        <v>1607590</v>
      </c>
      <c r="AH75" s="352">
        <f t="shared" si="45"/>
        <v>181302587</v>
      </c>
      <c r="AI75" s="354">
        <f t="shared" si="45"/>
        <v>46625391.072999999</v>
      </c>
      <c r="AJ75" s="354">
        <f t="shared" si="45"/>
        <v>91009869</v>
      </c>
      <c r="AK75" s="354">
        <f t="shared" si="45"/>
        <v>1296346</v>
      </c>
      <c r="AL75" s="354">
        <f t="shared" si="45"/>
        <v>211958</v>
      </c>
      <c r="AM75" s="352">
        <f t="shared" si="45"/>
        <v>139143564.07300001</v>
      </c>
      <c r="AN75" s="354">
        <f t="shared" si="45"/>
        <v>27876798</v>
      </c>
      <c r="AO75" s="354">
        <f t="shared" si="45"/>
        <v>116259607</v>
      </c>
      <c r="AP75" s="354">
        <f t="shared" si="45"/>
        <v>1529510</v>
      </c>
      <c r="AQ75" s="354">
        <f t="shared" si="45"/>
        <v>22068</v>
      </c>
      <c r="AR75" s="352">
        <f t="shared" si="29"/>
        <v>145687983</v>
      </c>
      <c r="AS75" s="354">
        <f t="shared" ref="AS75:BV75" si="46">+AS48+AS67</f>
        <v>27689706</v>
      </c>
      <c r="AT75" s="354">
        <f t="shared" si="46"/>
        <v>101939697</v>
      </c>
      <c r="AU75" s="354">
        <f t="shared" si="46"/>
        <v>1131640</v>
      </c>
      <c r="AV75" s="354">
        <f t="shared" si="46"/>
        <v>1011918</v>
      </c>
      <c r="AW75" s="352">
        <f t="shared" si="46"/>
        <v>131772961</v>
      </c>
      <c r="AX75" s="354">
        <f t="shared" si="46"/>
        <v>53667466.083000004</v>
      </c>
      <c r="AY75" s="354">
        <f t="shared" si="46"/>
        <v>122066597</v>
      </c>
      <c r="AZ75" s="354">
        <f t="shared" si="46"/>
        <v>1512795</v>
      </c>
      <c r="BA75" s="354">
        <f t="shared" si="46"/>
        <v>6008054</v>
      </c>
      <c r="BB75" s="352">
        <f t="shared" si="46"/>
        <v>183254912.083</v>
      </c>
      <c r="BC75" s="354">
        <f t="shared" si="46"/>
        <v>70866188.368009999</v>
      </c>
      <c r="BD75" s="354">
        <f t="shared" si="46"/>
        <v>105800144</v>
      </c>
      <c r="BE75" s="354">
        <f t="shared" si="46"/>
        <v>766562</v>
      </c>
      <c r="BF75" s="354">
        <f t="shared" si="46"/>
        <v>25833952</v>
      </c>
      <c r="BG75" s="352">
        <f t="shared" si="46"/>
        <v>203266846.36800998</v>
      </c>
      <c r="BH75" s="354">
        <f t="shared" si="46"/>
        <v>0</v>
      </c>
      <c r="BI75" s="354">
        <f t="shared" si="46"/>
        <v>0</v>
      </c>
      <c r="BJ75" s="354">
        <f t="shared" si="46"/>
        <v>0</v>
      </c>
      <c r="BK75" s="354">
        <f t="shared" si="46"/>
        <v>0</v>
      </c>
      <c r="BL75" s="352">
        <f t="shared" si="46"/>
        <v>0</v>
      </c>
      <c r="BM75" s="354">
        <f t="shared" si="46"/>
        <v>0</v>
      </c>
      <c r="BN75" s="354">
        <f t="shared" si="46"/>
        <v>0</v>
      </c>
      <c r="BO75" s="354">
        <f t="shared" si="46"/>
        <v>0</v>
      </c>
      <c r="BP75" s="354">
        <f t="shared" si="46"/>
        <v>0</v>
      </c>
      <c r="BQ75" s="352">
        <f t="shared" si="46"/>
        <v>0</v>
      </c>
      <c r="BR75" s="354">
        <f t="shared" si="46"/>
        <v>451206259.99348003</v>
      </c>
      <c r="BS75" s="354">
        <f t="shared" si="46"/>
        <v>1111641515</v>
      </c>
      <c r="BT75" s="354">
        <f t="shared" si="46"/>
        <v>9944431</v>
      </c>
      <c r="BU75" s="354">
        <f t="shared" si="46"/>
        <v>39781769</v>
      </c>
      <c r="BV75" s="355">
        <f t="shared" si="46"/>
        <v>1612573974.99348</v>
      </c>
      <c r="BW75" s="136"/>
      <c r="BX75" s="426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</row>
    <row r="76" spans="1:112" hidden="1" x14ac:dyDescent="0.3">
      <c r="A76" s="358"/>
      <c r="B76" s="309"/>
      <c r="D76" s="361"/>
      <c r="E76" s="166"/>
      <c r="F76" s="166"/>
      <c r="G76" s="166"/>
      <c r="H76" s="166"/>
      <c r="I76" s="172"/>
      <c r="J76" s="187"/>
      <c r="K76" s="166"/>
      <c r="L76" s="166"/>
      <c r="M76" s="166"/>
      <c r="N76" s="172"/>
      <c r="O76" s="166"/>
      <c r="P76" s="166"/>
      <c r="Q76" s="166"/>
      <c r="R76" s="166"/>
      <c r="S76" s="172"/>
      <c r="T76" s="166"/>
      <c r="U76" s="166"/>
      <c r="V76" s="166"/>
      <c r="W76" s="166"/>
      <c r="X76" s="172"/>
      <c r="Y76" s="166"/>
      <c r="Z76" s="166"/>
      <c r="AA76" s="166"/>
      <c r="AB76" s="166"/>
      <c r="AC76" s="172"/>
      <c r="AD76" s="166"/>
      <c r="AE76" s="166"/>
      <c r="AF76" s="166"/>
      <c r="AG76" s="166"/>
      <c r="AH76" s="172"/>
      <c r="AI76" s="166"/>
      <c r="AJ76" s="166"/>
      <c r="AK76" s="166"/>
      <c r="AL76" s="166"/>
      <c r="AM76" s="172"/>
      <c r="AN76" s="166"/>
      <c r="AO76" s="166"/>
      <c r="AP76" s="166"/>
      <c r="AQ76" s="166"/>
      <c r="AR76" s="172"/>
      <c r="AS76" s="166"/>
      <c r="AT76" s="166"/>
      <c r="AU76" s="166"/>
      <c r="AV76" s="166"/>
      <c r="AW76" s="172"/>
      <c r="AX76" s="166"/>
      <c r="AY76" s="166"/>
      <c r="AZ76" s="166"/>
      <c r="BA76" s="166"/>
      <c r="BB76" s="172"/>
      <c r="BC76" s="166"/>
      <c r="BD76" s="166"/>
      <c r="BE76" s="166"/>
      <c r="BF76" s="166"/>
      <c r="BG76" s="172"/>
      <c r="BH76" s="166"/>
      <c r="BI76" s="166"/>
      <c r="BJ76" s="166"/>
      <c r="BK76" s="166"/>
      <c r="BL76" s="172"/>
      <c r="BM76" s="166"/>
      <c r="BN76" s="166"/>
      <c r="BO76" s="166"/>
      <c r="BP76" s="166"/>
      <c r="BQ76" s="172"/>
      <c r="BR76" s="166"/>
      <c r="BS76" s="166"/>
      <c r="BT76" s="166"/>
      <c r="BU76" s="166"/>
      <c r="BV76" s="273"/>
      <c r="BW76" s="136"/>
      <c r="BX76" s="426"/>
    </row>
    <row r="77" spans="1:112" x14ac:dyDescent="0.3">
      <c r="A77" s="412" t="s">
        <v>272</v>
      </c>
      <c r="B77" s="413"/>
      <c r="C77" s="414"/>
      <c r="D77" s="415"/>
      <c r="E77" s="416">
        <f>+E75+E76</f>
        <v>579443861</v>
      </c>
      <c r="F77" s="416">
        <f>+F75+F76</f>
        <v>1363279926</v>
      </c>
      <c r="G77" s="416">
        <f>+G75+G76</f>
        <v>16869269</v>
      </c>
      <c r="H77" s="416">
        <f>+H75+H76</f>
        <v>59552110</v>
      </c>
      <c r="I77" s="407">
        <f>+I75+I76</f>
        <v>2018227823</v>
      </c>
      <c r="J77" s="416">
        <f t="shared" ref="J77:BQ77" si="47">+J75+J76</f>
        <v>21521440.50347</v>
      </c>
      <c r="K77" s="416">
        <f t="shared" si="47"/>
        <v>115616289</v>
      </c>
      <c r="L77" s="416">
        <f t="shared" si="47"/>
        <v>507871</v>
      </c>
      <c r="M77" s="416">
        <f t="shared" si="47"/>
        <v>847789</v>
      </c>
      <c r="N77" s="407">
        <f t="shared" si="47"/>
        <v>138493389.50347</v>
      </c>
      <c r="O77" s="416">
        <f t="shared" si="47"/>
        <v>23219818.952</v>
      </c>
      <c r="P77" s="416">
        <f t="shared" si="47"/>
        <v>98569016</v>
      </c>
      <c r="Q77" s="416">
        <f t="shared" si="47"/>
        <v>786759</v>
      </c>
      <c r="R77" s="416">
        <f t="shared" si="47"/>
        <v>1066580</v>
      </c>
      <c r="S77" s="407">
        <f t="shared" si="47"/>
        <v>123642173.95199999</v>
      </c>
      <c r="T77" s="416">
        <f t="shared" si="47"/>
        <v>48997756</v>
      </c>
      <c r="U77" s="416">
        <f t="shared" si="47"/>
        <v>97492763</v>
      </c>
      <c r="V77" s="416">
        <f t="shared" si="47"/>
        <v>839943</v>
      </c>
      <c r="W77" s="416">
        <f t="shared" si="47"/>
        <v>3020933</v>
      </c>
      <c r="X77" s="407">
        <f t="shared" si="47"/>
        <v>150351395</v>
      </c>
      <c r="Y77" s="416">
        <f t="shared" si="47"/>
        <v>68817369.013999999</v>
      </c>
      <c r="Z77" s="416">
        <f t="shared" si="47"/>
        <v>145892735</v>
      </c>
      <c r="AA77" s="416">
        <f t="shared" si="47"/>
        <v>797132</v>
      </c>
      <c r="AB77" s="416">
        <f t="shared" si="47"/>
        <v>150927</v>
      </c>
      <c r="AC77" s="407">
        <f t="shared" si="47"/>
        <v>215658163.014</v>
      </c>
      <c r="AD77" s="416">
        <f t="shared" si="47"/>
        <v>61924326</v>
      </c>
      <c r="AE77" s="416">
        <f t="shared" si="47"/>
        <v>116994798</v>
      </c>
      <c r="AF77" s="416">
        <f t="shared" si="47"/>
        <v>775873</v>
      </c>
      <c r="AG77" s="416">
        <f t="shared" si="47"/>
        <v>1607590</v>
      </c>
      <c r="AH77" s="407">
        <f t="shared" si="47"/>
        <v>181302587</v>
      </c>
      <c r="AI77" s="416">
        <f t="shared" si="47"/>
        <v>46625391.072999999</v>
      </c>
      <c r="AJ77" s="416">
        <f t="shared" si="47"/>
        <v>91009869</v>
      </c>
      <c r="AK77" s="416">
        <f t="shared" si="47"/>
        <v>1296346</v>
      </c>
      <c r="AL77" s="416">
        <f t="shared" si="47"/>
        <v>211958</v>
      </c>
      <c r="AM77" s="407">
        <f t="shared" si="47"/>
        <v>139143564.07300001</v>
      </c>
      <c r="AN77" s="417">
        <f t="shared" si="47"/>
        <v>27876798</v>
      </c>
      <c r="AO77" s="416">
        <f t="shared" si="47"/>
        <v>116259607</v>
      </c>
      <c r="AP77" s="416">
        <f t="shared" si="47"/>
        <v>1529510</v>
      </c>
      <c r="AQ77" s="418">
        <f t="shared" si="47"/>
        <v>22068</v>
      </c>
      <c r="AR77" s="407">
        <f t="shared" si="47"/>
        <v>145687983</v>
      </c>
      <c r="AS77" s="416">
        <f t="shared" si="47"/>
        <v>27689706</v>
      </c>
      <c r="AT77" s="416">
        <f t="shared" si="47"/>
        <v>101939697</v>
      </c>
      <c r="AU77" s="416">
        <f t="shared" si="47"/>
        <v>1131640</v>
      </c>
      <c r="AV77" s="416">
        <f t="shared" si="47"/>
        <v>1011918</v>
      </c>
      <c r="AW77" s="407">
        <f t="shared" si="47"/>
        <v>131772961</v>
      </c>
      <c r="AX77" s="416">
        <f t="shared" si="47"/>
        <v>53667466.083000004</v>
      </c>
      <c r="AY77" s="416">
        <f t="shared" si="47"/>
        <v>122066597</v>
      </c>
      <c r="AZ77" s="416">
        <f t="shared" si="47"/>
        <v>1512795</v>
      </c>
      <c r="BA77" s="416">
        <f t="shared" si="47"/>
        <v>6008054</v>
      </c>
      <c r="BB77" s="407">
        <f t="shared" si="47"/>
        <v>183254912.083</v>
      </c>
      <c r="BC77" s="417">
        <f t="shared" si="47"/>
        <v>70866188.368009999</v>
      </c>
      <c r="BD77" s="416">
        <f t="shared" si="47"/>
        <v>105800144</v>
      </c>
      <c r="BE77" s="416">
        <f t="shared" si="47"/>
        <v>766562</v>
      </c>
      <c r="BF77" s="418">
        <f t="shared" si="47"/>
        <v>25833952</v>
      </c>
      <c r="BG77" s="407">
        <f t="shared" si="47"/>
        <v>203266846.36800998</v>
      </c>
      <c r="BH77" s="407">
        <f t="shared" si="47"/>
        <v>0</v>
      </c>
      <c r="BI77" s="407">
        <f t="shared" si="47"/>
        <v>0</v>
      </c>
      <c r="BJ77" s="407">
        <f t="shared" si="47"/>
        <v>0</v>
      </c>
      <c r="BK77" s="407">
        <f t="shared" si="47"/>
        <v>0</v>
      </c>
      <c r="BL77" s="407">
        <f t="shared" si="47"/>
        <v>0</v>
      </c>
      <c r="BM77" s="407">
        <f t="shared" si="47"/>
        <v>0</v>
      </c>
      <c r="BN77" s="407">
        <f t="shared" si="47"/>
        <v>0</v>
      </c>
      <c r="BO77" s="407">
        <f t="shared" si="47"/>
        <v>0</v>
      </c>
      <c r="BP77" s="407">
        <f t="shared" si="47"/>
        <v>0</v>
      </c>
      <c r="BQ77" s="407">
        <f t="shared" si="47"/>
        <v>0</v>
      </c>
      <c r="BR77" s="416">
        <f>SUM(BR75:BR76)</f>
        <v>451206259.99348003</v>
      </c>
      <c r="BS77" s="416">
        <f>SUM(BS75:BS76)</f>
        <v>1111641515</v>
      </c>
      <c r="BT77" s="416">
        <f>SUM(BT75:BT76)</f>
        <v>9944431</v>
      </c>
      <c r="BU77" s="416">
        <f>SUM(BU75:BU76)</f>
        <v>39781769</v>
      </c>
      <c r="BV77" s="419">
        <f>SUM(BV75:BV76)</f>
        <v>1612573974.99348</v>
      </c>
      <c r="BW77" s="136"/>
      <c r="BX77" s="426"/>
    </row>
    <row r="78" spans="1:112" x14ac:dyDescent="0.3">
      <c r="A78" s="68" t="s">
        <v>273</v>
      </c>
      <c r="B78" s="420"/>
      <c r="C78" s="420"/>
      <c r="D78" s="420"/>
      <c r="E78" s="420"/>
      <c r="F78" s="420"/>
      <c r="G78" s="420"/>
      <c r="H78" s="420"/>
      <c r="I78" s="387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X78" s="426"/>
    </row>
    <row r="79" spans="1:112" x14ac:dyDescent="0.3">
      <c r="A79" s="68" t="s">
        <v>274</v>
      </c>
      <c r="B79" s="420"/>
      <c r="C79" s="420"/>
      <c r="D79" s="420"/>
      <c r="E79" s="420"/>
      <c r="F79" s="420"/>
      <c r="G79" s="420"/>
      <c r="H79" s="420"/>
      <c r="I79" s="191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7"/>
      <c r="AW79" s="387"/>
      <c r="AX79" s="387"/>
      <c r="AY79" s="387"/>
      <c r="AZ79" s="387"/>
      <c r="BA79" s="387"/>
      <c r="BB79" s="387"/>
      <c r="BC79" s="387"/>
      <c r="BD79" s="387"/>
      <c r="BE79" s="387"/>
      <c r="BF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X79" s="426"/>
    </row>
    <row r="80" spans="1:112" x14ac:dyDescent="0.3">
      <c r="A80" s="68" t="s">
        <v>275</v>
      </c>
      <c r="B80" s="68"/>
      <c r="C80" s="68"/>
      <c r="D80" s="68"/>
      <c r="E80" s="68"/>
      <c r="F80" s="68"/>
      <c r="G80" s="68"/>
      <c r="H80" s="68"/>
      <c r="I80" s="136"/>
      <c r="J80" s="387"/>
      <c r="K80" s="387"/>
      <c r="L80" s="387"/>
      <c r="M80" s="387"/>
      <c r="N80" s="387"/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7"/>
      <c r="AF80" s="387"/>
      <c r="AG80" s="387"/>
      <c r="AH80" s="387"/>
      <c r="AI80" s="387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87"/>
      <c r="AV80" s="387"/>
      <c r="AW80" s="387"/>
      <c r="AX80" s="387"/>
      <c r="AY80" s="387"/>
      <c r="AZ80" s="387"/>
      <c r="BA80" s="387"/>
      <c r="BB80" s="387"/>
      <c r="BC80" s="387"/>
      <c r="BD80" s="387"/>
      <c r="BE80" s="387"/>
      <c r="BF80" s="387"/>
      <c r="BG80" s="387"/>
      <c r="BH80" s="387"/>
      <c r="BI80" s="387"/>
      <c r="BJ80" s="387"/>
      <c r="BK80" s="387"/>
      <c r="BL80" s="387"/>
      <c r="BM80" s="387"/>
      <c r="BN80" s="387"/>
      <c r="BO80" s="387"/>
      <c r="BP80" s="387"/>
      <c r="BQ80" s="387"/>
      <c r="BR80" s="387"/>
      <c r="BS80" s="387"/>
      <c r="BT80" s="387"/>
      <c r="BU80" s="387"/>
      <c r="BV80" s="387"/>
      <c r="BX80" s="426"/>
    </row>
    <row r="81" spans="1:76" x14ac:dyDescent="0.3">
      <c r="A81" s="68"/>
      <c r="B81" s="420"/>
      <c r="C81" s="420"/>
      <c r="D81" s="420"/>
      <c r="E81" s="420"/>
      <c r="F81" s="420"/>
      <c r="G81" s="420"/>
      <c r="H81" s="420"/>
      <c r="I81" s="191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387"/>
      <c r="U81" s="387"/>
      <c r="V81" s="387"/>
      <c r="W81" s="387"/>
      <c r="X81" s="387"/>
      <c r="Y81" s="387"/>
      <c r="Z81" s="387"/>
      <c r="AA81" s="387"/>
      <c r="AB81" s="387"/>
      <c r="AC81" s="387"/>
      <c r="AD81" s="387"/>
      <c r="AE81" s="387"/>
      <c r="AF81" s="387"/>
      <c r="AG81" s="387"/>
      <c r="AH81" s="387"/>
      <c r="AI81" s="387"/>
      <c r="AK81" s="387"/>
      <c r="AL81" s="387"/>
      <c r="AM81" s="387"/>
      <c r="AN81" s="387"/>
      <c r="AO81" s="387"/>
      <c r="AP81" s="387"/>
      <c r="AQ81" s="387"/>
      <c r="AR81" s="387"/>
      <c r="AS81" s="387"/>
      <c r="AT81" s="387"/>
      <c r="AU81" s="387"/>
      <c r="AV81" s="387"/>
      <c r="AW81" s="387"/>
      <c r="AX81" s="387"/>
      <c r="AY81" s="387"/>
      <c r="AZ81" s="387"/>
      <c r="BA81" s="387"/>
      <c r="BB81" s="387"/>
      <c r="BC81" s="387"/>
      <c r="BD81" s="387"/>
      <c r="BE81" s="387"/>
      <c r="BF81" s="387"/>
      <c r="BG81" s="387"/>
      <c r="BH81" s="387"/>
      <c r="BI81" s="387"/>
      <c r="BJ81" s="387"/>
      <c r="BK81" s="387"/>
      <c r="BL81" s="387"/>
      <c r="BM81" s="387"/>
      <c r="BN81" s="387"/>
      <c r="BO81" s="387"/>
      <c r="BP81" s="387"/>
      <c r="BQ81" s="387"/>
      <c r="BR81" s="387"/>
      <c r="BS81" s="387"/>
      <c r="BT81" s="387"/>
      <c r="BU81" s="387"/>
      <c r="BV81" s="387"/>
      <c r="BX81" s="426"/>
    </row>
    <row r="82" spans="1:76" x14ac:dyDescent="0.3">
      <c r="I82" s="47"/>
      <c r="AS82" s="136"/>
      <c r="BX82" s="426"/>
    </row>
    <row r="83" spans="1:76" x14ac:dyDescent="0.3">
      <c r="BX83" s="426"/>
    </row>
    <row r="84" spans="1:76" x14ac:dyDescent="0.3">
      <c r="B84" s="325"/>
      <c r="C84" s="309"/>
      <c r="D84" s="309"/>
      <c r="E84" s="421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411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387"/>
      <c r="BU84" s="387"/>
      <c r="BV84" s="387"/>
      <c r="BX84" s="426"/>
    </row>
    <row r="85" spans="1:76" x14ac:dyDescent="0.3">
      <c r="B85" s="325"/>
      <c r="C85" s="309"/>
      <c r="D85" s="309"/>
      <c r="E85" s="421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87"/>
      <c r="AV85" s="387"/>
      <c r="AW85" s="387"/>
      <c r="AX85" s="387"/>
      <c r="AY85" s="387"/>
      <c r="AZ85" s="387"/>
      <c r="BA85" s="387"/>
      <c r="BB85" s="387"/>
      <c r="BC85" s="387"/>
      <c r="BD85" s="387"/>
      <c r="BE85" s="387"/>
      <c r="BF85" s="387"/>
      <c r="BG85" s="387"/>
      <c r="BH85" s="387"/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387"/>
      <c r="BU85" s="387"/>
      <c r="BV85" s="387"/>
      <c r="BX85" s="426"/>
    </row>
    <row r="86" spans="1:76" x14ac:dyDescent="0.3">
      <c r="B86" s="325"/>
      <c r="C86" s="309"/>
      <c r="D86" s="309"/>
      <c r="E86" s="421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X86" s="426"/>
    </row>
    <row r="87" spans="1:76" x14ac:dyDescent="0.3">
      <c r="B87" s="325"/>
      <c r="C87" s="309"/>
      <c r="D87" s="309"/>
      <c r="E87" s="421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X87" s="426"/>
    </row>
    <row r="88" spans="1:76" x14ac:dyDescent="0.3">
      <c r="B88" s="325"/>
      <c r="C88" s="309"/>
      <c r="D88" s="309"/>
      <c r="E88" s="421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387"/>
      <c r="BU88" s="387"/>
      <c r="BV88" s="387"/>
      <c r="BX88" s="426"/>
    </row>
    <row r="89" spans="1:76" x14ac:dyDescent="0.3">
      <c r="B89" s="325"/>
      <c r="C89" s="309"/>
      <c r="D89" s="309"/>
      <c r="E89" s="421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87"/>
      <c r="AV89" s="387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X89" s="426"/>
    </row>
    <row r="90" spans="1:76" x14ac:dyDescent="0.3">
      <c r="B90" s="325"/>
      <c r="C90" s="309"/>
      <c r="D90" s="309"/>
      <c r="E90" s="421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387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X90" s="426"/>
    </row>
    <row r="91" spans="1:76" x14ac:dyDescent="0.3">
      <c r="B91" s="325"/>
      <c r="C91" s="309"/>
      <c r="D91" s="309"/>
      <c r="E91" s="421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387"/>
      <c r="BU91" s="387"/>
      <c r="BV91" s="387"/>
      <c r="BX91" s="426"/>
    </row>
    <row r="92" spans="1:76" x14ac:dyDescent="0.3">
      <c r="B92" s="325"/>
      <c r="C92" s="309"/>
      <c r="D92" s="309"/>
      <c r="E92" s="421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411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7"/>
      <c r="BS92" s="387"/>
      <c r="BT92" s="387"/>
      <c r="BU92" s="387"/>
      <c r="BV92" s="387"/>
      <c r="BX92" s="426"/>
    </row>
    <row r="93" spans="1:76" x14ac:dyDescent="0.3">
      <c r="B93" s="325"/>
      <c r="C93" s="309"/>
      <c r="D93" s="309"/>
      <c r="E93" s="421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411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7"/>
      <c r="BL93" s="387"/>
      <c r="BM93" s="387"/>
      <c r="BN93" s="387"/>
      <c r="BO93" s="387"/>
      <c r="BP93" s="387"/>
      <c r="BQ93" s="387"/>
      <c r="BR93" s="387"/>
      <c r="BS93" s="387"/>
      <c r="BT93" s="387"/>
      <c r="BU93" s="387"/>
      <c r="BV93" s="387"/>
      <c r="BX93" s="426"/>
    </row>
    <row r="94" spans="1:76" x14ac:dyDescent="0.3">
      <c r="B94" s="325"/>
      <c r="C94" s="309"/>
      <c r="D94" s="309"/>
      <c r="E94" s="421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411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87"/>
      <c r="AV94" s="387"/>
      <c r="AW94" s="387"/>
      <c r="AX94" s="387"/>
      <c r="AY94" s="387"/>
      <c r="AZ94" s="387"/>
      <c r="BA94" s="387"/>
      <c r="BB94" s="387"/>
      <c r="BC94" s="387"/>
      <c r="BD94" s="387"/>
      <c r="BE94" s="387"/>
      <c r="BF94" s="387"/>
      <c r="BG94" s="387"/>
      <c r="BH94" s="387"/>
      <c r="BI94" s="387"/>
      <c r="BJ94" s="387"/>
      <c r="BK94" s="387"/>
      <c r="BL94" s="387"/>
      <c r="BM94" s="387"/>
      <c r="BN94" s="387"/>
      <c r="BO94" s="387"/>
      <c r="BP94" s="387"/>
      <c r="BQ94" s="387"/>
      <c r="BR94" s="387"/>
      <c r="BS94" s="387"/>
      <c r="BT94" s="387"/>
      <c r="BU94" s="387"/>
      <c r="BV94" s="387"/>
      <c r="BX94" s="426"/>
    </row>
    <row r="95" spans="1:76" x14ac:dyDescent="0.3">
      <c r="B95" s="325"/>
      <c r="C95" s="309"/>
      <c r="D95" s="309"/>
      <c r="E95" s="421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411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  <c r="BK95" s="387"/>
      <c r="BL95" s="387"/>
      <c r="BM95" s="387"/>
      <c r="BN95" s="387"/>
      <c r="BO95" s="387"/>
      <c r="BP95" s="387"/>
      <c r="BQ95" s="387"/>
      <c r="BR95" s="387"/>
      <c r="BS95" s="387"/>
      <c r="BT95" s="387"/>
      <c r="BU95" s="387"/>
      <c r="BV95" s="387"/>
      <c r="BX95" s="426"/>
    </row>
    <row r="96" spans="1:76" x14ac:dyDescent="0.3">
      <c r="B96" s="325"/>
      <c r="C96" s="309"/>
      <c r="D96" s="309"/>
      <c r="E96" s="421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  <c r="BI96" s="387"/>
      <c r="BJ96" s="387"/>
      <c r="BK96" s="387"/>
      <c r="BL96" s="387"/>
      <c r="BM96" s="387"/>
      <c r="BN96" s="387"/>
      <c r="BO96" s="387"/>
      <c r="BP96" s="387"/>
      <c r="BQ96" s="387"/>
      <c r="BR96" s="387"/>
      <c r="BS96" s="387"/>
      <c r="BT96" s="387"/>
      <c r="BU96" s="387"/>
      <c r="BV96" s="387"/>
      <c r="BX96" s="426"/>
    </row>
    <row r="97" spans="2:76" x14ac:dyDescent="0.3">
      <c r="B97" s="325"/>
      <c r="C97" s="309"/>
      <c r="D97" s="309"/>
      <c r="E97" s="421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411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X97" s="426"/>
    </row>
    <row r="98" spans="2:76" x14ac:dyDescent="0.3">
      <c r="B98" s="325"/>
      <c r="C98" s="309"/>
      <c r="D98" s="309"/>
      <c r="E98" s="421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387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87"/>
      <c r="AV98" s="387"/>
      <c r="AW98" s="387"/>
      <c r="AX98" s="387"/>
      <c r="AY98" s="387"/>
      <c r="AZ98" s="387"/>
      <c r="BA98" s="387"/>
      <c r="BB98" s="387"/>
      <c r="BC98" s="387"/>
      <c r="BD98" s="387"/>
      <c r="BE98" s="387"/>
      <c r="BF98" s="387"/>
      <c r="BG98" s="387"/>
      <c r="BH98" s="387"/>
      <c r="BI98" s="387"/>
      <c r="BJ98" s="387"/>
      <c r="BK98" s="387"/>
      <c r="BL98" s="387"/>
      <c r="BM98" s="387"/>
      <c r="BN98" s="387"/>
      <c r="BO98" s="387"/>
      <c r="BP98" s="387"/>
      <c r="BQ98" s="387"/>
      <c r="BR98" s="387"/>
      <c r="BS98" s="387"/>
      <c r="BT98" s="387"/>
      <c r="BU98" s="387"/>
      <c r="BV98" s="387"/>
      <c r="BX98" s="426"/>
    </row>
    <row r="99" spans="2:76" x14ac:dyDescent="0.3">
      <c r="B99" s="325"/>
      <c r="C99" s="309"/>
      <c r="D99" s="309"/>
      <c r="E99" s="421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7"/>
      <c r="X99" s="387"/>
      <c r="Y99" s="387"/>
      <c r="Z99" s="387"/>
      <c r="AA99" s="387"/>
      <c r="AB99" s="387"/>
      <c r="AC99" s="387"/>
      <c r="AD99" s="387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87"/>
      <c r="AV99" s="387"/>
      <c r="AW99" s="387"/>
      <c r="AX99" s="387"/>
      <c r="AY99" s="387"/>
      <c r="AZ99" s="387"/>
      <c r="BA99" s="387"/>
      <c r="BB99" s="387"/>
      <c r="BC99" s="387"/>
      <c r="BD99" s="387"/>
      <c r="BE99" s="387"/>
      <c r="BF99" s="387"/>
      <c r="BG99" s="387"/>
      <c r="BH99" s="387"/>
      <c r="BI99" s="387"/>
      <c r="BJ99" s="387"/>
      <c r="BK99" s="387"/>
      <c r="BL99" s="387"/>
      <c r="BM99" s="387"/>
      <c r="BN99" s="387"/>
      <c r="BO99" s="387"/>
      <c r="BP99" s="387"/>
      <c r="BQ99" s="387"/>
      <c r="BR99" s="387"/>
      <c r="BS99" s="387"/>
      <c r="BT99" s="387"/>
      <c r="BU99" s="387"/>
      <c r="BV99" s="387"/>
      <c r="BX99" s="426"/>
    </row>
    <row r="100" spans="2:76" x14ac:dyDescent="0.3">
      <c r="B100" s="325"/>
      <c r="C100" s="309"/>
      <c r="D100" s="309"/>
      <c r="E100" s="421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7"/>
      <c r="AX100" s="387"/>
      <c r="AY100" s="387"/>
      <c r="AZ100" s="387"/>
      <c r="BA100" s="387"/>
      <c r="BB100" s="387"/>
      <c r="BC100" s="387"/>
      <c r="BD100" s="387"/>
      <c r="BE100" s="387"/>
      <c r="BF100" s="387"/>
      <c r="BG100" s="387"/>
      <c r="BH100" s="387"/>
      <c r="BI100" s="387"/>
      <c r="BJ100" s="387"/>
      <c r="BK100" s="387"/>
      <c r="BL100" s="387"/>
      <c r="BM100" s="387"/>
      <c r="BN100" s="387"/>
      <c r="BO100" s="387"/>
      <c r="BP100" s="387"/>
      <c r="BQ100" s="387"/>
      <c r="BR100" s="387"/>
      <c r="BS100" s="387"/>
      <c r="BT100" s="387"/>
      <c r="BU100" s="387"/>
      <c r="BV100" s="387"/>
      <c r="BX100" s="426"/>
    </row>
    <row r="101" spans="2:76" x14ac:dyDescent="0.3">
      <c r="B101" s="325"/>
      <c r="C101" s="309"/>
      <c r="D101" s="309"/>
      <c r="E101" s="421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87"/>
      <c r="Z101" s="387"/>
      <c r="AA101" s="387"/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7"/>
      <c r="AP101" s="387"/>
      <c r="AQ101" s="387"/>
      <c r="AR101" s="387"/>
      <c r="AS101" s="387"/>
      <c r="AT101" s="387"/>
      <c r="AU101" s="387"/>
      <c r="AV101" s="387"/>
      <c r="AW101" s="387"/>
      <c r="AX101" s="387"/>
      <c r="AY101" s="387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/>
      <c r="BJ101" s="387"/>
      <c r="BK101" s="387"/>
      <c r="BL101" s="387"/>
      <c r="BM101" s="387"/>
      <c r="BN101" s="387"/>
      <c r="BO101" s="387"/>
      <c r="BP101" s="387"/>
      <c r="BQ101" s="387"/>
      <c r="BR101" s="387"/>
      <c r="BS101" s="387"/>
      <c r="BT101" s="387"/>
      <c r="BU101" s="387"/>
      <c r="BV101" s="387"/>
      <c r="BX101" s="426"/>
    </row>
    <row r="102" spans="2:76" x14ac:dyDescent="0.3">
      <c r="B102" s="325"/>
      <c r="C102" s="309"/>
      <c r="D102" s="309"/>
      <c r="E102" s="421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87"/>
      <c r="AV102" s="387"/>
      <c r="AW102" s="387"/>
      <c r="AX102" s="387"/>
      <c r="AY102" s="387"/>
      <c r="AZ102" s="387"/>
      <c r="BA102" s="387"/>
      <c r="BB102" s="387"/>
      <c r="BC102" s="387"/>
      <c r="BD102" s="387"/>
      <c r="BE102" s="387"/>
      <c r="BF102" s="387"/>
      <c r="BG102" s="387"/>
      <c r="BH102" s="387"/>
      <c r="BI102" s="387"/>
      <c r="BJ102" s="387"/>
      <c r="BK102" s="387"/>
      <c r="BL102" s="387"/>
      <c r="BM102" s="387"/>
      <c r="BN102" s="387"/>
      <c r="BO102" s="387"/>
      <c r="BP102" s="387"/>
      <c r="BQ102" s="387"/>
      <c r="BR102" s="387"/>
      <c r="BS102" s="387"/>
      <c r="BT102" s="387"/>
      <c r="BU102" s="387"/>
      <c r="BV102" s="387"/>
      <c r="BX102" s="426"/>
    </row>
    <row r="103" spans="2:76" x14ac:dyDescent="0.3">
      <c r="B103" s="325"/>
      <c r="C103" s="309"/>
      <c r="D103" s="309"/>
      <c r="E103" s="421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87"/>
      <c r="AV103" s="387"/>
      <c r="AW103" s="387"/>
      <c r="AX103" s="387"/>
      <c r="AY103" s="387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/>
      <c r="BJ103" s="387"/>
      <c r="BK103" s="387"/>
      <c r="BL103" s="387"/>
      <c r="BM103" s="387"/>
      <c r="BN103" s="387"/>
      <c r="BO103" s="387"/>
      <c r="BP103" s="387"/>
      <c r="BQ103" s="387"/>
      <c r="BR103" s="387"/>
      <c r="BS103" s="387"/>
      <c r="BT103" s="387"/>
      <c r="BU103" s="387"/>
      <c r="BV103" s="387"/>
      <c r="BX103" s="426"/>
    </row>
    <row r="104" spans="2:76" x14ac:dyDescent="0.3">
      <c r="B104" s="325"/>
      <c r="C104" s="309"/>
      <c r="D104" s="309"/>
      <c r="E104" s="421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7"/>
      <c r="BL104" s="387"/>
      <c r="BM104" s="387"/>
      <c r="BN104" s="387"/>
      <c r="BO104" s="387"/>
      <c r="BP104" s="387"/>
      <c r="BQ104" s="387"/>
      <c r="BR104" s="387"/>
      <c r="BS104" s="387"/>
      <c r="BT104" s="387"/>
      <c r="BU104" s="387"/>
      <c r="BV104" s="387"/>
      <c r="BX104" s="426"/>
    </row>
    <row r="105" spans="2:76" x14ac:dyDescent="0.3">
      <c r="B105" s="325"/>
      <c r="C105" s="309"/>
      <c r="D105" s="309"/>
      <c r="E105" s="421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/>
      <c r="BD105" s="387"/>
      <c r="BE105" s="387"/>
      <c r="BF105" s="387"/>
      <c r="BG105" s="387"/>
      <c r="BH105" s="387"/>
      <c r="BI105" s="387"/>
      <c r="BJ105" s="387"/>
      <c r="BK105" s="387"/>
      <c r="BL105" s="387"/>
      <c r="BM105" s="387"/>
      <c r="BN105" s="387"/>
      <c r="BO105" s="387"/>
      <c r="BP105" s="387"/>
      <c r="BQ105" s="387"/>
      <c r="BR105" s="387"/>
      <c r="BS105" s="387"/>
      <c r="BT105" s="387"/>
      <c r="BU105" s="387"/>
      <c r="BV105" s="387"/>
      <c r="BX105" s="426"/>
    </row>
    <row r="106" spans="2:76" x14ac:dyDescent="0.3">
      <c r="B106" s="325"/>
      <c r="C106" s="309"/>
      <c r="D106" s="309"/>
      <c r="E106" s="421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387"/>
      <c r="AN106" s="387"/>
      <c r="AO106" s="387"/>
      <c r="AP106" s="387"/>
      <c r="AQ106" s="387"/>
      <c r="AR106" s="387"/>
      <c r="AS106" s="387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/>
      <c r="BD106" s="387"/>
      <c r="BE106" s="387"/>
      <c r="BF106" s="387"/>
      <c r="BG106" s="387"/>
      <c r="BH106" s="387"/>
      <c r="BI106" s="387"/>
      <c r="BJ106" s="387"/>
      <c r="BK106" s="387"/>
      <c r="BL106" s="387"/>
      <c r="BM106" s="387"/>
      <c r="BN106" s="387"/>
      <c r="BO106" s="387"/>
      <c r="BP106" s="387"/>
      <c r="BQ106" s="387"/>
      <c r="BR106" s="387"/>
      <c r="BS106" s="387"/>
      <c r="BT106" s="387"/>
      <c r="BU106" s="387"/>
      <c r="BV106" s="387"/>
      <c r="BX106" s="426"/>
    </row>
    <row r="107" spans="2:76" x14ac:dyDescent="0.3">
      <c r="B107" s="325"/>
      <c r="C107" s="309"/>
      <c r="D107" s="309"/>
      <c r="E107" s="421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387"/>
      <c r="Z107" s="387"/>
      <c r="AA107" s="387"/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7"/>
      <c r="AL107" s="387"/>
      <c r="AM107" s="387"/>
      <c r="AN107" s="387"/>
      <c r="AO107" s="387"/>
      <c r="AP107" s="387"/>
      <c r="AQ107" s="387"/>
      <c r="AR107" s="387"/>
      <c r="AS107" s="387"/>
      <c r="AT107" s="387"/>
      <c r="AU107" s="387"/>
      <c r="AV107" s="387"/>
      <c r="AW107" s="387"/>
      <c r="AX107" s="387"/>
      <c r="AY107" s="387"/>
      <c r="AZ107" s="387"/>
      <c r="BA107" s="387"/>
      <c r="BB107" s="387"/>
      <c r="BC107" s="387"/>
      <c r="BD107" s="387"/>
      <c r="BE107" s="387"/>
      <c r="BF107" s="387"/>
      <c r="BG107" s="387"/>
      <c r="BH107" s="387"/>
      <c r="BI107" s="387"/>
      <c r="BJ107" s="387"/>
      <c r="BK107" s="387"/>
      <c r="BL107" s="387"/>
      <c r="BM107" s="387"/>
      <c r="BN107" s="387"/>
      <c r="BO107" s="387"/>
      <c r="BP107" s="387"/>
      <c r="BQ107" s="387"/>
      <c r="BR107" s="387"/>
      <c r="BS107" s="387"/>
      <c r="BT107" s="387"/>
      <c r="BU107" s="387"/>
      <c r="BV107" s="387"/>
      <c r="BX107" s="426"/>
    </row>
    <row r="108" spans="2:76" x14ac:dyDescent="0.3">
      <c r="B108" s="325"/>
      <c r="C108" s="309"/>
      <c r="D108" s="309"/>
      <c r="E108" s="421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87"/>
      <c r="R108" s="387"/>
      <c r="S108" s="387"/>
      <c r="T108" s="387"/>
      <c r="U108" s="387"/>
      <c r="V108" s="387"/>
      <c r="W108" s="387"/>
      <c r="X108" s="387"/>
      <c r="Y108" s="387"/>
      <c r="Z108" s="387"/>
      <c r="AA108" s="387"/>
      <c r="AB108" s="387"/>
      <c r="AC108" s="387"/>
      <c r="AD108" s="387"/>
      <c r="AE108" s="387"/>
      <c r="AF108" s="387"/>
      <c r="AG108" s="387"/>
      <c r="AH108" s="387"/>
      <c r="AI108" s="387"/>
      <c r="AJ108" s="387"/>
      <c r="AK108" s="387"/>
      <c r="AL108" s="387"/>
      <c r="AM108" s="387"/>
      <c r="AN108" s="387"/>
      <c r="AO108" s="387"/>
      <c r="AP108" s="387"/>
      <c r="AQ108" s="387"/>
      <c r="AR108" s="387"/>
      <c r="AS108" s="387"/>
      <c r="AT108" s="387"/>
      <c r="AU108" s="387"/>
      <c r="AV108" s="387"/>
      <c r="AW108" s="387"/>
      <c r="AX108" s="387"/>
      <c r="AY108" s="387"/>
      <c r="AZ108" s="387"/>
      <c r="BA108" s="387"/>
      <c r="BB108" s="387"/>
      <c r="BC108" s="387"/>
      <c r="BD108" s="387"/>
      <c r="BE108" s="387"/>
      <c r="BF108" s="387"/>
      <c r="BG108" s="387"/>
      <c r="BH108" s="387"/>
      <c r="BI108" s="387"/>
      <c r="BJ108" s="387"/>
      <c r="BK108" s="387"/>
      <c r="BL108" s="387"/>
      <c r="BM108" s="387"/>
      <c r="BN108" s="387"/>
      <c r="BO108" s="387"/>
      <c r="BP108" s="387"/>
      <c r="BQ108" s="387"/>
      <c r="BR108" s="387"/>
      <c r="BS108" s="387"/>
      <c r="BT108" s="387"/>
      <c r="BU108" s="387"/>
      <c r="BV108" s="387"/>
      <c r="BX108" s="426"/>
    </row>
    <row r="109" spans="2:76" x14ac:dyDescent="0.3">
      <c r="B109" s="325"/>
      <c r="C109" s="309"/>
      <c r="D109" s="309"/>
      <c r="E109" s="421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7"/>
      <c r="Z109" s="387"/>
      <c r="AA109" s="387"/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87"/>
      <c r="AV109" s="387"/>
      <c r="AW109" s="387"/>
      <c r="AX109" s="387"/>
      <c r="AY109" s="387"/>
      <c r="AZ109" s="387"/>
      <c r="BA109" s="387"/>
      <c r="BB109" s="387"/>
      <c r="BC109" s="387"/>
      <c r="BD109" s="387"/>
      <c r="BE109" s="387"/>
      <c r="BF109" s="387"/>
      <c r="BG109" s="387"/>
      <c r="BH109" s="387"/>
      <c r="BI109" s="387"/>
      <c r="BJ109" s="387"/>
      <c r="BK109" s="387"/>
      <c r="BL109" s="387"/>
      <c r="BM109" s="387"/>
      <c r="BN109" s="387"/>
      <c r="BO109" s="387"/>
      <c r="BP109" s="387"/>
      <c r="BQ109" s="387"/>
      <c r="BR109" s="387"/>
      <c r="BS109" s="387"/>
      <c r="BT109" s="387"/>
      <c r="BU109" s="387"/>
      <c r="BV109" s="387"/>
      <c r="BX109" s="426"/>
    </row>
    <row r="110" spans="2:76" x14ac:dyDescent="0.3"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  <c r="BX110" s="426"/>
    </row>
    <row r="111" spans="2:76" x14ac:dyDescent="0.3">
      <c r="BX111" s="426"/>
    </row>
    <row r="112" spans="2:76" x14ac:dyDescent="0.3">
      <c r="BX112" s="426"/>
    </row>
    <row r="113" spans="2:76" x14ac:dyDescent="0.3">
      <c r="BX113" s="426"/>
    </row>
    <row r="114" spans="2:76" x14ac:dyDescent="0.3">
      <c r="BX114" s="426"/>
    </row>
    <row r="115" spans="2:76" x14ac:dyDescent="0.3">
      <c r="BX115" s="426"/>
    </row>
    <row r="116" spans="2:76" x14ac:dyDescent="0.3">
      <c r="BX116" s="426"/>
    </row>
    <row r="117" spans="2:76" x14ac:dyDescent="0.3">
      <c r="BX117" s="426"/>
    </row>
    <row r="118" spans="2:76" x14ac:dyDescent="0.3">
      <c r="BX118" s="426"/>
    </row>
    <row r="119" spans="2:76" x14ac:dyDescent="0.3">
      <c r="BX119" s="426"/>
    </row>
    <row r="120" spans="2:76" x14ac:dyDescent="0.3">
      <c r="BX120" s="426"/>
    </row>
    <row r="121" spans="2:76" x14ac:dyDescent="0.3">
      <c r="BX121" s="426"/>
    </row>
    <row r="122" spans="2:76" x14ac:dyDescent="0.3">
      <c r="BX122" s="426"/>
    </row>
    <row r="123" spans="2:76" x14ac:dyDescent="0.3">
      <c r="BX123" s="426"/>
    </row>
    <row r="124" spans="2:76" x14ac:dyDescent="0.3">
      <c r="E124" s="422"/>
      <c r="F124" s="422"/>
      <c r="G124" s="422"/>
      <c r="H124" s="422"/>
      <c r="I124" s="422"/>
      <c r="J124" s="422"/>
      <c r="K124" s="422"/>
      <c r="L124" s="422"/>
      <c r="M124" s="422"/>
      <c r="N124" s="422"/>
      <c r="O124" s="422"/>
      <c r="P124" s="422"/>
      <c r="Q124" s="422"/>
      <c r="R124" s="422"/>
      <c r="S124" s="422"/>
      <c r="T124" s="422"/>
      <c r="U124" s="422"/>
      <c r="V124" s="422"/>
      <c r="W124" s="422"/>
      <c r="X124" s="422"/>
      <c r="Y124" s="422"/>
      <c r="Z124" s="422"/>
      <c r="AA124" s="422"/>
      <c r="AB124" s="422"/>
      <c r="AC124" s="422"/>
      <c r="AD124" s="422"/>
      <c r="AE124" s="422"/>
      <c r="AF124" s="422"/>
      <c r="AG124" s="422"/>
      <c r="AH124" s="422"/>
      <c r="AI124" s="422"/>
      <c r="AJ124" s="422"/>
      <c r="AK124" s="422"/>
      <c r="AL124" s="422"/>
      <c r="AM124" s="422"/>
      <c r="AN124" s="422"/>
      <c r="AO124" s="422"/>
      <c r="AP124" s="422"/>
      <c r="AQ124" s="422"/>
      <c r="AR124" s="422"/>
      <c r="AS124" s="422"/>
      <c r="AT124" s="422"/>
      <c r="AU124" s="422"/>
      <c r="AV124" s="422"/>
      <c r="AW124" s="422"/>
      <c r="AX124" s="422"/>
      <c r="AY124" s="422"/>
      <c r="AZ124" s="422"/>
      <c r="BA124" s="422"/>
      <c r="BB124" s="422"/>
      <c r="BC124" s="422"/>
      <c r="BD124" s="422"/>
      <c r="BE124" s="422"/>
      <c r="BF124" s="422"/>
      <c r="BG124" s="422"/>
      <c r="BH124" s="422"/>
      <c r="BI124" s="422"/>
      <c r="BJ124" s="422"/>
      <c r="BK124" s="422"/>
      <c r="BL124" s="422"/>
      <c r="BM124" s="422"/>
      <c r="BN124" s="422"/>
      <c r="BO124" s="422"/>
      <c r="BP124" s="422"/>
      <c r="BQ124" s="422"/>
      <c r="BR124" s="422"/>
      <c r="BS124" s="422"/>
      <c r="BT124" s="422"/>
      <c r="BU124" s="422"/>
      <c r="BV124" s="422"/>
      <c r="BX124" s="426"/>
    </row>
    <row r="125" spans="2:76" x14ac:dyDescent="0.3">
      <c r="E125" s="422"/>
      <c r="F125" s="422"/>
      <c r="G125" s="422"/>
      <c r="H125" s="422"/>
      <c r="I125" s="422"/>
      <c r="J125" s="422"/>
      <c r="K125" s="422"/>
      <c r="L125" s="422"/>
      <c r="M125" s="422"/>
      <c r="N125" s="422"/>
      <c r="O125" s="422"/>
      <c r="P125" s="422"/>
      <c r="Q125" s="422"/>
      <c r="R125" s="422"/>
      <c r="S125" s="422"/>
      <c r="T125" s="422"/>
      <c r="U125" s="422"/>
      <c r="V125" s="422"/>
      <c r="W125" s="422"/>
      <c r="X125" s="422"/>
      <c r="Y125" s="422"/>
      <c r="Z125" s="422"/>
      <c r="AA125" s="422"/>
      <c r="AB125" s="422"/>
      <c r="AC125" s="422"/>
      <c r="AD125" s="422"/>
      <c r="AE125" s="422"/>
      <c r="AF125" s="422"/>
      <c r="AG125" s="422"/>
      <c r="AH125" s="422"/>
      <c r="AI125" s="422"/>
      <c r="AJ125" s="422"/>
      <c r="AK125" s="422"/>
      <c r="AL125" s="422"/>
      <c r="AM125" s="422"/>
      <c r="AN125" s="422"/>
      <c r="AO125" s="422"/>
      <c r="AP125" s="422"/>
      <c r="AQ125" s="422"/>
      <c r="AR125" s="422"/>
      <c r="AS125" s="422"/>
      <c r="AT125" s="422"/>
      <c r="AU125" s="422"/>
      <c r="AV125" s="422"/>
      <c r="AW125" s="422"/>
      <c r="AX125" s="422"/>
      <c r="AY125" s="422"/>
      <c r="AZ125" s="422"/>
      <c r="BA125" s="422"/>
      <c r="BB125" s="422"/>
      <c r="BC125" s="422"/>
      <c r="BD125" s="422"/>
      <c r="BE125" s="422"/>
      <c r="BF125" s="422"/>
      <c r="BG125" s="422"/>
      <c r="BH125" s="422"/>
      <c r="BI125" s="422"/>
      <c r="BJ125" s="422"/>
      <c r="BK125" s="422"/>
      <c r="BL125" s="422"/>
      <c r="BM125" s="422"/>
      <c r="BN125" s="422"/>
      <c r="BO125" s="422"/>
      <c r="BP125" s="422"/>
      <c r="BQ125" s="422"/>
      <c r="BR125" s="422"/>
      <c r="BS125" s="422"/>
      <c r="BT125" s="422"/>
      <c r="BU125" s="422"/>
      <c r="BV125" s="422"/>
      <c r="BX125" s="426"/>
    </row>
    <row r="126" spans="2:76" x14ac:dyDescent="0.3">
      <c r="B126" s="325"/>
      <c r="C126" s="309"/>
      <c r="D126" s="309"/>
      <c r="E126" s="421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387"/>
      <c r="W126" s="387"/>
      <c r="X126" s="387"/>
      <c r="Y126" s="387"/>
      <c r="Z126" s="387"/>
      <c r="AA126" s="387"/>
      <c r="AB126" s="387"/>
      <c r="AC126" s="387"/>
      <c r="AD126" s="387"/>
      <c r="AE126" s="387"/>
      <c r="AF126" s="387"/>
      <c r="AG126" s="387"/>
      <c r="AH126" s="387"/>
      <c r="AI126" s="387"/>
      <c r="AJ126" s="387"/>
      <c r="AK126" s="387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87"/>
      <c r="AV126" s="387"/>
      <c r="AW126" s="387"/>
      <c r="AX126" s="387"/>
      <c r="AY126" s="387"/>
      <c r="AZ126" s="387"/>
      <c r="BA126" s="387"/>
      <c r="BB126" s="387"/>
      <c r="BC126" s="387"/>
      <c r="BD126" s="387"/>
      <c r="BE126" s="387"/>
      <c r="BF126" s="387"/>
      <c r="BG126" s="387"/>
      <c r="BH126" s="387"/>
      <c r="BI126" s="387"/>
      <c r="BJ126" s="387"/>
      <c r="BK126" s="387"/>
      <c r="BL126" s="387"/>
      <c r="BM126" s="387"/>
      <c r="BN126" s="387"/>
      <c r="BO126" s="387"/>
      <c r="BP126" s="387"/>
      <c r="BQ126" s="387"/>
      <c r="BR126" s="387"/>
      <c r="BS126" s="387"/>
      <c r="BT126" s="387"/>
      <c r="BU126" s="387"/>
      <c r="BV126" s="387"/>
      <c r="BX126" s="426"/>
    </row>
    <row r="127" spans="2:76" x14ac:dyDescent="0.3">
      <c r="B127" s="325"/>
      <c r="C127" s="325"/>
      <c r="D127" s="325"/>
      <c r="E127" s="421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387"/>
      <c r="W127" s="387"/>
      <c r="X127" s="387"/>
      <c r="Y127" s="387"/>
      <c r="Z127" s="387"/>
      <c r="AA127" s="387"/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387"/>
      <c r="AL127" s="387"/>
      <c r="AM127" s="387"/>
      <c r="AN127" s="387"/>
      <c r="AO127" s="387"/>
      <c r="AP127" s="387"/>
      <c r="AQ127" s="387"/>
      <c r="AR127" s="387"/>
      <c r="AS127" s="387"/>
      <c r="AT127" s="387"/>
      <c r="AU127" s="387"/>
      <c r="AV127" s="387"/>
      <c r="AW127" s="387"/>
      <c r="AX127" s="387"/>
      <c r="AY127" s="387"/>
      <c r="AZ127" s="387"/>
      <c r="BA127" s="387"/>
      <c r="BB127" s="387"/>
      <c r="BC127" s="387"/>
      <c r="BD127" s="387"/>
      <c r="BE127" s="387"/>
      <c r="BF127" s="387"/>
      <c r="BG127" s="387"/>
      <c r="BH127" s="387"/>
      <c r="BI127" s="387"/>
      <c r="BJ127" s="387"/>
      <c r="BK127" s="387"/>
      <c r="BL127" s="387"/>
      <c r="BM127" s="387"/>
      <c r="BN127" s="387"/>
      <c r="BO127" s="387"/>
      <c r="BP127" s="387"/>
      <c r="BQ127" s="387"/>
      <c r="BR127" s="387"/>
      <c r="BS127" s="387"/>
      <c r="BT127" s="387"/>
      <c r="BU127" s="387"/>
      <c r="BV127" s="387"/>
      <c r="BX127" s="426"/>
    </row>
    <row r="128" spans="2:76" x14ac:dyDescent="0.3">
      <c r="B128" s="325"/>
      <c r="C128" s="309"/>
      <c r="D128" s="309"/>
      <c r="E128" s="421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  <c r="V128" s="387"/>
      <c r="W128" s="387"/>
      <c r="X128" s="387"/>
      <c r="Y128" s="387"/>
      <c r="Z128" s="387"/>
      <c r="AA128" s="387"/>
      <c r="AB128" s="387"/>
      <c r="AC128" s="387"/>
      <c r="AD128" s="387"/>
      <c r="AE128" s="387"/>
      <c r="AF128" s="387"/>
      <c r="AG128" s="387"/>
      <c r="AH128" s="387"/>
      <c r="AI128" s="387"/>
      <c r="AJ128" s="387"/>
      <c r="AK128" s="387"/>
      <c r="AL128" s="387"/>
      <c r="AM128" s="387"/>
      <c r="AN128" s="387"/>
      <c r="AO128" s="387"/>
      <c r="AP128" s="387"/>
      <c r="AQ128" s="387"/>
      <c r="AR128" s="387"/>
      <c r="AS128" s="387"/>
      <c r="AT128" s="387"/>
      <c r="AU128" s="387"/>
      <c r="AV128" s="387"/>
      <c r="AW128" s="387"/>
      <c r="AX128" s="387"/>
      <c r="AY128" s="387"/>
      <c r="AZ128" s="387"/>
      <c r="BA128" s="387"/>
      <c r="BB128" s="387"/>
      <c r="BC128" s="387"/>
      <c r="BD128" s="387"/>
      <c r="BE128" s="387"/>
      <c r="BF128" s="387"/>
      <c r="BG128" s="387"/>
      <c r="BH128" s="387"/>
      <c r="BI128" s="387"/>
      <c r="BJ128" s="387"/>
      <c r="BK128" s="387"/>
      <c r="BL128" s="387"/>
      <c r="BM128" s="387"/>
      <c r="BN128" s="387"/>
      <c r="BO128" s="387"/>
      <c r="BP128" s="387"/>
      <c r="BQ128" s="387"/>
      <c r="BR128" s="387"/>
      <c r="BS128" s="387"/>
      <c r="BT128" s="387"/>
      <c r="BU128" s="387"/>
      <c r="BV128" s="387"/>
      <c r="BX128" s="426"/>
    </row>
    <row r="129" spans="2:76" x14ac:dyDescent="0.3">
      <c r="C129" s="309"/>
      <c r="D129" s="309"/>
      <c r="E129" s="421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387"/>
      <c r="W129" s="387"/>
      <c r="X129" s="387"/>
      <c r="Y129" s="387"/>
      <c r="Z129" s="387"/>
      <c r="AA129" s="387"/>
      <c r="AB129" s="387"/>
      <c r="AC129" s="387"/>
      <c r="AD129" s="387"/>
      <c r="AE129" s="387"/>
      <c r="AF129" s="387"/>
      <c r="AG129" s="387"/>
      <c r="AH129" s="387"/>
      <c r="AI129" s="387"/>
      <c r="AJ129" s="387"/>
      <c r="AK129" s="387"/>
      <c r="AL129" s="387"/>
      <c r="AM129" s="387"/>
      <c r="AN129" s="387"/>
      <c r="AO129" s="387"/>
      <c r="AP129" s="387"/>
      <c r="AQ129" s="387"/>
      <c r="AR129" s="387"/>
      <c r="AS129" s="387"/>
      <c r="AT129" s="387"/>
      <c r="AU129" s="387"/>
      <c r="AV129" s="387"/>
      <c r="AW129" s="387"/>
      <c r="AX129" s="387"/>
      <c r="AY129" s="387"/>
      <c r="AZ129" s="387"/>
      <c r="BA129" s="387"/>
      <c r="BB129" s="387"/>
      <c r="BC129" s="387"/>
      <c r="BD129" s="387"/>
      <c r="BE129" s="387"/>
      <c r="BF129" s="387"/>
      <c r="BG129" s="387"/>
      <c r="BH129" s="387"/>
      <c r="BI129" s="387"/>
      <c r="BJ129" s="387"/>
      <c r="BK129" s="387"/>
      <c r="BL129" s="387"/>
      <c r="BM129" s="387"/>
      <c r="BN129" s="387"/>
      <c r="BO129" s="387"/>
      <c r="BP129" s="387"/>
      <c r="BQ129" s="387"/>
      <c r="BR129" s="387"/>
      <c r="BS129" s="387"/>
      <c r="BT129" s="387"/>
      <c r="BU129" s="387"/>
      <c r="BV129" s="387"/>
      <c r="BX129" s="426"/>
    </row>
    <row r="130" spans="2:76" x14ac:dyDescent="0.3">
      <c r="B130" s="325"/>
      <c r="C130" s="309"/>
      <c r="D130" s="309"/>
      <c r="E130" s="421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387"/>
      <c r="W130" s="387"/>
      <c r="X130" s="387"/>
      <c r="Y130" s="387"/>
      <c r="Z130" s="387"/>
      <c r="AA130" s="387"/>
      <c r="AB130" s="387"/>
      <c r="AC130" s="387"/>
      <c r="AD130" s="387"/>
      <c r="AE130" s="387"/>
      <c r="AF130" s="387"/>
      <c r="AG130" s="387"/>
      <c r="AH130" s="387"/>
      <c r="AI130" s="387"/>
      <c r="AJ130" s="387"/>
      <c r="AK130" s="387"/>
      <c r="AL130" s="387"/>
      <c r="AM130" s="387"/>
      <c r="AN130" s="387"/>
      <c r="AO130" s="387"/>
      <c r="AP130" s="387"/>
      <c r="AQ130" s="387"/>
      <c r="AR130" s="387"/>
      <c r="AS130" s="387"/>
      <c r="AT130" s="387"/>
      <c r="AU130" s="387"/>
      <c r="AV130" s="387"/>
      <c r="AW130" s="387"/>
      <c r="AX130" s="387"/>
      <c r="AY130" s="387"/>
      <c r="AZ130" s="387"/>
      <c r="BA130" s="387"/>
      <c r="BB130" s="387"/>
      <c r="BC130" s="387"/>
      <c r="BD130" s="387"/>
      <c r="BE130" s="387"/>
      <c r="BF130" s="387"/>
      <c r="BG130" s="387"/>
      <c r="BH130" s="387"/>
      <c r="BI130" s="387"/>
      <c r="BJ130" s="387"/>
      <c r="BK130" s="387"/>
      <c r="BL130" s="387"/>
      <c r="BM130" s="387"/>
      <c r="BN130" s="387"/>
      <c r="BO130" s="387"/>
      <c r="BP130" s="387"/>
      <c r="BQ130" s="387"/>
      <c r="BR130" s="387"/>
      <c r="BS130" s="387"/>
      <c r="BT130" s="387"/>
      <c r="BU130" s="387"/>
      <c r="BV130" s="387"/>
      <c r="BX130" s="426"/>
    </row>
    <row r="131" spans="2:76" x14ac:dyDescent="0.3">
      <c r="B131" s="325"/>
      <c r="C131" s="309"/>
      <c r="D131" s="309"/>
      <c r="E131" s="421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387"/>
      <c r="W131" s="387"/>
      <c r="X131" s="387"/>
      <c r="Y131" s="387"/>
      <c r="Z131" s="387"/>
      <c r="AA131" s="387"/>
      <c r="AB131" s="387"/>
      <c r="AC131" s="387"/>
      <c r="AD131" s="387"/>
      <c r="AE131" s="387"/>
      <c r="AF131" s="387"/>
      <c r="AG131" s="387"/>
      <c r="AH131" s="387"/>
      <c r="AI131" s="387"/>
      <c r="AJ131" s="387"/>
      <c r="AK131" s="387"/>
      <c r="AL131" s="387"/>
      <c r="AM131" s="387"/>
      <c r="AN131" s="387"/>
      <c r="AO131" s="387"/>
      <c r="AP131" s="387"/>
      <c r="AQ131" s="387"/>
      <c r="AR131" s="387"/>
      <c r="AS131" s="387"/>
      <c r="AT131" s="387"/>
      <c r="AU131" s="387"/>
      <c r="AV131" s="387"/>
      <c r="AW131" s="387"/>
      <c r="AX131" s="387"/>
      <c r="AY131" s="387"/>
      <c r="AZ131" s="387"/>
      <c r="BA131" s="387"/>
      <c r="BB131" s="387"/>
      <c r="BC131" s="387"/>
      <c r="BD131" s="387"/>
      <c r="BE131" s="387"/>
      <c r="BF131" s="387"/>
      <c r="BG131" s="387"/>
      <c r="BH131" s="387"/>
      <c r="BI131" s="387"/>
      <c r="BJ131" s="387"/>
      <c r="BK131" s="387"/>
      <c r="BL131" s="387"/>
      <c r="BM131" s="387"/>
      <c r="BN131" s="387"/>
      <c r="BO131" s="387"/>
      <c r="BP131" s="387"/>
      <c r="BQ131" s="387"/>
      <c r="BR131" s="387"/>
      <c r="BS131" s="387"/>
      <c r="BT131" s="387"/>
      <c r="BU131" s="387"/>
      <c r="BV131" s="387"/>
      <c r="BX131" s="426"/>
    </row>
    <row r="132" spans="2:76" x14ac:dyDescent="0.3">
      <c r="B132" s="325"/>
      <c r="C132" s="309"/>
      <c r="D132" s="309"/>
      <c r="E132" s="421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7"/>
      <c r="AB132" s="387"/>
      <c r="AC132" s="387"/>
      <c r="AD132" s="387"/>
      <c r="AE132" s="387"/>
      <c r="AF132" s="387"/>
      <c r="AG132" s="387"/>
      <c r="AH132" s="387"/>
      <c r="AI132" s="387"/>
      <c r="AJ132" s="387"/>
      <c r="AK132" s="387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87"/>
      <c r="AV132" s="387"/>
      <c r="AW132" s="387"/>
      <c r="AX132" s="387"/>
      <c r="AY132" s="387"/>
      <c r="AZ132" s="387"/>
      <c r="BA132" s="387"/>
      <c r="BB132" s="387"/>
      <c r="BC132" s="387"/>
      <c r="BD132" s="387"/>
      <c r="BE132" s="387"/>
      <c r="BF132" s="387"/>
      <c r="BG132" s="387"/>
      <c r="BH132" s="387"/>
      <c r="BI132" s="387"/>
      <c r="BJ132" s="387"/>
      <c r="BK132" s="387"/>
      <c r="BL132" s="387"/>
      <c r="BM132" s="387"/>
      <c r="BN132" s="387"/>
      <c r="BO132" s="387"/>
      <c r="BP132" s="387"/>
      <c r="BQ132" s="387"/>
      <c r="BR132" s="387"/>
      <c r="BS132" s="387"/>
      <c r="BT132" s="387"/>
      <c r="BU132" s="387"/>
      <c r="BV132" s="387"/>
      <c r="BX132" s="426"/>
    </row>
    <row r="133" spans="2:76" x14ac:dyDescent="0.3">
      <c r="B133" s="325"/>
      <c r="C133" s="309"/>
      <c r="D133" s="309"/>
      <c r="E133" s="421"/>
      <c r="F133" s="387"/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7"/>
      <c r="S133" s="387"/>
      <c r="T133" s="387"/>
      <c r="U133" s="387"/>
      <c r="V133" s="387"/>
      <c r="W133" s="387"/>
      <c r="X133" s="387"/>
      <c r="Y133" s="387"/>
      <c r="Z133" s="387"/>
      <c r="AA133" s="387"/>
      <c r="AB133" s="387"/>
      <c r="AC133" s="387"/>
      <c r="AD133" s="387"/>
      <c r="AE133" s="387"/>
      <c r="AF133" s="387"/>
      <c r="AG133" s="387"/>
      <c r="AH133" s="387"/>
      <c r="AI133" s="387"/>
      <c r="AJ133" s="387"/>
      <c r="AK133" s="387"/>
      <c r="AL133" s="387"/>
      <c r="AM133" s="387"/>
      <c r="AN133" s="387"/>
      <c r="AO133" s="387"/>
      <c r="AP133" s="387"/>
      <c r="AQ133" s="387"/>
      <c r="AR133" s="387"/>
      <c r="AS133" s="387"/>
      <c r="AT133" s="387"/>
      <c r="AU133" s="387"/>
      <c r="AV133" s="387"/>
      <c r="AW133" s="387"/>
      <c r="AX133" s="387"/>
      <c r="AY133" s="387"/>
      <c r="AZ133" s="387"/>
      <c r="BA133" s="387"/>
      <c r="BB133" s="387"/>
      <c r="BC133" s="387"/>
      <c r="BD133" s="387"/>
      <c r="BE133" s="387"/>
      <c r="BF133" s="387"/>
      <c r="BG133" s="387"/>
      <c r="BH133" s="387"/>
      <c r="BI133" s="387"/>
      <c r="BJ133" s="387"/>
      <c r="BK133" s="387"/>
      <c r="BL133" s="387"/>
      <c r="BM133" s="387"/>
      <c r="BN133" s="387"/>
      <c r="BO133" s="387"/>
      <c r="BP133" s="387"/>
      <c r="BQ133" s="387"/>
      <c r="BR133" s="387"/>
      <c r="BS133" s="387"/>
      <c r="BT133" s="387"/>
      <c r="BU133" s="387"/>
      <c r="BV133" s="387"/>
      <c r="BX133" s="426"/>
    </row>
    <row r="134" spans="2:76" x14ac:dyDescent="0.3">
      <c r="B134" s="325"/>
      <c r="C134" s="309"/>
      <c r="D134" s="309"/>
      <c r="E134" s="421"/>
      <c r="F134" s="387"/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7"/>
      <c r="S134" s="387"/>
      <c r="T134" s="387"/>
      <c r="U134" s="387"/>
      <c r="V134" s="387"/>
      <c r="W134" s="387"/>
      <c r="X134" s="387"/>
      <c r="Y134" s="387"/>
      <c r="Z134" s="387"/>
      <c r="AA134" s="387"/>
      <c r="AB134" s="387"/>
      <c r="AC134" s="387"/>
      <c r="AD134" s="387"/>
      <c r="AE134" s="387"/>
      <c r="AF134" s="387"/>
      <c r="AG134" s="387"/>
      <c r="AH134" s="387"/>
      <c r="AI134" s="387"/>
      <c r="AJ134" s="387"/>
      <c r="AK134" s="387"/>
      <c r="AL134" s="387"/>
      <c r="AM134" s="387"/>
      <c r="AN134" s="387"/>
      <c r="AO134" s="387"/>
      <c r="AP134" s="387"/>
      <c r="AQ134" s="387"/>
      <c r="AR134" s="387"/>
      <c r="AS134" s="387"/>
      <c r="AT134" s="387"/>
      <c r="AU134" s="387"/>
      <c r="AV134" s="387"/>
      <c r="AW134" s="387"/>
      <c r="AX134" s="387"/>
      <c r="AY134" s="387"/>
      <c r="AZ134" s="387"/>
      <c r="BA134" s="387"/>
      <c r="BB134" s="387"/>
      <c r="BC134" s="387"/>
      <c r="BD134" s="387"/>
      <c r="BE134" s="387"/>
      <c r="BF134" s="387"/>
      <c r="BG134" s="387"/>
      <c r="BH134" s="387"/>
      <c r="BI134" s="387"/>
      <c r="BJ134" s="387"/>
      <c r="BK134" s="387"/>
      <c r="BL134" s="387"/>
      <c r="BM134" s="387"/>
      <c r="BN134" s="387"/>
      <c r="BO134" s="387"/>
      <c r="BP134" s="387"/>
      <c r="BQ134" s="387"/>
      <c r="BR134" s="387"/>
      <c r="BS134" s="387"/>
      <c r="BT134" s="387"/>
      <c r="BU134" s="387"/>
      <c r="BV134" s="387"/>
      <c r="BX134" s="426"/>
    </row>
    <row r="135" spans="2:76" x14ac:dyDescent="0.3">
      <c r="B135" s="325"/>
      <c r="C135" s="309"/>
      <c r="D135" s="309"/>
      <c r="E135" s="421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387"/>
      <c r="V135" s="387"/>
      <c r="W135" s="387"/>
      <c r="X135" s="387"/>
      <c r="Y135" s="387"/>
      <c r="Z135" s="387"/>
      <c r="AA135" s="387"/>
      <c r="AB135" s="387"/>
      <c r="AC135" s="387"/>
      <c r="AD135" s="387"/>
      <c r="AE135" s="387"/>
      <c r="AF135" s="387"/>
      <c r="AG135" s="387"/>
      <c r="AH135" s="387"/>
      <c r="AI135" s="387"/>
      <c r="AJ135" s="387"/>
      <c r="AK135" s="387"/>
      <c r="AL135" s="387"/>
      <c r="AM135" s="387"/>
      <c r="AN135" s="387"/>
      <c r="AO135" s="387"/>
      <c r="AP135" s="387"/>
      <c r="AQ135" s="387"/>
      <c r="AR135" s="387"/>
      <c r="AS135" s="387"/>
      <c r="AT135" s="387"/>
      <c r="AU135" s="387"/>
      <c r="AV135" s="387"/>
      <c r="AW135" s="387"/>
      <c r="AX135" s="387"/>
      <c r="AY135" s="387"/>
      <c r="AZ135" s="387"/>
      <c r="BA135" s="387"/>
      <c r="BB135" s="387"/>
      <c r="BC135" s="387"/>
      <c r="BD135" s="387"/>
      <c r="BE135" s="387"/>
      <c r="BF135" s="387"/>
      <c r="BG135" s="387"/>
      <c r="BH135" s="387"/>
      <c r="BI135" s="387"/>
      <c r="BJ135" s="387"/>
      <c r="BK135" s="387"/>
      <c r="BL135" s="387"/>
      <c r="BM135" s="387"/>
      <c r="BN135" s="387"/>
      <c r="BO135" s="387"/>
      <c r="BP135" s="387"/>
      <c r="BQ135" s="387"/>
      <c r="BR135" s="387"/>
      <c r="BS135" s="387"/>
      <c r="BT135" s="387"/>
      <c r="BU135" s="387"/>
      <c r="BV135" s="387"/>
      <c r="BX135" s="426"/>
    </row>
    <row r="136" spans="2:76" x14ac:dyDescent="0.3">
      <c r="B136" s="325"/>
      <c r="C136" s="309"/>
      <c r="D136" s="309"/>
      <c r="E136" s="421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7"/>
      <c r="AC136" s="387"/>
      <c r="AD136" s="387"/>
      <c r="AE136" s="387"/>
      <c r="AF136" s="387"/>
      <c r="AG136" s="387"/>
      <c r="AH136" s="387"/>
      <c r="AI136" s="387"/>
      <c r="AJ136" s="387"/>
      <c r="AK136" s="387"/>
      <c r="AL136" s="387"/>
      <c r="AM136" s="387"/>
      <c r="AN136" s="387"/>
      <c r="AO136" s="387"/>
      <c r="AP136" s="387"/>
      <c r="AQ136" s="387"/>
      <c r="AR136" s="387"/>
      <c r="AS136" s="387"/>
      <c r="AT136" s="387"/>
      <c r="AU136" s="387"/>
      <c r="AV136" s="387"/>
      <c r="AW136" s="387"/>
      <c r="AX136" s="387"/>
      <c r="AY136" s="387"/>
      <c r="AZ136" s="387"/>
      <c r="BA136" s="387"/>
      <c r="BB136" s="387"/>
      <c r="BC136" s="387"/>
      <c r="BD136" s="387"/>
      <c r="BE136" s="387"/>
      <c r="BF136" s="387"/>
      <c r="BG136" s="387"/>
      <c r="BH136" s="387"/>
      <c r="BI136" s="387"/>
      <c r="BJ136" s="387"/>
      <c r="BK136" s="387"/>
      <c r="BL136" s="387"/>
      <c r="BM136" s="387"/>
      <c r="BN136" s="387"/>
      <c r="BO136" s="387"/>
      <c r="BP136" s="387"/>
      <c r="BQ136" s="387"/>
      <c r="BR136" s="387"/>
      <c r="BS136" s="387"/>
      <c r="BT136" s="387"/>
      <c r="BU136" s="387"/>
      <c r="BV136" s="387"/>
      <c r="BX136" s="426"/>
    </row>
    <row r="137" spans="2:76" x14ac:dyDescent="0.3">
      <c r="B137" s="325"/>
      <c r="C137" s="309"/>
      <c r="D137" s="309"/>
      <c r="E137" s="421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7"/>
      <c r="V137" s="387"/>
      <c r="W137" s="387"/>
      <c r="X137" s="387"/>
      <c r="Y137" s="387"/>
      <c r="Z137" s="387"/>
      <c r="AA137" s="387"/>
      <c r="AB137" s="387"/>
      <c r="AC137" s="387"/>
      <c r="AD137" s="387"/>
      <c r="AE137" s="387"/>
      <c r="AF137" s="387"/>
      <c r="AG137" s="387"/>
      <c r="AH137" s="387"/>
      <c r="AI137" s="387"/>
      <c r="AJ137" s="387"/>
      <c r="AK137" s="387"/>
      <c r="AL137" s="387"/>
      <c r="AM137" s="387"/>
      <c r="AN137" s="387"/>
      <c r="AO137" s="387"/>
      <c r="AP137" s="387"/>
      <c r="AQ137" s="387"/>
      <c r="AR137" s="387"/>
      <c r="AS137" s="387"/>
      <c r="AT137" s="387"/>
      <c r="AU137" s="387"/>
      <c r="AV137" s="387"/>
      <c r="AW137" s="387"/>
      <c r="AX137" s="387"/>
      <c r="AY137" s="387"/>
      <c r="AZ137" s="387"/>
      <c r="BA137" s="387"/>
      <c r="BB137" s="387"/>
      <c r="BC137" s="387"/>
      <c r="BD137" s="387"/>
      <c r="BE137" s="387"/>
      <c r="BF137" s="387"/>
      <c r="BG137" s="387"/>
      <c r="BH137" s="387"/>
      <c r="BI137" s="387"/>
      <c r="BJ137" s="387"/>
      <c r="BK137" s="387"/>
      <c r="BL137" s="387"/>
      <c r="BM137" s="387"/>
      <c r="BN137" s="387"/>
      <c r="BO137" s="387"/>
      <c r="BP137" s="387"/>
      <c r="BQ137" s="387"/>
      <c r="BR137" s="387"/>
      <c r="BS137" s="387"/>
      <c r="BT137" s="387"/>
      <c r="BU137" s="387"/>
      <c r="BV137" s="387"/>
      <c r="BX137" s="426"/>
    </row>
    <row r="138" spans="2:76" x14ac:dyDescent="0.3">
      <c r="B138" s="325"/>
      <c r="C138" s="309"/>
      <c r="D138" s="309"/>
      <c r="E138" s="421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  <c r="S138" s="387"/>
      <c r="T138" s="387"/>
      <c r="U138" s="387"/>
      <c r="V138" s="387"/>
      <c r="W138" s="387"/>
      <c r="X138" s="387"/>
      <c r="Y138" s="387"/>
      <c r="Z138" s="387"/>
      <c r="AA138" s="387"/>
      <c r="AB138" s="387"/>
      <c r="AC138" s="387"/>
      <c r="AD138" s="387"/>
      <c r="AE138" s="387"/>
      <c r="AF138" s="387"/>
      <c r="AG138" s="387"/>
      <c r="AH138" s="387"/>
      <c r="AI138" s="387"/>
      <c r="AJ138" s="387"/>
      <c r="AK138" s="387"/>
      <c r="AL138" s="387"/>
      <c r="AM138" s="387"/>
      <c r="AN138" s="387"/>
      <c r="AO138" s="387"/>
      <c r="AP138" s="387"/>
      <c r="AQ138" s="387"/>
      <c r="AR138" s="387"/>
      <c r="AS138" s="387"/>
      <c r="AT138" s="387"/>
      <c r="AU138" s="387"/>
      <c r="AV138" s="387"/>
      <c r="AW138" s="387"/>
      <c r="AX138" s="387"/>
      <c r="AY138" s="387"/>
      <c r="AZ138" s="387"/>
      <c r="BA138" s="387"/>
      <c r="BB138" s="387"/>
      <c r="BC138" s="387"/>
      <c r="BD138" s="387"/>
      <c r="BE138" s="387"/>
      <c r="BF138" s="387"/>
      <c r="BG138" s="387"/>
      <c r="BH138" s="387"/>
      <c r="BI138" s="387"/>
      <c r="BJ138" s="387"/>
      <c r="BK138" s="387"/>
      <c r="BL138" s="387"/>
      <c r="BM138" s="387"/>
      <c r="BN138" s="387"/>
      <c r="BO138" s="387"/>
      <c r="BP138" s="387"/>
      <c r="BQ138" s="387"/>
      <c r="BR138" s="387"/>
      <c r="BS138" s="387"/>
      <c r="BT138" s="387"/>
      <c r="BU138" s="387"/>
      <c r="BV138" s="387"/>
      <c r="BX138" s="426"/>
    </row>
    <row r="139" spans="2:76" x14ac:dyDescent="0.3">
      <c r="B139" s="325"/>
      <c r="C139" s="325"/>
      <c r="D139" s="325"/>
      <c r="E139" s="421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7"/>
      <c r="T139" s="387"/>
      <c r="U139" s="387"/>
      <c r="V139" s="387"/>
      <c r="W139" s="387"/>
      <c r="X139" s="387"/>
      <c r="Y139" s="387"/>
      <c r="Z139" s="387"/>
      <c r="AA139" s="387"/>
      <c r="AB139" s="387"/>
      <c r="AC139" s="387"/>
      <c r="AD139" s="387"/>
      <c r="AE139" s="387"/>
      <c r="AF139" s="387"/>
      <c r="AG139" s="387"/>
      <c r="AH139" s="387"/>
      <c r="AI139" s="387"/>
      <c r="AJ139" s="387"/>
      <c r="AK139" s="387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87"/>
      <c r="AV139" s="387"/>
      <c r="AW139" s="387"/>
      <c r="AX139" s="387"/>
      <c r="AY139" s="387"/>
      <c r="AZ139" s="387"/>
      <c r="BA139" s="387"/>
      <c r="BB139" s="387"/>
      <c r="BC139" s="387"/>
      <c r="BD139" s="387"/>
      <c r="BE139" s="387"/>
      <c r="BF139" s="387"/>
      <c r="BG139" s="387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387"/>
      <c r="BS139" s="387"/>
      <c r="BT139" s="387"/>
      <c r="BU139" s="387"/>
      <c r="BV139" s="387"/>
      <c r="BX139" s="426"/>
    </row>
    <row r="140" spans="2:76" x14ac:dyDescent="0.3">
      <c r="B140" s="325"/>
      <c r="C140" s="309"/>
      <c r="D140" s="309"/>
      <c r="E140" s="421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387"/>
      <c r="T140" s="387"/>
      <c r="U140" s="387"/>
      <c r="V140" s="387"/>
      <c r="W140" s="387"/>
      <c r="X140" s="387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7"/>
      <c r="AJ140" s="387"/>
      <c r="AK140" s="387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87"/>
      <c r="AV140" s="387"/>
      <c r="AW140" s="387"/>
      <c r="AX140" s="387"/>
      <c r="AY140" s="387"/>
      <c r="AZ140" s="387"/>
      <c r="BA140" s="387"/>
      <c r="BB140" s="387"/>
      <c r="BC140" s="387"/>
      <c r="BD140" s="387"/>
      <c r="BE140" s="387"/>
      <c r="BF140" s="387"/>
      <c r="BG140" s="387"/>
      <c r="BH140" s="387"/>
      <c r="BI140" s="387"/>
      <c r="BJ140" s="387"/>
      <c r="BK140" s="387"/>
      <c r="BL140" s="387"/>
      <c r="BM140" s="387"/>
      <c r="BN140" s="387"/>
      <c r="BO140" s="387"/>
      <c r="BP140" s="387"/>
      <c r="BQ140" s="387"/>
      <c r="BR140" s="387"/>
      <c r="BS140" s="387"/>
      <c r="BT140" s="387"/>
      <c r="BU140" s="387"/>
      <c r="BV140" s="387"/>
      <c r="BX140" s="426"/>
    </row>
    <row r="141" spans="2:76" x14ac:dyDescent="0.3">
      <c r="B141" s="325"/>
      <c r="C141" s="309"/>
      <c r="D141" s="309"/>
      <c r="E141" s="421"/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87"/>
      <c r="AV141" s="387"/>
      <c r="AW141" s="387"/>
      <c r="AX141" s="387"/>
      <c r="AY141" s="387"/>
      <c r="AZ141" s="387"/>
      <c r="BA141" s="387"/>
      <c r="BB141" s="387"/>
      <c r="BC141" s="387"/>
      <c r="BD141" s="387"/>
      <c r="BE141" s="387"/>
      <c r="BF141" s="387"/>
      <c r="BG141" s="387"/>
      <c r="BH141" s="387"/>
      <c r="BI141" s="387"/>
      <c r="BJ141" s="387"/>
      <c r="BK141" s="387"/>
      <c r="BL141" s="387"/>
      <c r="BM141" s="387"/>
      <c r="BN141" s="387"/>
      <c r="BO141" s="387"/>
      <c r="BP141" s="387"/>
      <c r="BQ141" s="387"/>
      <c r="BR141" s="387"/>
      <c r="BS141" s="387"/>
      <c r="BT141" s="387"/>
      <c r="BU141" s="387"/>
      <c r="BV141" s="387"/>
      <c r="BX141" s="426"/>
    </row>
    <row r="142" spans="2:76" x14ac:dyDescent="0.3">
      <c r="B142" s="325"/>
      <c r="C142" s="309"/>
      <c r="D142" s="309"/>
      <c r="E142" s="421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7"/>
      <c r="AJ142" s="387"/>
      <c r="AK142" s="387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87"/>
      <c r="AV142" s="387"/>
      <c r="AW142" s="387"/>
      <c r="AX142" s="387"/>
      <c r="AY142" s="387"/>
      <c r="AZ142" s="387"/>
      <c r="BA142" s="387"/>
      <c r="BB142" s="387"/>
      <c r="BC142" s="387"/>
      <c r="BD142" s="387"/>
      <c r="BE142" s="387"/>
      <c r="BF142" s="387"/>
      <c r="BG142" s="387"/>
      <c r="BH142" s="387"/>
      <c r="BI142" s="387"/>
      <c r="BJ142" s="387"/>
      <c r="BK142" s="387"/>
      <c r="BL142" s="387"/>
      <c r="BM142" s="387"/>
      <c r="BN142" s="387"/>
      <c r="BO142" s="387"/>
      <c r="BP142" s="387"/>
      <c r="BQ142" s="387"/>
      <c r="BR142" s="387"/>
      <c r="BS142" s="387"/>
      <c r="BT142" s="387"/>
      <c r="BU142" s="387"/>
      <c r="BV142" s="387"/>
      <c r="BX142" s="426"/>
    </row>
    <row r="143" spans="2:76" x14ac:dyDescent="0.3">
      <c r="B143" s="325"/>
      <c r="C143" s="309"/>
      <c r="D143" s="309"/>
      <c r="E143" s="421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387"/>
      <c r="W143" s="387"/>
      <c r="X143" s="387"/>
      <c r="Y143" s="387"/>
      <c r="Z143" s="387"/>
      <c r="AA143" s="387"/>
      <c r="AB143" s="387"/>
      <c r="AC143" s="387"/>
      <c r="AD143" s="387"/>
      <c r="AE143" s="387"/>
      <c r="AF143" s="387"/>
      <c r="AG143" s="387"/>
      <c r="AH143" s="387"/>
      <c r="AI143" s="387"/>
      <c r="AJ143" s="387"/>
      <c r="AK143" s="387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87"/>
      <c r="AV143" s="387"/>
      <c r="AW143" s="387"/>
      <c r="AX143" s="387"/>
      <c r="AY143" s="387"/>
      <c r="AZ143" s="387"/>
      <c r="BA143" s="387"/>
      <c r="BB143" s="387"/>
      <c r="BC143" s="387"/>
      <c r="BD143" s="387"/>
      <c r="BE143" s="387"/>
      <c r="BF143" s="387"/>
      <c r="BG143" s="387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87"/>
      <c r="BR143" s="387"/>
      <c r="BS143" s="387"/>
      <c r="BT143" s="387"/>
      <c r="BU143" s="387"/>
      <c r="BV143" s="387"/>
      <c r="BX143" s="426"/>
    </row>
    <row r="144" spans="2:76" x14ac:dyDescent="0.3">
      <c r="B144" s="325"/>
      <c r="C144" s="309"/>
      <c r="D144" s="309"/>
      <c r="E144" s="421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387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87"/>
      <c r="AV144" s="387"/>
      <c r="AW144" s="387"/>
      <c r="AX144" s="387"/>
      <c r="AY144" s="387"/>
      <c r="AZ144" s="387"/>
      <c r="BA144" s="387"/>
      <c r="BB144" s="387"/>
      <c r="BC144" s="387"/>
      <c r="BD144" s="387"/>
      <c r="BE144" s="387"/>
      <c r="BF144" s="387"/>
      <c r="BG144" s="387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7"/>
      <c r="BT144" s="387"/>
      <c r="BU144" s="387"/>
      <c r="BV144" s="387"/>
      <c r="BX144" s="426"/>
    </row>
    <row r="145" spans="2:76" x14ac:dyDescent="0.3">
      <c r="B145" s="325"/>
      <c r="C145" s="309"/>
      <c r="D145" s="309"/>
      <c r="E145" s="421"/>
      <c r="F145" s="387"/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7"/>
      <c r="S145" s="387"/>
      <c r="T145" s="387"/>
      <c r="U145" s="387"/>
      <c r="V145" s="387"/>
      <c r="W145" s="387"/>
      <c r="X145" s="387"/>
      <c r="Y145" s="387"/>
      <c r="Z145" s="387"/>
      <c r="AA145" s="387"/>
      <c r="AB145" s="387"/>
      <c r="AC145" s="387"/>
      <c r="AD145" s="387"/>
      <c r="AE145" s="387"/>
      <c r="AF145" s="387"/>
      <c r="AG145" s="387"/>
      <c r="AH145" s="387"/>
      <c r="AI145" s="387"/>
      <c r="AJ145" s="387"/>
      <c r="AK145" s="387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87"/>
      <c r="AV145" s="387"/>
      <c r="AW145" s="387"/>
      <c r="AX145" s="387"/>
      <c r="AY145" s="387"/>
      <c r="AZ145" s="387"/>
      <c r="BA145" s="387"/>
      <c r="BB145" s="387"/>
      <c r="BC145" s="387"/>
      <c r="BD145" s="387"/>
      <c r="BE145" s="387"/>
      <c r="BF145" s="387"/>
      <c r="BG145" s="387"/>
      <c r="BH145" s="387"/>
      <c r="BI145" s="387"/>
      <c r="BJ145" s="387"/>
      <c r="BK145" s="387"/>
      <c r="BL145" s="387"/>
      <c r="BM145" s="387"/>
      <c r="BN145" s="387"/>
      <c r="BO145" s="387"/>
      <c r="BP145" s="387"/>
      <c r="BQ145" s="387"/>
      <c r="BR145" s="387"/>
      <c r="BS145" s="387"/>
      <c r="BT145" s="387"/>
      <c r="BU145" s="387"/>
      <c r="BV145" s="387"/>
      <c r="BX145" s="426"/>
    </row>
    <row r="146" spans="2:76" x14ac:dyDescent="0.3">
      <c r="B146" s="325"/>
      <c r="C146" s="309"/>
      <c r="D146" s="309"/>
      <c r="E146" s="421"/>
      <c r="F146" s="387"/>
      <c r="G146" s="387"/>
      <c r="H146" s="387"/>
      <c r="I146" s="387"/>
      <c r="J146" s="387"/>
      <c r="K146" s="387"/>
      <c r="L146" s="387"/>
      <c r="M146" s="387"/>
      <c r="N146" s="387"/>
      <c r="O146" s="387"/>
      <c r="P146" s="387"/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  <c r="AA146" s="387"/>
      <c r="AB146" s="387"/>
      <c r="AC146" s="387"/>
      <c r="AD146" s="387"/>
      <c r="AE146" s="387"/>
      <c r="AF146" s="387"/>
      <c r="AG146" s="387"/>
      <c r="AH146" s="387"/>
      <c r="AI146" s="387"/>
      <c r="AJ146" s="387"/>
      <c r="AK146" s="387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87"/>
      <c r="AV146" s="387"/>
      <c r="AW146" s="387"/>
      <c r="AX146" s="387"/>
      <c r="AY146" s="387"/>
      <c r="AZ146" s="387"/>
      <c r="BA146" s="387"/>
      <c r="BB146" s="387"/>
      <c r="BC146" s="387"/>
      <c r="BD146" s="387"/>
      <c r="BE146" s="387"/>
      <c r="BF146" s="387"/>
      <c r="BG146" s="387"/>
      <c r="BH146" s="387"/>
      <c r="BI146" s="387"/>
      <c r="BJ146" s="387"/>
      <c r="BK146" s="387"/>
      <c r="BL146" s="387"/>
      <c r="BM146" s="387"/>
      <c r="BN146" s="387"/>
      <c r="BO146" s="387"/>
      <c r="BP146" s="387"/>
      <c r="BQ146" s="387"/>
      <c r="BR146" s="387"/>
      <c r="BS146" s="387"/>
      <c r="BT146" s="387"/>
      <c r="BU146" s="387"/>
      <c r="BV146" s="387"/>
      <c r="BX146" s="426"/>
    </row>
    <row r="147" spans="2:76" x14ac:dyDescent="0.3">
      <c r="B147" s="325"/>
      <c r="C147" s="309"/>
      <c r="D147" s="309"/>
      <c r="E147" s="421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7"/>
      <c r="S147" s="387"/>
      <c r="T147" s="387"/>
      <c r="U147" s="387"/>
      <c r="V147" s="387"/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387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87"/>
      <c r="AV147" s="387"/>
      <c r="AW147" s="387"/>
      <c r="AX147" s="387"/>
      <c r="AY147" s="387"/>
      <c r="AZ147" s="387"/>
      <c r="BA147" s="387"/>
      <c r="BB147" s="387"/>
      <c r="BC147" s="387"/>
      <c r="BD147" s="387"/>
      <c r="BE147" s="387"/>
      <c r="BF147" s="387"/>
      <c r="BG147" s="387"/>
      <c r="BH147" s="387"/>
      <c r="BI147" s="387"/>
      <c r="BJ147" s="387"/>
      <c r="BK147" s="387"/>
      <c r="BL147" s="387"/>
      <c r="BM147" s="387"/>
      <c r="BN147" s="387"/>
      <c r="BO147" s="387"/>
      <c r="BP147" s="387"/>
      <c r="BQ147" s="387"/>
      <c r="BR147" s="387"/>
      <c r="BS147" s="387"/>
      <c r="BT147" s="387"/>
      <c r="BU147" s="387"/>
      <c r="BV147" s="387"/>
      <c r="BX147" s="426"/>
    </row>
    <row r="148" spans="2:76" x14ac:dyDescent="0.3">
      <c r="B148" s="325"/>
      <c r="C148" s="309"/>
      <c r="D148" s="309"/>
      <c r="E148" s="421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7"/>
      <c r="S148" s="387"/>
      <c r="T148" s="387"/>
      <c r="U148" s="387"/>
      <c r="V148" s="387"/>
      <c r="W148" s="387"/>
      <c r="X148" s="387"/>
      <c r="Y148" s="387"/>
      <c r="Z148" s="387"/>
      <c r="AA148" s="387"/>
      <c r="AB148" s="387"/>
      <c r="AC148" s="387"/>
      <c r="AD148" s="387"/>
      <c r="AE148" s="387"/>
      <c r="AF148" s="387"/>
      <c r="AG148" s="387"/>
      <c r="AH148" s="387"/>
      <c r="AI148" s="387"/>
      <c r="AJ148" s="387"/>
      <c r="AK148" s="387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87"/>
      <c r="AV148" s="387"/>
      <c r="AW148" s="387"/>
      <c r="AX148" s="387"/>
      <c r="AY148" s="387"/>
      <c r="AZ148" s="387"/>
      <c r="BA148" s="387"/>
      <c r="BB148" s="387"/>
      <c r="BC148" s="387"/>
      <c r="BD148" s="387"/>
      <c r="BE148" s="387"/>
      <c r="BF148" s="387"/>
      <c r="BG148" s="387"/>
      <c r="BH148" s="387"/>
      <c r="BI148" s="387"/>
      <c r="BJ148" s="387"/>
      <c r="BK148" s="387"/>
      <c r="BL148" s="387"/>
      <c r="BM148" s="387"/>
      <c r="BN148" s="387"/>
      <c r="BO148" s="387"/>
      <c r="BP148" s="387"/>
      <c r="BQ148" s="387"/>
      <c r="BR148" s="387"/>
      <c r="BS148" s="387"/>
      <c r="BT148" s="387"/>
      <c r="BU148" s="387"/>
      <c r="BV148" s="387"/>
      <c r="BX148" s="426"/>
    </row>
    <row r="149" spans="2:76" x14ac:dyDescent="0.3">
      <c r="B149" s="325"/>
      <c r="C149" s="309"/>
      <c r="D149" s="309"/>
      <c r="E149" s="421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7"/>
      <c r="U149" s="387"/>
      <c r="V149" s="387"/>
      <c r="W149" s="387"/>
      <c r="X149" s="387"/>
      <c r="Y149" s="387"/>
      <c r="Z149" s="387"/>
      <c r="AA149" s="387"/>
      <c r="AB149" s="387"/>
      <c r="AC149" s="387"/>
      <c r="AD149" s="387"/>
      <c r="AE149" s="387"/>
      <c r="AF149" s="387"/>
      <c r="AG149" s="387"/>
      <c r="AH149" s="387"/>
      <c r="AI149" s="387"/>
      <c r="AJ149" s="387"/>
      <c r="AK149" s="387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87"/>
      <c r="AV149" s="387"/>
      <c r="AW149" s="387"/>
      <c r="AX149" s="387"/>
      <c r="AY149" s="387"/>
      <c r="AZ149" s="387"/>
      <c r="BA149" s="387"/>
      <c r="BB149" s="387"/>
      <c r="BC149" s="387"/>
      <c r="BD149" s="387"/>
      <c r="BE149" s="387"/>
      <c r="BF149" s="387"/>
      <c r="BG149" s="387"/>
      <c r="BH149" s="387"/>
      <c r="BI149" s="387"/>
      <c r="BJ149" s="387"/>
      <c r="BK149" s="387"/>
      <c r="BL149" s="387"/>
      <c r="BM149" s="387"/>
      <c r="BN149" s="387"/>
      <c r="BO149" s="387"/>
      <c r="BP149" s="387"/>
      <c r="BQ149" s="387"/>
      <c r="BR149" s="387"/>
      <c r="BS149" s="387"/>
      <c r="BT149" s="387"/>
      <c r="BU149" s="387"/>
      <c r="BV149" s="387"/>
      <c r="BX149" s="426"/>
    </row>
    <row r="150" spans="2:76" x14ac:dyDescent="0.3">
      <c r="B150" s="325"/>
      <c r="C150" s="309"/>
      <c r="D150" s="309"/>
      <c r="E150" s="421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  <c r="S150" s="387"/>
      <c r="T150" s="387"/>
      <c r="U150" s="387"/>
      <c r="V150" s="387"/>
      <c r="W150" s="387"/>
      <c r="X150" s="387"/>
      <c r="Y150" s="387"/>
      <c r="Z150" s="387"/>
      <c r="AA150" s="387"/>
      <c r="AB150" s="387"/>
      <c r="AC150" s="387"/>
      <c r="AD150" s="387"/>
      <c r="AE150" s="387"/>
      <c r="AF150" s="387"/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87"/>
      <c r="AV150" s="387"/>
      <c r="AW150" s="387"/>
      <c r="AX150" s="387"/>
      <c r="AY150" s="387"/>
      <c r="AZ150" s="387"/>
      <c r="BA150" s="387"/>
      <c r="BB150" s="387"/>
      <c r="BC150" s="387"/>
      <c r="BD150" s="387"/>
      <c r="BE150" s="387"/>
      <c r="BF150" s="387"/>
      <c r="BG150" s="387"/>
      <c r="BH150" s="387"/>
      <c r="BI150" s="387"/>
      <c r="BJ150" s="387"/>
      <c r="BK150" s="387"/>
      <c r="BL150" s="387"/>
      <c r="BM150" s="387"/>
      <c r="BN150" s="387"/>
      <c r="BO150" s="387"/>
      <c r="BP150" s="387"/>
      <c r="BQ150" s="387"/>
      <c r="BR150" s="387"/>
      <c r="BS150" s="387"/>
      <c r="BT150" s="387"/>
      <c r="BU150" s="387"/>
      <c r="BV150" s="387"/>
      <c r="BX150" s="426"/>
    </row>
    <row r="151" spans="2:76" x14ac:dyDescent="0.3">
      <c r="B151" s="325"/>
      <c r="C151" s="309"/>
      <c r="D151" s="309"/>
      <c r="E151" s="421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7"/>
      <c r="S151" s="387"/>
      <c r="T151" s="387"/>
      <c r="U151" s="387"/>
      <c r="V151" s="387"/>
      <c r="W151" s="387"/>
      <c r="X151" s="387"/>
      <c r="Y151" s="387"/>
      <c r="Z151" s="387"/>
      <c r="AA151" s="387"/>
      <c r="AB151" s="387"/>
      <c r="AC151" s="387"/>
      <c r="AD151" s="387"/>
      <c r="AE151" s="387"/>
      <c r="AF151" s="387"/>
      <c r="AG151" s="387"/>
      <c r="AH151" s="387"/>
      <c r="AI151" s="387"/>
      <c r="AJ151" s="387"/>
      <c r="AK151" s="387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87"/>
      <c r="AV151" s="387"/>
      <c r="AW151" s="387"/>
      <c r="AX151" s="387"/>
      <c r="AY151" s="387"/>
      <c r="AZ151" s="387"/>
      <c r="BA151" s="387"/>
      <c r="BB151" s="387"/>
      <c r="BC151" s="387"/>
      <c r="BD151" s="387"/>
      <c r="BE151" s="387"/>
      <c r="BF151" s="387"/>
      <c r="BG151" s="387"/>
      <c r="BH151" s="387"/>
      <c r="BI151" s="387"/>
      <c r="BJ151" s="387"/>
      <c r="BK151" s="387"/>
      <c r="BL151" s="387"/>
      <c r="BM151" s="387"/>
      <c r="BN151" s="387"/>
      <c r="BO151" s="387"/>
      <c r="BP151" s="387"/>
      <c r="BQ151" s="387"/>
      <c r="BR151" s="387"/>
      <c r="BS151" s="387"/>
      <c r="BT151" s="387"/>
      <c r="BU151" s="387"/>
      <c r="BV151" s="387"/>
      <c r="BX151" s="426"/>
    </row>
    <row r="152" spans="2:76" x14ac:dyDescent="0.3">
      <c r="B152" s="325"/>
      <c r="C152" s="325"/>
      <c r="D152" s="325"/>
      <c r="E152" s="421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387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87"/>
      <c r="AV152" s="387"/>
      <c r="AW152" s="387"/>
      <c r="AX152" s="387"/>
      <c r="AY152" s="387"/>
      <c r="AZ152" s="387"/>
      <c r="BA152" s="387"/>
      <c r="BB152" s="387"/>
      <c r="BC152" s="387"/>
      <c r="BD152" s="387"/>
      <c r="BE152" s="387"/>
      <c r="BF152" s="387"/>
      <c r="BG152" s="387"/>
      <c r="BH152" s="387"/>
      <c r="BI152" s="387"/>
      <c r="BJ152" s="387"/>
      <c r="BK152" s="387"/>
      <c r="BL152" s="387"/>
      <c r="BM152" s="387"/>
      <c r="BN152" s="387"/>
      <c r="BO152" s="387"/>
      <c r="BP152" s="387"/>
      <c r="BQ152" s="387"/>
      <c r="BR152" s="387"/>
      <c r="BS152" s="387"/>
      <c r="BT152" s="387"/>
      <c r="BU152" s="387"/>
      <c r="BV152" s="387"/>
      <c r="BX152" s="426"/>
    </row>
    <row r="153" spans="2:76" x14ac:dyDescent="0.3">
      <c r="B153" s="325"/>
      <c r="C153" s="309"/>
      <c r="D153" s="309"/>
      <c r="E153" s="421"/>
      <c r="F153" s="387"/>
      <c r="G153" s="387"/>
      <c r="H153" s="387"/>
      <c r="I153" s="387"/>
      <c r="J153" s="387"/>
      <c r="K153" s="387"/>
      <c r="L153" s="387"/>
      <c r="M153" s="387"/>
      <c r="N153" s="387"/>
      <c r="O153" s="387"/>
      <c r="P153" s="387"/>
      <c r="Q153" s="387"/>
      <c r="R153" s="387"/>
      <c r="S153" s="387"/>
      <c r="T153" s="387"/>
      <c r="U153" s="387"/>
      <c r="V153" s="387"/>
      <c r="W153" s="387"/>
      <c r="X153" s="387"/>
      <c r="Y153" s="387"/>
      <c r="Z153" s="387"/>
      <c r="AA153" s="387"/>
      <c r="AB153" s="387"/>
      <c r="AC153" s="387"/>
      <c r="AD153" s="387"/>
      <c r="AE153" s="387"/>
      <c r="AF153" s="387"/>
      <c r="AG153" s="387"/>
      <c r="AH153" s="387"/>
      <c r="AI153" s="387"/>
      <c r="AJ153" s="387"/>
      <c r="AK153" s="387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87"/>
      <c r="AV153" s="387"/>
      <c r="AW153" s="387"/>
      <c r="AX153" s="387"/>
      <c r="AY153" s="387"/>
      <c r="AZ153" s="387"/>
      <c r="BA153" s="387"/>
      <c r="BB153" s="387"/>
      <c r="BC153" s="387"/>
      <c r="BD153" s="387"/>
      <c r="BE153" s="387"/>
      <c r="BF153" s="387"/>
      <c r="BG153" s="387"/>
      <c r="BH153" s="387"/>
      <c r="BI153" s="387"/>
      <c r="BJ153" s="387"/>
      <c r="BK153" s="387"/>
      <c r="BL153" s="387"/>
      <c r="BM153" s="387"/>
      <c r="BN153" s="387"/>
      <c r="BO153" s="387"/>
      <c r="BP153" s="387"/>
      <c r="BQ153" s="387"/>
      <c r="BR153" s="387"/>
      <c r="BS153" s="387"/>
      <c r="BT153" s="387"/>
      <c r="BU153" s="387"/>
      <c r="BV153" s="387"/>
      <c r="BX153" s="426"/>
    </row>
    <row r="154" spans="2:76" x14ac:dyDescent="0.3">
      <c r="B154" s="325"/>
      <c r="C154" s="309"/>
      <c r="D154" s="309"/>
      <c r="E154" s="421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387"/>
      <c r="BN154" s="387"/>
      <c r="BO154" s="387"/>
      <c r="BP154" s="387"/>
      <c r="BQ154" s="387"/>
      <c r="BR154" s="387"/>
      <c r="BS154" s="387"/>
      <c r="BT154" s="387"/>
      <c r="BU154" s="387"/>
      <c r="BV154" s="387"/>
      <c r="BX154" s="426"/>
    </row>
    <row r="155" spans="2:76" x14ac:dyDescent="0.3"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  <c r="BI155" s="136"/>
      <c r="BJ155" s="136"/>
      <c r="BK155" s="136"/>
      <c r="BL155" s="136"/>
      <c r="BM155" s="136"/>
      <c r="BN155" s="136"/>
      <c r="BO155" s="136"/>
      <c r="BP155" s="136"/>
      <c r="BQ155" s="136"/>
      <c r="BR155" s="136"/>
      <c r="BS155" s="136"/>
      <c r="BT155" s="136"/>
      <c r="BU155" s="136"/>
      <c r="BV155" s="136"/>
      <c r="BX155" s="426"/>
    </row>
    <row r="156" spans="2:76" x14ac:dyDescent="0.3">
      <c r="B156" s="325"/>
      <c r="C156" s="309"/>
      <c r="D156" s="309"/>
      <c r="E156" s="421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87"/>
      <c r="AV156" s="387"/>
      <c r="AW156" s="387"/>
      <c r="AX156" s="387"/>
      <c r="AY156" s="387"/>
      <c r="AZ156" s="387"/>
      <c r="BA156" s="387"/>
      <c r="BB156" s="387"/>
      <c r="BC156" s="387"/>
      <c r="BD156" s="387"/>
      <c r="BE156" s="387"/>
      <c r="BF156" s="387"/>
      <c r="BG156" s="387"/>
      <c r="BH156" s="387"/>
      <c r="BI156" s="387"/>
      <c r="BJ156" s="387"/>
      <c r="BK156" s="387"/>
      <c r="BL156" s="387"/>
      <c r="BM156" s="387"/>
      <c r="BN156" s="387"/>
      <c r="BO156" s="387"/>
      <c r="BP156" s="387"/>
      <c r="BQ156" s="387"/>
      <c r="BR156" s="387"/>
      <c r="BS156" s="387"/>
      <c r="BT156" s="387"/>
      <c r="BU156" s="387"/>
      <c r="BV156" s="387"/>
      <c r="BX156" s="426"/>
    </row>
    <row r="157" spans="2:76" x14ac:dyDescent="0.3">
      <c r="B157" s="325"/>
      <c r="C157" s="309"/>
      <c r="D157" s="309"/>
      <c r="E157" s="421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7"/>
      <c r="Q157" s="387"/>
      <c r="R157" s="387"/>
      <c r="S157" s="387"/>
      <c r="T157" s="387"/>
      <c r="U157" s="387"/>
      <c r="V157" s="387"/>
      <c r="W157" s="387"/>
      <c r="X157" s="387"/>
      <c r="Y157" s="387"/>
      <c r="Z157" s="387"/>
      <c r="AA157" s="387"/>
      <c r="AB157" s="387"/>
      <c r="AC157" s="387"/>
      <c r="AD157" s="387"/>
      <c r="AE157" s="387"/>
      <c r="AF157" s="387"/>
      <c r="AG157" s="387"/>
      <c r="AH157" s="387"/>
      <c r="AI157" s="387"/>
      <c r="AJ157" s="387"/>
      <c r="AK157" s="387"/>
      <c r="AL157" s="387"/>
      <c r="AM157" s="387"/>
      <c r="AN157" s="387"/>
      <c r="AO157" s="387"/>
      <c r="AP157" s="387"/>
      <c r="AQ157" s="387"/>
      <c r="AR157" s="387"/>
      <c r="AS157" s="387"/>
      <c r="AT157" s="387"/>
      <c r="AU157" s="387"/>
      <c r="AV157" s="387"/>
      <c r="AW157" s="387"/>
      <c r="AX157" s="387"/>
      <c r="AY157" s="387"/>
      <c r="AZ157" s="387"/>
      <c r="BA157" s="387"/>
      <c r="BB157" s="387"/>
      <c r="BC157" s="387"/>
      <c r="BD157" s="387"/>
      <c r="BE157" s="387"/>
      <c r="BF157" s="387"/>
      <c r="BG157" s="387"/>
      <c r="BH157" s="387"/>
      <c r="BI157" s="387"/>
      <c r="BJ157" s="387"/>
      <c r="BK157" s="387"/>
      <c r="BL157" s="387"/>
      <c r="BM157" s="387"/>
      <c r="BN157" s="387"/>
      <c r="BO157" s="387"/>
      <c r="BP157" s="387"/>
      <c r="BQ157" s="387"/>
      <c r="BR157" s="387"/>
      <c r="BS157" s="387"/>
      <c r="BT157" s="387"/>
      <c r="BU157" s="387"/>
      <c r="BV157" s="387"/>
      <c r="BX157" s="426"/>
    </row>
    <row r="158" spans="2:76" x14ac:dyDescent="0.3">
      <c r="B158" s="325"/>
      <c r="C158" s="309"/>
      <c r="D158" s="309"/>
      <c r="E158" s="421"/>
      <c r="F158" s="387"/>
      <c r="G158" s="387"/>
      <c r="H158" s="387"/>
      <c r="I158" s="387"/>
      <c r="J158" s="387"/>
      <c r="K158" s="387"/>
      <c r="L158" s="387"/>
      <c r="M158" s="387"/>
      <c r="N158" s="387"/>
      <c r="O158" s="387"/>
      <c r="P158" s="387"/>
      <c r="Q158" s="387"/>
      <c r="R158" s="387"/>
      <c r="S158" s="387"/>
      <c r="T158" s="387"/>
      <c r="U158" s="387"/>
      <c r="V158" s="387"/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87"/>
      <c r="AV158" s="387"/>
      <c r="AW158" s="387"/>
      <c r="AX158" s="387"/>
      <c r="AY158" s="387"/>
      <c r="AZ158" s="387"/>
      <c r="BA158" s="387"/>
      <c r="BB158" s="387"/>
      <c r="BC158" s="387"/>
      <c r="BD158" s="387"/>
      <c r="BE158" s="387"/>
      <c r="BF158" s="387"/>
      <c r="BG158" s="387"/>
      <c r="BH158" s="387"/>
      <c r="BI158" s="387"/>
      <c r="BJ158" s="387"/>
      <c r="BK158" s="387"/>
      <c r="BL158" s="387"/>
      <c r="BM158" s="387"/>
      <c r="BN158" s="387"/>
      <c r="BO158" s="387"/>
      <c r="BP158" s="387"/>
      <c r="BQ158" s="387"/>
      <c r="BR158" s="387"/>
      <c r="BS158" s="387"/>
      <c r="BT158" s="387"/>
      <c r="BU158" s="387"/>
      <c r="BV158" s="387"/>
      <c r="BX158" s="426"/>
    </row>
    <row r="159" spans="2:76" x14ac:dyDescent="0.3">
      <c r="B159" s="325"/>
      <c r="C159" s="309"/>
      <c r="D159" s="309"/>
      <c r="E159" s="421"/>
      <c r="F159" s="387"/>
      <c r="G159" s="387"/>
      <c r="H159" s="387"/>
      <c r="I159" s="387"/>
      <c r="J159" s="387"/>
      <c r="K159" s="387"/>
      <c r="L159" s="387"/>
      <c r="M159" s="387"/>
      <c r="N159" s="387"/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/>
      <c r="AA159" s="387"/>
      <c r="AB159" s="387"/>
      <c r="AC159" s="387"/>
      <c r="AD159" s="387"/>
      <c r="AE159" s="387"/>
      <c r="AF159" s="387"/>
      <c r="AG159" s="387"/>
      <c r="AH159" s="387"/>
      <c r="AI159" s="387"/>
      <c r="AJ159" s="387"/>
      <c r="AK159" s="387"/>
      <c r="AL159" s="387"/>
      <c r="AM159" s="387"/>
      <c r="AN159" s="387"/>
      <c r="AO159" s="387"/>
      <c r="AP159" s="387"/>
      <c r="AQ159" s="387"/>
      <c r="AR159" s="387"/>
      <c r="AS159" s="387"/>
      <c r="AT159" s="387"/>
      <c r="AU159" s="387"/>
      <c r="AV159" s="387"/>
      <c r="AW159" s="387"/>
      <c r="AX159" s="387"/>
      <c r="AY159" s="387"/>
      <c r="AZ159" s="387"/>
      <c r="BA159" s="387"/>
      <c r="BB159" s="387"/>
      <c r="BC159" s="387"/>
      <c r="BD159" s="387"/>
      <c r="BE159" s="387"/>
      <c r="BF159" s="387"/>
      <c r="BG159" s="387"/>
      <c r="BH159" s="387"/>
      <c r="BI159" s="387"/>
      <c r="BJ159" s="387"/>
      <c r="BK159" s="387"/>
      <c r="BL159" s="387"/>
      <c r="BM159" s="387"/>
      <c r="BN159" s="387"/>
      <c r="BO159" s="387"/>
      <c r="BP159" s="387"/>
      <c r="BQ159" s="387"/>
      <c r="BR159" s="387"/>
      <c r="BS159" s="387"/>
      <c r="BT159" s="387"/>
      <c r="BU159" s="387"/>
      <c r="BV159" s="387"/>
      <c r="BX159" s="426"/>
    </row>
    <row r="160" spans="2:76" x14ac:dyDescent="0.3">
      <c r="B160" s="325"/>
      <c r="C160" s="309"/>
      <c r="D160" s="309"/>
      <c r="E160" s="421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7"/>
      <c r="V160" s="387"/>
      <c r="W160" s="387"/>
      <c r="X160" s="387"/>
      <c r="Y160" s="387"/>
      <c r="Z160" s="387"/>
      <c r="AA160" s="387"/>
      <c r="AB160" s="387"/>
      <c r="AC160" s="387"/>
      <c r="AD160" s="387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/>
      <c r="BJ160" s="387"/>
      <c r="BK160" s="387"/>
      <c r="BL160" s="387"/>
      <c r="BM160" s="387"/>
      <c r="BN160" s="387"/>
      <c r="BO160" s="387"/>
      <c r="BP160" s="387"/>
      <c r="BQ160" s="387"/>
      <c r="BR160" s="387"/>
      <c r="BS160" s="387"/>
      <c r="BT160" s="387"/>
      <c r="BU160" s="387"/>
      <c r="BV160" s="387"/>
      <c r="BX160" s="426"/>
    </row>
    <row r="161" spans="2:76" x14ac:dyDescent="0.3">
      <c r="B161" s="325"/>
      <c r="C161" s="309"/>
      <c r="D161" s="309"/>
      <c r="E161" s="421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  <c r="S161" s="387"/>
      <c r="T161" s="387"/>
      <c r="U161" s="387"/>
      <c r="V161" s="387"/>
      <c r="W161" s="387"/>
      <c r="X161" s="387"/>
      <c r="Y161" s="387"/>
      <c r="Z161" s="387"/>
      <c r="AA161" s="387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O161" s="387"/>
      <c r="AP161" s="387"/>
      <c r="AQ161" s="387"/>
      <c r="AR161" s="387"/>
      <c r="AS161" s="387"/>
      <c r="AT161" s="387"/>
      <c r="AU161" s="387"/>
      <c r="AV161" s="387"/>
      <c r="AW161" s="387"/>
      <c r="AX161" s="387"/>
      <c r="AY161" s="387"/>
      <c r="AZ161" s="387"/>
      <c r="BA161" s="387"/>
      <c r="BB161" s="387"/>
      <c r="BC161" s="387"/>
      <c r="BD161" s="387"/>
      <c r="BE161" s="387"/>
      <c r="BF161" s="387"/>
      <c r="BG161" s="387"/>
      <c r="BH161" s="387"/>
      <c r="BI161" s="387"/>
      <c r="BJ161" s="387"/>
      <c r="BK161" s="387"/>
      <c r="BL161" s="387"/>
      <c r="BM161" s="387"/>
      <c r="BN161" s="387"/>
      <c r="BO161" s="387"/>
      <c r="BP161" s="387"/>
      <c r="BQ161" s="387"/>
      <c r="BR161" s="387"/>
      <c r="BS161" s="387"/>
      <c r="BT161" s="387"/>
      <c r="BU161" s="387"/>
      <c r="BV161" s="387"/>
      <c r="BX161" s="426"/>
    </row>
    <row r="162" spans="2:76" x14ac:dyDescent="0.3">
      <c r="B162" s="325"/>
      <c r="C162" s="309"/>
      <c r="D162" s="309"/>
      <c r="E162" s="421"/>
      <c r="F162" s="387"/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7"/>
      <c r="S162" s="387"/>
      <c r="T162" s="387"/>
      <c r="U162" s="387"/>
      <c r="V162" s="387"/>
      <c r="W162" s="387"/>
      <c r="X162" s="387"/>
      <c r="Y162" s="387"/>
      <c r="Z162" s="387"/>
      <c r="AA162" s="387"/>
      <c r="AB162" s="387"/>
      <c r="AC162" s="387"/>
      <c r="AD162" s="387"/>
      <c r="AE162" s="387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7"/>
      <c r="BJ162" s="387"/>
      <c r="BK162" s="387"/>
      <c r="BL162" s="387"/>
      <c r="BM162" s="387"/>
      <c r="BN162" s="387"/>
      <c r="BO162" s="387"/>
      <c r="BP162" s="387"/>
      <c r="BQ162" s="387"/>
      <c r="BR162" s="387"/>
      <c r="BS162" s="387"/>
      <c r="BT162" s="387"/>
      <c r="BU162" s="387"/>
      <c r="BV162" s="387"/>
      <c r="BX162" s="426"/>
    </row>
    <row r="163" spans="2:76" x14ac:dyDescent="0.3">
      <c r="B163" s="325"/>
      <c r="C163" s="309"/>
      <c r="D163" s="309"/>
      <c r="E163" s="421"/>
      <c r="F163" s="387"/>
      <c r="G163" s="387"/>
      <c r="H163" s="387"/>
      <c r="I163" s="387"/>
      <c r="J163" s="387"/>
      <c r="K163" s="387"/>
      <c r="L163" s="387"/>
      <c r="M163" s="387"/>
      <c r="N163" s="387"/>
      <c r="O163" s="387"/>
      <c r="P163" s="387"/>
      <c r="Q163" s="387"/>
      <c r="R163" s="387"/>
      <c r="S163" s="387"/>
      <c r="T163" s="387"/>
      <c r="U163" s="387"/>
      <c r="V163" s="387"/>
      <c r="W163" s="387"/>
      <c r="X163" s="387"/>
      <c r="Y163" s="387"/>
      <c r="Z163" s="387"/>
      <c r="AA163" s="387"/>
      <c r="AB163" s="387"/>
      <c r="AC163" s="387"/>
      <c r="AD163" s="387"/>
      <c r="AE163" s="387"/>
      <c r="AF163" s="387"/>
      <c r="AG163" s="387"/>
      <c r="AH163" s="387"/>
      <c r="AI163" s="387"/>
      <c r="AJ163" s="387"/>
      <c r="AK163" s="387"/>
      <c r="AL163" s="387"/>
      <c r="AM163" s="387"/>
      <c r="AN163" s="387"/>
      <c r="AO163" s="387"/>
      <c r="AP163" s="387"/>
      <c r="AQ163" s="387"/>
      <c r="AR163" s="387"/>
      <c r="AS163" s="387"/>
      <c r="AT163" s="387"/>
      <c r="AU163" s="387"/>
      <c r="AV163" s="387"/>
      <c r="AW163" s="387"/>
      <c r="AX163" s="387"/>
      <c r="AY163" s="387"/>
      <c r="AZ163" s="387"/>
      <c r="BA163" s="387"/>
      <c r="BB163" s="387"/>
      <c r="BC163" s="387"/>
      <c r="BD163" s="387"/>
      <c r="BE163" s="387"/>
      <c r="BF163" s="387"/>
      <c r="BG163" s="387"/>
      <c r="BH163" s="387"/>
      <c r="BI163" s="387"/>
      <c r="BJ163" s="387"/>
      <c r="BK163" s="387"/>
      <c r="BL163" s="387"/>
      <c r="BM163" s="387"/>
      <c r="BN163" s="387"/>
      <c r="BO163" s="387"/>
      <c r="BP163" s="387"/>
      <c r="BQ163" s="387"/>
      <c r="BR163" s="387"/>
      <c r="BS163" s="387"/>
      <c r="BT163" s="387"/>
      <c r="BU163" s="387"/>
      <c r="BV163" s="387"/>
      <c r="BX163" s="426"/>
    </row>
    <row r="164" spans="2:76" x14ac:dyDescent="0.3">
      <c r="B164" s="325"/>
      <c r="C164" s="309"/>
      <c r="D164" s="309"/>
      <c r="E164" s="421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  <c r="S164" s="387"/>
      <c r="T164" s="387"/>
      <c r="U164" s="387"/>
      <c r="V164" s="387"/>
      <c r="W164" s="387"/>
      <c r="X164" s="387"/>
      <c r="Y164" s="387"/>
      <c r="Z164" s="387"/>
      <c r="AA164" s="387"/>
      <c r="AB164" s="387"/>
      <c r="AC164" s="387"/>
      <c r="AD164" s="387"/>
      <c r="AE164" s="387"/>
      <c r="AF164" s="387"/>
      <c r="AG164" s="387"/>
      <c r="AH164" s="387"/>
      <c r="AI164" s="387"/>
      <c r="AJ164" s="387"/>
      <c r="AK164" s="387"/>
      <c r="AL164" s="387"/>
      <c r="AM164" s="387"/>
      <c r="AN164" s="387"/>
      <c r="AO164" s="387"/>
      <c r="AP164" s="387"/>
      <c r="AQ164" s="387"/>
      <c r="AR164" s="387"/>
      <c r="AS164" s="387"/>
      <c r="AT164" s="387"/>
      <c r="AU164" s="387"/>
      <c r="AV164" s="387"/>
      <c r="AW164" s="387"/>
      <c r="AX164" s="387"/>
      <c r="AY164" s="387"/>
      <c r="AZ164" s="387"/>
      <c r="BA164" s="387"/>
      <c r="BB164" s="387"/>
      <c r="BC164" s="387"/>
      <c r="BD164" s="387"/>
      <c r="BE164" s="387"/>
      <c r="BF164" s="387"/>
      <c r="BG164" s="387"/>
      <c r="BH164" s="387"/>
      <c r="BI164" s="387"/>
      <c r="BJ164" s="387"/>
      <c r="BK164" s="387"/>
      <c r="BL164" s="387"/>
      <c r="BM164" s="387"/>
      <c r="BN164" s="387"/>
      <c r="BO164" s="387"/>
      <c r="BP164" s="387"/>
      <c r="BQ164" s="387"/>
      <c r="BR164" s="387"/>
      <c r="BS164" s="387"/>
      <c r="BT164" s="387"/>
      <c r="BU164" s="387"/>
      <c r="BV164" s="387"/>
      <c r="BX164" s="426"/>
    </row>
    <row r="165" spans="2:76" x14ac:dyDescent="0.3">
      <c r="B165" s="325"/>
      <c r="C165" s="309"/>
      <c r="D165" s="309"/>
      <c r="E165" s="421"/>
      <c r="F165" s="387"/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  <c r="S165" s="387"/>
      <c r="T165" s="387"/>
      <c r="U165" s="387"/>
      <c r="V165" s="387"/>
      <c r="W165" s="387"/>
      <c r="X165" s="387"/>
      <c r="Y165" s="387"/>
      <c r="Z165" s="387"/>
      <c r="AA165" s="387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O165" s="387"/>
      <c r="AP165" s="387"/>
      <c r="AQ165" s="387"/>
      <c r="AR165" s="387"/>
      <c r="AS165" s="387"/>
      <c r="AT165" s="387"/>
      <c r="AU165" s="387"/>
      <c r="AV165" s="387"/>
      <c r="AW165" s="387"/>
      <c r="AX165" s="387"/>
      <c r="AY165" s="387"/>
      <c r="AZ165" s="387"/>
      <c r="BA165" s="387"/>
      <c r="BB165" s="387"/>
      <c r="BC165" s="387"/>
      <c r="BD165" s="387"/>
      <c r="BE165" s="387"/>
      <c r="BF165" s="387"/>
      <c r="BG165" s="387"/>
      <c r="BH165" s="387"/>
      <c r="BI165" s="387"/>
      <c r="BJ165" s="387"/>
      <c r="BK165" s="387"/>
      <c r="BL165" s="387"/>
      <c r="BM165" s="387"/>
      <c r="BN165" s="387"/>
      <c r="BO165" s="387"/>
      <c r="BP165" s="387"/>
      <c r="BQ165" s="387"/>
      <c r="BR165" s="387"/>
      <c r="BS165" s="387"/>
      <c r="BT165" s="387"/>
      <c r="BU165" s="387"/>
      <c r="BV165" s="387"/>
      <c r="BX165" s="426"/>
    </row>
    <row r="166" spans="2:76" x14ac:dyDescent="0.3">
      <c r="B166" s="325"/>
      <c r="C166" s="309"/>
      <c r="D166" s="309"/>
      <c r="E166" s="421"/>
      <c r="F166" s="387"/>
      <c r="G166" s="387"/>
      <c r="H166" s="387"/>
      <c r="I166" s="387"/>
      <c r="J166" s="387"/>
      <c r="K166" s="387"/>
      <c r="L166" s="387"/>
      <c r="M166" s="387"/>
      <c r="N166" s="387"/>
      <c r="O166" s="387"/>
      <c r="P166" s="387"/>
      <c r="Q166" s="387"/>
      <c r="R166" s="387"/>
      <c r="S166" s="387"/>
      <c r="T166" s="387"/>
      <c r="U166" s="387"/>
      <c r="V166" s="387"/>
      <c r="W166" s="387"/>
      <c r="X166" s="387"/>
      <c r="Y166" s="387"/>
      <c r="Z166" s="387"/>
      <c r="AA166" s="387"/>
      <c r="AB166" s="387"/>
      <c r="AC166" s="387"/>
      <c r="AD166" s="387"/>
      <c r="AE166" s="387"/>
      <c r="AF166" s="387"/>
      <c r="AG166" s="387"/>
      <c r="AH166" s="387"/>
      <c r="AI166" s="387"/>
      <c r="AJ166" s="387"/>
      <c r="AK166" s="387"/>
      <c r="AL166" s="387"/>
      <c r="AM166" s="387"/>
      <c r="AN166" s="387"/>
      <c r="AO166" s="387"/>
      <c r="AP166" s="387"/>
      <c r="AQ166" s="387"/>
      <c r="AR166" s="387"/>
      <c r="AS166" s="387"/>
      <c r="AT166" s="387"/>
      <c r="AU166" s="387"/>
      <c r="AV166" s="387"/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X166" s="426"/>
    </row>
    <row r="167" spans="2:76" x14ac:dyDescent="0.3">
      <c r="B167" s="325"/>
      <c r="C167" s="309"/>
      <c r="D167" s="309"/>
      <c r="E167" s="421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387"/>
      <c r="S167" s="387"/>
      <c r="T167" s="387"/>
      <c r="U167" s="387"/>
      <c r="V167" s="387"/>
      <c r="W167" s="387"/>
      <c r="X167" s="387"/>
      <c r="Y167" s="387"/>
      <c r="Z167" s="387"/>
      <c r="AA167" s="387"/>
      <c r="AB167" s="387"/>
      <c r="AC167" s="387"/>
      <c r="AD167" s="387"/>
      <c r="AE167" s="387"/>
      <c r="AF167" s="387"/>
      <c r="AG167" s="387"/>
      <c r="AH167" s="387"/>
      <c r="AI167" s="387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X167" s="426"/>
    </row>
    <row r="168" spans="2:76" x14ac:dyDescent="0.3">
      <c r="B168" s="325"/>
      <c r="C168" s="309"/>
      <c r="D168" s="309"/>
      <c r="E168" s="421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7"/>
      <c r="Y168" s="387"/>
      <c r="Z168" s="387"/>
      <c r="AA168" s="387"/>
      <c r="AB168" s="387"/>
      <c r="AC168" s="387"/>
      <c r="AD168" s="387"/>
      <c r="AE168" s="387"/>
      <c r="AF168" s="387"/>
      <c r="AG168" s="387"/>
      <c r="AH168" s="387"/>
      <c r="AI168" s="387"/>
      <c r="AJ168" s="387"/>
      <c r="AK168" s="387"/>
      <c r="AL168" s="387"/>
      <c r="AM168" s="387"/>
      <c r="AN168" s="387"/>
      <c r="AO168" s="387"/>
      <c r="AP168" s="387"/>
      <c r="AQ168" s="387"/>
      <c r="AR168" s="387"/>
      <c r="AS168" s="387"/>
      <c r="AT168" s="387"/>
      <c r="AU168" s="387"/>
      <c r="AV168" s="387"/>
      <c r="AW168" s="387"/>
      <c r="AX168" s="387"/>
      <c r="AY168" s="387"/>
      <c r="AZ168" s="387"/>
      <c r="BA168" s="387"/>
      <c r="BB168" s="387"/>
      <c r="BC168" s="387"/>
      <c r="BD168" s="387"/>
      <c r="BE168" s="387"/>
      <c r="BF168" s="387"/>
      <c r="BG168" s="387"/>
      <c r="BH168" s="387"/>
      <c r="BI168" s="387"/>
      <c r="BJ168" s="387"/>
      <c r="BK168" s="387"/>
      <c r="BL168" s="387"/>
      <c r="BM168" s="387"/>
      <c r="BN168" s="387"/>
      <c r="BO168" s="387"/>
      <c r="BP168" s="387"/>
      <c r="BQ168" s="387"/>
      <c r="BR168" s="387"/>
      <c r="BS168" s="387"/>
      <c r="BT168" s="387"/>
      <c r="BU168" s="387"/>
      <c r="BV168" s="387"/>
      <c r="BX168" s="426"/>
    </row>
    <row r="169" spans="2:76" x14ac:dyDescent="0.3">
      <c r="B169" s="325"/>
      <c r="C169" s="309"/>
      <c r="D169" s="309"/>
      <c r="E169" s="421"/>
      <c r="F169" s="387"/>
      <c r="G169" s="387"/>
      <c r="H169" s="387"/>
      <c r="I169" s="387"/>
      <c r="J169" s="387"/>
      <c r="K169" s="387"/>
      <c r="L169" s="387"/>
      <c r="M169" s="387"/>
      <c r="N169" s="387"/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/>
      <c r="AA169" s="387"/>
      <c r="AB169" s="387"/>
      <c r="AC169" s="387"/>
      <c r="AD169" s="387"/>
      <c r="AE169" s="387"/>
      <c r="AF169" s="387"/>
      <c r="AG169" s="387"/>
      <c r="AH169" s="387"/>
      <c r="AI169" s="387"/>
      <c r="AJ169" s="387"/>
      <c r="AK169" s="387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87"/>
      <c r="AV169" s="387"/>
      <c r="AW169" s="387"/>
      <c r="AX169" s="387"/>
      <c r="AY169" s="387"/>
      <c r="AZ169" s="387"/>
      <c r="BA169" s="387"/>
      <c r="BB169" s="387"/>
      <c r="BC169" s="387"/>
      <c r="BD169" s="387"/>
      <c r="BE169" s="387"/>
      <c r="BF169" s="387"/>
      <c r="BG169" s="387"/>
      <c r="BH169" s="387"/>
      <c r="BI169" s="387"/>
      <c r="BJ169" s="387"/>
      <c r="BK169" s="387"/>
      <c r="BL169" s="387"/>
      <c r="BM169" s="387"/>
      <c r="BN169" s="387"/>
      <c r="BO169" s="387"/>
      <c r="BP169" s="387"/>
      <c r="BQ169" s="387"/>
      <c r="BR169" s="387"/>
      <c r="BS169" s="387"/>
      <c r="BT169" s="387"/>
      <c r="BU169" s="387"/>
      <c r="BV169" s="387"/>
    </row>
    <row r="170" spans="2:76" x14ac:dyDescent="0.3">
      <c r="B170" s="325"/>
      <c r="C170" s="309"/>
      <c r="D170" s="309"/>
      <c r="E170" s="421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  <c r="AB170" s="387"/>
      <c r="AC170" s="387"/>
      <c r="AD170" s="387"/>
      <c r="AE170" s="387"/>
      <c r="AF170" s="387"/>
      <c r="AG170" s="387"/>
      <c r="AH170" s="387"/>
      <c r="AI170" s="387"/>
      <c r="AJ170" s="387"/>
      <c r="AK170" s="387"/>
      <c r="AL170" s="387"/>
      <c r="AM170" s="387"/>
      <c r="AN170" s="387"/>
      <c r="AO170" s="387"/>
      <c r="AP170" s="387"/>
      <c r="AQ170" s="387"/>
      <c r="AR170" s="387"/>
      <c r="AS170" s="387"/>
      <c r="AT170" s="387"/>
      <c r="AU170" s="387"/>
      <c r="AV170" s="387"/>
      <c r="AW170" s="387"/>
      <c r="AX170" s="387"/>
      <c r="AY170" s="387"/>
      <c r="AZ170" s="387"/>
      <c r="BA170" s="387"/>
      <c r="BB170" s="387"/>
      <c r="BC170" s="387"/>
      <c r="BD170" s="387"/>
      <c r="BE170" s="387"/>
      <c r="BF170" s="387"/>
      <c r="BG170" s="387"/>
      <c r="BH170" s="387"/>
      <c r="BI170" s="387"/>
      <c r="BJ170" s="387"/>
      <c r="BK170" s="387"/>
      <c r="BL170" s="387"/>
      <c r="BM170" s="387"/>
      <c r="BN170" s="387"/>
      <c r="BO170" s="387"/>
      <c r="BP170" s="387"/>
      <c r="BQ170" s="387"/>
      <c r="BR170" s="387"/>
      <c r="BS170" s="387"/>
      <c r="BT170" s="387"/>
      <c r="BU170" s="387"/>
      <c r="BV170" s="387"/>
    </row>
    <row r="171" spans="2:76" x14ac:dyDescent="0.3">
      <c r="B171" s="325"/>
      <c r="C171" s="309"/>
      <c r="D171" s="309"/>
      <c r="E171" s="421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387"/>
      <c r="Z171" s="387"/>
      <c r="AA171" s="387"/>
      <c r="AB171" s="387"/>
      <c r="AC171" s="387"/>
      <c r="AD171" s="387"/>
      <c r="AE171" s="387"/>
      <c r="AF171" s="387"/>
      <c r="AG171" s="387"/>
      <c r="AH171" s="387"/>
      <c r="AI171" s="387"/>
      <c r="AJ171" s="387"/>
      <c r="AK171" s="387"/>
      <c r="AL171" s="387"/>
      <c r="AM171" s="387"/>
      <c r="AN171" s="387"/>
      <c r="AO171" s="387"/>
      <c r="AP171" s="387"/>
      <c r="AQ171" s="387"/>
      <c r="AR171" s="387"/>
      <c r="AS171" s="387"/>
      <c r="AT171" s="387"/>
      <c r="AU171" s="387"/>
      <c r="AV171" s="387"/>
      <c r="AW171" s="387"/>
      <c r="AX171" s="387"/>
      <c r="AY171" s="387"/>
      <c r="AZ171" s="387"/>
      <c r="BA171" s="387"/>
      <c r="BB171" s="387"/>
      <c r="BC171" s="387"/>
      <c r="BD171" s="387"/>
      <c r="BE171" s="387"/>
      <c r="BF171" s="387"/>
      <c r="BG171" s="387"/>
      <c r="BH171" s="387"/>
      <c r="BI171" s="387"/>
      <c r="BJ171" s="387"/>
      <c r="BK171" s="387"/>
      <c r="BL171" s="387"/>
      <c r="BM171" s="387"/>
      <c r="BN171" s="387"/>
      <c r="BO171" s="387"/>
      <c r="BP171" s="387"/>
      <c r="BQ171" s="387"/>
      <c r="BR171" s="387"/>
      <c r="BS171" s="387"/>
      <c r="BT171" s="387"/>
      <c r="BU171" s="387"/>
      <c r="BV171" s="387"/>
    </row>
    <row r="172" spans="2:76" x14ac:dyDescent="0.3">
      <c r="B172" s="325"/>
      <c r="C172" s="309"/>
      <c r="D172" s="309"/>
      <c r="E172" s="421"/>
      <c r="F172" s="387"/>
      <c r="G172" s="387"/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  <c r="AA172" s="387"/>
      <c r="AB172" s="387"/>
      <c r="AC172" s="387"/>
      <c r="AD172" s="387"/>
      <c r="AE172" s="387"/>
      <c r="AF172" s="387"/>
      <c r="AG172" s="387"/>
      <c r="AH172" s="387"/>
      <c r="AI172" s="387"/>
      <c r="AJ172" s="387"/>
      <c r="AK172" s="387"/>
      <c r="AL172" s="387"/>
      <c r="AM172" s="387"/>
      <c r="AN172" s="387"/>
      <c r="AO172" s="387"/>
      <c r="AP172" s="387"/>
      <c r="AQ172" s="387"/>
      <c r="AR172" s="387"/>
      <c r="AS172" s="387"/>
      <c r="AT172" s="387"/>
      <c r="AU172" s="387"/>
      <c r="AV172" s="387"/>
      <c r="AW172" s="387"/>
      <c r="AX172" s="387"/>
      <c r="AY172" s="387"/>
      <c r="AZ172" s="387"/>
      <c r="BA172" s="387"/>
      <c r="BB172" s="387"/>
      <c r="BC172" s="387"/>
      <c r="BD172" s="387"/>
      <c r="BE172" s="387"/>
      <c r="BF172" s="387"/>
      <c r="BG172" s="387"/>
      <c r="BH172" s="387"/>
      <c r="BI172" s="387"/>
      <c r="BJ172" s="387"/>
      <c r="BK172" s="387"/>
      <c r="BL172" s="387"/>
      <c r="BM172" s="387"/>
      <c r="BN172" s="387"/>
      <c r="BO172" s="387"/>
      <c r="BP172" s="387"/>
      <c r="BQ172" s="387"/>
      <c r="BR172" s="387"/>
      <c r="BS172" s="387"/>
      <c r="BT172" s="387"/>
      <c r="BU172" s="387"/>
      <c r="BV172" s="387"/>
    </row>
    <row r="173" spans="2:76" x14ac:dyDescent="0.3">
      <c r="B173" s="325"/>
      <c r="C173" s="309"/>
      <c r="D173" s="309"/>
      <c r="E173" s="421"/>
      <c r="F173" s="387"/>
      <c r="G173" s="387"/>
      <c r="H173" s="387"/>
      <c r="I173" s="387"/>
      <c r="J173" s="387"/>
      <c r="K173" s="387"/>
      <c r="L173" s="387"/>
      <c r="M173" s="387"/>
      <c r="N173" s="387"/>
      <c r="O173" s="387"/>
      <c r="P173" s="387"/>
      <c r="Q173" s="387"/>
      <c r="R173" s="387"/>
      <c r="S173" s="387"/>
      <c r="T173" s="387"/>
      <c r="U173" s="387"/>
      <c r="V173" s="387"/>
      <c r="W173" s="387"/>
      <c r="X173" s="387"/>
      <c r="Y173" s="387"/>
      <c r="Z173" s="387"/>
      <c r="AA173" s="387"/>
      <c r="AB173" s="387"/>
      <c r="AC173" s="387"/>
      <c r="AD173" s="387"/>
      <c r="AE173" s="387"/>
      <c r="AF173" s="387"/>
      <c r="AG173" s="387"/>
      <c r="AH173" s="387"/>
      <c r="AI173" s="387"/>
      <c r="AJ173" s="387"/>
      <c r="AK173" s="387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87"/>
      <c r="AV173" s="387"/>
      <c r="AW173" s="387"/>
      <c r="AX173" s="387"/>
      <c r="AY173" s="387"/>
      <c r="AZ173" s="387"/>
      <c r="BA173" s="387"/>
      <c r="BB173" s="387"/>
      <c r="BC173" s="387"/>
      <c r="BD173" s="387"/>
      <c r="BE173" s="387"/>
      <c r="BF173" s="387"/>
      <c r="BG173" s="387"/>
      <c r="BH173" s="387"/>
      <c r="BI173" s="387"/>
      <c r="BJ173" s="387"/>
      <c r="BK173" s="387"/>
      <c r="BL173" s="387"/>
      <c r="BM173" s="387"/>
      <c r="BN173" s="387"/>
      <c r="BO173" s="387"/>
      <c r="BP173" s="387"/>
      <c r="BQ173" s="387"/>
      <c r="BR173" s="387"/>
      <c r="BS173" s="387"/>
      <c r="BT173" s="387"/>
      <c r="BU173" s="387"/>
      <c r="BV173" s="387"/>
    </row>
    <row r="174" spans="2:76" x14ac:dyDescent="0.3">
      <c r="B174" s="325"/>
      <c r="C174" s="309"/>
      <c r="D174" s="309"/>
      <c r="E174" s="421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7"/>
      <c r="Y174" s="387"/>
      <c r="Z174" s="387"/>
      <c r="AA174" s="387"/>
      <c r="AB174" s="387"/>
      <c r="AC174" s="387"/>
      <c r="AD174" s="387"/>
      <c r="AE174" s="387"/>
      <c r="AF174" s="387"/>
      <c r="AG174" s="387"/>
      <c r="AH174" s="387"/>
      <c r="AI174" s="387"/>
      <c r="AJ174" s="387"/>
      <c r="AK174" s="387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87"/>
      <c r="AV174" s="387"/>
      <c r="AW174" s="387"/>
      <c r="AX174" s="387"/>
      <c r="AY174" s="387"/>
      <c r="AZ174" s="387"/>
      <c r="BA174" s="387"/>
      <c r="BB174" s="387"/>
      <c r="BC174" s="387"/>
      <c r="BD174" s="387"/>
      <c r="BE174" s="387"/>
      <c r="BF174" s="387"/>
      <c r="BG174" s="387"/>
      <c r="BH174" s="387"/>
      <c r="BI174" s="387"/>
      <c r="BJ174" s="387"/>
      <c r="BK174" s="387"/>
      <c r="BL174" s="387"/>
      <c r="BM174" s="387"/>
      <c r="BN174" s="387"/>
      <c r="BO174" s="387"/>
      <c r="BP174" s="387"/>
      <c r="BQ174" s="387"/>
      <c r="BR174" s="387"/>
      <c r="BS174" s="387"/>
      <c r="BT174" s="387"/>
      <c r="BU174" s="387"/>
      <c r="BV174" s="387"/>
    </row>
    <row r="175" spans="2:76" x14ac:dyDescent="0.3">
      <c r="B175" s="325"/>
      <c r="C175" s="325"/>
      <c r="D175" s="325"/>
      <c r="E175" s="421"/>
      <c r="F175" s="387"/>
      <c r="G175" s="387"/>
      <c r="H175" s="387"/>
      <c r="I175" s="387"/>
      <c r="J175" s="387"/>
      <c r="K175" s="387"/>
      <c r="L175" s="387"/>
      <c r="M175" s="387"/>
      <c r="N175" s="387"/>
      <c r="O175" s="387"/>
      <c r="P175" s="387"/>
      <c r="Q175" s="387"/>
      <c r="R175" s="387"/>
      <c r="S175" s="387"/>
      <c r="T175" s="387"/>
      <c r="U175" s="387"/>
      <c r="V175" s="387"/>
      <c r="W175" s="387"/>
      <c r="X175" s="387"/>
      <c r="Y175" s="387"/>
      <c r="Z175" s="387"/>
      <c r="AA175" s="387"/>
      <c r="AB175" s="387"/>
      <c r="AC175" s="387"/>
      <c r="AD175" s="387"/>
      <c r="AE175" s="387"/>
      <c r="AF175" s="387"/>
      <c r="AG175" s="387"/>
      <c r="AH175" s="387"/>
      <c r="AI175" s="387"/>
      <c r="AJ175" s="387"/>
      <c r="AK175" s="387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87"/>
      <c r="AV175" s="387"/>
      <c r="AW175" s="387"/>
      <c r="AX175" s="387"/>
      <c r="AY175" s="387"/>
      <c r="AZ175" s="387"/>
      <c r="BA175" s="387"/>
      <c r="BB175" s="387"/>
      <c r="BC175" s="387"/>
      <c r="BD175" s="387"/>
      <c r="BE175" s="387"/>
      <c r="BF175" s="387"/>
      <c r="BG175" s="387"/>
      <c r="BH175" s="387"/>
      <c r="BI175" s="387"/>
      <c r="BJ175" s="387"/>
      <c r="BK175" s="387"/>
      <c r="BL175" s="387"/>
      <c r="BM175" s="387"/>
      <c r="BN175" s="387"/>
      <c r="BO175" s="387"/>
      <c r="BP175" s="387"/>
      <c r="BQ175" s="387"/>
      <c r="BR175" s="387"/>
      <c r="BS175" s="387"/>
      <c r="BT175" s="387"/>
      <c r="BU175" s="387"/>
      <c r="BV175" s="387"/>
    </row>
    <row r="176" spans="2:76" x14ac:dyDescent="0.3">
      <c r="B176" s="325"/>
      <c r="C176" s="309"/>
      <c r="D176" s="309"/>
      <c r="E176" s="421"/>
      <c r="F176" s="387"/>
      <c r="G176" s="387"/>
      <c r="H176" s="387"/>
      <c r="I176" s="387"/>
      <c r="J176" s="387"/>
      <c r="K176" s="387"/>
      <c r="L176" s="387"/>
      <c r="M176" s="387"/>
      <c r="N176" s="387"/>
      <c r="O176" s="387"/>
      <c r="P176" s="387"/>
      <c r="Q176" s="387"/>
      <c r="R176" s="387"/>
      <c r="S176" s="387"/>
      <c r="T176" s="387"/>
      <c r="U176" s="387"/>
      <c r="V176" s="387"/>
      <c r="W176" s="387"/>
      <c r="X176" s="387"/>
      <c r="Y176" s="387"/>
      <c r="Z176" s="387"/>
      <c r="AA176" s="387"/>
      <c r="AB176" s="387"/>
      <c r="AC176" s="387"/>
      <c r="AD176" s="387"/>
      <c r="AE176" s="387"/>
      <c r="AF176" s="387"/>
      <c r="AG176" s="387"/>
      <c r="AH176" s="387"/>
      <c r="AI176" s="387"/>
      <c r="AJ176" s="387"/>
      <c r="AK176" s="387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87"/>
      <c r="AV176" s="387"/>
      <c r="AW176" s="387"/>
      <c r="AX176" s="387"/>
      <c r="AY176" s="387"/>
      <c r="AZ176" s="387"/>
      <c r="BA176" s="387"/>
      <c r="BB176" s="387"/>
      <c r="BC176" s="387"/>
      <c r="BD176" s="387"/>
      <c r="BE176" s="387"/>
      <c r="BF176" s="387"/>
      <c r="BG176" s="387"/>
      <c r="BH176" s="387"/>
      <c r="BI176" s="387"/>
      <c r="BJ176" s="387"/>
      <c r="BK176" s="387"/>
      <c r="BL176" s="387"/>
      <c r="BM176" s="387"/>
      <c r="BN176" s="387"/>
      <c r="BO176" s="387"/>
      <c r="BP176" s="387"/>
      <c r="BQ176" s="387"/>
      <c r="BR176" s="387"/>
      <c r="BS176" s="387"/>
      <c r="BT176" s="387"/>
      <c r="BU176" s="387"/>
      <c r="BV176" s="387"/>
    </row>
    <row r="177" spans="2:74" x14ac:dyDescent="0.3">
      <c r="C177" s="309"/>
      <c r="D177" s="309"/>
      <c r="E177" s="421"/>
      <c r="F177" s="387"/>
      <c r="G177" s="387"/>
      <c r="H177" s="387"/>
      <c r="I177" s="387"/>
      <c r="J177" s="387"/>
      <c r="K177" s="387"/>
      <c r="L177" s="387"/>
      <c r="M177" s="387"/>
      <c r="N177" s="387"/>
      <c r="O177" s="387"/>
      <c r="P177" s="387"/>
      <c r="Q177" s="387"/>
      <c r="R177" s="387"/>
      <c r="S177" s="387"/>
      <c r="T177" s="387"/>
      <c r="U177" s="387"/>
      <c r="V177" s="387"/>
      <c r="W177" s="387"/>
      <c r="X177" s="387"/>
      <c r="Y177" s="387"/>
      <c r="Z177" s="387"/>
      <c r="AA177" s="387"/>
      <c r="AB177" s="387"/>
      <c r="AC177" s="387"/>
      <c r="AD177" s="387"/>
      <c r="AE177" s="387"/>
      <c r="AF177" s="387"/>
      <c r="AG177" s="387"/>
      <c r="AH177" s="387"/>
      <c r="AI177" s="387"/>
      <c r="AJ177" s="387"/>
      <c r="AK177" s="387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87"/>
      <c r="AV177" s="387"/>
      <c r="AW177" s="387"/>
      <c r="AX177" s="387"/>
      <c r="AY177" s="387"/>
      <c r="AZ177" s="387"/>
      <c r="BA177" s="387"/>
      <c r="BB177" s="387"/>
      <c r="BC177" s="387"/>
      <c r="BD177" s="387"/>
      <c r="BE177" s="387"/>
      <c r="BF177" s="387"/>
      <c r="BG177" s="387"/>
      <c r="BH177" s="387"/>
      <c r="BI177" s="387"/>
      <c r="BJ177" s="387"/>
      <c r="BK177" s="387"/>
      <c r="BL177" s="387"/>
      <c r="BM177" s="387"/>
      <c r="BN177" s="387"/>
      <c r="BO177" s="387"/>
      <c r="BP177" s="387"/>
      <c r="BQ177" s="387"/>
      <c r="BR177" s="387"/>
      <c r="BS177" s="387"/>
      <c r="BT177" s="387"/>
      <c r="BU177" s="387"/>
      <c r="BV177" s="387"/>
    </row>
    <row r="178" spans="2:74" x14ac:dyDescent="0.3">
      <c r="B178" s="325"/>
      <c r="C178" s="309"/>
      <c r="D178" s="309"/>
      <c r="E178" s="421"/>
      <c r="F178" s="387"/>
      <c r="G178" s="387"/>
      <c r="H178" s="387"/>
      <c r="I178" s="387"/>
      <c r="J178" s="387"/>
      <c r="K178" s="387"/>
      <c r="L178" s="387"/>
      <c r="M178" s="387"/>
      <c r="N178" s="387"/>
      <c r="O178" s="387"/>
      <c r="P178" s="387"/>
      <c r="Q178" s="387"/>
      <c r="R178" s="387"/>
      <c r="S178" s="387"/>
      <c r="T178" s="387"/>
      <c r="U178" s="387"/>
      <c r="V178" s="387"/>
      <c r="W178" s="387"/>
      <c r="X178" s="387"/>
      <c r="Y178" s="387"/>
      <c r="Z178" s="387"/>
      <c r="AA178" s="387"/>
      <c r="AB178" s="387"/>
      <c r="AC178" s="387"/>
      <c r="AD178" s="387"/>
      <c r="AE178" s="387"/>
      <c r="AF178" s="387"/>
      <c r="AG178" s="387"/>
      <c r="AH178" s="387"/>
      <c r="AI178" s="387"/>
      <c r="AJ178" s="387"/>
      <c r="AK178" s="387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87"/>
      <c r="AV178" s="387"/>
      <c r="AW178" s="387"/>
      <c r="AX178" s="387"/>
      <c r="AY178" s="387"/>
      <c r="AZ178" s="387"/>
      <c r="BA178" s="387"/>
      <c r="BB178" s="387"/>
      <c r="BC178" s="387"/>
      <c r="BD178" s="387"/>
      <c r="BE178" s="387"/>
      <c r="BF178" s="387"/>
      <c r="BG178" s="387"/>
      <c r="BH178" s="387"/>
      <c r="BI178" s="387"/>
      <c r="BJ178" s="387"/>
      <c r="BK178" s="387"/>
      <c r="BL178" s="387"/>
      <c r="BM178" s="387"/>
      <c r="BN178" s="387"/>
      <c r="BO178" s="387"/>
      <c r="BP178" s="387"/>
      <c r="BQ178" s="387"/>
      <c r="BR178" s="387"/>
      <c r="BS178" s="387"/>
      <c r="BT178" s="387"/>
      <c r="BU178" s="387"/>
      <c r="BV178" s="387"/>
    </row>
    <row r="179" spans="2:74" x14ac:dyDescent="0.3">
      <c r="B179" s="325"/>
      <c r="C179" s="309"/>
      <c r="D179" s="309"/>
      <c r="E179" s="421"/>
      <c r="F179" s="387"/>
      <c r="G179" s="387"/>
      <c r="H179" s="387"/>
      <c r="I179" s="387"/>
      <c r="J179" s="387"/>
      <c r="K179" s="387"/>
      <c r="L179" s="387"/>
      <c r="M179" s="387"/>
      <c r="N179" s="387"/>
      <c r="O179" s="387"/>
      <c r="P179" s="387"/>
      <c r="Q179" s="387"/>
      <c r="R179" s="387"/>
      <c r="S179" s="387"/>
      <c r="T179" s="387"/>
      <c r="U179" s="387"/>
      <c r="V179" s="387"/>
      <c r="W179" s="387"/>
      <c r="X179" s="387"/>
      <c r="Y179" s="387"/>
      <c r="Z179" s="387"/>
      <c r="AA179" s="387"/>
      <c r="AB179" s="387"/>
      <c r="AC179" s="387"/>
      <c r="AD179" s="387"/>
      <c r="AE179" s="387"/>
      <c r="AF179" s="387"/>
      <c r="AG179" s="387"/>
      <c r="AH179" s="387"/>
      <c r="AI179" s="387"/>
      <c r="AJ179" s="387"/>
      <c r="AK179" s="387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87"/>
      <c r="AV179" s="387"/>
      <c r="AW179" s="387"/>
      <c r="AX179" s="387"/>
      <c r="AY179" s="387"/>
      <c r="AZ179" s="387"/>
      <c r="BA179" s="387"/>
      <c r="BB179" s="387"/>
      <c r="BC179" s="387"/>
      <c r="BD179" s="387"/>
      <c r="BE179" s="387"/>
      <c r="BF179" s="387"/>
      <c r="BG179" s="387"/>
      <c r="BH179" s="387"/>
      <c r="BI179" s="387"/>
      <c r="BJ179" s="387"/>
      <c r="BK179" s="387"/>
      <c r="BL179" s="387"/>
      <c r="BM179" s="387"/>
      <c r="BN179" s="387"/>
      <c r="BO179" s="387"/>
      <c r="BP179" s="387"/>
      <c r="BQ179" s="387"/>
      <c r="BR179" s="387"/>
      <c r="BS179" s="387"/>
      <c r="BT179" s="387"/>
      <c r="BU179" s="387"/>
      <c r="BV179" s="387"/>
    </row>
    <row r="180" spans="2:74" x14ac:dyDescent="0.3">
      <c r="B180" s="325"/>
      <c r="C180" s="309"/>
      <c r="D180" s="309"/>
      <c r="E180" s="421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7"/>
      <c r="Q180" s="387"/>
      <c r="R180" s="387"/>
      <c r="S180" s="387"/>
      <c r="T180" s="387"/>
      <c r="U180" s="387"/>
      <c r="V180" s="387"/>
      <c r="W180" s="387"/>
      <c r="X180" s="387"/>
      <c r="Y180" s="387"/>
      <c r="Z180" s="387"/>
      <c r="AA180" s="387"/>
      <c r="AB180" s="387"/>
      <c r="AC180" s="387"/>
      <c r="AD180" s="387"/>
      <c r="AE180" s="387"/>
      <c r="AF180" s="387"/>
      <c r="AG180" s="387"/>
      <c r="AH180" s="387"/>
      <c r="AI180" s="387"/>
      <c r="AJ180" s="387"/>
      <c r="AK180" s="387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87"/>
      <c r="AV180" s="387"/>
      <c r="AW180" s="387"/>
      <c r="AX180" s="387"/>
      <c r="AY180" s="387"/>
      <c r="AZ180" s="387"/>
      <c r="BA180" s="387"/>
      <c r="BB180" s="387"/>
      <c r="BC180" s="387"/>
      <c r="BD180" s="387"/>
      <c r="BE180" s="387"/>
      <c r="BF180" s="387"/>
      <c r="BG180" s="387"/>
      <c r="BH180" s="387"/>
      <c r="BI180" s="387"/>
      <c r="BJ180" s="387"/>
      <c r="BK180" s="387"/>
      <c r="BL180" s="387"/>
      <c r="BM180" s="387"/>
      <c r="BN180" s="387"/>
      <c r="BO180" s="387"/>
      <c r="BP180" s="387"/>
      <c r="BQ180" s="387"/>
      <c r="BR180" s="387"/>
      <c r="BS180" s="387"/>
      <c r="BT180" s="387"/>
      <c r="BU180" s="387"/>
      <c r="BV180" s="387"/>
    </row>
    <row r="181" spans="2:74" x14ac:dyDescent="0.3">
      <c r="B181" s="325"/>
      <c r="C181" s="309"/>
      <c r="D181" s="309"/>
      <c r="E181" s="421"/>
      <c r="F181" s="387"/>
      <c r="G181" s="387"/>
      <c r="H181" s="387"/>
      <c r="I181" s="387"/>
      <c r="J181" s="387"/>
      <c r="K181" s="387"/>
      <c r="L181" s="387"/>
      <c r="M181" s="387"/>
      <c r="N181" s="387"/>
      <c r="O181" s="387"/>
      <c r="P181" s="387"/>
      <c r="Q181" s="387"/>
      <c r="R181" s="387"/>
      <c r="S181" s="387"/>
      <c r="T181" s="387"/>
      <c r="U181" s="387"/>
      <c r="V181" s="387"/>
      <c r="W181" s="387"/>
      <c r="X181" s="387"/>
      <c r="Y181" s="387"/>
      <c r="Z181" s="387"/>
      <c r="AA181" s="387"/>
      <c r="AB181" s="387"/>
      <c r="AC181" s="387"/>
      <c r="AD181" s="387"/>
      <c r="AE181" s="387"/>
      <c r="AF181" s="387"/>
      <c r="AG181" s="387"/>
      <c r="AH181" s="387"/>
      <c r="AI181" s="387"/>
      <c r="AJ181" s="387"/>
      <c r="AK181" s="387"/>
      <c r="AL181" s="387"/>
      <c r="AM181" s="387"/>
      <c r="AN181" s="387"/>
      <c r="AO181" s="387"/>
      <c r="AP181" s="387"/>
      <c r="AQ181" s="387"/>
      <c r="AR181" s="387"/>
      <c r="AS181" s="387"/>
      <c r="AT181" s="387"/>
      <c r="AU181" s="387"/>
      <c r="AV181" s="387"/>
      <c r="AW181" s="387"/>
      <c r="AX181" s="387"/>
      <c r="AY181" s="387"/>
      <c r="AZ181" s="387"/>
      <c r="BA181" s="387"/>
      <c r="BB181" s="387"/>
      <c r="BC181" s="387"/>
      <c r="BD181" s="387"/>
      <c r="BE181" s="387"/>
      <c r="BF181" s="387"/>
      <c r="BG181" s="387"/>
      <c r="BH181" s="387"/>
      <c r="BI181" s="387"/>
      <c r="BJ181" s="387"/>
      <c r="BK181" s="387"/>
      <c r="BL181" s="387"/>
      <c r="BM181" s="387"/>
      <c r="BN181" s="387"/>
      <c r="BO181" s="387"/>
      <c r="BP181" s="387"/>
      <c r="BQ181" s="387"/>
      <c r="BR181" s="387"/>
      <c r="BS181" s="387"/>
      <c r="BT181" s="387"/>
      <c r="BU181" s="387"/>
      <c r="BV181" s="387"/>
    </row>
    <row r="182" spans="2:74" x14ac:dyDescent="0.3">
      <c r="B182" s="325"/>
      <c r="C182" s="309"/>
      <c r="D182" s="309"/>
      <c r="E182" s="421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7"/>
      <c r="Q182" s="387"/>
      <c r="R182" s="387"/>
      <c r="S182" s="387"/>
      <c r="T182" s="387"/>
      <c r="U182" s="387"/>
      <c r="V182" s="387"/>
      <c r="W182" s="387"/>
      <c r="X182" s="387"/>
      <c r="Y182" s="387"/>
      <c r="Z182" s="387"/>
      <c r="AA182" s="387"/>
      <c r="AB182" s="387"/>
      <c r="AC182" s="387"/>
      <c r="AD182" s="387"/>
      <c r="AE182" s="387"/>
      <c r="AF182" s="387"/>
      <c r="AG182" s="387"/>
      <c r="AH182" s="387"/>
      <c r="AI182" s="387"/>
      <c r="AJ182" s="387"/>
      <c r="AK182" s="387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87"/>
      <c r="AV182" s="387"/>
      <c r="AW182" s="387"/>
      <c r="AX182" s="387"/>
      <c r="AY182" s="387"/>
      <c r="AZ182" s="387"/>
      <c r="BA182" s="387"/>
      <c r="BB182" s="387"/>
      <c r="BC182" s="387"/>
      <c r="BD182" s="387"/>
      <c r="BE182" s="387"/>
      <c r="BF182" s="387"/>
      <c r="BG182" s="387"/>
      <c r="BH182" s="387"/>
      <c r="BI182" s="387"/>
      <c r="BJ182" s="387"/>
      <c r="BK182" s="387"/>
      <c r="BL182" s="387"/>
      <c r="BM182" s="387"/>
      <c r="BN182" s="387"/>
      <c r="BO182" s="387"/>
      <c r="BP182" s="387"/>
      <c r="BQ182" s="387"/>
      <c r="BR182" s="387"/>
      <c r="BS182" s="387"/>
      <c r="BT182" s="387"/>
      <c r="BU182" s="387"/>
      <c r="BV182" s="387"/>
    </row>
    <row r="183" spans="2:74" x14ac:dyDescent="0.3">
      <c r="B183" s="325"/>
      <c r="C183" s="309"/>
      <c r="D183" s="309"/>
      <c r="E183" s="421"/>
      <c r="F183" s="387"/>
      <c r="G183" s="387"/>
      <c r="H183" s="387"/>
      <c r="I183" s="387"/>
      <c r="J183" s="387"/>
      <c r="K183" s="387"/>
      <c r="L183" s="387"/>
      <c r="M183" s="387"/>
      <c r="N183" s="387"/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7"/>
      <c r="Z183" s="387"/>
      <c r="AA183" s="387"/>
      <c r="AB183" s="387"/>
      <c r="AC183" s="387"/>
      <c r="AD183" s="387"/>
      <c r="AE183" s="387"/>
      <c r="AF183" s="387"/>
      <c r="AG183" s="387"/>
      <c r="AH183" s="387"/>
      <c r="AI183" s="387"/>
      <c r="AJ183" s="387"/>
      <c r="AK183" s="387"/>
      <c r="AL183" s="387"/>
      <c r="AM183" s="387"/>
      <c r="AN183" s="387"/>
      <c r="AO183" s="387"/>
      <c r="AP183" s="387"/>
      <c r="AQ183" s="387"/>
      <c r="AR183" s="387"/>
      <c r="AS183" s="387"/>
      <c r="AT183" s="387"/>
      <c r="AU183" s="387"/>
      <c r="AV183" s="387"/>
      <c r="AW183" s="387"/>
      <c r="AX183" s="387"/>
      <c r="AY183" s="387"/>
      <c r="AZ183" s="387"/>
      <c r="BA183" s="387"/>
      <c r="BB183" s="387"/>
      <c r="BC183" s="387"/>
      <c r="BD183" s="387"/>
      <c r="BE183" s="387"/>
      <c r="BF183" s="387"/>
      <c r="BG183" s="387"/>
      <c r="BH183" s="387"/>
      <c r="BI183" s="387"/>
      <c r="BJ183" s="387"/>
      <c r="BK183" s="387"/>
      <c r="BL183" s="387"/>
      <c r="BM183" s="387"/>
      <c r="BN183" s="387"/>
      <c r="BO183" s="387"/>
      <c r="BP183" s="387"/>
      <c r="BQ183" s="387"/>
      <c r="BR183" s="387"/>
      <c r="BS183" s="387"/>
      <c r="BT183" s="387"/>
      <c r="BU183" s="387"/>
      <c r="BV183" s="387"/>
    </row>
    <row r="184" spans="2:74" x14ac:dyDescent="0.3">
      <c r="B184" s="325"/>
      <c r="C184" s="309"/>
      <c r="D184" s="309"/>
      <c r="E184" s="421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7"/>
      <c r="S184" s="387"/>
      <c r="T184" s="387"/>
      <c r="U184" s="387"/>
      <c r="V184" s="387"/>
      <c r="W184" s="387"/>
      <c r="X184" s="387"/>
      <c r="Y184" s="387"/>
      <c r="Z184" s="387"/>
      <c r="AA184" s="387"/>
      <c r="AB184" s="387"/>
      <c r="AC184" s="387"/>
      <c r="AD184" s="387"/>
      <c r="AE184" s="387"/>
      <c r="AF184" s="387"/>
      <c r="AG184" s="387"/>
      <c r="AH184" s="387"/>
      <c r="AI184" s="387"/>
      <c r="AJ184" s="387"/>
      <c r="AK184" s="387"/>
      <c r="AL184" s="387"/>
      <c r="AM184" s="387"/>
      <c r="AN184" s="387"/>
      <c r="AO184" s="387"/>
      <c r="AP184" s="387"/>
      <c r="AQ184" s="387"/>
      <c r="AR184" s="387"/>
      <c r="AS184" s="387"/>
      <c r="AT184" s="387"/>
      <c r="AU184" s="387"/>
      <c r="AV184" s="387"/>
      <c r="AW184" s="387"/>
      <c r="AX184" s="387"/>
      <c r="AY184" s="387"/>
      <c r="AZ184" s="387"/>
      <c r="BA184" s="387"/>
      <c r="BB184" s="387"/>
      <c r="BC184" s="387"/>
      <c r="BD184" s="387"/>
      <c r="BE184" s="387"/>
      <c r="BF184" s="387"/>
      <c r="BG184" s="387"/>
      <c r="BH184" s="387"/>
      <c r="BI184" s="387"/>
      <c r="BJ184" s="387"/>
      <c r="BK184" s="387"/>
      <c r="BL184" s="387"/>
      <c r="BM184" s="387"/>
      <c r="BN184" s="387"/>
      <c r="BO184" s="387"/>
      <c r="BP184" s="387"/>
      <c r="BQ184" s="387"/>
      <c r="BR184" s="387"/>
      <c r="BS184" s="387"/>
      <c r="BT184" s="387"/>
      <c r="BU184" s="387"/>
      <c r="BV184" s="387"/>
    </row>
    <row r="185" spans="2:74" x14ac:dyDescent="0.3">
      <c r="B185" s="325"/>
      <c r="C185" s="309"/>
      <c r="D185" s="309"/>
      <c r="E185" s="421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387"/>
      <c r="S185" s="387"/>
      <c r="T185" s="387"/>
      <c r="U185" s="387"/>
      <c r="V185" s="387"/>
      <c r="W185" s="387"/>
      <c r="X185" s="387"/>
      <c r="Y185" s="387"/>
      <c r="Z185" s="387"/>
      <c r="AA185" s="387"/>
      <c r="AB185" s="387"/>
      <c r="AC185" s="387"/>
      <c r="AD185" s="387"/>
      <c r="AE185" s="387"/>
      <c r="AF185" s="387"/>
      <c r="AG185" s="387"/>
      <c r="AH185" s="387"/>
      <c r="AI185" s="387"/>
      <c r="AJ185" s="387"/>
      <c r="AK185" s="387"/>
      <c r="AL185" s="387"/>
      <c r="AM185" s="387"/>
      <c r="AN185" s="387"/>
      <c r="AO185" s="387"/>
      <c r="AP185" s="387"/>
      <c r="AQ185" s="387"/>
      <c r="AR185" s="387"/>
      <c r="AS185" s="387"/>
      <c r="AT185" s="387"/>
      <c r="AU185" s="387"/>
      <c r="AV185" s="387"/>
      <c r="AW185" s="387"/>
      <c r="AX185" s="387"/>
      <c r="AY185" s="387"/>
      <c r="AZ185" s="387"/>
      <c r="BA185" s="387"/>
      <c r="BB185" s="387"/>
      <c r="BC185" s="387"/>
      <c r="BD185" s="387"/>
      <c r="BE185" s="387"/>
      <c r="BF185" s="387"/>
      <c r="BG185" s="387"/>
      <c r="BH185" s="387"/>
      <c r="BI185" s="387"/>
      <c r="BJ185" s="387"/>
      <c r="BK185" s="387"/>
      <c r="BL185" s="387"/>
      <c r="BM185" s="387"/>
      <c r="BN185" s="387"/>
      <c r="BO185" s="387"/>
      <c r="BP185" s="387"/>
      <c r="BQ185" s="387"/>
      <c r="BR185" s="387"/>
      <c r="BS185" s="387"/>
      <c r="BT185" s="387"/>
      <c r="BU185" s="387"/>
      <c r="BV185" s="387"/>
    </row>
    <row r="186" spans="2:74" x14ac:dyDescent="0.3">
      <c r="B186" s="325"/>
      <c r="C186" s="309"/>
      <c r="D186" s="309"/>
      <c r="E186" s="421"/>
      <c r="F186" s="387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87"/>
      <c r="R186" s="387"/>
      <c r="S186" s="387"/>
      <c r="T186" s="387"/>
      <c r="U186" s="387"/>
      <c r="V186" s="387"/>
      <c r="W186" s="387"/>
      <c r="X186" s="387"/>
      <c r="Y186" s="387"/>
      <c r="Z186" s="387"/>
      <c r="AA186" s="387"/>
      <c r="AB186" s="387"/>
      <c r="AC186" s="387"/>
      <c r="AD186" s="387"/>
      <c r="AE186" s="387"/>
      <c r="AF186" s="387"/>
      <c r="AG186" s="387"/>
      <c r="AH186" s="387"/>
      <c r="AI186" s="387"/>
      <c r="AJ186" s="387"/>
      <c r="AK186" s="387"/>
      <c r="AL186" s="387"/>
      <c r="AM186" s="387"/>
      <c r="AN186" s="387"/>
      <c r="AO186" s="387"/>
      <c r="AP186" s="387"/>
      <c r="AQ186" s="387"/>
      <c r="AR186" s="387"/>
      <c r="AS186" s="387"/>
      <c r="AT186" s="387"/>
      <c r="AU186" s="387"/>
      <c r="AV186" s="387"/>
      <c r="AW186" s="387"/>
      <c r="AX186" s="387"/>
      <c r="AY186" s="387"/>
      <c r="AZ186" s="387"/>
      <c r="BA186" s="387"/>
      <c r="BB186" s="387"/>
      <c r="BC186" s="387"/>
      <c r="BD186" s="387"/>
      <c r="BE186" s="387"/>
      <c r="BF186" s="387"/>
      <c r="BG186" s="387"/>
      <c r="BH186" s="387"/>
      <c r="BI186" s="387"/>
      <c r="BJ186" s="387"/>
      <c r="BK186" s="387"/>
      <c r="BL186" s="387"/>
      <c r="BM186" s="387"/>
      <c r="BN186" s="387"/>
      <c r="BO186" s="387"/>
      <c r="BP186" s="387"/>
      <c r="BQ186" s="387"/>
      <c r="BR186" s="387"/>
      <c r="BS186" s="387"/>
      <c r="BT186" s="387"/>
      <c r="BU186" s="387"/>
      <c r="BV186" s="387"/>
    </row>
    <row r="187" spans="2:74" x14ac:dyDescent="0.3">
      <c r="B187" s="325"/>
      <c r="C187" s="325"/>
      <c r="D187" s="325"/>
      <c r="E187" s="421"/>
      <c r="F187" s="387"/>
      <c r="G187" s="387"/>
      <c r="H187" s="387"/>
      <c r="I187" s="387"/>
      <c r="J187" s="387"/>
      <c r="K187" s="387"/>
      <c r="L187" s="387"/>
      <c r="M187" s="387"/>
      <c r="N187" s="387"/>
      <c r="O187" s="387"/>
      <c r="P187" s="387"/>
      <c r="Q187" s="387"/>
      <c r="R187" s="387"/>
      <c r="S187" s="387"/>
      <c r="T187" s="387"/>
      <c r="U187" s="387"/>
      <c r="V187" s="387"/>
      <c r="W187" s="387"/>
      <c r="X187" s="387"/>
      <c r="Y187" s="387"/>
      <c r="Z187" s="387"/>
      <c r="AA187" s="387"/>
      <c r="AB187" s="387"/>
      <c r="AC187" s="387"/>
      <c r="AD187" s="387"/>
      <c r="AE187" s="387"/>
      <c r="AF187" s="387"/>
      <c r="AG187" s="387"/>
      <c r="AH187" s="387"/>
      <c r="AI187" s="387"/>
      <c r="AJ187" s="387"/>
      <c r="AK187" s="387"/>
      <c r="AL187" s="387"/>
      <c r="AM187" s="387"/>
      <c r="AN187" s="387"/>
      <c r="AO187" s="387"/>
      <c r="AP187" s="387"/>
      <c r="AQ187" s="387"/>
      <c r="AR187" s="387"/>
      <c r="AS187" s="387"/>
      <c r="AT187" s="387"/>
      <c r="AU187" s="387"/>
      <c r="AV187" s="387"/>
      <c r="AW187" s="387"/>
      <c r="AX187" s="387"/>
      <c r="AY187" s="387"/>
      <c r="AZ187" s="387"/>
      <c r="BA187" s="387"/>
      <c r="BB187" s="387"/>
      <c r="BC187" s="387"/>
      <c r="BD187" s="387"/>
      <c r="BE187" s="387"/>
      <c r="BF187" s="387"/>
      <c r="BG187" s="387"/>
      <c r="BH187" s="387"/>
      <c r="BI187" s="387"/>
      <c r="BJ187" s="387"/>
      <c r="BK187" s="387"/>
      <c r="BL187" s="387"/>
      <c r="BM187" s="387"/>
      <c r="BN187" s="387"/>
      <c r="BO187" s="387"/>
      <c r="BP187" s="387"/>
      <c r="BQ187" s="387"/>
      <c r="BR187" s="387"/>
      <c r="BS187" s="387"/>
      <c r="BT187" s="387"/>
      <c r="BU187" s="387"/>
      <c r="BV187" s="387"/>
    </row>
    <row r="188" spans="2:74" x14ac:dyDescent="0.3">
      <c r="B188" s="325"/>
      <c r="C188" s="309"/>
      <c r="D188" s="309"/>
      <c r="E188" s="421"/>
      <c r="F188" s="387"/>
      <c r="G188" s="387"/>
      <c r="H188" s="387"/>
      <c r="I188" s="387"/>
      <c r="J188" s="387"/>
      <c r="K188" s="387"/>
      <c r="L188" s="387"/>
      <c r="M188" s="387"/>
      <c r="N188" s="387"/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7"/>
      <c r="Z188" s="387"/>
      <c r="AA188" s="387"/>
      <c r="AB188" s="387"/>
      <c r="AC188" s="387"/>
      <c r="AD188" s="387"/>
      <c r="AE188" s="387"/>
      <c r="AF188" s="387"/>
      <c r="AG188" s="387"/>
      <c r="AH188" s="387"/>
      <c r="AI188" s="387"/>
      <c r="AJ188" s="387"/>
      <c r="AK188" s="387"/>
      <c r="AL188" s="387"/>
      <c r="AM188" s="387"/>
      <c r="AN188" s="387"/>
      <c r="AO188" s="387"/>
      <c r="AP188" s="387"/>
      <c r="AQ188" s="387"/>
      <c r="AR188" s="387"/>
      <c r="AS188" s="387"/>
      <c r="AT188" s="387"/>
      <c r="AU188" s="387"/>
      <c r="AV188" s="387"/>
      <c r="AW188" s="387"/>
      <c r="AX188" s="387"/>
      <c r="AY188" s="387"/>
      <c r="AZ188" s="387"/>
      <c r="BA188" s="387"/>
      <c r="BB188" s="387"/>
      <c r="BC188" s="387"/>
      <c r="BD188" s="387"/>
      <c r="BE188" s="387"/>
      <c r="BF188" s="387"/>
      <c r="BG188" s="387"/>
      <c r="BH188" s="387"/>
      <c r="BI188" s="387"/>
      <c r="BJ188" s="387"/>
      <c r="BK188" s="387"/>
      <c r="BL188" s="387"/>
      <c r="BM188" s="387"/>
      <c r="BN188" s="387"/>
      <c r="BO188" s="387"/>
      <c r="BP188" s="387"/>
      <c r="BQ188" s="387"/>
      <c r="BR188" s="387"/>
      <c r="BS188" s="387"/>
      <c r="BT188" s="387"/>
      <c r="BU188" s="387"/>
      <c r="BV188" s="387"/>
    </row>
    <row r="189" spans="2:74" x14ac:dyDescent="0.3">
      <c r="B189" s="325"/>
      <c r="C189" s="309"/>
      <c r="D189" s="309"/>
      <c r="E189" s="421"/>
      <c r="F189" s="387"/>
      <c r="G189" s="387"/>
      <c r="H189" s="387"/>
      <c r="I189" s="387"/>
      <c r="J189" s="387"/>
      <c r="K189" s="387"/>
      <c r="L189" s="387"/>
      <c r="M189" s="387"/>
      <c r="N189" s="387"/>
      <c r="O189" s="387"/>
      <c r="P189" s="387"/>
      <c r="Q189" s="387"/>
      <c r="R189" s="387"/>
      <c r="S189" s="387"/>
      <c r="T189" s="387"/>
      <c r="U189" s="387"/>
      <c r="V189" s="387"/>
      <c r="W189" s="387"/>
      <c r="X189" s="387"/>
      <c r="Y189" s="387"/>
      <c r="Z189" s="387"/>
      <c r="AA189" s="387"/>
      <c r="AB189" s="387"/>
      <c r="AC189" s="387"/>
      <c r="AD189" s="387"/>
      <c r="AE189" s="387"/>
      <c r="AF189" s="387"/>
      <c r="AG189" s="387"/>
      <c r="AH189" s="387"/>
      <c r="AI189" s="387"/>
      <c r="AJ189" s="387"/>
      <c r="AK189" s="387"/>
      <c r="AL189" s="387"/>
      <c r="AM189" s="387"/>
      <c r="AN189" s="387"/>
      <c r="AO189" s="387"/>
      <c r="AP189" s="387"/>
      <c r="AQ189" s="387"/>
      <c r="AR189" s="387"/>
      <c r="AS189" s="387"/>
      <c r="AT189" s="387"/>
      <c r="AU189" s="387"/>
      <c r="AV189" s="387"/>
      <c r="AW189" s="387"/>
      <c r="AX189" s="387"/>
      <c r="AY189" s="387"/>
      <c r="AZ189" s="387"/>
      <c r="BA189" s="387"/>
      <c r="BB189" s="387"/>
      <c r="BC189" s="387"/>
      <c r="BD189" s="387"/>
      <c r="BE189" s="387"/>
      <c r="BF189" s="387"/>
      <c r="BG189" s="387"/>
      <c r="BH189" s="387"/>
      <c r="BI189" s="387"/>
      <c r="BJ189" s="387"/>
      <c r="BK189" s="387"/>
      <c r="BL189" s="387"/>
      <c r="BM189" s="387"/>
      <c r="BN189" s="387"/>
      <c r="BO189" s="387"/>
      <c r="BP189" s="387"/>
      <c r="BQ189" s="387"/>
      <c r="BR189" s="387"/>
      <c r="BS189" s="387"/>
      <c r="BT189" s="387"/>
      <c r="BU189" s="387"/>
      <c r="BV189" s="387"/>
    </row>
    <row r="190" spans="2:74" x14ac:dyDescent="0.3">
      <c r="B190" s="325"/>
      <c r="C190" s="309"/>
      <c r="D190" s="309"/>
      <c r="E190" s="421"/>
      <c r="F190" s="387"/>
      <c r="G190" s="387"/>
      <c r="H190" s="387"/>
      <c r="I190" s="387"/>
      <c r="J190" s="387"/>
      <c r="K190" s="387"/>
      <c r="L190" s="387"/>
      <c r="M190" s="387"/>
      <c r="N190" s="387"/>
      <c r="O190" s="387"/>
      <c r="P190" s="387"/>
      <c r="Q190" s="387"/>
      <c r="R190" s="387"/>
      <c r="S190" s="387"/>
      <c r="T190" s="387"/>
      <c r="U190" s="387"/>
      <c r="V190" s="387"/>
      <c r="W190" s="387"/>
      <c r="X190" s="387"/>
      <c r="Y190" s="387"/>
      <c r="Z190" s="387"/>
      <c r="AA190" s="387"/>
      <c r="AB190" s="387"/>
      <c r="AC190" s="387"/>
      <c r="AD190" s="387"/>
      <c r="AE190" s="387"/>
      <c r="AF190" s="387"/>
      <c r="AG190" s="387"/>
      <c r="AH190" s="387"/>
      <c r="AI190" s="387"/>
      <c r="AJ190" s="387"/>
      <c r="AK190" s="387"/>
      <c r="AL190" s="387"/>
      <c r="AM190" s="387"/>
      <c r="AN190" s="387"/>
      <c r="AO190" s="387"/>
      <c r="AP190" s="387"/>
      <c r="AQ190" s="387"/>
      <c r="AR190" s="387"/>
      <c r="AS190" s="387"/>
      <c r="AT190" s="387"/>
      <c r="AU190" s="387"/>
      <c r="AV190" s="387"/>
      <c r="AW190" s="387"/>
      <c r="AX190" s="387"/>
      <c r="AY190" s="387"/>
      <c r="AZ190" s="387"/>
      <c r="BA190" s="387"/>
      <c r="BB190" s="387"/>
      <c r="BC190" s="387"/>
      <c r="BD190" s="387"/>
      <c r="BE190" s="387"/>
      <c r="BF190" s="387"/>
      <c r="BG190" s="387"/>
      <c r="BH190" s="387"/>
      <c r="BI190" s="387"/>
      <c r="BJ190" s="387"/>
      <c r="BK190" s="387"/>
      <c r="BL190" s="387"/>
      <c r="BM190" s="387"/>
      <c r="BN190" s="387"/>
      <c r="BO190" s="387"/>
      <c r="BP190" s="387"/>
      <c r="BQ190" s="387"/>
      <c r="BR190" s="387"/>
      <c r="BS190" s="387"/>
      <c r="BT190" s="387"/>
      <c r="BU190" s="387"/>
      <c r="BV190" s="387"/>
    </row>
    <row r="191" spans="2:74" x14ac:dyDescent="0.3">
      <c r="B191" s="325"/>
      <c r="C191" s="309"/>
      <c r="D191" s="309"/>
      <c r="E191" s="421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7"/>
      <c r="Z191" s="387"/>
      <c r="AA191" s="387"/>
      <c r="AB191" s="387"/>
      <c r="AC191" s="387"/>
      <c r="AD191" s="387"/>
      <c r="AE191" s="387"/>
      <c r="AF191" s="387"/>
      <c r="AG191" s="387"/>
      <c r="AH191" s="387"/>
      <c r="AI191" s="387"/>
      <c r="AJ191" s="387"/>
      <c r="AK191" s="387"/>
      <c r="AL191" s="387"/>
      <c r="AM191" s="387"/>
      <c r="AN191" s="387"/>
      <c r="AO191" s="387"/>
      <c r="AP191" s="387"/>
      <c r="AQ191" s="387"/>
      <c r="AR191" s="387"/>
      <c r="AS191" s="387"/>
      <c r="AT191" s="387"/>
      <c r="AU191" s="387"/>
      <c r="AV191" s="387"/>
      <c r="AW191" s="387"/>
      <c r="AX191" s="387"/>
      <c r="AY191" s="387"/>
      <c r="AZ191" s="387"/>
      <c r="BA191" s="387"/>
      <c r="BB191" s="387"/>
      <c r="BC191" s="387"/>
      <c r="BD191" s="387"/>
      <c r="BE191" s="387"/>
      <c r="BF191" s="387"/>
      <c r="BG191" s="387"/>
      <c r="BH191" s="387"/>
      <c r="BI191" s="387"/>
      <c r="BJ191" s="387"/>
      <c r="BK191" s="387"/>
      <c r="BL191" s="387"/>
      <c r="BM191" s="387"/>
      <c r="BN191" s="387"/>
      <c r="BO191" s="387"/>
      <c r="BP191" s="387"/>
      <c r="BQ191" s="387"/>
      <c r="BR191" s="387"/>
      <c r="BS191" s="387"/>
      <c r="BT191" s="387"/>
      <c r="BU191" s="387"/>
      <c r="BV191" s="387"/>
    </row>
    <row r="192" spans="2:74" x14ac:dyDescent="0.3">
      <c r="B192" s="325"/>
      <c r="C192" s="309"/>
      <c r="D192" s="309"/>
      <c r="E192" s="421"/>
      <c r="F192" s="387"/>
      <c r="G192" s="387"/>
      <c r="H192" s="387"/>
      <c r="I192" s="387"/>
      <c r="J192" s="387"/>
      <c r="K192" s="387"/>
      <c r="L192" s="387"/>
      <c r="M192" s="387"/>
      <c r="N192" s="387"/>
      <c r="O192" s="387"/>
      <c r="P192" s="387"/>
      <c r="Q192" s="387"/>
      <c r="R192" s="387"/>
      <c r="S192" s="387"/>
      <c r="T192" s="387"/>
      <c r="U192" s="387"/>
      <c r="V192" s="387"/>
      <c r="W192" s="387"/>
      <c r="X192" s="387"/>
      <c r="Y192" s="387"/>
      <c r="Z192" s="387"/>
      <c r="AA192" s="387"/>
      <c r="AB192" s="387"/>
      <c r="AC192" s="387"/>
      <c r="AD192" s="387"/>
      <c r="AE192" s="387"/>
      <c r="AF192" s="387"/>
      <c r="AG192" s="387"/>
      <c r="AH192" s="387"/>
      <c r="AI192" s="387"/>
      <c r="AJ192" s="387"/>
      <c r="AK192" s="387"/>
      <c r="AL192" s="387"/>
      <c r="AM192" s="387"/>
      <c r="AN192" s="387"/>
      <c r="AO192" s="387"/>
      <c r="AP192" s="387"/>
      <c r="AQ192" s="387"/>
      <c r="AR192" s="387"/>
      <c r="AS192" s="387"/>
      <c r="AT192" s="387"/>
      <c r="AU192" s="387"/>
      <c r="AV192" s="387"/>
      <c r="AW192" s="387"/>
      <c r="AX192" s="387"/>
      <c r="AY192" s="387"/>
      <c r="AZ192" s="387"/>
      <c r="BA192" s="387"/>
      <c r="BB192" s="387"/>
      <c r="BC192" s="387"/>
      <c r="BD192" s="387"/>
      <c r="BE192" s="387"/>
      <c r="BF192" s="387"/>
      <c r="BG192" s="387"/>
      <c r="BH192" s="387"/>
      <c r="BI192" s="387"/>
      <c r="BJ192" s="387"/>
      <c r="BK192" s="387"/>
      <c r="BL192" s="387"/>
      <c r="BM192" s="387"/>
      <c r="BN192" s="387"/>
      <c r="BO192" s="387"/>
      <c r="BP192" s="387"/>
      <c r="BQ192" s="387"/>
      <c r="BR192" s="387"/>
      <c r="BS192" s="387"/>
      <c r="BT192" s="387"/>
      <c r="BU192" s="387"/>
      <c r="BV192" s="387"/>
    </row>
    <row r="193" spans="2:74" x14ac:dyDescent="0.3">
      <c r="B193" s="325"/>
      <c r="C193" s="309"/>
      <c r="D193" s="309"/>
      <c r="E193" s="421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7"/>
      <c r="R193" s="387"/>
      <c r="S193" s="387"/>
      <c r="T193" s="387"/>
      <c r="U193" s="387"/>
      <c r="V193" s="387"/>
      <c r="W193" s="387"/>
      <c r="X193" s="387"/>
      <c r="Y193" s="387"/>
      <c r="Z193" s="387"/>
      <c r="AA193" s="387"/>
      <c r="AB193" s="387"/>
      <c r="AC193" s="387"/>
      <c r="AD193" s="387"/>
      <c r="AE193" s="387"/>
      <c r="AF193" s="387"/>
      <c r="AG193" s="387"/>
      <c r="AH193" s="387"/>
      <c r="AI193" s="387"/>
      <c r="AJ193" s="387"/>
      <c r="AK193" s="387"/>
      <c r="AL193" s="387"/>
      <c r="AM193" s="387"/>
      <c r="AN193" s="387"/>
      <c r="AO193" s="387"/>
      <c r="AP193" s="387"/>
      <c r="AQ193" s="387"/>
      <c r="AR193" s="387"/>
      <c r="AS193" s="387"/>
      <c r="AT193" s="387"/>
      <c r="AU193" s="387"/>
      <c r="AV193" s="387"/>
      <c r="AW193" s="387"/>
      <c r="AX193" s="387"/>
      <c r="AY193" s="387"/>
      <c r="AZ193" s="387"/>
      <c r="BA193" s="387"/>
      <c r="BB193" s="387"/>
      <c r="BC193" s="387"/>
      <c r="BD193" s="387"/>
      <c r="BE193" s="387"/>
      <c r="BF193" s="387"/>
      <c r="BG193" s="387"/>
      <c r="BH193" s="387"/>
      <c r="BI193" s="387"/>
      <c r="BJ193" s="387"/>
      <c r="BK193" s="387"/>
      <c r="BL193" s="387"/>
      <c r="BM193" s="387"/>
      <c r="BN193" s="387"/>
      <c r="BO193" s="387"/>
      <c r="BP193" s="387"/>
      <c r="BQ193" s="387"/>
      <c r="BR193" s="387"/>
      <c r="BS193" s="387"/>
      <c r="BT193" s="387"/>
      <c r="BU193" s="387"/>
      <c r="BV193" s="387"/>
    </row>
    <row r="194" spans="2:74" x14ac:dyDescent="0.3">
      <c r="B194" s="325"/>
      <c r="C194" s="309"/>
      <c r="D194" s="309"/>
      <c r="E194" s="421"/>
      <c r="F194" s="387"/>
      <c r="G194" s="387"/>
      <c r="H194" s="387"/>
      <c r="I194" s="387"/>
      <c r="J194" s="387"/>
      <c r="K194" s="387"/>
      <c r="L194" s="387"/>
      <c r="M194" s="387"/>
      <c r="N194" s="387"/>
      <c r="O194" s="387"/>
      <c r="P194" s="387"/>
      <c r="Q194" s="387"/>
      <c r="R194" s="387"/>
      <c r="S194" s="387"/>
      <c r="T194" s="387"/>
      <c r="U194" s="387"/>
      <c r="V194" s="387"/>
      <c r="W194" s="387"/>
      <c r="X194" s="387"/>
      <c r="Y194" s="387"/>
      <c r="Z194" s="387"/>
      <c r="AA194" s="387"/>
      <c r="AB194" s="387"/>
      <c r="AC194" s="387"/>
      <c r="AD194" s="387"/>
      <c r="AE194" s="387"/>
      <c r="AF194" s="387"/>
      <c r="AG194" s="387"/>
      <c r="AH194" s="387"/>
      <c r="AI194" s="387"/>
      <c r="AJ194" s="387"/>
      <c r="AK194" s="387"/>
      <c r="AL194" s="387"/>
      <c r="AM194" s="387"/>
      <c r="AN194" s="387"/>
      <c r="AO194" s="387"/>
      <c r="AP194" s="387"/>
      <c r="AQ194" s="387"/>
      <c r="AR194" s="387"/>
      <c r="AS194" s="387"/>
      <c r="AT194" s="387"/>
      <c r="AU194" s="387"/>
      <c r="AV194" s="387"/>
      <c r="AW194" s="387"/>
      <c r="AX194" s="387"/>
      <c r="AY194" s="387"/>
      <c r="AZ194" s="387"/>
      <c r="BA194" s="387"/>
      <c r="BB194" s="387"/>
      <c r="BC194" s="387"/>
      <c r="BD194" s="387"/>
      <c r="BE194" s="387"/>
      <c r="BF194" s="387"/>
      <c r="BG194" s="387"/>
      <c r="BH194" s="387"/>
      <c r="BI194" s="387"/>
      <c r="BJ194" s="387"/>
      <c r="BK194" s="387"/>
      <c r="BL194" s="387"/>
      <c r="BM194" s="387"/>
      <c r="BN194" s="387"/>
      <c r="BO194" s="387"/>
      <c r="BP194" s="387"/>
      <c r="BQ194" s="387"/>
      <c r="BR194" s="387"/>
      <c r="BS194" s="387"/>
      <c r="BT194" s="387"/>
      <c r="BU194" s="387"/>
      <c r="BV194" s="387"/>
    </row>
    <row r="195" spans="2:74" x14ac:dyDescent="0.3">
      <c r="B195" s="325"/>
      <c r="C195" s="309"/>
      <c r="D195" s="309"/>
      <c r="E195" s="421"/>
      <c r="F195" s="387"/>
      <c r="G195" s="387"/>
      <c r="H195" s="387"/>
      <c r="I195" s="387"/>
      <c r="J195" s="387"/>
      <c r="K195" s="387"/>
      <c r="L195" s="387"/>
      <c r="M195" s="387"/>
      <c r="N195" s="387"/>
      <c r="O195" s="387"/>
      <c r="P195" s="387"/>
      <c r="Q195" s="387"/>
      <c r="R195" s="387"/>
      <c r="S195" s="387"/>
      <c r="T195" s="387"/>
      <c r="U195" s="387"/>
      <c r="V195" s="387"/>
      <c r="W195" s="387"/>
      <c r="X195" s="387"/>
      <c r="Y195" s="387"/>
      <c r="Z195" s="387"/>
      <c r="AA195" s="387"/>
      <c r="AB195" s="387"/>
      <c r="AC195" s="387"/>
      <c r="AD195" s="387"/>
      <c r="AE195" s="387"/>
      <c r="AF195" s="387"/>
      <c r="AG195" s="387"/>
      <c r="AH195" s="387"/>
      <c r="AI195" s="387"/>
      <c r="AJ195" s="387"/>
      <c r="AK195" s="387"/>
      <c r="AL195" s="387"/>
      <c r="AM195" s="387"/>
      <c r="AN195" s="387"/>
      <c r="AO195" s="387"/>
      <c r="AP195" s="387"/>
      <c r="AQ195" s="387"/>
      <c r="AR195" s="387"/>
      <c r="AS195" s="387"/>
      <c r="AT195" s="387"/>
      <c r="AU195" s="387"/>
      <c r="AV195" s="387"/>
      <c r="AW195" s="387"/>
      <c r="AX195" s="387"/>
      <c r="AY195" s="387"/>
      <c r="AZ195" s="387"/>
      <c r="BA195" s="387"/>
      <c r="BB195" s="387"/>
      <c r="BC195" s="387"/>
      <c r="BD195" s="387"/>
      <c r="BE195" s="387"/>
      <c r="BF195" s="387"/>
      <c r="BG195" s="387"/>
      <c r="BH195" s="387"/>
      <c r="BI195" s="387"/>
      <c r="BJ195" s="387"/>
      <c r="BK195" s="387"/>
      <c r="BL195" s="387"/>
      <c r="BM195" s="387"/>
      <c r="BN195" s="387"/>
      <c r="BO195" s="387"/>
      <c r="BP195" s="387"/>
      <c r="BQ195" s="387"/>
      <c r="BR195" s="387"/>
      <c r="BS195" s="387"/>
      <c r="BT195" s="387"/>
      <c r="BU195" s="387"/>
      <c r="BV195" s="387"/>
    </row>
    <row r="196" spans="2:74" x14ac:dyDescent="0.3">
      <c r="B196" s="325"/>
      <c r="C196" s="309"/>
      <c r="D196" s="309"/>
      <c r="E196" s="421"/>
      <c r="F196" s="387"/>
      <c r="G196" s="387"/>
      <c r="H196" s="387"/>
      <c r="I196" s="387"/>
      <c r="J196" s="387"/>
      <c r="K196" s="387"/>
      <c r="L196" s="387"/>
      <c r="M196" s="387"/>
      <c r="N196" s="387"/>
      <c r="O196" s="387"/>
      <c r="P196" s="387"/>
      <c r="Q196" s="387"/>
      <c r="R196" s="387"/>
      <c r="S196" s="387"/>
      <c r="T196" s="387"/>
      <c r="U196" s="387"/>
      <c r="V196" s="387"/>
      <c r="W196" s="387"/>
      <c r="X196" s="387"/>
      <c r="Y196" s="387"/>
      <c r="Z196" s="387"/>
      <c r="AA196" s="387"/>
      <c r="AB196" s="387"/>
      <c r="AC196" s="387"/>
      <c r="AD196" s="387"/>
      <c r="AE196" s="387"/>
      <c r="AF196" s="387"/>
      <c r="AG196" s="387"/>
      <c r="AH196" s="387"/>
      <c r="AI196" s="387"/>
      <c r="AJ196" s="387"/>
      <c r="AK196" s="387"/>
      <c r="AL196" s="387"/>
      <c r="AM196" s="387"/>
      <c r="AN196" s="387"/>
      <c r="AO196" s="387"/>
      <c r="AP196" s="387"/>
      <c r="AQ196" s="387"/>
      <c r="AR196" s="387"/>
      <c r="AS196" s="387"/>
      <c r="AT196" s="387"/>
      <c r="AU196" s="387"/>
      <c r="AV196" s="387"/>
      <c r="AW196" s="387"/>
      <c r="AX196" s="387"/>
      <c r="AY196" s="387"/>
      <c r="AZ196" s="387"/>
      <c r="BA196" s="387"/>
      <c r="BB196" s="387"/>
      <c r="BC196" s="387"/>
      <c r="BD196" s="387"/>
      <c r="BE196" s="387"/>
      <c r="BF196" s="387"/>
      <c r="BG196" s="387"/>
      <c r="BH196" s="387"/>
      <c r="BI196" s="387"/>
      <c r="BJ196" s="387"/>
      <c r="BK196" s="387"/>
      <c r="BL196" s="387"/>
      <c r="BM196" s="387"/>
      <c r="BN196" s="387"/>
      <c r="BO196" s="387"/>
      <c r="BP196" s="387"/>
      <c r="BQ196" s="387"/>
      <c r="BR196" s="387"/>
      <c r="BS196" s="387"/>
      <c r="BT196" s="387"/>
      <c r="BU196" s="387"/>
      <c r="BV196" s="387"/>
    </row>
    <row r="197" spans="2:74" x14ac:dyDescent="0.3">
      <c r="B197" s="325"/>
      <c r="C197" s="309"/>
      <c r="D197" s="309"/>
      <c r="E197" s="421"/>
      <c r="F197" s="387"/>
      <c r="G197" s="387"/>
      <c r="H197" s="387"/>
      <c r="I197" s="387"/>
      <c r="J197" s="387"/>
      <c r="K197" s="387"/>
      <c r="L197" s="387"/>
      <c r="M197" s="387"/>
      <c r="N197" s="387"/>
      <c r="O197" s="387"/>
      <c r="P197" s="387"/>
      <c r="Q197" s="387"/>
      <c r="R197" s="387"/>
      <c r="S197" s="387"/>
      <c r="T197" s="387"/>
      <c r="U197" s="387"/>
      <c r="V197" s="387"/>
      <c r="W197" s="387"/>
      <c r="X197" s="387"/>
      <c r="Y197" s="387"/>
      <c r="Z197" s="387"/>
      <c r="AA197" s="387"/>
      <c r="AB197" s="387"/>
      <c r="AC197" s="387"/>
      <c r="AD197" s="387"/>
      <c r="AE197" s="387"/>
      <c r="AF197" s="387"/>
      <c r="AG197" s="387"/>
      <c r="AH197" s="387"/>
      <c r="AI197" s="387"/>
      <c r="AJ197" s="387"/>
      <c r="AK197" s="387"/>
      <c r="AL197" s="387"/>
      <c r="AM197" s="387"/>
      <c r="AN197" s="387"/>
      <c r="AO197" s="387"/>
      <c r="AP197" s="387"/>
      <c r="AQ197" s="387"/>
      <c r="AR197" s="387"/>
      <c r="AS197" s="387"/>
      <c r="AT197" s="387"/>
      <c r="AU197" s="387"/>
      <c r="AV197" s="387"/>
      <c r="AW197" s="387"/>
      <c r="AX197" s="387"/>
      <c r="AY197" s="387"/>
      <c r="AZ197" s="387"/>
      <c r="BA197" s="387"/>
      <c r="BB197" s="387"/>
      <c r="BC197" s="387"/>
      <c r="BD197" s="387"/>
      <c r="BE197" s="387"/>
      <c r="BF197" s="387"/>
      <c r="BG197" s="387"/>
      <c r="BH197" s="387"/>
      <c r="BI197" s="387"/>
      <c r="BJ197" s="387"/>
      <c r="BK197" s="387"/>
      <c r="BL197" s="387"/>
      <c r="BM197" s="387"/>
      <c r="BN197" s="387"/>
      <c r="BO197" s="387"/>
      <c r="BP197" s="387"/>
      <c r="BQ197" s="387"/>
      <c r="BR197" s="387"/>
      <c r="BS197" s="387"/>
      <c r="BT197" s="387"/>
      <c r="BU197" s="387"/>
      <c r="BV197" s="387"/>
    </row>
    <row r="198" spans="2:74" x14ac:dyDescent="0.3">
      <c r="B198" s="325"/>
      <c r="C198" s="309"/>
      <c r="D198" s="309"/>
      <c r="E198" s="421"/>
      <c r="F198" s="387"/>
      <c r="G198" s="387"/>
      <c r="H198" s="387"/>
      <c r="I198" s="387"/>
      <c r="J198" s="387"/>
      <c r="K198" s="387"/>
      <c r="L198" s="387"/>
      <c r="M198" s="387"/>
      <c r="N198" s="387"/>
      <c r="O198" s="387"/>
      <c r="P198" s="387"/>
      <c r="Q198" s="387"/>
      <c r="R198" s="387"/>
      <c r="S198" s="387"/>
      <c r="T198" s="387"/>
      <c r="U198" s="387"/>
      <c r="V198" s="387"/>
      <c r="W198" s="387"/>
      <c r="X198" s="387"/>
      <c r="Y198" s="387"/>
      <c r="Z198" s="387"/>
      <c r="AA198" s="387"/>
      <c r="AB198" s="387"/>
      <c r="AC198" s="387"/>
      <c r="AD198" s="387"/>
      <c r="AE198" s="387"/>
      <c r="AF198" s="387"/>
      <c r="AG198" s="387"/>
      <c r="AH198" s="387"/>
      <c r="AI198" s="387"/>
      <c r="AJ198" s="387"/>
      <c r="AK198" s="387"/>
      <c r="AL198" s="387"/>
      <c r="AM198" s="387"/>
      <c r="AN198" s="387"/>
      <c r="AO198" s="387"/>
      <c r="AP198" s="387"/>
      <c r="AQ198" s="387"/>
      <c r="AR198" s="387"/>
      <c r="AS198" s="387"/>
      <c r="AT198" s="387"/>
      <c r="AU198" s="387"/>
      <c r="AV198" s="387"/>
      <c r="AW198" s="387"/>
      <c r="AX198" s="387"/>
      <c r="AY198" s="387"/>
      <c r="AZ198" s="387"/>
      <c r="BA198" s="387"/>
      <c r="BB198" s="387"/>
      <c r="BC198" s="387"/>
      <c r="BD198" s="387"/>
      <c r="BE198" s="387"/>
      <c r="BF198" s="387"/>
      <c r="BG198" s="387"/>
      <c r="BH198" s="387"/>
      <c r="BI198" s="387"/>
      <c r="BJ198" s="387"/>
      <c r="BK198" s="387"/>
      <c r="BL198" s="387"/>
      <c r="BM198" s="387"/>
      <c r="BN198" s="387"/>
      <c r="BO198" s="387"/>
      <c r="BP198" s="387"/>
      <c r="BQ198" s="387"/>
      <c r="BR198" s="387"/>
      <c r="BS198" s="387"/>
      <c r="BT198" s="387"/>
      <c r="BU198" s="387"/>
      <c r="BV198" s="387"/>
    </row>
    <row r="199" spans="2:74" x14ac:dyDescent="0.3">
      <c r="B199" s="325"/>
      <c r="C199" s="309"/>
      <c r="D199" s="309"/>
      <c r="E199" s="421"/>
      <c r="F199" s="387"/>
      <c r="G199" s="387"/>
      <c r="H199" s="387"/>
      <c r="I199" s="387"/>
      <c r="J199" s="387"/>
      <c r="K199" s="387"/>
      <c r="L199" s="387"/>
      <c r="M199" s="387"/>
      <c r="N199" s="387"/>
      <c r="O199" s="387"/>
      <c r="P199" s="387"/>
      <c r="Q199" s="387"/>
      <c r="R199" s="387"/>
      <c r="S199" s="387"/>
      <c r="T199" s="387"/>
      <c r="U199" s="387"/>
      <c r="V199" s="387"/>
      <c r="W199" s="387"/>
      <c r="X199" s="387"/>
      <c r="Y199" s="387"/>
      <c r="Z199" s="387"/>
      <c r="AA199" s="387"/>
      <c r="AB199" s="387"/>
      <c r="AC199" s="387"/>
      <c r="AD199" s="387"/>
      <c r="AE199" s="387"/>
      <c r="AF199" s="387"/>
      <c r="AG199" s="387"/>
      <c r="AH199" s="387"/>
      <c r="AI199" s="387"/>
      <c r="AJ199" s="387"/>
      <c r="AK199" s="387"/>
      <c r="AL199" s="387"/>
      <c r="AM199" s="387"/>
      <c r="AN199" s="387"/>
      <c r="AO199" s="387"/>
      <c r="AP199" s="387"/>
      <c r="AQ199" s="387"/>
      <c r="AR199" s="387"/>
      <c r="AS199" s="387"/>
      <c r="AT199" s="387"/>
      <c r="AU199" s="387"/>
      <c r="AV199" s="387"/>
      <c r="AW199" s="387"/>
      <c r="AX199" s="387"/>
      <c r="AY199" s="387"/>
      <c r="AZ199" s="387"/>
      <c r="BA199" s="387"/>
      <c r="BB199" s="387"/>
      <c r="BC199" s="387"/>
      <c r="BD199" s="387"/>
      <c r="BE199" s="387"/>
      <c r="BF199" s="387"/>
      <c r="BG199" s="387"/>
      <c r="BH199" s="387"/>
      <c r="BI199" s="387"/>
      <c r="BJ199" s="387"/>
      <c r="BK199" s="387"/>
      <c r="BL199" s="387"/>
      <c r="BM199" s="387"/>
      <c r="BN199" s="387"/>
      <c r="BO199" s="387"/>
      <c r="BP199" s="387"/>
      <c r="BQ199" s="387"/>
      <c r="BR199" s="387"/>
      <c r="BS199" s="387"/>
      <c r="BT199" s="387"/>
      <c r="BU199" s="387"/>
      <c r="BV199" s="387"/>
    </row>
    <row r="200" spans="2:74" x14ac:dyDescent="0.3">
      <c r="B200" s="325"/>
      <c r="C200" s="325"/>
      <c r="D200" s="325"/>
      <c r="E200" s="421"/>
      <c r="F200" s="387"/>
      <c r="G200" s="387"/>
      <c r="H200" s="387"/>
      <c r="I200" s="387"/>
      <c r="J200" s="387"/>
      <c r="K200" s="387"/>
      <c r="L200" s="387"/>
      <c r="M200" s="387"/>
      <c r="N200" s="387"/>
      <c r="O200" s="387"/>
      <c r="P200" s="387"/>
      <c r="Q200" s="387"/>
      <c r="R200" s="387"/>
      <c r="S200" s="387"/>
      <c r="T200" s="387"/>
      <c r="U200" s="387"/>
      <c r="V200" s="387"/>
      <c r="W200" s="387"/>
      <c r="X200" s="387"/>
      <c r="Y200" s="387"/>
      <c r="Z200" s="387"/>
      <c r="AA200" s="387"/>
      <c r="AB200" s="387"/>
      <c r="AC200" s="387"/>
      <c r="AD200" s="387"/>
      <c r="AE200" s="387"/>
      <c r="AF200" s="387"/>
      <c r="AG200" s="387"/>
      <c r="AH200" s="387"/>
      <c r="AI200" s="387"/>
      <c r="AJ200" s="387"/>
      <c r="AK200" s="387"/>
      <c r="AL200" s="387"/>
      <c r="AM200" s="387"/>
      <c r="AN200" s="387"/>
      <c r="AO200" s="387"/>
      <c r="AP200" s="387"/>
      <c r="AQ200" s="387"/>
      <c r="AR200" s="387"/>
      <c r="AS200" s="387"/>
      <c r="AT200" s="387"/>
      <c r="AU200" s="387"/>
      <c r="AV200" s="387"/>
      <c r="AW200" s="387"/>
      <c r="AX200" s="387"/>
      <c r="AY200" s="387"/>
      <c r="AZ200" s="387"/>
      <c r="BA200" s="387"/>
      <c r="BB200" s="387"/>
      <c r="BC200" s="387"/>
      <c r="BD200" s="387"/>
      <c r="BE200" s="387"/>
      <c r="BF200" s="387"/>
      <c r="BG200" s="387"/>
      <c r="BH200" s="387"/>
      <c r="BI200" s="387"/>
      <c r="BJ200" s="387"/>
      <c r="BK200" s="387"/>
      <c r="BL200" s="387"/>
      <c r="BM200" s="387"/>
      <c r="BN200" s="387"/>
      <c r="BO200" s="387"/>
      <c r="BP200" s="387"/>
      <c r="BQ200" s="387"/>
      <c r="BR200" s="387"/>
      <c r="BS200" s="387"/>
      <c r="BT200" s="387"/>
      <c r="BU200" s="387"/>
      <c r="BV200" s="387"/>
    </row>
    <row r="201" spans="2:74" x14ac:dyDescent="0.3">
      <c r="B201" s="325"/>
      <c r="C201" s="325"/>
      <c r="D201" s="325"/>
      <c r="E201" s="421"/>
      <c r="F201" s="387"/>
      <c r="G201" s="387"/>
      <c r="H201" s="387"/>
      <c r="I201" s="387"/>
      <c r="J201" s="387"/>
      <c r="K201" s="387"/>
      <c r="L201" s="387"/>
      <c r="M201" s="387"/>
      <c r="N201" s="387"/>
      <c r="O201" s="387"/>
      <c r="P201" s="387"/>
      <c r="Q201" s="387"/>
      <c r="R201" s="387"/>
      <c r="S201" s="387"/>
      <c r="T201" s="387"/>
      <c r="U201" s="387"/>
      <c r="V201" s="387"/>
      <c r="W201" s="387"/>
      <c r="X201" s="387"/>
      <c r="Y201" s="387"/>
      <c r="Z201" s="387"/>
      <c r="AA201" s="387"/>
      <c r="AB201" s="387"/>
      <c r="AC201" s="387"/>
      <c r="AD201" s="387"/>
      <c r="AE201" s="387"/>
      <c r="AF201" s="387"/>
      <c r="AG201" s="387"/>
      <c r="AH201" s="387"/>
      <c r="AI201" s="387"/>
      <c r="AJ201" s="387"/>
      <c r="AK201" s="387"/>
      <c r="AL201" s="387"/>
      <c r="AM201" s="387"/>
      <c r="AN201" s="387"/>
      <c r="AO201" s="387"/>
      <c r="AP201" s="387"/>
      <c r="AQ201" s="387"/>
      <c r="AR201" s="387"/>
      <c r="AS201" s="387"/>
      <c r="AT201" s="387"/>
      <c r="AU201" s="387"/>
      <c r="AV201" s="387"/>
      <c r="AW201" s="387"/>
      <c r="AX201" s="387"/>
      <c r="AY201" s="387"/>
      <c r="AZ201" s="387"/>
      <c r="BA201" s="387"/>
      <c r="BB201" s="387"/>
      <c r="BC201" s="387"/>
      <c r="BD201" s="387"/>
      <c r="BE201" s="387"/>
      <c r="BF201" s="387"/>
      <c r="BG201" s="387"/>
      <c r="BH201" s="387"/>
      <c r="BI201" s="387"/>
      <c r="BJ201" s="387"/>
      <c r="BK201" s="387"/>
      <c r="BL201" s="387"/>
      <c r="BM201" s="387"/>
      <c r="BN201" s="387"/>
      <c r="BO201" s="387"/>
      <c r="BP201" s="387"/>
      <c r="BQ201" s="387"/>
      <c r="BR201" s="387"/>
      <c r="BS201" s="387"/>
      <c r="BT201" s="387"/>
      <c r="BU201" s="387"/>
      <c r="BV201" s="387"/>
    </row>
    <row r="202" spans="2:74" x14ac:dyDescent="0.3">
      <c r="B202" s="325"/>
      <c r="C202" s="309"/>
      <c r="D202" s="309"/>
      <c r="E202" s="421"/>
      <c r="F202" s="387"/>
      <c r="G202" s="387"/>
      <c r="H202" s="387"/>
      <c r="I202" s="387"/>
      <c r="J202" s="387"/>
      <c r="K202" s="387"/>
      <c r="L202" s="387"/>
      <c r="M202" s="387"/>
      <c r="N202" s="387"/>
      <c r="O202" s="387"/>
      <c r="P202" s="387"/>
      <c r="Q202" s="387"/>
      <c r="R202" s="387"/>
      <c r="S202" s="387"/>
      <c r="T202" s="387"/>
      <c r="U202" s="387"/>
      <c r="V202" s="387"/>
      <c r="W202" s="387"/>
      <c r="X202" s="387"/>
      <c r="Y202" s="387"/>
      <c r="Z202" s="387"/>
      <c r="AA202" s="387"/>
      <c r="AB202" s="387"/>
      <c r="AC202" s="387"/>
      <c r="AD202" s="387"/>
      <c r="AE202" s="387"/>
      <c r="AF202" s="387"/>
      <c r="AG202" s="387"/>
      <c r="AH202" s="387"/>
      <c r="AI202" s="387"/>
      <c r="AJ202" s="387"/>
      <c r="AK202" s="387"/>
      <c r="AL202" s="387"/>
      <c r="AM202" s="387"/>
      <c r="AN202" s="387"/>
      <c r="AO202" s="387"/>
      <c r="AP202" s="387"/>
      <c r="AQ202" s="387"/>
      <c r="AR202" s="387"/>
      <c r="AS202" s="387"/>
      <c r="AT202" s="387"/>
      <c r="AU202" s="387"/>
      <c r="AV202" s="387"/>
      <c r="AW202" s="387"/>
      <c r="AX202" s="387"/>
      <c r="AY202" s="387"/>
      <c r="AZ202" s="387"/>
      <c r="BA202" s="387"/>
      <c r="BB202" s="387"/>
      <c r="BC202" s="387"/>
      <c r="BD202" s="387"/>
      <c r="BE202" s="387"/>
      <c r="BF202" s="387"/>
      <c r="BG202" s="387"/>
      <c r="BH202" s="387"/>
      <c r="BI202" s="387"/>
      <c r="BJ202" s="387"/>
      <c r="BK202" s="387"/>
      <c r="BL202" s="387"/>
      <c r="BM202" s="387"/>
      <c r="BN202" s="387"/>
      <c r="BO202" s="387"/>
      <c r="BP202" s="387"/>
      <c r="BQ202" s="387"/>
      <c r="BR202" s="387"/>
      <c r="BS202" s="387"/>
      <c r="BT202" s="387"/>
      <c r="BU202" s="387"/>
      <c r="BV202" s="387"/>
    </row>
    <row r="203" spans="2:74" x14ac:dyDescent="0.3">
      <c r="B203" s="325"/>
      <c r="C203" s="309"/>
      <c r="D203" s="309"/>
      <c r="E203" s="421"/>
      <c r="F203" s="387"/>
      <c r="G203" s="387"/>
      <c r="H203" s="387"/>
      <c r="I203" s="387"/>
      <c r="J203" s="387"/>
      <c r="K203" s="387"/>
      <c r="L203" s="387"/>
      <c r="M203" s="387"/>
      <c r="N203" s="387"/>
      <c r="O203" s="387"/>
      <c r="P203" s="387"/>
      <c r="Q203" s="387"/>
      <c r="R203" s="387"/>
      <c r="S203" s="387"/>
      <c r="T203" s="387"/>
      <c r="U203" s="387"/>
      <c r="V203" s="387"/>
      <c r="W203" s="387"/>
      <c r="X203" s="387"/>
      <c r="Y203" s="387"/>
      <c r="Z203" s="387"/>
      <c r="AA203" s="387"/>
      <c r="AB203" s="387"/>
      <c r="AC203" s="387"/>
      <c r="AD203" s="387"/>
      <c r="AE203" s="387"/>
      <c r="AF203" s="387"/>
      <c r="AG203" s="387"/>
      <c r="AH203" s="387"/>
      <c r="AI203" s="387"/>
      <c r="AJ203" s="387"/>
      <c r="AK203" s="387"/>
      <c r="AL203" s="387"/>
      <c r="AM203" s="387"/>
      <c r="AN203" s="387"/>
      <c r="AO203" s="387"/>
      <c r="AP203" s="387"/>
      <c r="AQ203" s="387"/>
      <c r="AR203" s="387"/>
      <c r="AS203" s="387"/>
      <c r="AT203" s="387"/>
      <c r="AU203" s="387"/>
      <c r="AV203" s="387"/>
      <c r="AW203" s="387"/>
      <c r="AX203" s="387"/>
      <c r="AY203" s="387"/>
      <c r="AZ203" s="387"/>
      <c r="BA203" s="387"/>
      <c r="BB203" s="387"/>
      <c r="BC203" s="387"/>
      <c r="BD203" s="387"/>
      <c r="BE203" s="387"/>
      <c r="BF203" s="387"/>
      <c r="BG203" s="387"/>
      <c r="BH203" s="387"/>
      <c r="BI203" s="387"/>
      <c r="BJ203" s="387"/>
      <c r="BK203" s="387"/>
      <c r="BL203" s="387"/>
      <c r="BM203" s="387"/>
      <c r="BN203" s="387"/>
      <c r="BO203" s="387"/>
      <c r="BP203" s="387"/>
      <c r="BQ203" s="387"/>
      <c r="BR203" s="387"/>
      <c r="BS203" s="387"/>
      <c r="BT203" s="387"/>
      <c r="BU203" s="387"/>
      <c r="BV203" s="387"/>
    </row>
    <row r="204" spans="2:74" x14ac:dyDescent="0.3">
      <c r="B204" s="325"/>
      <c r="C204" s="309"/>
      <c r="D204" s="309"/>
      <c r="E204" s="421"/>
      <c r="F204" s="387"/>
      <c r="G204" s="387"/>
      <c r="H204" s="387"/>
      <c r="I204" s="387"/>
      <c r="J204" s="387"/>
      <c r="K204" s="387"/>
      <c r="L204" s="387"/>
      <c r="M204" s="387"/>
      <c r="N204" s="387"/>
      <c r="O204" s="387"/>
      <c r="P204" s="387"/>
      <c r="Q204" s="387"/>
      <c r="R204" s="387"/>
      <c r="S204" s="387"/>
      <c r="T204" s="387"/>
      <c r="U204" s="387"/>
      <c r="V204" s="387"/>
      <c r="W204" s="387"/>
      <c r="X204" s="387"/>
      <c r="Y204" s="387"/>
      <c r="Z204" s="387"/>
      <c r="AA204" s="387"/>
      <c r="AB204" s="387"/>
      <c r="AC204" s="387"/>
      <c r="AD204" s="387"/>
      <c r="AE204" s="387"/>
      <c r="AF204" s="387"/>
      <c r="AG204" s="387"/>
      <c r="AH204" s="387"/>
      <c r="AI204" s="387"/>
      <c r="AJ204" s="387"/>
      <c r="AK204" s="387"/>
      <c r="AL204" s="387"/>
      <c r="AM204" s="387"/>
      <c r="AN204" s="387"/>
      <c r="AO204" s="387"/>
      <c r="AP204" s="387"/>
      <c r="AQ204" s="387"/>
      <c r="AR204" s="387"/>
      <c r="AS204" s="387"/>
      <c r="AT204" s="387"/>
      <c r="AU204" s="387"/>
      <c r="AV204" s="387"/>
      <c r="AW204" s="387"/>
      <c r="AX204" s="387"/>
      <c r="AY204" s="387"/>
      <c r="AZ204" s="387"/>
      <c r="BA204" s="387"/>
      <c r="BB204" s="387"/>
      <c r="BC204" s="387"/>
      <c r="BD204" s="387"/>
      <c r="BE204" s="387"/>
      <c r="BF204" s="387"/>
      <c r="BG204" s="387"/>
      <c r="BH204" s="387"/>
      <c r="BI204" s="387"/>
      <c r="BJ204" s="387"/>
      <c r="BK204" s="387"/>
      <c r="BL204" s="387"/>
      <c r="BM204" s="387"/>
      <c r="BN204" s="387"/>
      <c r="BO204" s="387"/>
      <c r="BP204" s="387"/>
      <c r="BQ204" s="387"/>
      <c r="BR204" s="387"/>
      <c r="BS204" s="387"/>
      <c r="BT204" s="387"/>
      <c r="BU204" s="387"/>
      <c r="BV204" s="387"/>
    </row>
    <row r="220" spans="2:74" x14ac:dyDescent="0.3">
      <c r="E220" s="422"/>
      <c r="F220" s="422"/>
      <c r="G220" s="422"/>
      <c r="H220" s="422"/>
      <c r="I220" s="422"/>
      <c r="J220" s="422"/>
      <c r="K220" s="422"/>
      <c r="L220" s="422"/>
      <c r="M220" s="422"/>
      <c r="N220" s="422"/>
      <c r="O220" s="422"/>
      <c r="P220" s="422"/>
      <c r="Q220" s="422"/>
      <c r="R220" s="422"/>
      <c r="S220" s="422"/>
      <c r="T220" s="422"/>
      <c r="U220" s="422"/>
      <c r="V220" s="422"/>
      <c r="W220" s="422"/>
      <c r="X220" s="422"/>
      <c r="Y220" s="422"/>
      <c r="Z220" s="422"/>
      <c r="AA220" s="422"/>
      <c r="AB220" s="422"/>
      <c r="AC220" s="422"/>
      <c r="AD220" s="422"/>
      <c r="AE220" s="422"/>
      <c r="AF220" s="422"/>
      <c r="AG220" s="422"/>
      <c r="AH220" s="422"/>
      <c r="AI220" s="422"/>
      <c r="AJ220" s="422"/>
      <c r="AK220" s="422"/>
      <c r="AL220" s="422"/>
      <c r="AM220" s="422"/>
      <c r="AN220" s="422"/>
      <c r="AO220" s="422"/>
      <c r="AP220" s="422"/>
      <c r="AQ220" s="422"/>
      <c r="AR220" s="422"/>
      <c r="AS220" s="422"/>
      <c r="AT220" s="422"/>
      <c r="AU220" s="422"/>
      <c r="AV220" s="422"/>
      <c r="AW220" s="422"/>
      <c r="AX220" s="422"/>
      <c r="AY220" s="422"/>
      <c r="AZ220" s="422"/>
      <c r="BA220" s="422"/>
      <c r="BB220" s="422"/>
      <c r="BC220" s="422"/>
      <c r="BD220" s="422"/>
      <c r="BE220" s="422"/>
      <c r="BF220" s="422"/>
      <c r="BG220" s="422"/>
      <c r="BH220" s="422"/>
      <c r="BI220" s="422"/>
      <c r="BJ220" s="422"/>
      <c r="BK220" s="422"/>
      <c r="BL220" s="422"/>
      <c r="BM220" s="422"/>
      <c r="BN220" s="422"/>
      <c r="BO220" s="422"/>
      <c r="BP220" s="422"/>
      <c r="BQ220" s="422"/>
      <c r="BR220" s="422"/>
      <c r="BS220" s="422"/>
      <c r="BT220" s="422"/>
      <c r="BU220" s="422"/>
      <c r="BV220" s="422"/>
    </row>
    <row r="221" spans="2:74" x14ac:dyDescent="0.3">
      <c r="B221" s="325"/>
      <c r="C221" s="309"/>
      <c r="D221" s="309"/>
      <c r="E221" s="421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  <c r="AB221" s="387"/>
      <c r="AC221" s="387"/>
      <c r="AD221" s="387"/>
      <c r="AE221" s="387"/>
      <c r="AF221" s="387"/>
      <c r="AG221" s="387"/>
      <c r="AH221" s="387"/>
      <c r="AI221" s="387"/>
      <c r="AJ221" s="387"/>
      <c r="AK221" s="387"/>
      <c r="AL221" s="387"/>
      <c r="AM221" s="387"/>
      <c r="AN221" s="387"/>
      <c r="AO221" s="387"/>
      <c r="AP221" s="387"/>
      <c r="AQ221" s="387"/>
      <c r="AR221" s="387"/>
      <c r="AS221" s="387"/>
      <c r="AT221" s="387"/>
      <c r="AU221" s="387"/>
      <c r="AV221" s="387"/>
      <c r="AW221" s="387"/>
      <c r="AX221" s="387"/>
      <c r="AY221" s="387"/>
      <c r="AZ221" s="387"/>
      <c r="BA221" s="387"/>
      <c r="BB221" s="387"/>
      <c r="BC221" s="387"/>
      <c r="BD221" s="387"/>
      <c r="BE221" s="387"/>
      <c r="BF221" s="387"/>
      <c r="BG221" s="387"/>
      <c r="BH221" s="387"/>
      <c r="BI221" s="387"/>
      <c r="BJ221" s="387"/>
      <c r="BK221" s="387"/>
      <c r="BL221" s="387"/>
      <c r="BM221" s="387"/>
      <c r="BN221" s="387"/>
      <c r="BO221" s="387"/>
      <c r="BP221" s="387"/>
      <c r="BQ221" s="387"/>
      <c r="BR221" s="387"/>
      <c r="BS221" s="387"/>
      <c r="BT221" s="387"/>
      <c r="BU221" s="387"/>
      <c r="BV221" s="387"/>
    </row>
    <row r="222" spans="2:74" x14ac:dyDescent="0.3">
      <c r="B222" s="325"/>
      <c r="C222" s="309"/>
      <c r="D222" s="309"/>
      <c r="E222" s="421"/>
      <c r="F222" s="387"/>
      <c r="G222" s="387"/>
      <c r="H222" s="387"/>
      <c r="I222" s="387"/>
      <c r="J222" s="387"/>
      <c r="K222" s="387"/>
      <c r="L222" s="387"/>
      <c r="M222" s="387"/>
      <c r="N222" s="387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  <c r="AB222" s="387"/>
      <c r="AC222" s="387"/>
      <c r="AD222" s="387"/>
      <c r="AE222" s="387"/>
      <c r="AF222" s="387"/>
      <c r="AG222" s="387"/>
      <c r="AH222" s="387"/>
      <c r="AI222" s="387"/>
      <c r="AJ222" s="387"/>
      <c r="AK222" s="387"/>
      <c r="AL222" s="387"/>
      <c r="AM222" s="387"/>
      <c r="AN222" s="387"/>
      <c r="AO222" s="387"/>
      <c r="AP222" s="387"/>
      <c r="AQ222" s="387"/>
      <c r="AR222" s="387"/>
      <c r="AS222" s="387"/>
      <c r="AT222" s="387"/>
      <c r="AU222" s="387"/>
      <c r="AV222" s="387"/>
      <c r="AW222" s="387"/>
      <c r="AX222" s="387"/>
      <c r="AY222" s="387"/>
      <c r="AZ222" s="387"/>
      <c r="BA222" s="387"/>
      <c r="BB222" s="387"/>
      <c r="BC222" s="387"/>
      <c r="BD222" s="387"/>
      <c r="BE222" s="387"/>
      <c r="BF222" s="387"/>
      <c r="BG222" s="387"/>
      <c r="BH222" s="387"/>
      <c r="BI222" s="387"/>
      <c r="BJ222" s="387"/>
      <c r="BK222" s="387"/>
      <c r="BL222" s="387"/>
      <c r="BM222" s="387"/>
      <c r="BN222" s="387"/>
      <c r="BO222" s="387"/>
      <c r="BP222" s="387"/>
      <c r="BQ222" s="387"/>
      <c r="BR222" s="387"/>
      <c r="BS222" s="387"/>
      <c r="BT222" s="387"/>
      <c r="BU222" s="387"/>
      <c r="BV222" s="387"/>
    </row>
    <row r="223" spans="2:74" x14ac:dyDescent="0.3">
      <c r="B223" s="325"/>
      <c r="C223" s="309"/>
      <c r="D223" s="309"/>
      <c r="E223" s="421"/>
      <c r="F223" s="387"/>
      <c r="G223" s="387"/>
      <c r="H223" s="387"/>
      <c r="I223" s="387"/>
      <c r="J223" s="387"/>
      <c r="K223" s="387"/>
      <c r="L223" s="387"/>
      <c r="M223" s="387"/>
      <c r="N223" s="387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  <c r="AB223" s="387"/>
      <c r="AC223" s="387"/>
      <c r="AD223" s="387"/>
      <c r="AE223" s="387"/>
      <c r="AF223" s="387"/>
      <c r="AG223" s="387"/>
      <c r="AH223" s="387"/>
      <c r="AI223" s="387"/>
      <c r="AJ223" s="387"/>
      <c r="AK223" s="387"/>
      <c r="AL223" s="387"/>
      <c r="AM223" s="387"/>
      <c r="AN223" s="387"/>
      <c r="AO223" s="387"/>
      <c r="AP223" s="387"/>
      <c r="AQ223" s="387"/>
      <c r="AR223" s="387"/>
      <c r="AS223" s="387"/>
      <c r="AT223" s="387"/>
      <c r="AU223" s="387"/>
      <c r="AV223" s="387"/>
      <c r="AW223" s="387"/>
      <c r="AX223" s="387"/>
      <c r="AY223" s="387"/>
      <c r="AZ223" s="387"/>
      <c r="BA223" s="387"/>
      <c r="BB223" s="387"/>
      <c r="BC223" s="387"/>
      <c r="BD223" s="387"/>
      <c r="BE223" s="387"/>
      <c r="BF223" s="387"/>
      <c r="BG223" s="387"/>
      <c r="BH223" s="387"/>
      <c r="BI223" s="387"/>
      <c r="BJ223" s="387"/>
      <c r="BK223" s="387"/>
      <c r="BL223" s="387"/>
      <c r="BM223" s="387"/>
      <c r="BN223" s="387"/>
      <c r="BO223" s="387"/>
      <c r="BP223" s="387"/>
      <c r="BQ223" s="387"/>
      <c r="BR223" s="387"/>
      <c r="BS223" s="387"/>
      <c r="BT223" s="387"/>
      <c r="BU223" s="387"/>
      <c r="BV223" s="387"/>
    </row>
    <row r="224" spans="2:74" x14ac:dyDescent="0.3">
      <c r="B224" s="325"/>
      <c r="C224" s="309"/>
      <c r="D224" s="309"/>
      <c r="E224" s="421"/>
      <c r="F224" s="387"/>
      <c r="G224" s="387"/>
      <c r="H224" s="387"/>
      <c r="I224" s="387"/>
      <c r="J224" s="387"/>
      <c r="K224" s="387"/>
      <c r="L224" s="387"/>
      <c r="M224" s="387"/>
      <c r="N224" s="387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  <c r="AB224" s="387"/>
      <c r="AC224" s="387"/>
      <c r="AD224" s="387"/>
      <c r="AE224" s="387"/>
      <c r="AF224" s="387"/>
      <c r="AG224" s="387"/>
      <c r="AH224" s="387"/>
      <c r="AI224" s="387"/>
      <c r="AJ224" s="387"/>
      <c r="AK224" s="387"/>
      <c r="AL224" s="387"/>
      <c r="AM224" s="387"/>
      <c r="AN224" s="387"/>
      <c r="AO224" s="387"/>
      <c r="AP224" s="387"/>
      <c r="AQ224" s="387"/>
      <c r="AR224" s="387"/>
      <c r="AS224" s="387"/>
      <c r="AT224" s="387"/>
      <c r="AU224" s="387"/>
      <c r="AV224" s="387"/>
      <c r="AW224" s="387"/>
      <c r="AX224" s="387"/>
      <c r="AY224" s="387"/>
      <c r="AZ224" s="387"/>
      <c r="BA224" s="387"/>
      <c r="BB224" s="387"/>
      <c r="BC224" s="387"/>
      <c r="BD224" s="387"/>
      <c r="BE224" s="387"/>
      <c r="BF224" s="387"/>
      <c r="BG224" s="387"/>
      <c r="BH224" s="387"/>
      <c r="BI224" s="387"/>
      <c r="BJ224" s="387"/>
      <c r="BK224" s="387"/>
      <c r="BL224" s="387"/>
      <c r="BM224" s="387"/>
      <c r="BN224" s="387"/>
      <c r="BO224" s="387"/>
      <c r="BP224" s="387"/>
      <c r="BQ224" s="387"/>
      <c r="BR224" s="387"/>
      <c r="BS224" s="387"/>
      <c r="BT224" s="387"/>
      <c r="BU224" s="387"/>
      <c r="BV224" s="387"/>
    </row>
    <row r="225" spans="2:74" x14ac:dyDescent="0.3">
      <c r="B225" s="325"/>
      <c r="C225" s="309"/>
      <c r="D225" s="309"/>
      <c r="E225" s="421"/>
      <c r="F225" s="387"/>
      <c r="G225" s="387"/>
      <c r="H225" s="387"/>
      <c r="I225" s="387"/>
      <c r="J225" s="387"/>
      <c r="K225" s="387"/>
      <c r="L225" s="387"/>
      <c r="M225" s="387"/>
      <c r="N225" s="387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  <c r="AB225" s="387"/>
      <c r="AC225" s="387"/>
      <c r="AD225" s="387"/>
      <c r="AE225" s="387"/>
      <c r="AF225" s="387"/>
      <c r="AG225" s="387"/>
      <c r="AH225" s="387"/>
      <c r="AI225" s="387"/>
      <c r="AJ225" s="387"/>
      <c r="AK225" s="387"/>
      <c r="AL225" s="387"/>
      <c r="AM225" s="387"/>
      <c r="AN225" s="387"/>
      <c r="AO225" s="387"/>
      <c r="AP225" s="387"/>
      <c r="AQ225" s="387"/>
      <c r="AR225" s="387"/>
      <c r="AS225" s="387"/>
      <c r="AT225" s="387"/>
      <c r="AU225" s="387"/>
      <c r="AV225" s="387"/>
      <c r="AW225" s="387"/>
      <c r="AX225" s="387"/>
      <c r="AY225" s="387"/>
      <c r="AZ225" s="387"/>
      <c r="BA225" s="387"/>
      <c r="BB225" s="387"/>
      <c r="BC225" s="387"/>
      <c r="BD225" s="387"/>
      <c r="BE225" s="387"/>
      <c r="BF225" s="387"/>
      <c r="BG225" s="387"/>
      <c r="BH225" s="387"/>
      <c r="BI225" s="387"/>
      <c r="BJ225" s="387"/>
      <c r="BK225" s="387"/>
      <c r="BL225" s="387"/>
      <c r="BM225" s="387"/>
      <c r="BN225" s="387"/>
      <c r="BO225" s="387"/>
      <c r="BP225" s="387"/>
      <c r="BQ225" s="387"/>
      <c r="BR225" s="387"/>
      <c r="BS225" s="387"/>
      <c r="BT225" s="387"/>
      <c r="BU225" s="387"/>
      <c r="BV225" s="387"/>
    </row>
    <row r="226" spans="2:74" x14ac:dyDescent="0.3">
      <c r="B226" s="325"/>
      <c r="C226" s="309"/>
      <c r="D226" s="309"/>
      <c r="E226" s="421"/>
      <c r="F226" s="387"/>
      <c r="G226" s="387"/>
      <c r="H226" s="387"/>
      <c r="I226" s="387"/>
      <c r="J226" s="387"/>
      <c r="K226" s="387"/>
      <c r="L226" s="387"/>
      <c r="M226" s="387"/>
      <c r="N226" s="387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  <c r="AB226" s="387"/>
      <c r="AC226" s="387"/>
      <c r="AD226" s="387"/>
      <c r="AE226" s="387"/>
      <c r="AF226" s="387"/>
      <c r="AG226" s="387"/>
      <c r="AH226" s="387"/>
      <c r="AI226" s="387"/>
      <c r="AJ226" s="387"/>
      <c r="AK226" s="387"/>
      <c r="AL226" s="387"/>
      <c r="AM226" s="387"/>
      <c r="AN226" s="387"/>
      <c r="AO226" s="387"/>
      <c r="AP226" s="387"/>
      <c r="AQ226" s="387"/>
      <c r="AR226" s="387"/>
      <c r="AS226" s="387"/>
      <c r="AT226" s="387"/>
      <c r="AU226" s="387"/>
      <c r="AV226" s="387"/>
      <c r="AW226" s="387"/>
      <c r="AX226" s="387"/>
      <c r="AY226" s="387"/>
      <c r="AZ226" s="387"/>
      <c r="BA226" s="387"/>
      <c r="BB226" s="387"/>
      <c r="BC226" s="387"/>
      <c r="BD226" s="387"/>
      <c r="BE226" s="387"/>
      <c r="BF226" s="387"/>
      <c r="BG226" s="387"/>
      <c r="BH226" s="387"/>
      <c r="BI226" s="387"/>
      <c r="BJ226" s="387"/>
      <c r="BK226" s="387"/>
      <c r="BL226" s="387"/>
      <c r="BM226" s="387"/>
      <c r="BN226" s="387"/>
      <c r="BO226" s="387"/>
      <c r="BP226" s="387"/>
      <c r="BQ226" s="387"/>
      <c r="BR226" s="387"/>
      <c r="BS226" s="387"/>
      <c r="BT226" s="387"/>
      <c r="BU226" s="387"/>
      <c r="BV226" s="387"/>
    </row>
    <row r="227" spans="2:74" x14ac:dyDescent="0.3">
      <c r="B227" s="325"/>
      <c r="C227" s="309"/>
      <c r="D227" s="309"/>
      <c r="E227" s="421"/>
      <c r="F227" s="387"/>
      <c r="G227" s="387"/>
      <c r="H227" s="387"/>
      <c r="I227" s="387"/>
      <c r="J227" s="387"/>
      <c r="K227" s="387"/>
      <c r="L227" s="387"/>
      <c r="M227" s="387"/>
      <c r="N227" s="387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  <c r="AB227" s="387"/>
      <c r="AC227" s="387"/>
      <c r="AD227" s="387"/>
      <c r="AE227" s="387"/>
      <c r="AF227" s="387"/>
      <c r="AG227" s="387"/>
      <c r="AH227" s="387"/>
      <c r="AI227" s="387"/>
      <c r="AJ227" s="387"/>
      <c r="AK227" s="387"/>
      <c r="AL227" s="387"/>
      <c r="AM227" s="387"/>
      <c r="AN227" s="387"/>
      <c r="AO227" s="387"/>
      <c r="AP227" s="387"/>
      <c r="AQ227" s="387"/>
      <c r="AR227" s="387"/>
      <c r="AS227" s="387"/>
      <c r="AT227" s="387"/>
      <c r="AU227" s="387"/>
      <c r="AV227" s="387"/>
      <c r="AW227" s="387"/>
      <c r="AX227" s="387"/>
      <c r="AY227" s="387"/>
      <c r="AZ227" s="387"/>
      <c r="BA227" s="387"/>
      <c r="BB227" s="387"/>
      <c r="BC227" s="387"/>
      <c r="BD227" s="387"/>
      <c r="BE227" s="387"/>
      <c r="BF227" s="387"/>
      <c r="BG227" s="387"/>
      <c r="BH227" s="387"/>
      <c r="BI227" s="387"/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/>
      <c r="BV227" s="387"/>
    </row>
    <row r="228" spans="2:74" x14ac:dyDescent="0.3">
      <c r="B228" s="325"/>
      <c r="C228" s="309"/>
      <c r="D228" s="309"/>
      <c r="E228" s="421"/>
      <c r="F228" s="387"/>
      <c r="G228" s="387"/>
      <c r="H228" s="387"/>
      <c r="I228" s="387"/>
      <c r="J228" s="387"/>
      <c r="K228" s="387"/>
      <c r="L228" s="387"/>
      <c r="M228" s="387"/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  <c r="AA228" s="387"/>
      <c r="AB228" s="387"/>
      <c r="AC228" s="387"/>
      <c r="AD228" s="387"/>
      <c r="AE228" s="387"/>
      <c r="AF228" s="387"/>
      <c r="AG228" s="387"/>
      <c r="AH228" s="387"/>
      <c r="AI228" s="387"/>
      <c r="AJ228" s="387"/>
      <c r="AK228" s="387"/>
      <c r="AL228" s="387"/>
      <c r="AM228" s="387"/>
      <c r="AN228" s="387"/>
      <c r="AO228" s="387"/>
      <c r="AP228" s="387"/>
      <c r="AQ228" s="387"/>
      <c r="AR228" s="387"/>
      <c r="AS228" s="387"/>
      <c r="AT228" s="387"/>
      <c r="AU228" s="387"/>
      <c r="AV228" s="387"/>
      <c r="AW228" s="387"/>
      <c r="AX228" s="387"/>
      <c r="AY228" s="387"/>
      <c r="AZ228" s="387"/>
      <c r="BA228" s="387"/>
      <c r="BB228" s="387"/>
      <c r="BC228" s="387"/>
      <c r="BD228" s="387"/>
      <c r="BE228" s="387"/>
      <c r="BF228" s="387"/>
      <c r="BG228" s="387"/>
      <c r="BH228" s="387"/>
      <c r="BI228" s="387"/>
      <c r="BJ228" s="387"/>
      <c r="BK228" s="387"/>
      <c r="BL228" s="387"/>
      <c r="BM228" s="387"/>
      <c r="BN228" s="387"/>
      <c r="BO228" s="387"/>
      <c r="BP228" s="387"/>
      <c r="BQ228" s="387"/>
      <c r="BR228" s="387"/>
      <c r="BS228" s="387"/>
      <c r="BT228" s="387"/>
      <c r="BU228" s="387"/>
      <c r="BV228" s="387"/>
    </row>
    <row r="229" spans="2:74" x14ac:dyDescent="0.3">
      <c r="B229" s="325"/>
      <c r="C229" s="309"/>
      <c r="D229" s="309"/>
      <c r="E229" s="421"/>
      <c r="F229" s="387"/>
      <c r="G229" s="387"/>
      <c r="H229" s="387"/>
      <c r="I229" s="387"/>
      <c r="J229" s="387"/>
      <c r="K229" s="387"/>
      <c r="L229" s="387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/>
      <c r="AM229" s="387"/>
      <c r="AN229" s="387"/>
      <c r="AO229" s="387"/>
      <c r="AP229" s="387"/>
      <c r="AQ229" s="387"/>
      <c r="AR229" s="387"/>
      <c r="AS229" s="387"/>
      <c r="AT229" s="387"/>
      <c r="AU229" s="387"/>
      <c r="AV229" s="387"/>
      <c r="AW229" s="387"/>
      <c r="AX229" s="387"/>
      <c r="AY229" s="387"/>
      <c r="AZ229" s="387"/>
      <c r="BA229" s="387"/>
      <c r="BB229" s="387"/>
      <c r="BC229" s="387"/>
      <c r="BD229" s="387"/>
      <c r="BE229" s="387"/>
      <c r="BF229" s="387"/>
      <c r="BG229" s="387"/>
      <c r="BH229" s="387"/>
      <c r="BI229" s="387"/>
      <c r="BJ229" s="387"/>
      <c r="BK229" s="387"/>
      <c r="BL229" s="387"/>
      <c r="BM229" s="387"/>
      <c r="BN229" s="387"/>
      <c r="BO229" s="387"/>
      <c r="BP229" s="387"/>
      <c r="BQ229" s="387"/>
      <c r="BR229" s="387"/>
      <c r="BS229" s="387"/>
      <c r="BT229" s="387"/>
      <c r="BU229" s="387"/>
      <c r="BV229" s="387"/>
    </row>
    <row r="230" spans="2:74" x14ac:dyDescent="0.3">
      <c r="B230" s="325"/>
      <c r="C230" s="309"/>
      <c r="D230" s="309"/>
      <c r="E230" s="421"/>
      <c r="F230" s="387"/>
      <c r="G230" s="387"/>
      <c r="H230" s="387"/>
      <c r="I230" s="387"/>
      <c r="J230" s="387"/>
      <c r="K230" s="387"/>
      <c r="L230" s="387"/>
      <c r="M230" s="387"/>
      <c r="N230" s="387"/>
      <c r="O230" s="387"/>
      <c r="P230" s="387"/>
      <c r="Q230" s="387"/>
      <c r="R230" s="387"/>
      <c r="S230" s="387"/>
      <c r="T230" s="387"/>
      <c r="U230" s="387"/>
      <c r="V230" s="387"/>
      <c r="W230" s="387"/>
      <c r="X230" s="387"/>
      <c r="Y230" s="387"/>
      <c r="Z230" s="387"/>
      <c r="AA230" s="387"/>
      <c r="AB230" s="387"/>
      <c r="AC230" s="387"/>
      <c r="AD230" s="387"/>
      <c r="AE230" s="387"/>
      <c r="AF230" s="387"/>
      <c r="AG230" s="387"/>
      <c r="AH230" s="387"/>
      <c r="AI230" s="387"/>
      <c r="AJ230" s="387"/>
      <c r="AK230" s="387"/>
      <c r="AL230" s="387"/>
      <c r="AM230" s="387"/>
      <c r="AN230" s="387"/>
      <c r="AO230" s="387"/>
      <c r="AP230" s="387"/>
      <c r="AQ230" s="387"/>
      <c r="AR230" s="387"/>
      <c r="AS230" s="387"/>
      <c r="AT230" s="387"/>
      <c r="AU230" s="387"/>
      <c r="AV230" s="387"/>
      <c r="AW230" s="387"/>
      <c r="AX230" s="387"/>
      <c r="AY230" s="387"/>
      <c r="AZ230" s="387"/>
      <c r="BA230" s="387"/>
      <c r="BB230" s="387"/>
      <c r="BC230" s="387"/>
      <c r="BD230" s="387"/>
      <c r="BE230" s="387"/>
      <c r="BF230" s="387"/>
      <c r="BG230" s="387"/>
      <c r="BH230" s="387"/>
      <c r="BI230" s="387"/>
      <c r="BJ230" s="387"/>
      <c r="BK230" s="387"/>
      <c r="BL230" s="387"/>
      <c r="BM230" s="387"/>
      <c r="BN230" s="387"/>
      <c r="BO230" s="387"/>
      <c r="BP230" s="387"/>
      <c r="BQ230" s="387"/>
      <c r="BR230" s="387"/>
      <c r="BS230" s="387"/>
      <c r="BT230" s="387"/>
      <c r="BU230" s="387"/>
      <c r="BV230" s="387"/>
    </row>
    <row r="231" spans="2:74" x14ac:dyDescent="0.3">
      <c r="B231" s="325"/>
      <c r="C231" s="309"/>
      <c r="D231" s="309"/>
      <c r="E231" s="421"/>
      <c r="F231" s="387"/>
      <c r="G231" s="387"/>
      <c r="H231" s="387"/>
      <c r="I231" s="387"/>
      <c r="J231" s="387"/>
      <c r="K231" s="387"/>
      <c r="L231" s="387"/>
      <c r="M231" s="387"/>
      <c r="N231" s="387"/>
      <c r="O231" s="387"/>
      <c r="P231" s="387"/>
      <c r="Q231" s="387"/>
      <c r="R231" s="387"/>
      <c r="S231" s="387"/>
      <c r="T231" s="387"/>
      <c r="U231" s="387"/>
      <c r="V231" s="387"/>
      <c r="W231" s="387"/>
      <c r="X231" s="387"/>
      <c r="Y231" s="387"/>
      <c r="Z231" s="387"/>
      <c r="AA231" s="387"/>
      <c r="AB231" s="387"/>
      <c r="AC231" s="387"/>
      <c r="AD231" s="387"/>
      <c r="AE231" s="387"/>
      <c r="AF231" s="387"/>
      <c r="AG231" s="387"/>
      <c r="AH231" s="387"/>
      <c r="AI231" s="387"/>
      <c r="AJ231" s="387"/>
      <c r="AK231" s="387"/>
      <c r="AL231" s="387"/>
      <c r="AM231" s="387"/>
      <c r="AN231" s="387"/>
      <c r="AO231" s="387"/>
      <c r="AP231" s="387"/>
      <c r="AQ231" s="387"/>
      <c r="AR231" s="387"/>
      <c r="AS231" s="387"/>
      <c r="AT231" s="387"/>
      <c r="AU231" s="387"/>
      <c r="AV231" s="387"/>
      <c r="AW231" s="387"/>
      <c r="AX231" s="387"/>
      <c r="AY231" s="387"/>
      <c r="AZ231" s="387"/>
      <c r="BA231" s="387"/>
      <c r="BB231" s="387"/>
      <c r="BC231" s="387"/>
      <c r="BD231" s="387"/>
      <c r="BE231" s="387"/>
      <c r="BF231" s="387"/>
      <c r="BG231" s="387"/>
      <c r="BH231" s="387"/>
      <c r="BI231" s="387"/>
      <c r="BJ231" s="387"/>
      <c r="BK231" s="387"/>
      <c r="BL231" s="387"/>
      <c r="BM231" s="387"/>
      <c r="BN231" s="387"/>
      <c r="BO231" s="387"/>
      <c r="BP231" s="387"/>
      <c r="BQ231" s="387"/>
      <c r="BR231" s="387"/>
      <c r="BS231" s="387"/>
      <c r="BT231" s="387"/>
      <c r="BU231" s="387"/>
      <c r="BV231" s="387"/>
    </row>
    <row r="232" spans="2:74" x14ac:dyDescent="0.3">
      <c r="B232" s="325"/>
      <c r="C232" s="309"/>
      <c r="D232" s="309"/>
      <c r="E232" s="421"/>
      <c r="F232" s="387"/>
      <c r="G232" s="387"/>
      <c r="H232" s="387"/>
      <c r="I232" s="387"/>
      <c r="J232" s="387"/>
      <c r="K232" s="387"/>
      <c r="L232" s="387"/>
      <c r="M232" s="387"/>
      <c r="N232" s="387"/>
      <c r="O232" s="387"/>
      <c r="P232" s="387"/>
      <c r="Q232" s="387"/>
      <c r="R232" s="387"/>
      <c r="S232" s="387"/>
      <c r="T232" s="387"/>
      <c r="U232" s="387"/>
      <c r="V232" s="387"/>
      <c r="W232" s="387"/>
      <c r="X232" s="387"/>
      <c r="Y232" s="387"/>
      <c r="Z232" s="387"/>
      <c r="AA232" s="387"/>
      <c r="AB232" s="387"/>
      <c r="AC232" s="387"/>
      <c r="AD232" s="387"/>
      <c r="AE232" s="387"/>
      <c r="AF232" s="387"/>
      <c r="AG232" s="387"/>
      <c r="AH232" s="387"/>
      <c r="AI232" s="387"/>
      <c r="AJ232" s="387"/>
      <c r="AK232" s="387"/>
      <c r="AL232" s="387"/>
      <c r="AM232" s="387"/>
      <c r="AN232" s="387"/>
      <c r="AO232" s="387"/>
      <c r="AP232" s="387"/>
      <c r="AQ232" s="387"/>
      <c r="AR232" s="387"/>
      <c r="AS232" s="387"/>
      <c r="AT232" s="387"/>
      <c r="AU232" s="387"/>
      <c r="AV232" s="387"/>
      <c r="AW232" s="387"/>
      <c r="AX232" s="387"/>
      <c r="AY232" s="387"/>
      <c r="AZ232" s="387"/>
      <c r="BA232" s="387"/>
      <c r="BB232" s="387"/>
      <c r="BC232" s="387"/>
      <c r="BD232" s="387"/>
      <c r="BE232" s="387"/>
      <c r="BF232" s="387"/>
      <c r="BG232" s="387"/>
      <c r="BH232" s="387"/>
      <c r="BI232" s="387"/>
      <c r="BJ232" s="387"/>
      <c r="BK232" s="387"/>
      <c r="BL232" s="387"/>
      <c r="BM232" s="387"/>
      <c r="BN232" s="387"/>
      <c r="BO232" s="387"/>
      <c r="BP232" s="387"/>
      <c r="BQ232" s="387"/>
      <c r="BR232" s="387"/>
      <c r="BS232" s="387"/>
      <c r="BT232" s="387"/>
      <c r="BU232" s="387"/>
      <c r="BV232" s="387"/>
    </row>
    <row r="233" spans="2:74" x14ac:dyDescent="0.3">
      <c r="B233" s="325"/>
      <c r="C233" s="309"/>
      <c r="D233" s="309"/>
      <c r="E233" s="421"/>
      <c r="F233" s="387"/>
      <c r="G233" s="387"/>
      <c r="H233" s="387"/>
      <c r="I233" s="387"/>
      <c r="J233" s="387"/>
      <c r="K233" s="387"/>
      <c r="L233" s="387"/>
      <c r="M233" s="387"/>
      <c r="N233" s="387"/>
      <c r="O233" s="387"/>
      <c r="P233" s="387"/>
      <c r="Q233" s="387"/>
      <c r="R233" s="387"/>
      <c r="S233" s="387"/>
      <c r="T233" s="387"/>
      <c r="U233" s="387"/>
      <c r="V233" s="387"/>
      <c r="W233" s="387"/>
      <c r="X233" s="387"/>
      <c r="Y233" s="387"/>
      <c r="Z233" s="387"/>
      <c r="AA233" s="387"/>
      <c r="AB233" s="387"/>
      <c r="AC233" s="387"/>
      <c r="AD233" s="387"/>
      <c r="AE233" s="387"/>
      <c r="AF233" s="387"/>
      <c r="AG233" s="387"/>
      <c r="AH233" s="387"/>
      <c r="AI233" s="387"/>
      <c r="AJ233" s="387"/>
      <c r="AK233" s="387"/>
      <c r="AL233" s="387"/>
      <c r="AM233" s="387"/>
      <c r="AN233" s="387"/>
      <c r="AO233" s="387"/>
      <c r="AP233" s="387"/>
      <c r="AQ233" s="387"/>
      <c r="AR233" s="387"/>
      <c r="AS233" s="387"/>
      <c r="AT233" s="387"/>
      <c r="AU233" s="387"/>
      <c r="AV233" s="387"/>
      <c r="AW233" s="387"/>
      <c r="AX233" s="387"/>
      <c r="AY233" s="387"/>
      <c r="AZ233" s="387"/>
      <c r="BA233" s="387"/>
      <c r="BB233" s="387"/>
      <c r="BC233" s="387"/>
      <c r="BD233" s="387"/>
      <c r="BE233" s="387"/>
      <c r="BF233" s="387"/>
      <c r="BG233" s="387"/>
      <c r="BH233" s="387"/>
      <c r="BI233" s="387"/>
      <c r="BJ233" s="387"/>
      <c r="BK233" s="387"/>
      <c r="BL233" s="387"/>
      <c r="BM233" s="387"/>
      <c r="BN233" s="387"/>
      <c r="BO233" s="387"/>
      <c r="BP233" s="387"/>
      <c r="BQ233" s="387"/>
      <c r="BR233" s="387"/>
      <c r="BS233" s="387"/>
      <c r="BT233" s="387"/>
      <c r="BU233" s="387"/>
      <c r="BV233" s="387"/>
    </row>
    <row r="234" spans="2:74" x14ac:dyDescent="0.3">
      <c r="B234" s="325"/>
      <c r="C234" s="309"/>
      <c r="D234" s="309"/>
      <c r="E234" s="421"/>
      <c r="F234" s="387"/>
      <c r="G234" s="387"/>
      <c r="H234" s="387"/>
      <c r="I234" s="387"/>
      <c r="J234" s="387"/>
      <c r="K234" s="387"/>
      <c r="L234" s="387"/>
      <c r="M234" s="387"/>
      <c r="N234" s="387"/>
      <c r="O234" s="387"/>
      <c r="P234" s="387"/>
      <c r="Q234" s="387"/>
      <c r="R234" s="387"/>
      <c r="S234" s="387"/>
      <c r="T234" s="387"/>
      <c r="U234" s="387"/>
      <c r="V234" s="387"/>
      <c r="W234" s="387"/>
      <c r="X234" s="387"/>
      <c r="Y234" s="387"/>
      <c r="Z234" s="387"/>
      <c r="AA234" s="387"/>
      <c r="AB234" s="387"/>
      <c r="AC234" s="387"/>
      <c r="AD234" s="387"/>
      <c r="AE234" s="387"/>
      <c r="AF234" s="387"/>
      <c r="AG234" s="387"/>
      <c r="AH234" s="387"/>
      <c r="AI234" s="387"/>
      <c r="AJ234" s="387"/>
      <c r="AK234" s="387"/>
      <c r="AL234" s="387"/>
      <c r="AM234" s="387"/>
      <c r="AN234" s="387"/>
      <c r="AO234" s="387"/>
      <c r="AP234" s="387"/>
      <c r="AQ234" s="387"/>
      <c r="AR234" s="387"/>
      <c r="AS234" s="387"/>
      <c r="AT234" s="387"/>
      <c r="AU234" s="387"/>
      <c r="AV234" s="387"/>
      <c r="AW234" s="387"/>
      <c r="AX234" s="387"/>
      <c r="AY234" s="387"/>
      <c r="AZ234" s="387"/>
      <c r="BA234" s="387"/>
      <c r="BB234" s="387"/>
      <c r="BC234" s="387"/>
      <c r="BD234" s="387"/>
      <c r="BE234" s="387"/>
      <c r="BF234" s="387"/>
      <c r="BG234" s="387"/>
      <c r="BH234" s="387"/>
      <c r="BI234" s="387"/>
      <c r="BJ234" s="387"/>
      <c r="BK234" s="387"/>
      <c r="BL234" s="387"/>
      <c r="BM234" s="387"/>
      <c r="BN234" s="387"/>
      <c r="BO234" s="387"/>
      <c r="BP234" s="387"/>
      <c r="BQ234" s="387"/>
      <c r="BR234" s="387"/>
      <c r="BS234" s="387"/>
      <c r="BT234" s="387"/>
      <c r="BU234" s="387"/>
      <c r="BV234" s="387"/>
    </row>
    <row r="235" spans="2:74" x14ac:dyDescent="0.3">
      <c r="B235" s="325"/>
      <c r="C235" s="309"/>
      <c r="D235" s="309"/>
      <c r="E235" s="421"/>
      <c r="F235" s="387"/>
      <c r="G235" s="387"/>
      <c r="H235" s="387"/>
      <c r="I235" s="387"/>
      <c r="J235" s="387"/>
      <c r="K235" s="387"/>
      <c r="L235" s="387"/>
      <c r="M235" s="387"/>
      <c r="N235" s="387"/>
      <c r="O235" s="387"/>
      <c r="P235" s="387"/>
      <c r="Q235" s="387"/>
      <c r="R235" s="387"/>
      <c r="S235" s="387"/>
      <c r="T235" s="387"/>
      <c r="U235" s="387"/>
      <c r="V235" s="387"/>
      <c r="W235" s="387"/>
      <c r="X235" s="387"/>
      <c r="Y235" s="387"/>
      <c r="Z235" s="387"/>
      <c r="AA235" s="387"/>
      <c r="AB235" s="387"/>
      <c r="AC235" s="387"/>
      <c r="AD235" s="387"/>
      <c r="AE235" s="387"/>
      <c r="AF235" s="387"/>
      <c r="AG235" s="387"/>
      <c r="AH235" s="387"/>
      <c r="AI235" s="387"/>
      <c r="AJ235" s="387"/>
      <c r="AK235" s="387"/>
      <c r="AL235" s="387"/>
      <c r="AM235" s="387"/>
      <c r="AN235" s="387"/>
      <c r="AO235" s="387"/>
      <c r="AP235" s="387"/>
      <c r="AQ235" s="387"/>
      <c r="AR235" s="387"/>
      <c r="AS235" s="387"/>
      <c r="AT235" s="387"/>
      <c r="AU235" s="387"/>
      <c r="AV235" s="387"/>
      <c r="AW235" s="387"/>
      <c r="AX235" s="387"/>
      <c r="AY235" s="387"/>
      <c r="AZ235" s="387"/>
      <c r="BA235" s="387"/>
      <c r="BB235" s="387"/>
      <c r="BC235" s="387"/>
      <c r="BD235" s="387"/>
      <c r="BE235" s="387"/>
      <c r="BF235" s="387"/>
      <c r="BG235" s="387"/>
      <c r="BH235" s="387"/>
      <c r="BI235" s="387"/>
      <c r="BJ235" s="387"/>
      <c r="BK235" s="387"/>
      <c r="BL235" s="387"/>
      <c r="BM235" s="387"/>
      <c r="BN235" s="387"/>
      <c r="BO235" s="387"/>
      <c r="BP235" s="387"/>
      <c r="BQ235" s="387"/>
      <c r="BR235" s="387"/>
      <c r="BS235" s="387"/>
      <c r="BT235" s="387"/>
      <c r="BU235" s="387"/>
      <c r="BV235" s="387"/>
    </row>
    <row r="236" spans="2:74" x14ac:dyDescent="0.3">
      <c r="B236" s="325"/>
      <c r="C236" s="309"/>
      <c r="D236" s="309"/>
      <c r="E236" s="421"/>
      <c r="F236" s="387"/>
      <c r="G236" s="387"/>
      <c r="H236" s="387"/>
      <c r="I236" s="387"/>
      <c r="J236" s="387"/>
      <c r="K236" s="387"/>
      <c r="L236" s="387"/>
      <c r="M236" s="387"/>
      <c r="N236" s="387"/>
      <c r="O236" s="387"/>
      <c r="P236" s="387"/>
      <c r="Q236" s="387"/>
      <c r="R236" s="387"/>
      <c r="S236" s="387"/>
      <c r="T236" s="387"/>
      <c r="U236" s="387"/>
      <c r="V236" s="387"/>
      <c r="W236" s="387"/>
      <c r="X236" s="387"/>
      <c r="Y236" s="387"/>
      <c r="Z236" s="387"/>
      <c r="AA236" s="387"/>
      <c r="AB236" s="387"/>
      <c r="AC236" s="387"/>
      <c r="AD236" s="387"/>
      <c r="AE236" s="387"/>
      <c r="AF236" s="387"/>
      <c r="AG236" s="387"/>
      <c r="AH236" s="387"/>
      <c r="AI236" s="387"/>
      <c r="AJ236" s="387"/>
      <c r="AK236" s="387"/>
      <c r="AL236" s="387"/>
      <c r="AM236" s="387"/>
      <c r="AN236" s="387"/>
      <c r="AO236" s="387"/>
      <c r="AP236" s="387"/>
      <c r="AQ236" s="387"/>
      <c r="AR236" s="387"/>
      <c r="AS236" s="387"/>
      <c r="AT236" s="387"/>
      <c r="AU236" s="387"/>
      <c r="AV236" s="387"/>
      <c r="AW236" s="387"/>
      <c r="AX236" s="387"/>
      <c r="AY236" s="387"/>
      <c r="AZ236" s="387"/>
      <c r="BA236" s="387"/>
      <c r="BB236" s="387"/>
      <c r="BC236" s="387"/>
      <c r="BD236" s="387"/>
      <c r="BE236" s="387"/>
      <c r="BF236" s="387"/>
      <c r="BG236" s="387"/>
      <c r="BH236" s="387"/>
      <c r="BI236" s="387"/>
      <c r="BJ236" s="387"/>
      <c r="BK236" s="387"/>
      <c r="BL236" s="387"/>
      <c r="BM236" s="387"/>
      <c r="BN236" s="387"/>
      <c r="BO236" s="387"/>
      <c r="BP236" s="387"/>
      <c r="BQ236" s="387"/>
      <c r="BR236" s="387"/>
      <c r="BS236" s="387"/>
      <c r="BT236" s="387"/>
      <c r="BU236" s="387"/>
      <c r="BV236" s="387"/>
    </row>
    <row r="237" spans="2:74" x14ac:dyDescent="0.3">
      <c r="B237" s="325"/>
      <c r="C237" s="309"/>
      <c r="D237" s="309"/>
      <c r="E237" s="421"/>
      <c r="F237" s="387"/>
      <c r="G237" s="387"/>
      <c r="H237" s="387"/>
      <c r="I237" s="387"/>
      <c r="J237" s="387"/>
      <c r="K237" s="387"/>
      <c r="L237" s="387"/>
      <c r="M237" s="387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7"/>
      <c r="Z237" s="387"/>
      <c r="AA237" s="387"/>
      <c r="AB237" s="387"/>
      <c r="AC237" s="387"/>
      <c r="AD237" s="387"/>
      <c r="AE237" s="387"/>
      <c r="AF237" s="387"/>
      <c r="AG237" s="387"/>
      <c r="AH237" s="387"/>
      <c r="AI237" s="387"/>
      <c r="AJ237" s="387"/>
      <c r="AK237" s="387"/>
      <c r="AL237" s="387"/>
      <c r="AM237" s="387"/>
      <c r="AN237" s="387"/>
      <c r="AO237" s="387"/>
      <c r="AP237" s="387"/>
      <c r="AQ237" s="387"/>
      <c r="AR237" s="387"/>
      <c r="AS237" s="387"/>
      <c r="AT237" s="387"/>
      <c r="AU237" s="387"/>
      <c r="AV237" s="387"/>
      <c r="AW237" s="387"/>
      <c r="AX237" s="387"/>
      <c r="AY237" s="387"/>
      <c r="AZ237" s="387"/>
      <c r="BA237" s="387"/>
      <c r="BB237" s="387"/>
      <c r="BC237" s="387"/>
      <c r="BD237" s="387"/>
      <c r="BE237" s="387"/>
      <c r="BF237" s="387"/>
      <c r="BG237" s="387"/>
      <c r="BH237" s="387"/>
      <c r="BI237" s="387"/>
      <c r="BJ237" s="387"/>
      <c r="BK237" s="387"/>
      <c r="BL237" s="387"/>
      <c r="BM237" s="387"/>
      <c r="BN237" s="387"/>
      <c r="BO237" s="387"/>
      <c r="BP237" s="387"/>
      <c r="BQ237" s="387"/>
      <c r="BR237" s="387"/>
      <c r="BS237" s="387"/>
      <c r="BT237" s="387"/>
      <c r="BU237" s="387"/>
      <c r="BV237" s="387"/>
    </row>
    <row r="238" spans="2:74" x14ac:dyDescent="0.3">
      <c r="B238" s="325"/>
      <c r="C238" s="309"/>
      <c r="D238" s="309"/>
      <c r="E238" s="421"/>
      <c r="F238" s="387"/>
      <c r="G238" s="387"/>
      <c r="H238" s="387"/>
      <c r="I238" s="387"/>
      <c r="J238" s="387"/>
      <c r="K238" s="387"/>
      <c r="L238" s="387"/>
      <c r="M238" s="387"/>
      <c r="N238" s="387"/>
      <c r="O238" s="387"/>
      <c r="P238" s="387"/>
      <c r="Q238" s="387"/>
      <c r="R238" s="387"/>
      <c r="S238" s="387"/>
      <c r="T238" s="387"/>
      <c r="U238" s="387"/>
      <c r="V238" s="387"/>
      <c r="W238" s="387"/>
      <c r="X238" s="387"/>
      <c r="Y238" s="387"/>
      <c r="Z238" s="387"/>
      <c r="AA238" s="387"/>
      <c r="AB238" s="387"/>
      <c r="AC238" s="387"/>
      <c r="AD238" s="387"/>
      <c r="AE238" s="387"/>
      <c r="AF238" s="387"/>
      <c r="AG238" s="387"/>
      <c r="AH238" s="387"/>
      <c r="AI238" s="387"/>
      <c r="AJ238" s="387"/>
      <c r="AK238" s="387"/>
      <c r="AL238" s="387"/>
      <c r="AM238" s="387"/>
      <c r="AN238" s="387"/>
      <c r="AO238" s="387"/>
      <c r="AP238" s="387"/>
      <c r="AQ238" s="387"/>
      <c r="AR238" s="387"/>
      <c r="AS238" s="387"/>
      <c r="AT238" s="387"/>
      <c r="AU238" s="387"/>
      <c r="AV238" s="387"/>
      <c r="AW238" s="387"/>
      <c r="AX238" s="387"/>
      <c r="AY238" s="387"/>
      <c r="AZ238" s="387"/>
      <c r="BA238" s="387"/>
      <c r="BB238" s="387"/>
      <c r="BC238" s="387"/>
      <c r="BD238" s="387"/>
      <c r="BE238" s="387"/>
      <c r="BF238" s="387"/>
      <c r="BG238" s="387"/>
      <c r="BH238" s="387"/>
      <c r="BI238" s="387"/>
      <c r="BJ238" s="387"/>
      <c r="BK238" s="387"/>
      <c r="BL238" s="387"/>
      <c r="BM238" s="387"/>
      <c r="BN238" s="387"/>
      <c r="BO238" s="387"/>
      <c r="BP238" s="387"/>
      <c r="BQ238" s="387"/>
      <c r="BR238" s="387"/>
      <c r="BS238" s="387"/>
      <c r="BT238" s="387"/>
      <c r="BU238" s="387"/>
      <c r="BV238" s="387"/>
    </row>
    <row r="239" spans="2:74" x14ac:dyDescent="0.3">
      <c r="B239" s="325"/>
      <c r="C239" s="309"/>
      <c r="D239" s="309"/>
      <c r="E239" s="421"/>
      <c r="F239" s="387"/>
      <c r="G239" s="387"/>
      <c r="H239" s="387"/>
      <c r="I239" s="387"/>
      <c r="J239" s="387"/>
      <c r="K239" s="387"/>
      <c r="L239" s="387"/>
      <c r="M239" s="387"/>
      <c r="N239" s="387"/>
      <c r="O239" s="387"/>
      <c r="P239" s="387"/>
      <c r="Q239" s="387"/>
      <c r="R239" s="387"/>
      <c r="S239" s="387"/>
      <c r="T239" s="387"/>
      <c r="U239" s="387"/>
      <c r="V239" s="387"/>
      <c r="W239" s="387"/>
      <c r="X239" s="387"/>
      <c r="Y239" s="387"/>
      <c r="Z239" s="387"/>
      <c r="AA239" s="387"/>
      <c r="AB239" s="387"/>
      <c r="AC239" s="387"/>
      <c r="AD239" s="387"/>
      <c r="AE239" s="387"/>
      <c r="AF239" s="387"/>
      <c r="AG239" s="387"/>
      <c r="AH239" s="387"/>
      <c r="AI239" s="387"/>
      <c r="AJ239" s="387"/>
      <c r="AK239" s="387"/>
      <c r="AL239" s="387"/>
      <c r="AM239" s="387"/>
      <c r="AN239" s="387"/>
      <c r="AO239" s="387"/>
      <c r="AP239" s="387"/>
      <c r="AQ239" s="387"/>
      <c r="AR239" s="387"/>
      <c r="AS239" s="387"/>
      <c r="AT239" s="387"/>
      <c r="AU239" s="387"/>
      <c r="AV239" s="387"/>
      <c r="AW239" s="387"/>
      <c r="AX239" s="387"/>
      <c r="AY239" s="387"/>
      <c r="AZ239" s="387"/>
      <c r="BA239" s="387"/>
      <c r="BB239" s="387"/>
      <c r="BC239" s="387"/>
      <c r="BD239" s="387"/>
      <c r="BE239" s="387"/>
      <c r="BF239" s="387"/>
      <c r="BG239" s="387"/>
      <c r="BH239" s="387"/>
      <c r="BI239" s="387"/>
      <c r="BJ239" s="387"/>
      <c r="BK239" s="387"/>
      <c r="BL239" s="387"/>
      <c r="BM239" s="387"/>
      <c r="BN239" s="387"/>
      <c r="BO239" s="387"/>
      <c r="BP239" s="387"/>
      <c r="BQ239" s="387"/>
      <c r="BR239" s="387"/>
      <c r="BS239" s="387"/>
      <c r="BT239" s="387"/>
      <c r="BU239" s="387"/>
      <c r="BV239" s="387"/>
    </row>
    <row r="240" spans="2:74" x14ac:dyDescent="0.3">
      <c r="B240" s="325"/>
      <c r="C240" s="309"/>
      <c r="D240" s="309"/>
      <c r="E240" s="421"/>
      <c r="F240" s="387"/>
      <c r="G240" s="387"/>
      <c r="H240" s="387"/>
      <c r="I240" s="387"/>
      <c r="J240" s="387"/>
      <c r="K240" s="387"/>
      <c r="L240" s="387"/>
      <c r="M240" s="387"/>
      <c r="N240" s="387"/>
      <c r="O240" s="387"/>
      <c r="P240" s="387"/>
      <c r="Q240" s="387"/>
      <c r="R240" s="387"/>
      <c r="S240" s="387"/>
      <c r="T240" s="387"/>
      <c r="U240" s="387"/>
      <c r="V240" s="387"/>
      <c r="W240" s="387"/>
      <c r="X240" s="387"/>
      <c r="Y240" s="387"/>
      <c r="Z240" s="387"/>
      <c r="AA240" s="387"/>
      <c r="AB240" s="387"/>
      <c r="AC240" s="387"/>
      <c r="AD240" s="387"/>
      <c r="AE240" s="387"/>
      <c r="AF240" s="387"/>
      <c r="AG240" s="387"/>
      <c r="AH240" s="387"/>
      <c r="AI240" s="387"/>
      <c r="AJ240" s="387"/>
      <c r="AK240" s="387"/>
      <c r="AL240" s="387"/>
      <c r="AM240" s="387"/>
      <c r="AN240" s="387"/>
      <c r="AO240" s="387"/>
      <c r="AP240" s="387"/>
      <c r="AQ240" s="387"/>
      <c r="AR240" s="387"/>
      <c r="AS240" s="387"/>
      <c r="AT240" s="387"/>
      <c r="AU240" s="387"/>
      <c r="AV240" s="387"/>
      <c r="AW240" s="387"/>
      <c r="AX240" s="387"/>
      <c r="AY240" s="387"/>
      <c r="AZ240" s="387"/>
      <c r="BA240" s="387"/>
      <c r="BB240" s="387"/>
      <c r="BC240" s="387"/>
      <c r="BD240" s="387"/>
      <c r="BE240" s="387"/>
      <c r="BF240" s="387"/>
      <c r="BG240" s="387"/>
      <c r="BH240" s="387"/>
      <c r="BI240" s="387"/>
      <c r="BJ240" s="387"/>
      <c r="BK240" s="387"/>
      <c r="BL240" s="387"/>
      <c r="BM240" s="387"/>
      <c r="BN240" s="387"/>
      <c r="BO240" s="387"/>
      <c r="BP240" s="387"/>
      <c r="BQ240" s="387"/>
      <c r="BR240" s="387"/>
      <c r="BS240" s="387"/>
      <c r="BT240" s="387"/>
      <c r="BU240" s="387"/>
      <c r="BV240" s="387"/>
    </row>
    <row r="241" spans="2:74" x14ac:dyDescent="0.3">
      <c r="B241" s="325"/>
      <c r="C241" s="309"/>
      <c r="D241" s="309"/>
      <c r="E241" s="421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7"/>
      <c r="Z241" s="387"/>
      <c r="AA241" s="387"/>
      <c r="AB241" s="387"/>
      <c r="AC241" s="387"/>
      <c r="AD241" s="387"/>
      <c r="AE241" s="387"/>
      <c r="AF241" s="387"/>
      <c r="AG241" s="387"/>
      <c r="AH241" s="387"/>
      <c r="AI241" s="387"/>
      <c r="AJ241" s="387"/>
      <c r="AK241" s="387"/>
      <c r="AL241" s="387"/>
      <c r="AM241" s="387"/>
      <c r="AN241" s="387"/>
      <c r="AO241" s="387"/>
      <c r="AP241" s="387"/>
      <c r="AQ241" s="387"/>
      <c r="AR241" s="387"/>
      <c r="AS241" s="387"/>
      <c r="AT241" s="387"/>
      <c r="AU241" s="387"/>
      <c r="AV241" s="387"/>
      <c r="AW241" s="387"/>
      <c r="AX241" s="387"/>
      <c r="AY241" s="387"/>
      <c r="AZ241" s="387"/>
      <c r="BA241" s="387"/>
      <c r="BB241" s="387"/>
      <c r="BC241" s="387"/>
      <c r="BD241" s="387"/>
      <c r="BE241" s="387"/>
      <c r="BF241" s="387"/>
      <c r="BG241" s="387"/>
      <c r="BH241" s="387"/>
      <c r="BI241" s="387"/>
      <c r="BJ241" s="387"/>
      <c r="BK241" s="387"/>
      <c r="BL241" s="387"/>
      <c r="BM241" s="387"/>
      <c r="BN241" s="387"/>
      <c r="BO241" s="387"/>
      <c r="BP241" s="387"/>
      <c r="BQ241" s="387"/>
      <c r="BR241" s="387"/>
      <c r="BS241" s="387"/>
      <c r="BT241" s="387"/>
      <c r="BU241" s="387"/>
      <c r="BV241" s="387"/>
    </row>
    <row r="242" spans="2:74" x14ac:dyDescent="0.3">
      <c r="B242" s="325"/>
      <c r="C242" s="309"/>
      <c r="D242" s="309"/>
      <c r="E242" s="421"/>
      <c r="F242" s="387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/>
      <c r="AA242" s="387"/>
      <c r="AB242" s="387"/>
      <c r="AC242" s="387"/>
      <c r="AD242" s="387"/>
      <c r="AE242" s="387"/>
      <c r="AF242" s="387"/>
      <c r="AG242" s="387"/>
      <c r="AH242" s="387"/>
      <c r="AI242" s="387"/>
      <c r="AJ242" s="387"/>
      <c r="AK242" s="387"/>
      <c r="AL242" s="387"/>
      <c r="AM242" s="387"/>
      <c r="AN242" s="387"/>
      <c r="AO242" s="387"/>
      <c r="AP242" s="387"/>
      <c r="AQ242" s="387"/>
      <c r="AR242" s="387"/>
      <c r="AS242" s="387"/>
      <c r="AT242" s="387"/>
      <c r="AU242" s="387"/>
      <c r="AV242" s="387"/>
      <c r="AW242" s="387"/>
      <c r="AX242" s="387"/>
      <c r="AY242" s="387"/>
      <c r="AZ242" s="387"/>
      <c r="BA242" s="387"/>
      <c r="BB242" s="387"/>
      <c r="BC242" s="387"/>
      <c r="BD242" s="387"/>
      <c r="BE242" s="387"/>
      <c r="BF242" s="387"/>
      <c r="BG242" s="387"/>
      <c r="BH242" s="387"/>
      <c r="BI242" s="387"/>
      <c r="BJ242" s="387"/>
      <c r="BK242" s="387"/>
      <c r="BL242" s="387"/>
      <c r="BM242" s="387"/>
      <c r="BN242" s="387"/>
      <c r="BO242" s="387"/>
      <c r="BP242" s="387"/>
      <c r="BQ242" s="387"/>
      <c r="BR242" s="387"/>
      <c r="BS242" s="387"/>
      <c r="BT242" s="387"/>
      <c r="BU242" s="387"/>
      <c r="BV242" s="387"/>
    </row>
    <row r="243" spans="2:74" x14ac:dyDescent="0.3">
      <c r="B243" s="325"/>
      <c r="C243" s="309"/>
      <c r="D243" s="309"/>
      <c r="E243" s="421"/>
      <c r="F243" s="387"/>
      <c r="G243" s="387"/>
      <c r="H243" s="387"/>
      <c r="I243" s="387"/>
      <c r="J243" s="387"/>
      <c r="K243" s="387"/>
      <c r="L243" s="387"/>
      <c r="M243" s="387"/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7"/>
      <c r="Z243" s="387"/>
      <c r="AA243" s="387"/>
      <c r="AB243" s="387"/>
      <c r="AC243" s="387"/>
      <c r="AD243" s="387"/>
      <c r="AE243" s="387"/>
      <c r="AF243" s="387"/>
      <c r="AG243" s="387"/>
      <c r="AH243" s="387"/>
      <c r="AI243" s="387"/>
      <c r="AJ243" s="387"/>
      <c r="AK243" s="387"/>
      <c r="AL243" s="387"/>
      <c r="AM243" s="387"/>
      <c r="AN243" s="387"/>
      <c r="AO243" s="387"/>
      <c r="AP243" s="387"/>
      <c r="AQ243" s="387"/>
      <c r="AR243" s="387"/>
      <c r="AS243" s="387"/>
      <c r="AT243" s="387"/>
      <c r="AU243" s="387"/>
      <c r="AV243" s="387"/>
      <c r="AW243" s="387"/>
      <c r="AX243" s="387"/>
      <c r="AY243" s="387"/>
      <c r="AZ243" s="387"/>
      <c r="BA243" s="387"/>
      <c r="BB243" s="387"/>
      <c r="BC243" s="387"/>
      <c r="BD243" s="387"/>
      <c r="BE243" s="387"/>
      <c r="BF243" s="387"/>
      <c r="BG243" s="387"/>
      <c r="BH243" s="387"/>
      <c r="BI243" s="387"/>
      <c r="BJ243" s="387"/>
      <c r="BK243" s="387"/>
      <c r="BL243" s="387"/>
      <c r="BM243" s="387"/>
      <c r="BN243" s="387"/>
      <c r="BO243" s="387"/>
      <c r="BP243" s="387"/>
      <c r="BQ243" s="387"/>
      <c r="BR243" s="387"/>
      <c r="BS243" s="387"/>
      <c r="BT243" s="387"/>
      <c r="BU243" s="387"/>
      <c r="BV243" s="387"/>
    </row>
    <row r="244" spans="2:74" x14ac:dyDescent="0.3">
      <c r="B244" s="325"/>
      <c r="C244" s="309"/>
      <c r="D244" s="309"/>
      <c r="E244" s="421"/>
      <c r="F244" s="387"/>
      <c r="G244" s="387"/>
      <c r="H244" s="387"/>
      <c r="I244" s="387"/>
      <c r="J244" s="387"/>
      <c r="K244" s="387"/>
      <c r="L244" s="387"/>
      <c r="M244" s="387"/>
      <c r="N244" s="387"/>
      <c r="O244" s="387"/>
      <c r="P244" s="387"/>
      <c r="Q244" s="387"/>
      <c r="R244" s="387"/>
      <c r="S244" s="387"/>
      <c r="T244" s="387"/>
      <c r="U244" s="387"/>
      <c r="V244" s="387"/>
      <c r="W244" s="387"/>
      <c r="X244" s="387"/>
      <c r="Y244" s="387"/>
      <c r="Z244" s="387"/>
      <c r="AA244" s="387"/>
      <c r="AB244" s="387"/>
      <c r="AC244" s="387"/>
      <c r="AD244" s="387"/>
      <c r="AE244" s="387"/>
      <c r="AF244" s="387"/>
      <c r="AG244" s="387"/>
      <c r="AH244" s="387"/>
      <c r="AI244" s="387"/>
      <c r="AJ244" s="387"/>
      <c r="AK244" s="387"/>
      <c r="AL244" s="387"/>
      <c r="AM244" s="387"/>
      <c r="AN244" s="387"/>
      <c r="AO244" s="387"/>
      <c r="AP244" s="387"/>
      <c r="AQ244" s="387"/>
      <c r="AR244" s="387"/>
      <c r="AS244" s="387"/>
      <c r="AT244" s="387"/>
      <c r="AU244" s="387"/>
      <c r="AV244" s="387"/>
      <c r="AW244" s="387"/>
      <c r="AX244" s="387"/>
      <c r="AY244" s="387"/>
      <c r="AZ244" s="387"/>
      <c r="BA244" s="387"/>
      <c r="BB244" s="387"/>
      <c r="BC244" s="387"/>
      <c r="BD244" s="387"/>
      <c r="BE244" s="387"/>
      <c r="BF244" s="387"/>
      <c r="BG244" s="387"/>
      <c r="BH244" s="387"/>
      <c r="BI244" s="387"/>
      <c r="BJ244" s="387"/>
      <c r="BK244" s="387"/>
      <c r="BL244" s="387"/>
      <c r="BM244" s="387"/>
      <c r="BN244" s="387"/>
      <c r="BO244" s="387"/>
      <c r="BP244" s="387"/>
      <c r="BQ244" s="387"/>
      <c r="BR244" s="387"/>
      <c r="BS244" s="387"/>
      <c r="BT244" s="387"/>
      <c r="BU244" s="387"/>
      <c r="BV244" s="387"/>
    </row>
    <row r="245" spans="2:74" x14ac:dyDescent="0.3">
      <c r="B245" s="325"/>
      <c r="C245" s="309"/>
      <c r="D245" s="309"/>
      <c r="E245" s="421"/>
      <c r="F245" s="387"/>
      <c r="G245" s="387"/>
      <c r="H245" s="387"/>
      <c r="I245" s="387"/>
      <c r="J245" s="387"/>
      <c r="K245" s="387"/>
      <c r="L245" s="387"/>
      <c r="M245" s="387"/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  <c r="AA245" s="387"/>
      <c r="AB245" s="387"/>
      <c r="AC245" s="387"/>
      <c r="AD245" s="387"/>
      <c r="AE245" s="387"/>
      <c r="AF245" s="387"/>
      <c r="AG245" s="387"/>
      <c r="AH245" s="387"/>
      <c r="AI245" s="387"/>
      <c r="AJ245" s="387"/>
      <c r="AK245" s="387"/>
      <c r="AL245" s="387"/>
      <c r="AM245" s="387"/>
      <c r="AN245" s="387"/>
      <c r="AO245" s="387"/>
      <c r="AP245" s="387"/>
      <c r="AQ245" s="387"/>
      <c r="AR245" s="387"/>
      <c r="AS245" s="387"/>
      <c r="AT245" s="387"/>
      <c r="AU245" s="387"/>
      <c r="AV245" s="387"/>
      <c r="AW245" s="387"/>
      <c r="AX245" s="387"/>
      <c r="AY245" s="387"/>
      <c r="AZ245" s="387"/>
      <c r="BA245" s="387"/>
      <c r="BB245" s="387"/>
      <c r="BC245" s="387"/>
      <c r="BD245" s="387"/>
      <c r="BE245" s="387"/>
      <c r="BF245" s="387"/>
      <c r="BG245" s="387"/>
      <c r="BH245" s="387"/>
      <c r="BI245" s="387"/>
      <c r="BJ245" s="387"/>
      <c r="BK245" s="387"/>
      <c r="BL245" s="387"/>
      <c r="BM245" s="387"/>
      <c r="BN245" s="387"/>
      <c r="BO245" s="387"/>
      <c r="BP245" s="387"/>
      <c r="BQ245" s="387"/>
      <c r="BR245" s="387"/>
      <c r="BS245" s="387"/>
      <c r="BT245" s="387"/>
      <c r="BU245" s="387"/>
      <c r="BV245" s="387"/>
    </row>
    <row r="246" spans="2:74" x14ac:dyDescent="0.3">
      <c r="B246" s="325"/>
      <c r="C246" s="309"/>
      <c r="D246" s="309"/>
      <c r="E246" s="421"/>
      <c r="F246" s="387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7"/>
      <c r="Z246" s="387"/>
      <c r="AA246" s="387"/>
      <c r="AB246" s="387"/>
      <c r="AC246" s="387"/>
      <c r="AD246" s="387"/>
      <c r="AE246" s="387"/>
      <c r="AF246" s="387"/>
      <c r="AG246" s="387"/>
      <c r="AH246" s="387"/>
      <c r="AI246" s="387"/>
      <c r="AJ246" s="387"/>
      <c r="AK246" s="387"/>
      <c r="AL246" s="387"/>
      <c r="AM246" s="387"/>
      <c r="AN246" s="387"/>
      <c r="AO246" s="387"/>
      <c r="AP246" s="387"/>
      <c r="AQ246" s="387"/>
      <c r="AR246" s="387"/>
      <c r="AS246" s="387"/>
      <c r="AT246" s="387"/>
      <c r="AU246" s="387"/>
      <c r="AV246" s="387"/>
      <c r="AW246" s="387"/>
      <c r="AX246" s="387"/>
      <c r="AY246" s="387"/>
      <c r="AZ246" s="387"/>
      <c r="BA246" s="387"/>
      <c r="BB246" s="387"/>
      <c r="BC246" s="387"/>
      <c r="BD246" s="387"/>
      <c r="BE246" s="387"/>
      <c r="BF246" s="387"/>
      <c r="BG246" s="387"/>
      <c r="BH246" s="387"/>
      <c r="BI246" s="387"/>
      <c r="BJ246" s="387"/>
      <c r="BK246" s="387"/>
      <c r="BL246" s="387"/>
      <c r="BM246" s="387"/>
      <c r="BN246" s="387"/>
      <c r="BO246" s="387"/>
      <c r="BP246" s="387"/>
      <c r="BQ246" s="387"/>
      <c r="BR246" s="387"/>
      <c r="BS246" s="387"/>
      <c r="BT246" s="387"/>
      <c r="BU246" s="387"/>
      <c r="BV246" s="387"/>
    </row>
    <row r="247" spans="2:74" x14ac:dyDescent="0.3">
      <c r="B247" s="325"/>
      <c r="C247" s="309"/>
      <c r="D247" s="309"/>
      <c r="E247" s="421"/>
      <c r="F247" s="387"/>
      <c r="G247" s="387"/>
      <c r="H247" s="387"/>
      <c r="I247" s="387"/>
      <c r="J247" s="387"/>
      <c r="K247" s="387"/>
      <c r="L247" s="387"/>
      <c r="M247" s="387"/>
      <c r="N247" s="387"/>
      <c r="O247" s="387"/>
      <c r="P247" s="387"/>
      <c r="Q247" s="387"/>
      <c r="R247" s="387"/>
      <c r="S247" s="387"/>
      <c r="T247" s="387"/>
      <c r="U247" s="387"/>
      <c r="V247" s="387"/>
      <c r="W247" s="387"/>
      <c r="X247" s="387"/>
      <c r="Y247" s="387"/>
      <c r="Z247" s="387"/>
      <c r="AA247" s="387"/>
      <c r="AB247" s="387"/>
      <c r="AC247" s="387"/>
      <c r="AD247" s="387"/>
      <c r="AE247" s="387"/>
      <c r="AF247" s="387"/>
      <c r="AG247" s="387"/>
      <c r="AH247" s="387"/>
      <c r="AI247" s="387"/>
      <c r="AJ247" s="387"/>
      <c r="AK247" s="387"/>
      <c r="AL247" s="387"/>
      <c r="AM247" s="387"/>
      <c r="AN247" s="387"/>
      <c r="AO247" s="387"/>
      <c r="AP247" s="387"/>
      <c r="AQ247" s="387"/>
      <c r="AR247" s="387"/>
      <c r="AS247" s="387"/>
      <c r="AT247" s="387"/>
      <c r="AU247" s="387"/>
      <c r="AV247" s="387"/>
      <c r="AW247" s="387"/>
      <c r="AX247" s="387"/>
      <c r="AY247" s="387"/>
      <c r="AZ247" s="387"/>
      <c r="BA247" s="387"/>
      <c r="BB247" s="387"/>
      <c r="BC247" s="387"/>
      <c r="BD247" s="387"/>
      <c r="BE247" s="387"/>
      <c r="BF247" s="387"/>
      <c r="BG247" s="387"/>
      <c r="BH247" s="387"/>
      <c r="BI247" s="387"/>
      <c r="BJ247" s="387"/>
      <c r="BK247" s="387"/>
      <c r="BL247" s="387"/>
      <c r="BM247" s="387"/>
      <c r="BN247" s="387"/>
      <c r="BO247" s="387"/>
      <c r="BP247" s="387"/>
      <c r="BQ247" s="387"/>
      <c r="BR247" s="387"/>
      <c r="BS247" s="387"/>
      <c r="BT247" s="387"/>
      <c r="BU247" s="387"/>
      <c r="BV247" s="387"/>
    </row>
    <row r="248" spans="2:74" x14ac:dyDescent="0.3">
      <c r="B248" s="325"/>
      <c r="C248" s="309"/>
      <c r="D248" s="309"/>
      <c r="E248" s="421"/>
      <c r="F248" s="387"/>
      <c r="G248" s="387"/>
      <c r="H248" s="387"/>
      <c r="I248" s="387"/>
      <c r="J248" s="387"/>
      <c r="K248" s="387"/>
      <c r="L248" s="387"/>
      <c r="M248" s="387"/>
      <c r="N248" s="387"/>
      <c r="O248" s="387"/>
      <c r="P248" s="387"/>
      <c r="Q248" s="387"/>
      <c r="R248" s="387"/>
      <c r="S248" s="387"/>
      <c r="T248" s="387"/>
      <c r="U248" s="387"/>
      <c r="V248" s="387"/>
      <c r="W248" s="387"/>
      <c r="X248" s="387"/>
      <c r="Y248" s="387"/>
      <c r="Z248" s="387"/>
      <c r="AA248" s="387"/>
      <c r="AB248" s="387"/>
      <c r="AC248" s="387"/>
      <c r="AD248" s="387"/>
      <c r="AE248" s="387"/>
      <c r="AF248" s="387"/>
      <c r="AG248" s="387"/>
      <c r="AH248" s="387"/>
      <c r="AI248" s="387"/>
      <c r="AJ248" s="387"/>
      <c r="AK248" s="387"/>
      <c r="AL248" s="387"/>
      <c r="AM248" s="387"/>
      <c r="AN248" s="387"/>
      <c r="AO248" s="387"/>
      <c r="AP248" s="387"/>
      <c r="AQ248" s="387"/>
      <c r="AR248" s="387"/>
      <c r="AS248" s="387"/>
      <c r="AT248" s="387"/>
      <c r="AU248" s="387"/>
      <c r="AV248" s="387"/>
      <c r="AW248" s="387"/>
      <c r="AX248" s="387"/>
      <c r="AY248" s="387"/>
      <c r="AZ248" s="387"/>
      <c r="BA248" s="387"/>
      <c r="BB248" s="387"/>
      <c r="BC248" s="387"/>
      <c r="BD248" s="387"/>
      <c r="BE248" s="387"/>
      <c r="BF248" s="387"/>
      <c r="BG248" s="387"/>
      <c r="BH248" s="387"/>
      <c r="BI248" s="387"/>
      <c r="BJ248" s="387"/>
      <c r="BK248" s="387"/>
      <c r="BL248" s="387"/>
      <c r="BM248" s="387"/>
      <c r="BN248" s="387"/>
      <c r="BO248" s="387"/>
      <c r="BP248" s="387"/>
      <c r="BQ248" s="387"/>
      <c r="BR248" s="387"/>
      <c r="BS248" s="387"/>
      <c r="BT248" s="387"/>
      <c r="BU248" s="387"/>
      <c r="BV248" s="387"/>
    </row>
    <row r="249" spans="2:74" x14ac:dyDescent="0.3">
      <c r="B249" s="325"/>
      <c r="C249" s="309"/>
      <c r="D249" s="309"/>
      <c r="E249" s="421"/>
      <c r="F249" s="387"/>
      <c r="G249" s="387"/>
      <c r="H249" s="387"/>
      <c r="I249" s="387"/>
      <c r="J249" s="387"/>
      <c r="K249" s="387"/>
      <c r="L249" s="387"/>
      <c r="M249" s="387"/>
      <c r="N249" s="387"/>
      <c r="O249" s="387"/>
      <c r="P249" s="387"/>
      <c r="Q249" s="387"/>
      <c r="R249" s="387"/>
      <c r="S249" s="387"/>
      <c r="T249" s="387"/>
      <c r="U249" s="387"/>
      <c r="V249" s="387"/>
      <c r="W249" s="387"/>
      <c r="X249" s="387"/>
      <c r="Y249" s="387"/>
      <c r="Z249" s="387"/>
      <c r="AA249" s="387"/>
      <c r="AB249" s="387"/>
      <c r="AC249" s="387"/>
      <c r="AD249" s="387"/>
      <c r="AE249" s="387"/>
      <c r="AF249" s="387"/>
      <c r="AG249" s="387"/>
      <c r="AH249" s="387"/>
      <c r="AI249" s="387"/>
      <c r="AJ249" s="387"/>
      <c r="AK249" s="387"/>
      <c r="AL249" s="387"/>
      <c r="AM249" s="387"/>
      <c r="AN249" s="387"/>
      <c r="AO249" s="387"/>
      <c r="AP249" s="387"/>
      <c r="AQ249" s="387"/>
      <c r="AR249" s="387"/>
      <c r="AS249" s="387"/>
      <c r="AT249" s="387"/>
      <c r="AU249" s="387"/>
      <c r="AV249" s="387"/>
      <c r="AW249" s="387"/>
      <c r="AX249" s="387"/>
      <c r="AY249" s="387"/>
      <c r="AZ249" s="387"/>
      <c r="BA249" s="387"/>
      <c r="BB249" s="387"/>
      <c r="BC249" s="387"/>
      <c r="BD249" s="387"/>
      <c r="BE249" s="387"/>
      <c r="BF249" s="387"/>
      <c r="BG249" s="387"/>
      <c r="BH249" s="387"/>
      <c r="BI249" s="387"/>
      <c r="BJ249" s="387"/>
      <c r="BK249" s="387"/>
      <c r="BL249" s="387"/>
      <c r="BM249" s="387"/>
      <c r="BN249" s="387"/>
      <c r="BO249" s="387"/>
      <c r="BP249" s="387"/>
      <c r="BQ249" s="387"/>
      <c r="BR249" s="387"/>
      <c r="BS249" s="387"/>
      <c r="BT249" s="387"/>
      <c r="BU249" s="387"/>
      <c r="BV249" s="387"/>
    </row>
    <row r="250" spans="2:74" x14ac:dyDescent="0.3">
      <c r="B250" s="325"/>
      <c r="C250" s="309"/>
      <c r="D250" s="309"/>
      <c r="E250" s="421"/>
      <c r="F250" s="387"/>
      <c r="G250" s="387"/>
      <c r="H250" s="387"/>
      <c r="I250" s="387"/>
      <c r="J250" s="387"/>
      <c r="K250" s="387"/>
      <c r="L250" s="387"/>
      <c r="M250" s="387"/>
      <c r="N250" s="387"/>
      <c r="O250" s="387"/>
      <c r="P250" s="387"/>
      <c r="Q250" s="387"/>
      <c r="R250" s="387"/>
      <c r="S250" s="387"/>
      <c r="T250" s="387"/>
      <c r="U250" s="387"/>
      <c r="V250" s="387"/>
      <c r="W250" s="387"/>
      <c r="X250" s="387"/>
      <c r="Y250" s="387"/>
      <c r="Z250" s="387"/>
      <c r="AA250" s="387"/>
      <c r="AB250" s="387"/>
      <c r="AC250" s="387"/>
      <c r="AD250" s="387"/>
      <c r="AE250" s="387"/>
      <c r="AF250" s="387"/>
      <c r="AG250" s="387"/>
      <c r="AH250" s="387"/>
      <c r="AI250" s="387"/>
      <c r="AJ250" s="387"/>
      <c r="AK250" s="387"/>
      <c r="AL250" s="387"/>
      <c r="AM250" s="387"/>
      <c r="AN250" s="387"/>
      <c r="AO250" s="387"/>
      <c r="AP250" s="387"/>
      <c r="AQ250" s="387"/>
      <c r="AR250" s="387"/>
      <c r="AS250" s="387"/>
      <c r="AT250" s="387"/>
      <c r="AU250" s="387"/>
      <c r="AV250" s="387"/>
      <c r="AW250" s="387"/>
      <c r="AX250" s="387"/>
      <c r="AY250" s="387"/>
      <c r="AZ250" s="387"/>
      <c r="BA250" s="387"/>
      <c r="BB250" s="387"/>
      <c r="BC250" s="387"/>
      <c r="BD250" s="387"/>
      <c r="BE250" s="387"/>
      <c r="BF250" s="387"/>
      <c r="BG250" s="387"/>
      <c r="BH250" s="387"/>
      <c r="BI250" s="387"/>
      <c r="BJ250" s="387"/>
      <c r="BK250" s="387"/>
      <c r="BL250" s="387"/>
      <c r="BM250" s="387"/>
      <c r="BN250" s="387"/>
      <c r="BO250" s="387"/>
      <c r="BP250" s="387"/>
      <c r="BQ250" s="387"/>
      <c r="BR250" s="387"/>
      <c r="BS250" s="387"/>
      <c r="BT250" s="387"/>
      <c r="BU250" s="387"/>
      <c r="BV250" s="387"/>
    </row>
    <row r="251" spans="2:74" x14ac:dyDescent="0.3">
      <c r="B251" s="325"/>
      <c r="C251" s="309"/>
      <c r="D251" s="309"/>
      <c r="E251" s="421"/>
      <c r="F251" s="387"/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7"/>
      <c r="Z251" s="387"/>
      <c r="AA251" s="387"/>
      <c r="AB251" s="387"/>
      <c r="AC251" s="387"/>
      <c r="AD251" s="387"/>
      <c r="AE251" s="387"/>
      <c r="AF251" s="387"/>
      <c r="AG251" s="387"/>
      <c r="AH251" s="387"/>
      <c r="AI251" s="387"/>
      <c r="AJ251" s="387"/>
      <c r="AK251" s="387"/>
      <c r="AL251" s="387"/>
      <c r="AM251" s="387"/>
      <c r="AN251" s="387"/>
      <c r="AO251" s="387"/>
      <c r="AP251" s="387"/>
      <c r="AQ251" s="387"/>
      <c r="AR251" s="387"/>
      <c r="AS251" s="387"/>
      <c r="AT251" s="387"/>
      <c r="AU251" s="387"/>
      <c r="AV251" s="387"/>
      <c r="AW251" s="387"/>
      <c r="AX251" s="387"/>
      <c r="AY251" s="387"/>
      <c r="AZ251" s="387"/>
      <c r="BA251" s="387"/>
      <c r="BB251" s="387"/>
      <c r="BC251" s="387"/>
      <c r="BD251" s="387"/>
      <c r="BE251" s="387"/>
      <c r="BF251" s="387"/>
      <c r="BG251" s="387"/>
      <c r="BH251" s="387"/>
      <c r="BI251" s="387"/>
      <c r="BJ251" s="387"/>
      <c r="BK251" s="387"/>
      <c r="BL251" s="387"/>
      <c r="BM251" s="387"/>
      <c r="BN251" s="387"/>
      <c r="BO251" s="387"/>
      <c r="BP251" s="387"/>
      <c r="BQ251" s="387"/>
      <c r="BR251" s="387"/>
      <c r="BS251" s="387"/>
      <c r="BT251" s="387"/>
      <c r="BU251" s="387"/>
      <c r="BV251" s="387"/>
    </row>
    <row r="252" spans="2:74" x14ac:dyDescent="0.3">
      <c r="B252" s="325"/>
      <c r="C252" s="309"/>
      <c r="D252" s="309"/>
      <c r="E252" s="421"/>
      <c r="F252" s="387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  <c r="AA252" s="387"/>
      <c r="AB252" s="387"/>
      <c r="AC252" s="387"/>
      <c r="AD252" s="387"/>
      <c r="AE252" s="387"/>
      <c r="AF252" s="387"/>
      <c r="AG252" s="387"/>
      <c r="AH252" s="387"/>
      <c r="AI252" s="387"/>
      <c r="AJ252" s="387"/>
      <c r="AK252" s="387"/>
      <c r="AL252" s="387"/>
      <c r="AM252" s="387"/>
      <c r="AN252" s="387"/>
      <c r="AO252" s="387"/>
      <c r="AP252" s="387"/>
      <c r="AQ252" s="387"/>
      <c r="AR252" s="387"/>
      <c r="AS252" s="387"/>
      <c r="AT252" s="387"/>
      <c r="AU252" s="387"/>
      <c r="AV252" s="387"/>
      <c r="AW252" s="387"/>
      <c r="AX252" s="387"/>
      <c r="AY252" s="387"/>
      <c r="AZ252" s="387"/>
      <c r="BA252" s="387"/>
      <c r="BB252" s="387"/>
      <c r="BC252" s="387"/>
      <c r="BD252" s="387"/>
      <c r="BE252" s="387"/>
      <c r="BF252" s="387"/>
      <c r="BG252" s="387"/>
      <c r="BH252" s="387"/>
      <c r="BI252" s="387"/>
      <c r="BJ252" s="387"/>
      <c r="BK252" s="387"/>
      <c r="BL252" s="387"/>
      <c r="BM252" s="387"/>
      <c r="BN252" s="387"/>
      <c r="BO252" s="387"/>
      <c r="BP252" s="387"/>
      <c r="BQ252" s="387"/>
      <c r="BR252" s="387"/>
      <c r="BS252" s="387"/>
      <c r="BT252" s="387"/>
      <c r="BU252" s="387"/>
      <c r="BV252" s="387"/>
    </row>
    <row r="253" spans="2:74" x14ac:dyDescent="0.3">
      <c r="B253" s="325"/>
      <c r="C253" s="309"/>
      <c r="D253" s="309"/>
      <c r="E253" s="421"/>
      <c r="F253" s="387"/>
      <c r="G253" s="387"/>
      <c r="H253" s="387"/>
      <c r="I253" s="387"/>
      <c r="J253" s="387"/>
      <c r="K253" s="387"/>
      <c r="L253" s="387"/>
      <c r="M253" s="387"/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7"/>
      <c r="Z253" s="387"/>
      <c r="AA253" s="387"/>
      <c r="AB253" s="387"/>
      <c r="AC253" s="387"/>
      <c r="AD253" s="387"/>
      <c r="AE253" s="387"/>
      <c r="AF253" s="387"/>
      <c r="AG253" s="387"/>
      <c r="AH253" s="387"/>
      <c r="AI253" s="387"/>
      <c r="AJ253" s="387"/>
      <c r="AK253" s="387"/>
      <c r="AL253" s="387"/>
      <c r="AM253" s="387"/>
      <c r="AN253" s="387"/>
      <c r="AO253" s="387"/>
      <c r="AP253" s="387"/>
      <c r="AQ253" s="387"/>
      <c r="AR253" s="387"/>
      <c r="AS253" s="387"/>
      <c r="AT253" s="387"/>
      <c r="AU253" s="387"/>
      <c r="AV253" s="387"/>
      <c r="AW253" s="387"/>
      <c r="AX253" s="387"/>
      <c r="AY253" s="387"/>
      <c r="AZ253" s="387"/>
      <c r="BA253" s="387"/>
      <c r="BB253" s="387"/>
      <c r="BC253" s="387"/>
      <c r="BD253" s="387"/>
      <c r="BE253" s="387"/>
      <c r="BF253" s="387"/>
      <c r="BG253" s="387"/>
      <c r="BH253" s="387"/>
      <c r="BI253" s="387"/>
      <c r="BJ253" s="387"/>
      <c r="BK253" s="387"/>
      <c r="BL253" s="387"/>
      <c r="BM253" s="387"/>
      <c r="BN253" s="387"/>
      <c r="BO253" s="387"/>
      <c r="BP253" s="387"/>
      <c r="BQ253" s="387"/>
      <c r="BR253" s="387"/>
      <c r="BS253" s="387"/>
      <c r="BT253" s="387"/>
      <c r="BU253" s="387"/>
      <c r="BV253" s="387"/>
    </row>
    <row r="254" spans="2:74" x14ac:dyDescent="0.3">
      <c r="B254" s="325"/>
      <c r="C254" s="309"/>
      <c r="D254" s="309"/>
      <c r="E254" s="421"/>
      <c r="F254" s="387"/>
      <c r="G254" s="387"/>
      <c r="H254" s="387"/>
      <c r="I254" s="387"/>
      <c r="J254" s="387"/>
      <c r="K254" s="387"/>
      <c r="L254" s="387"/>
      <c r="M254" s="387"/>
      <c r="N254" s="387"/>
      <c r="O254" s="387"/>
      <c r="P254" s="387"/>
      <c r="Q254" s="387"/>
      <c r="R254" s="387"/>
      <c r="S254" s="387"/>
      <c r="T254" s="387"/>
      <c r="U254" s="387"/>
      <c r="V254" s="387"/>
      <c r="W254" s="387"/>
      <c r="X254" s="387"/>
      <c r="Y254" s="387"/>
      <c r="Z254" s="387"/>
      <c r="AA254" s="387"/>
      <c r="AB254" s="387"/>
      <c r="AC254" s="387"/>
      <c r="AD254" s="387"/>
      <c r="AE254" s="387"/>
      <c r="AF254" s="387"/>
      <c r="AG254" s="387"/>
      <c r="AH254" s="387"/>
      <c r="AI254" s="387"/>
      <c r="AJ254" s="387"/>
      <c r="AK254" s="387"/>
      <c r="AL254" s="387"/>
      <c r="AM254" s="387"/>
      <c r="AN254" s="387"/>
      <c r="AO254" s="387"/>
      <c r="AP254" s="387"/>
      <c r="AQ254" s="387"/>
      <c r="AR254" s="387"/>
      <c r="AS254" s="387"/>
      <c r="AT254" s="387"/>
      <c r="AU254" s="387"/>
      <c r="AV254" s="387"/>
      <c r="AW254" s="387"/>
      <c r="AX254" s="387"/>
      <c r="AY254" s="387"/>
      <c r="AZ254" s="387"/>
      <c r="BA254" s="387"/>
      <c r="BB254" s="387"/>
      <c r="BC254" s="387"/>
      <c r="BD254" s="387"/>
      <c r="BE254" s="387"/>
      <c r="BF254" s="387"/>
      <c r="BG254" s="387"/>
      <c r="BH254" s="387"/>
      <c r="BI254" s="387"/>
      <c r="BJ254" s="387"/>
      <c r="BK254" s="387"/>
      <c r="BL254" s="387"/>
      <c r="BM254" s="387"/>
      <c r="BN254" s="387"/>
      <c r="BO254" s="387"/>
      <c r="BP254" s="387"/>
      <c r="BQ254" s="387"/>
      <c r="BR254" s="387"/>
      <c r="BS254" s="387"/>
      <c r="BT254" s="387"/>
      <c r="BU254" s="387"/>
      <c r="BV254" s="387"/>
    </row>
    <row r="255" spans="2:74" x14ac:dyDescent="0.3">
      <c r="B255" s="325"/>
      <c r="C255" s="309"/>
      <c r="D255" s="309"/>
      <c r="E255" s="421"/>
      <c r="F255" s="387"/>
      <c r="G255" s="387"/>
      <c r="H255" s="387"/>
      <c r="I255" s="387"/>
      <c r="J255" s="387"/>
      <c r="K255" s="387"/>
      <c r="L255" s="387"/>
      <c r="M255" s="387"/>
      <c r="N255" s="387"/>
      <c r="O255" s="387"/>
      <c r="P255" s="387"/>
      <c r="Q255" s="387"/>
      <c r="R255" s="387"/>
      <c r="S255" s="387"/>
      <c r="T255" s="387"/>
      <c r="U255" s="387"/>
      <c r="V255" s="387"/>
      <c r="W255" s="387"/>
      <c r="X255" s="387"/>
      <c r="Y255" s="387"/>
      <c r="Z255" s="387"/>
      <c r="AA255" s="387"/>
      <c r="AB255" s="387"/>
      <c r="AC255" s="387"/>
      <c r="AD255" s="387"/>
      <c r="AE255" s="387"/>
      <c r="AF255" s="387"/>
      <c r="AG255" s="387"/>
      <c r="AH255" s="387"/>
      <c r="AI255" s="387"/>
      <c r="AJ255" s="387"/>
      <c r="AK255" s="387"/>
      <c r="AL255" s="387"/>
      <c r="AM255" s="387"/>
      <c r="AN255" s="387"/>
      <c r="AO255" s="387"/>
      <c r="AP255" s="387"/>
      <c r="AQ255" s="387"/>
      <c r="AR255" s="387"/>
      <c r="AS255" s="387"/>
      <c r="AT255" s="387"/>
      <c r="AU255" s="387"/>
      <c r="AV255" s="387"/>
      <c r="AW255" s="387"/>
      <c r="AX255" s="387"/>
      <c r="AY255" s="387"/>
      <c r="AZ255" s="387"/>
      <c r="BA255" s="387"/>
      <c r="BB255" s="387"/>
      <c r="BC255" s="387"/>
      <c r="BD255" s="387"/>
      <c r="BE255" s="387"/>
      <c r="BF255" s="387"/>
      <c r="BG255" s="387"/>
      <c r="BH255" s="387"/>
      <c r="BI255" s="387"/>
      <c r="BJ255" s="387"/>
      <c r="BK255" s="387"/>
      <c r="BL255" s="387"/>
      <c r="BM255" s="387"/>
      <c r="BN255" s="387"/>
      <c r="BO255" s="387"/>
      <c r="BP255" s="387"/>
      <c r="BQ255" s="387"/>
      <c r="BR255" s="387"/>
      <c r="BS255" s="387"/>
      <c r="BT255" s="387"/>
      <c r="BU255" s="387"/>
      <c r="BV255" s="387"/>
    </row>
    <row r="256" spans="2:74" x14ac:dyDescent="0.3">
      <c r="B256" s="325"/>
      <c r="C256" s="309"/>
      <c r="D256" s="309"/>
      <c r="E256" s="421"/>
      <c r="F256" s="387"/>
      <c r="G256" s="387"/>
      <c r="H256" s="387"/>
      <c r="I256" s="387"/>
      <c r="J256" s="387"/>
      <c r="K256" s="387"/>
      <c r="L256" s="387"/>
      <c r="M256" s="387"/>
      <c r="N256" s="387"/>
      <c r="O256" s="387"/>
      <c r="P256" s="387"/>
      <c r="Q256" s="387"/>
      <c r="R256" s="387"/>
      <c r="S256" s="387"/>
      <c r="T256" s="387"/>
      <c r="U256" s="387"/>
      <c r="V256" s="387"/>
      <c r="W256" s="387"/>
      <c r="X256" s="387"/>
      <c r="Y256" s="387"/>
      <c r="Z256" s="387"/>
      <c r="AA256" s="387"/>
      <c r="AB256" s="387"/>
      <c r="AC256" s="387"/>
      <c r="AD256" s="387"/>
      <c r="AE256" s="387"/>
      <c r="AF256" s="387"/>
      <c r="AG256" s="387"/>
      <c r="AH256" s="387"/>
      <c r="AI256" s="387"/>
      <c r="AJ256" s="387"/>
      <c r="AK256" s="387"/>
      <c r="AL256" s="387"/>
      <c r="AM256" s="387"/>
      <c r="AN256" s="387"/>
      <c r="AO256" s="387"/>
      <c r="AP256" s="387"/>
      <c r="AQ256" s="387"/>
      <c r="AR256" s="387"/>
      <c r="AS256" s="387"/>
      <c r="AT256" s="387"/>
      <c r="AU256" s="387"/>
      <c r="AV256" s="387"/>
      <c r="AW256" s="387"/>
      <c r="AX256" s="387"/>
      <c r="AY256" s="387"/>
      <c r="AZ256" s="387"/>
      <c r="BA256" s="387"/>
      <c r="BB256" s="387"/>
      <c r="BC256" s="387"/>
      <c r="BD256" s="387"/>
      <c r="BE256" s="387"/>
      <c r="BF256" s="387"/>
      <c r="BG256" s="387"/>
      <c r="BH256" s="387"/>
      <c r="BI256" s="387"/>
      <c r="BJ256" s="387"/>
      <c r="BK256" s="387"/>
      <c r="BL256" s="387"/>
      <c r="BM256" s="387"/>
      <c r="BN256" s="387"/>
      <c r="BO256" s="387"/>
      <c r="BP256" s="387"/>
      <c r="BQ256" s="387"/>
      <c r="BR256" s="387"/>
      <c r="BS256" s="387"/>
      <c r="BT256" s="387"/>
      <c r="BU256" s="387"/>
      <c r="BV256" s="387"/>
    </row>
    <row r="257" spans="2:74" x14ac:dyDescent="0.3">
      <c r="B257" s="325"/>
      <c r="C257" s="309"/>
      <c r="D257" s="309"/>
      <c r="E257" s="421"/>
      <c r="F257" s="387"/>
      <c r="G257" s="387"/>
      <c r="H257" s="387"/>
      <c r="I257" s="387"/>
      <c r="J257" s="387"/>
      <c r="K257" s="387"/>
      <c r="L257" s="387"/>
      <c r="M257" s="387"/>
      <c r="N257" s="387"/>
      <c r="O257" s="387"/>
      <c r="P257" s="387"/>
      <c r="Q257" s="387"/>
      <c r="R257" s="387"/>
      <c r="S257" s="387"/>
      <c r="T257" s="387"/>
      <c r="U257" s="387"/>
      <c r="V257" s="387"/>
      <c r="W257" s="387"/>
      <c r="X257" s="387"/>
      <c r="Y257" s="387"/>
      <c r="Z257" s="387"/>
      <c r="AA257" s="387"/>
      <c r="AB257" s="387"/>
      <c r="AC257" s="387"/>
      <c r="AD257" s="387"/>
      <c r="AE257" s="387"/>
      <c r="AF257" s="387"/>
      <c r="AG257" s="387"/>
      <c r="AH257" s="387"/>
      <c r="AI257" s="387"/>
      <c r="AJ257" s="387"/>
      <c r="AK257" s="387"/>
      <c r="AL257" s="387"/>
      <c r="AM257" s="387"/>
      <c r="AN257" s="387"/>
      <c r="AO257" s="387"/>
      <c r="AP257" s="387"/>
      <c r="AQ257" s="387"/>
      <c r="AR257" s="387"/>
      <c r="AS257" s="387"/>
      <c r="AT257" s="387"/>
      <c r="AU257" s="387"/>
      <c r="AV257" s="387"/>
      <c r="AW257" s="387"/>
      <c r="AX257" s="387"/>
      <c r="AY257" s="387"/>
      <c r="AZ257" s="387"/>
      <c r="BA257" s="387"/>
      <c r="BB257" s="387"/>
      <c r="BC257" s="387"/>
      <c r="BD257" s="387"/>
      <c r="BE257" s="387"/>
      <c r="BF257" s="387"/>
      <c r="BG257" s="387"/>
      <c r="BH257" s="387"/>
      <c r="BI257" s="387"/>
      <c r="BJ257" s="387"/>
      <c r="BK257" s="387"/>
      <c r="BL257" s="387"/>
      <c r="BM257" s="387"/>
      <c r="BN257" s="387"/>
      <c r="BO257" s="387"/>
      <c r="BP257" s="387"/>
      <c r="BQ257" s="387"/>
      <c r="BR257" s="387"/>
      <c r="BS257" s="387"/>
      <c r="BT257" s="387"/>
      <c r="BU257" s="387"/>
      <c r="BV257" s="387"/>
    </row>
    <row r="258" spans="2:74" x14ac:dyDescent="0.3">
      <c r="B258" s="325"/>
      <c r="C258" s="309"/>
      <c r="D258" s="309"/>
      <c r="E258" s="421"/>
      <c r="F258" s="387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87"/>
      <c r="R258" s="387"/>
      <c r="S258" s="387"/>
      <c r="T258" s="387"/>
      <c r="U258" s="387"/>
      <c r="V258" s="387"/>
      <c r="W258" s="387"/>
      <c r="X258" s="387"/>
      <c r="Y258" s="387"/>
      <c r="Z258" s="387"/>
      <c r="AA258" s="387"/>
      <c r="AB258" s="387"/>
      <c r="AC258" s="387"/>
      <c r="AD258" s="387"/>
      <c r="AE258" s="387"/>
      <c r="AF258" s="387"/>
      <c r="AG258" s="387"/>
      <c r="AH258" s="387"/>
      <c r="AI258" s="387"/>
      <c r="AJ258" s="387"/>
      <c r="AK258" s="387"/>
      <c r="AL258" s="387"/>
      <c r="AM258" s="387"/>
      <c r="AN258" s="387"/>
      <c r="AO258" s="387"/>
      <c r="AP258" s="387"/>
      <c r="AQ258" s="387"/>
      <c r="AR258" s="387"/>
      <c r="AS258" s="387"/>
      <c r="AT258" s="387"/>
      <c r="AU258" s="387"/>
      <c r="AV258" s="387"/>
      <c r="AW258" s="387"/>
      <c r="AX258" s="387"/>
      <c r="AY258" s="387"/>
      <c r="AZ258" s="387"/>
      <c r="BA258" s="387"/>
      <c r="BB258" s="387"/>
      <c r="BC258" s="387"/>
      <c r="BD258" s="387"/>
      <c r="BE258" s="387"/>
      <c r="BF258" s="387"/>
      <c r="BG258" s="387"/>
      <c r="BH258" s="387"/>
      <c r="BI258" s="387"/>
      <c r="BJ258" s="387"/>
      <c r="BK258" s="387"/>
      <c r="BL258" s="387"/>
      <c r="BM258" s="387"/>
      <c r="BN258" s="387"/>
      <c r="BO258" s="387"/>
      <c r="BP258" s="387"/>
      <c r="BQ258" s="387"/>
      <c r="BR258" s="387"/>
      <c r="BS258" s="387"/>
      <c r="BT258" s="387"/>
      <c r="BU258" s="387"/>
      <c r="BV258" s="387"/>
    </row>
    <row r="259" spans="2:74" x14ac:dyDescent="0.3">
      <c r="B259" s="325"/>
      <c r="C259" s="325"/>
      <c r="D259" s="325"/>
      <c r="E259" s="421"/>
      <c r="F259" s="387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87"/>
      <c r="R259" s="387"/>
      <c r="S259" s="387"/>
      <c r="T259" s="387"/>
      <c r="U259" s="387"/>
      <c r="V259" s="387"/>
      <c r="W259" s="387"/>
      <c r="X259" s="387"/>
      <c r="Y259" s="387"/>
      <c r="Z259" s="387"/>
      <c r="AA259" s="387"/>
      <c r="AB259" s="387"/>
      <c r="AC259" s="387"/>
      <c r="AD259" s="387"/>
      <c r="AE259" s="387"/>
      <c r="AF259" s="387"/>
      <c r="AG259" s="387"/>
      <c r="AH259" s="387"/>
      <c r="AI259" s="387"/>
      <c r="AJ259" s="387"/>
      <c r="AK259" s="387"/>
      <c r="AL259" s="387"/>
      <c r="AM259" s="387"/>
      <c r="AN259" s="387"/>
      <c r="AO259" s="387"/>
      <c r="AP259" s="387"/>
      <c r="AQ259" s="387"/>
      <c r="AR259" s="387"/>
      <c r="AS259" s="387"/>
      <c r="AT259" s="387"/>
      <c r="AU259" s="387"/>
      <c r="AV259" s="387"/>
      <c r="AW259" s="387"/>
      <c r="AX259" s="387"/>
      <c r="AY259" s="387"/>
      <c r="AZ259" s="387"/>
      <c r="BA259" s="387"/>
      <c r="BB259" s="387"/>
      <c r="BC259" s="387"/>
      <c r="BD259" s="387"/>
      <c r="BE259" s="387"/>
      <c r="BF259" s="387"/>
      <c r="BG259" s="387"/>
      <c r="BH259" s="387"/>
      <c r="BI259" s="387"/>
      <c r="BJ259" s="387"/>
      <c r="BK259" s="387"/>
      <c r="BL259" s="387"/>
      <c r="BM259" s="387"/>
      <c r="BN259" s="387"/>
      <c r="BO259" s="387"/>
      <c r="BP259" s="387"/>
      <c r="BQ259" s="387"/>
      <c r="BR259" s="387"/>
      <c r="BS259" s="387"/>
      <c r="BT259" s="387"/>
      <c r="BU259" s="387"/>
      <c r="BV259" s="387"/>
    </row>
    <row r="260" spans="2:74" x14ac:dyDescent="0.3">
      <c r="B260" s="325"/>
      <c r="C260" s="309"/>
      <c r="D260" s="309"/>
      <c r="E260" s="421"/>
      <c r="F260" s="387"/>
      <c r="G260" s="387"/>
      <c r="H260" s="387"/>
      <c r="I260" s="387"/>
      <c r="J260" s="387"/>
      <c r="K260" s="387"/>
      <c r="L260" s="387"/>
      <c r="M260" s="387"/>
      <c r="N260" s="387"/>
      <c r="O260" s="387"/>
      <c r="P260" s="387"/>
      <c r="Q260" s="387"/>
      <c r="R260" s="387"/>
      <c r="S260" s="387"/>
      <c r="T260" s="387"/>
      <c r="U260" s="387"/>
      <c r="V260" s="387"/>
      <c r="W260" s="387"/>
      <c r="X260" s="387"/>
      <c r="Y260" s="387"/>
      <c r="Z260" s="387"/>
      <c r="AA260" s="387"/>
      <c r="AB260" s="387"/>
      <c r="AC260" s="387"/>
      <c r="AD260" s="387"/>
      <c r="AE260" s="387"/>
      <c r="AF260" s="387"/>
      <c r="AG260" s="387"/>
      <c r="AH260" s="387"/>
      <c r="AI260" s="387"/>
      <c r="AJ260" s="387"/>
      <c r="AK260" s="387"/>
      <c r="AL260" s="387"/>
      <c r="AM260" s="387"/>
      <c r="AN260" s="387"/>
      <c r="AO260" s="387"/>
      <c r="AP260" s="387"/>
      <c r="AQ260" s="387"/>
      <c r="AR260" s="387"/>
      <c r="AS260" s="387"/>
      <c r="AT260" s="387"/>
      <c r="AU260" s="387"/>
      <c r="AV260" s="387"/>
      <c r="AW260" s="387"/>
      <c r="AX260" s="387"/>
      <c r="AY260" s="387"/>
      <c r="AZ260" s="387"/>
      <c r="BA260" s="387"/>
      <c r="BB260" s="387"/>
      <c r="BC260" s="387"/>
      <c r="BD260" s="387"/>
      <c r="BE260" s="387"/>
      <c r="BF260" s="387"/>
      <c r="BG260" s="387"/>
      <c r="BH260" s="387"/>
      <c r="BI260" s="387"/>
      <c r="BJ260" s="387"/>
      <c r="BK260" s="387"/>
      <c r="BL260" s="387"/>
      <c r="BM260" s="387"/>
      <c r="BN260" s="387"/>
      <c r="BO260" s="387"/>
      <c r="BP260" s="387"/>
      <c r="BQ260" s="387"/>
      <c r="BR260" s="387"/>
      <c r="BS260" s="387"/>
      <c r="BT260" s="387"/>
      <c r="BU260" s="387"/>
      <c r="BV260" s="387"/>
    </row>
    <row r="261" spans="2:74" x14ac:dyDescent="0.3">
      <c r="C261" s="309"/>
      <c r="D261" s="309"/>
      <c r="E261" s="421"/>
      <c r="F261" s="387"/>
      <c r="G261" s="387"/>
      <c r="H261" s="387"/>
      <c r="I261" s="387"/>
      <c r="J261" s="387"/>
      <c r="K261" s="387"/>
      <c r="L261" s="387"/>
      <c r="M261" s="387"/>
      <c r="N261" s="387"/>
      <c r="O261" s="387"/>
      <c r="P261" s="387"/>
      <c r="Q261" s="387"/>
      <c r="R261" s="387"/>
      <c r="S261" s="387"/>
      <c r="T261" s="387"/>
      <c r="U261" s="387"/>
      <c r="V261" s="387"/>
      <c r="W261" s="387"/>
      <c r="X261" s="387"/>
      <c r="Y261" s="387"/>
      <c r="Z261" s="387"/>
      <c r="AA261" s="387"/>
      <c r="AB261" s="387"/>
      <c r="AC261" s="387"/>
      <c r="AD261" s="387"/>
      <c r="AE261" s="387"/>
      <c r="AF261" s="387"/>
      <c r="AG261" s="387"/>
      <c r="AH261" s="387"/>
      <c r="AI261" s="387"/>
      <c r="AJ261" s="387"/>
      <c r="AK261" s="387"/>
      <c r="AL261" s="387"/>
      <c r="AM261" s="387"/>
      <c r="AN261" s="387"/>
      <c r="AO261" s="387"/>
      <c r="AP261" s="387"/>
      <c r="AQ261" s="387"/>
      <c r="AR261" s="387"/>
      <c r="AS261" s="387"/>
      <c r="AT261" s="387"/>
      <c r="AU261" s="387"/>
      <c r="AV261" s="387"/>
      <c r="AW261" s="387"/>
      <c r="AX261" s="387"/>
      <c r="AY261" s="387"/>
      <c r="AZ261" s="387"/>
      <c r="BA261" s="387"/>
      <c r="BB261" s="387"/>
      <c r="BC261" s="387"/>
      <c r="BD261" s="387"/>
      <c r="BE261" s="387"/>
      <c r="BF261" s="387"/>
      <c r="BG261" s="387"/>
      <c r="BH261" s="387"/>
      <c r="BI261" s="387"/>
      <c r="BJ261" s="387"/>
      <c r="BK261" s="387"/>
      <c r="BL261" s="387"/>
      <c r="BM261" s="387"/>
      <c r="BN261" s="387"/>
      <c r="BO261" s="387"/>
      <c r="BP261" s="387"/>
      <c r="BQ261" s="387"/>
      <c r="BR261" s="387"/>
      <c r="BS261" s="387"/>
      <c r="BT261" s="387"/>
      <c r="BU261" s="387"/>
      <c r="BV261" s="387"/>
    </row>
    <row r="262" spans="2:74" x14ac:dyDescent="0.3">
      <c r="B262" s="325"/>
      <c r="C262" s="309"/>
      <c r="D262" s="309"/>
      <c r="E262" s="421"/>
      <c r="F262" s="387"/>
      <c r="G262" s="387"/>
      <c r="H262" s="387"/>
      <c r="I262" s="387"/>
      <c r="J262" s="387"/>
      <c r="K262" s="387"/>
      <c r="L262" s="387"/>
      <c r="M262" s="387"/>
      <c r="N262" s="387"/>
      <c r="O262" s="387"/>
      <c r="P262" s="387"/>
      <c r="Q262" s="387"/>
      <c r="R262" s="387"/>
      <c r="S262" s="387"/>
      <c r="T262" s="387"/>
      <c r="U262" s="387"/>
      <c r="V262" s="387"/>
      <c r="W262" s="387"/>
      <c r="X262" s="387"/>
      <c r="Y262" s="387"/>
      <c r="Z262" s="387"/>
      <c r="AA262" s="387"/>
      <c r="AB262" s="387"/>
      <c r="AC262" s="387"/>
      <c r="AD262" s="387"/>
      <c r="AE262" s="387"/>
      <c r="AF262" s="387"/>
      <c r="AG262" s="387"/>
      <c r="AH262" s="387"/>
      <c r="AI262" s="387"/>
      <c r="AJ262" s="387"/>
      <c r="AK262" s="387"/>
      <c r="AL262" s="387"/>
      <c r="AM262" s="387"/>
      <c r="AN262" s="387"/>
      <c r="AO262" s="387"/>
      <c r="AP262" s="387"/>
      <c r="AQ262" s="387"/>
      <c r="AR262" s="387"/>
      <c r="AS262" s="387"/>
      <c r="AT262" s="387"/>
      <c r="AU262" s="387"/>
      <c r="AV262" s="387"/>
      <c r="AW262" s="387"/>
      <c r="AX262" s="387"/>
      <c r="AY262" s="387"/>
      <c r="AZ262" s="387"/>
      <c r="BA262" s="387"/>
      <c r="BB262" s="387"/>
      <c r="BC262" s="387"/>
      <c r="BD262" s="387"/>
      <c r="BE262" s="387"/>
      <c r="BF262" s="387"/>
      <c r="BG262" s="387"/>
      <c r="BH262" s="387"/>
      <c r="BI262" s="387"/>
      <c r="BJ262" s="387"/>
      <c r="BK262" s="387"/>
      <c r="BL262" s="387"/>
      <c r="BM262" s="387"/>
      <c r="BN262" s="387"/>
      <c r="BO262" s="387"/>
      <c r="BP262" s="387"/>
      <c r="BQ262" s="387"/>
      <c r="BR262" s="387"/>
      <c r="BS262" s="387"/>
      <c r="BT262" s="387"/>
      <c r="BU262" s="387"/>
      <c r="BV262" s="387"/>
    </row>
    <row r="263" spans="2:74" x14ac:dyDescent="0.3">
      <c r="B263" s="325"/>
      <c r="C263" s="309"/>
      <c r="D263" s="309"/>
      <c r="E263" s="421"/>
      <c r="F263" s="387"/>
      <c r="G263" s="387"/>
      <c r="H263" s="387"/>
      <c r="I263" s="387"/>
      <c r="J263" s="387"/>
      <c r="K263" s="387"/>
      <c r="L263" s="387"/>
      <c r="M263" s="387"/>
      <c r="N263" s="387"/>
      <c r="O263" s="387"/>
      <c r="P263" s="387"/>
      <c r="Q263" s="387"/>
      <c r="R263" s="387"/>
      <c r="S263" s="387"/>
      <c r="T263" s="387"/>
      <c r="U263" s="387"/>
      <c r="V263" s="387"/>
      <c r="W263" s="387"/>
      <c r="X263" s="387"/>
      <c r="Y263" s="387"/>
      <c r="Z263" s="387"/>
      <c r="AA263" s="387"/>
      <c r="AB263" s="387"/>
      <c r="AC263" s="387"/>
      <c r="AD263" s="387"/>
      <c r="AE263" s="387"/>
      <c r="AF263" s="387"/>
      <c r="AG263" s="387"/>
      <c r="AH263" s="387"/>
      <c r="AI263" s="387"/>
      <c r="AJ263" s="387"/>
      <c r="AK263" s="387"/>
      <c r="AL263" s="387"/>
      <c r="AM263" s="387"/>
      <c r="AN263" s="387"/>
      <c r="AO263" s="387"/>
      <c r="AP263" s="387"/>
      <c r="AQ263" s="387"/>
      <c r="AR263" s="387"/>
      <c r="AS263" s="387"/>
      <c r="AT263" s="387"/>
      <c r="AU263" s="387"/>
      <c r="AV263" s="387"/>
      <c r="AW263" s="387"/>
      <c r="AX263" s="387"/>
      <c r="AY263" s="387"/>
      <c r="AZ263" s="387"/>
      <c r="BA263" s="387"/>
      <c r="BB263" s="387"/>
      <c r="BC263" s="387"/>
      <c r="BD263" s="387"/>
      <c r="BE263" s="387"/>
      <c r="BF263" s="387"/>
      <c r="BG263" s="387"/>
      <c r="BH263" s="387"/>
      <c r="BI263" s="387"/>
      <c r="BJ263" s="387"/>
      <c r="BK263" s="387"/>
      <c r="BL263" s="387"/>
      <c r="BM263" s="387"/>
      <c r="BN263" s="387"/>
      <c r="BO263" s="387"/>
      <c r="BP263" s="387"/>
      <c r="BQ263" s="387"/>
      <c r="BR263" s="387"/>
      <c r="BS263" s="387"/>
      <c r="BT263" s="387"/>
      <c r="BU263" s="387"/>
      <c r="BV263" s="387"/>
    </row>
    <row r="264" spans="2:74" x14ac:dyDescent="0.3">
      <c r="B264" s="325"/>
      <c r="C264" s="309"/>
      <c r="D264" s="309"/>
      <c r="E264" s="421"/>
      <c r="F264" s="387"/>
      <c r="G264" s="387"/>
      <c r="H264" s="387"/>
      <c r="I264" s="387"/>
      <c r="J264" s="387"/>
      <c r="K264" s="387"/>
      <c r="L264" s="387"/>
      <c r="M264" s="387"/>
      <c r="N264" s="387"/>
      <c r="O264" s="387"/>
      <c r="P264" s="387"/>
      <c r="Q264" s="387"/>
      <c r="R264" s="387"/>
      <c r="S264" s="387"/>
      <c r="T264" s="387"/>
      <c r="U264" s="387"/>
      <c r="V264" s="387"/>
      <c r="W264" s="387"/>
      <c r="X264" s="387"/>
      <c r="Y264" s="387"/>
      <c r="Z264" s="387"/>
      <c r="AA264" s="387"/>
      <c r="AB264" s="387"/>
      <c r="AC264" s="387"/>
      <c r="AD264" s="387"/>
      <c r="AE264" s="387"/>
      <c r="AF264" s="387"/>
      <c r="AG264" s="387"/>
      <c r="AH264" s="387"/>
      <c r="AI264" s="387"/>
      <c r="AJ264" s="387"/>
      <c r="AK264" s="387"/>
      <c r="AL264" s="387"/>
      <c r="AM264" s="387"/>
      <c r="AN264" s="387"/>
      <c r="AO264" s="387"/>
      <c r="AP264" s="387"/>
      <c r="AQ264" s="387"/>
      <c r="AR264" s="387"/>
      <c r="AS264" s="387"/>
      <c r="AT264" s="387"/>
      <c r="AU264" s="387"/>
      <c r="AV264" s="387"/>
      <c r="AW264" s="387"/>
      <c r="AX264" s="387"/>
      <c r="AY264" s="387"/>
      <c r="AZ264" s="387"/>
      <c r="BA264" s="387"/>
      <c r="BB264" s="387"/>
      <c r="BC264" s="387"/>
      <c r="BD264" s="387"/>
      <c r="BE264" s="387"/>
      <c r="BF264" s="387"/>
      <c r="BG264" s="387"/>
      <c r="BH264" s="387"/>
      <c r="BI264" s="387"/>
      <c r="BJ264" s="387"/>
      <c r="BK264" s="387"/>
      <c r="BL264" s="387"/>
      <c r="BM264" s="387"/>
      <c r="BN264" s="387"/>
      <c r="BO264" s="387"/>
      <c r="BP264" s="387"/>
      <c r="BQ264" s="387"/>
      <c r="BR264" s="387"/>
      <c r="BS264" s="387"/>
      <c r="BT264" s="387"/>
      <c r="BU264" s="387"/>
      <c r="BV264" s="387"/>
    </row>
    <row r="265" spans="2:74" x14ac:dyDescent="0.3">
      <c r="B265" s="325"/>
      <c r="C265" s="309"/>
      <c r="D265" s="309"/>
      <c r="E265" s="421"/>
      <c r="F265" s="387"/>
      <c r="G265" s="387"/>
      <c r="H265" s="387"/>
      <c r="I265" s="387"/>
      <c r="J265" s="387"/>
      <c r="K265" s="387"/>
      <c r="L265" s="387"/>
      <c r="M265" s="387"/>
      <c r="N265" s="387"/>
      <c r="O265" s="387"/>
      <c r="P265" s="387"/>
      <c r="Q265" s="387"/>
      <c r="R265" s="387"/>
      <c r="S265" s="387"/>
      <c r="T265" s="387"/>
      <c r="U265" s="387"/>
      <c r="V265" s="387"/>
      <c r="W265" s="387"/>
      <c r="X265" s="387"/>
      <c r="Y265" s="387"/>
      <c r="Z265" s="387"/>
      <c r="AA265" s="387"/>
      <c r="AB265" s="387"/>
      <c r="AC265" s="387"/>
      <c r="AD265" s="387"/>
      <c r="AE265" s="387"/>
      <c r="AF265" s="387"/>
      <c r="AG265" s="387"/>
      <c r="AH265" s="387"/>
      <c r="AI265" s="387"/>
      <c r="AJ265" s="387"/>
      <c r="AK265" s="387"/>
      <c r="AL265" s="387"/>
      <c r="AM265" s="387"/>
      <c r="AN265" s="387"/>
      <c r="AO265" s="387"/>
      <c r="AP265" s="387"/>
      <c r="AQ265" s="387"/>
      <c r="AR265" s="387"/>
      <c r="AS265" s="387"/>
      <c r="AT265" s="387"/>
      <c r="AU265" s="387"/>
      <c r="AV265" s="387"/>
      <c r="AW265" s="387"/>
      <c r="AX265" s="387"/>
      <c r="AY265" s="387"/>
      <c r="AZ265" s="387"/>
      <c r="BA265" s="387"/>
      <c r="BB265" s="387"/>
      <c r="BC265" s="387"/>
      <c r="BD265" s="387"/>
      <c r="BE265" s="387"/>
      <c r="BF265" s="387"/>
      <c r="BG265" s="387"/>
      <c r="BH265" s="387"/>
      <c r="BI265" s="387"/>
      <c r="BJ265" s="387"/>
      <c r="BK265" s="387"/>
      <c r="BL265" s="387"/>
      <c r="BM265" s="387"/>
      <c r="BN265" s="387"/>
      <c r="BO265" s="387"/>
      <c r="BP265" s="387"/>
      <c r="BQ265" s="387"/>
      <c r="BR265" s="387"/>
      <c r="BS265" s="387"/>
      <c r="BT265" s="387"/>
      <c r="BU265" s="387"/>
      <c r="BV265" s="387"/>
    </row>
    <row r="266" spans="2:74" x14ac:dyDescent="0.3">
      <c r="B266" s="325"/>
      <c r="C266" s="309"/>
      <c r="D266" s="309"/>
      <c r="E266" s="421"/>
      <c r="F266" s="387"/>
      <c r="G266" s="387"/>
      <c r="H266" s="387"/>
      <c r="I266" s="387"/>
      <c r="J266" s="387"/>
      <c r="K266" s="387"/>
      <c r="L266" s="387"/>
      <c r="M266" s="387"/>
      <c r="N266" s="387"/>
      <c r="O266" s="387"/>
      <c r="P266" s="387"/>
      <c r="Q266" s="387"/>
      <c r="R266" s="387"/>
      <c r="S266" s="387"/>
      <c r="T266" s="387"/>
      <c r="U266" s="387"/>
      <c r="V266" s="387"/>
      <c r="W266" s="387"/>
      <c r="X266" s="387"/>
      <c r="Y266" s="387"/>
      <c r="Z266" s="387"/>
      <c r="AA266" s="387"/>
      <c r="AB266" s="387"/>
      <c r="AC266" s="387"/>
      <c r="AD266" s="387"/>
      <c r="AE266" s="387"/>
      <c r="AF266" s="387"/>
      <c r="AG266" s="387"/>
      <c r="AH266" s="387"/>
      <c r="AI266" s="387"/>
      <c r="AJ266" s="387"/>
      <c r="AK266" s="387"/>
      <c r="AL266" s="387"/>
      <c r="AM266" s="387"/>
      <c r="AN266" s="387"/>
      <c r="AO266" s="387"/>
      <c r="AP266" s="387"/>
      <c r="AQ266" s="387"/>
      <c r="AR266" s="387"/>
      <c r="AS266" s="387"/>
      <c r="AT266" s="387"/>
      <c r="AU266" s="387"/>
      <c r="AV266" s="387"/>
      <c r="AW266" s="387"/>
      <c r="AX266" s="387"/>
      <c r="AY266" s="387"/>
      <c r="AZ266" s="387"/>
      <c r="BA266" s="387"/>
      <c r="BB266" s="387"/>
      <c r="BC266" s="387"/>
      <c r="BD266" s="387"/>
      <c r="BE266" s="387"/>
      <c r="BF266" s="387"/>
      <c r="BG266" s="387"/>
      <c r="BH266" s="387"/>
      <c r="BI266" s="387"/>
      <c r="BJ266" s="387"/>
      <c r="BK266" s="387"/>
      <c r="BL266" s="387"/>
      <c r="BM266" s="387"/>
      <c r="BN266" s="387"/>
      <c r="BO266" s="387"/>
      <c r="BP266" s="387"/>
      <c r="BQ266" s="387"/>
      <c r="BR266" s="387"/>
      <c r="BS266" s="387"/>
      <c r="BT266" s="387"/>
      <c r="BU266" s="387"/>
      <c r="BV266" s="387"/>
    </row>
    <row r="267" spans="2:74" x14ac:dyDescent="0.3">
      <c r="B267" s="325"/>
      <c r="C267" s="309"/>
      <c r="D267" s="309"/>
      <c r="E267" s="421"/>
      <c r="F267" s="387"/>
      <c r="G267" s="387"/>
      <c r="H267" s="387"/>
      <c r="I267" s="387"/>
      <c r="J267" s="387"/>
      <c r="K267" s="387"/>
      <c r="L267" s="387"/>
      <c r="M267" s="387"/>
      <c r="N267" s="387"/>
      <c r="O267" s="387"/>
      <c r="P267" s="387"/>
      <c r="Q267" s="387"/>
      <c r="R267" s="387"/>
      <c r="S267" s="387"/>
      <c r="T267" s="387"/>
      <c r="U267" s="387"/>
      <c r="V267" s="387"/>
      <c r="W267" s="387"/>
      <c r="X267" s="387"/>
      <c r="Y267" s="387"/>
      <c r="Z267" s="387"/>
      <c r="AA267" s="387"/>
      <c r="AB267" s="387"/>
      <c r="AC267" s="387"/>
      <c r="AD267" s="387"/>
      <c r="AE267" s="387"/>
      <c r="AF267" s="387"/>
      <c r="AG267" s="387"/>
      <c r="AH267" s="387"/>
      <c r="AI267" s="387"/>
      <c r="AJ267" s="387"/>
      <c r="AK267" s="387"/>
      <c r="AL267" s="387"/>
      <c r="AM267" s="387"/>
      <c r="AN267" s="387"/>
      <c r="AO267" s="387"/>
      <c r="AP267" s="387"/>
      <c r="AQ267" s="387"/>
      <c r="AR267" s="387"/>
      <c r="AS267" s="387"/>
      <c r="AT267" s="387"/>
      <c r="AU267" s="387"/>
      <c r="AV267" s="387"/>
      <c r="AW267" s="387"/>
      <c r="AX267" s="387"/>
      <c r="AY267" s="387"/>
      <c r="AZ267" s="387"/>
      <c r="BA267" s="387"/>
      <c r="BB267" s="387"/>
      <c r="BC267" s="387"/>
      <c r="BD267" s="387"/>
      <c r="BE267" s="387"/>
      <c r="BF267" s="387"/>
      <c r="BG267" s="387"/>
      <c r="BH267" s="387"/>
      <c r="BI267" s="387"/>
      <c r="BJ267" s="387"/>
      <c r="BK267" s="387"/>
      <c r="BL267" s="387"/>
      <c r="BM267" s="387"/>
      <c r="BN267" s="387"/>
      <c r="BO267" s="387"/>
      <c r="BP267" s="387"/>
      <c r="BQ267" s="387"/>
      <c r="BR267" s="387"/>
      <c r="BS267" s="387"/>
      <c r="BT267" s="387"/>
      <c r="BU267" s="387"/>
      <c r="BV267" s="387"/>
    </row>
    <row r="268" spans="2:74" x14ac:dyDescent="0.3">
      <c r="B268" s="325"/>
      <c r="C268" s="309"/>
      <c r="D268" s="309"/>
      <c r="E268" s="421"/>
      <c r="F268" s="387"/>
      <c r="G268" s="387"/>
      <c r="H268" s="387"/>
      <c r="I268" s="387"/>
      <c r="J268" s="387"/>
      <c r="K268" s="387"/>
      <c r="L268" s="387"/>
      <c r="M268" s="387"/>
      <c r="N268" s="387"/>
      <c r="O268" s="387"/>
      <c r="P268" s="387"/>
      <c r="Q268" s="387"/>
      <c r="R268" s="387"/>
      <c r="S268" s="387"/>
      <c r="T268" s="387"/>
      <c r="U268" s="387"/>
      <c r="V268" s="387"/>
      <c r="W268" s="387"/>
      <c r="X268" s="387"/>
      <c r="Y268" s="387"/>
      <c r="Z268" s="387"/>
      <c r="AA268" s="387"/>
      <c r="AB268" s="387"/>
      <c r="AC268" s="387"/>
      <c r="AD268" s="387"/>
      <c r="AE268" s="387"/>
      <c r="AF268" s="387"/>
      <c r="AG268" s="387"/>
      <c r="AH268" s="387"/>
      <c r="AI268" s="387"/>
      <c r="AJ268" s="387"/>
      <c r="AK268" s="387"/>
      <c r="AL268" s="387"/>
      <c r="AM268" s="387"/>
      <c r="AN268" s="387"/>
      <c r="AO268" s="387"/>
      <c r="AP268" s="387"/>
      <c r="AQ268" s="387"/>
      <c r="AR268" s="387"/>
      <c r="AS268" s="387"/>
      <c r="AT268" s="387"/>
      <c r="AU268" s="387"/>
      <c r="AV268" s="387"/>
      <c r="AW268" s="387"/>
      <c r="AX268" s="387"/>
      <c r="AY268" s="387"/>
      <c r="AZ268" s="387"/>
      <c r="BA268" s="387"/>
      <c r="BB268" s="387"/>
      <c r="BC268" s="387"/>
      <c r="BD268" s="387"/>
      <c r="BE268" s="387"/>
      <c r="BF268" s="387"/>
      <c r="BG268" s="387"/>
      <c r="BH268" s="387"/>
      <c r="BI268" s="387"/>
      <c r="BJ268" s="387"/>
      <c r="BK268" s="387"/>
      <c r="BL268" s="387"/>
      <c r="BM268" s="387"/>
      <c r="BN268" s="387"/>
      <c r="BO268" s="387"/>
      <c r="BP268" s="387"/>
      <c r="BQ268" s="387"/>
      <c r="BR268" s="387"/>
      <c r="BS268" s="387"/>
      <c r="BT268" s="387"/>
      <c r="BU268" s="387"/>
      <c r="BV268" s="387"/>
    </row>
    <row r="269" spans="2:74" x14ac:dyDescent="0.3">
      <c r="B269" s="325"/>
      <c r="C269" s="309"/>
      <c r="D269" s="309"/>
      <c r="E269" s="421"/>
      <c r="F269" s="387"/>
      <c r="G269" s="387"/>
      <c r="H269" s="387"/>
      <c r="I269" s="387"/>
      <c r="J269" s="387"/>
      <c r="K269" s="387"/>
      <c r="L269" s="387"/>
      <c r="M269" s="387"/>
      <c r="N269" s="387"/>
      <c r="O269" s="387"/>
      <c r="P269" s="387"/>
      <c r="Q269" s="387"/>
      <c r="R269" s="387"/>
      <c r="S269" s="387"/>
      <c r="T269" s="387"/>
      <c r="U269" s="387"/>
      <c r="V269" s="387"/>
      <c r="W269" s="387"/>
      <c r="X269" s="387"/>
      <c r="Y269" s="387"/>
      <c r="Z269" s="387"/>
      <c r="AA269" s="387"/>
      <c r="AB269" s="387"/>
      <c r="AC269" s="387"/>
      <c r="AD269" s="387"/>
      <c r="AE269" s="387"/>
      <c r="AF269" s="387"/>
      <c r="AG269" s="387"/>
      <c r="AH269" s="387"/>
      <c r="AI269" s="387"/>
      <c r="AJ269" s="387"/>
      <c r="AK269" s="387"/>
      <c r="AL269" s="387"/>
      <c r="AM269" s="387"/>
      <c r="AN269" s="387"/>
      <c r="AO269" s="387"/>
      <c r="AP269" s="387"/>
      <c r="AQ269" s="387"/>
      <c r="AR269" s="387"/>
      <c r="AS269" s="387"/>
      <c r="AT269" s="387"/>
      <c r="AU269" s="387"/>
      <c r="AV269" s="387"/>
      <c r="AW269" s="387"/>
      <c r="AX269" s="387"/>
      <c r="AY269" s="387"/>
      <c r="AZ269" s="387"/>
      <c r="BA269" s="387"/>
      <c r="BB269" s="387"/>
      <c r="BC269" s="387"/>
      <c r="BD269" s="387"/>
      <c r="BE269" s="387"/>
      <c r="BF269" s="387"/>
      <c r="BG269" s="387"/>
      <c r="BH269" s="387"/>
      <c r="BI269" s="387"/>
      <c r="BJ269" s="387"/>
      <c r="BK269" s="387"/>
      <c r="BL269" s="387"/>
      <c r="BM269" s="387"/>
      <c r="BN269" s="387"/>
      <c r="BO269" s="387"/>
      <c r="BP269" s="387"/>
      <c r="BQ269" s="387"/>
      <c r="BR269" s="387"/>
      <c r="BS269" s="387"/>
      <c r="BT269" s="387"/>
      <c r="BU269" s="387"/>
      <c r="BV269" s="387"/>
    </row>
    <row r="270" spans="2:74" x14ac:dyDescent="0.3">
      <c r="B270" s="325"/>
      <c r="C270" s="309"/>
      <c r="D270" s="309"/>
      <c r="E270" s="421"/>
      <c r="F270" s="387"/>
      <c r="G270" s="387"/>
      <c r="H270" s="387"/>
      <c r="I270" s="387"/>
      <c r="J270" s="387"/>
      <c r="K270" s="387"/>
      <c r="L270" s="387"/>
      <c r="M270" s="387"/>
      <c r="N270" s="387"/>
      <c r="O270" s="387"/>
      <c r="P270" s="387"/>
      <c r="Q270" s="387"/>
      <c r="R270" s="387"/>
      <c r="S270" s="387"/>
      <c r="T270" s="387"/>
      <c r="U270" s="387"/>
      <c r="V270" s="387"/>
      <c r="W270" s="387"/>
      <c r="X270" s="387"/>
      <c r="Y270" s="387"/>
      <c r="Z270" s="387"/>
      <c r="AA270" s="387"/>
      <c r="AB270" s="387"/>
      <c r="AC270" s="387"/>
      <c r="AD270" s="387"/>
      <c r="AE270" s="387"/>
      <c r="AF270" s="387"/>
      <c r="AG270" s="387"/>
      <c r="AH270" s="387"/>
      <c r="AI270" s="387"/>
      <c r="AJ270" s="387"/>
      <c r="AK270" s="387"/>
      <c r="AL270" s="387"/>
      <c r="AM270" s="387"/>
      <c r="AN270" s="387"/>
      <c r="AO270" s="387"/>
      <c r="AP270" s="387"/>
      <c r="AQ270" s="387"/>
      <c r="AR270" s="387"/>
      <c r="AS270" s="387"/>
      <c r="AT270" s="387"/>
      <c r="AU270" s="387"/>
      <c r="AV270" s="387"/>
      <c r="AW270" s="387"/>
      <c r="AX270" s="387"/>
      <c r="AY270" s="387"/>
      <c r="AZ270" s="387"/>
      <c r="BA270" s="387"/>
      <c r="BB270" s="387"/>
      <c r="BC270" s="387"/>
      <c r="BD270" s="387"/>
      <c r="BE270" s="387"/>
      <c r="BF270" s="387"/>
      <c r="BG270" s="387"/>
      <c r="BH270" s="387"/>
      <c r="BI270" s="387"/>
      <c r="BJ270" s="387"/>
      <c r="BK270" s="387"/>
      <c r="BL270" s="387"/>
      <c r="BM270" s="387"/>
      <c r="BN270" s="387"/>
      <c r="BO270" s="387"/>
      <c r="BP270" s="387"/>
      <c r="BQ270" s="387"/>
      <c r="BR270" s="387"/>
      <c r="BS270" s="387"/>
      <c r="BT270" s="387"/>
      <c r="BU270" s="387"/>
      <c r="BV270" s="387"/>
    </row>
    <row r="271" spans="2:74" x14ac:dyDescent="0.3">
      <c r="B271" s="325"/>
      <c r="C271" s="325"/>
      <c r="D271" s="325"/>
      <c r="E271" s="421"/>
      <c r="F271" s="387"/>
      <c r="G271" s="387"/>
      <c r="H271" s="387"/>
      <c r="I271" s="387"/>
      <c r="J271" s="387"/>
      <c r="K271" s="387"/>
      <c r="L271" s="387"/>
      <c r="M271" s="387"/>
      <c r="N271" s="387"/>
      <c r="O271" s="387"/>
      <c r="P271" s="387"/>
      <c r="Q271" s="387"/>
      <c r="R271" s="387"/>
      <c r="S271" s="387"/>
      <c r="T271" s="387"/>
      <c r="U271" s="387"/>
      <c r="V271" s="387"/>
      <c r="W271" s="387"/>
      <c r="X271" s="387"/>
      <c r="Y271" s="387"/>
      <c r="Z271" s="387"/>
      <c r="AA271" s="387"/>
      <c r="AB271" s="387"/>
      <c r="AC271" s="387"/>
      <c r="AD271" s="387"/>
      <c r="AE271" s="387"/>
      <c r="AF271" s="387"/>
      <c r="AG271" s="387"/>
      <c r="AH271" s="387"/>
      <c r="AI271" s="387"/>
      <c r="AJ271" s="387"/>
      <c r="AK271" s="387"/>
      <c r="AL271" s="387"/>
      <c r="AM271" s="387"/>
      <c r="AN271" s="387"/>
      <c r="AO271" s="387"/>
      <c r="AP271" s="387"/>
      <c r="AQ271" s="387"/>
      <c r="AR271" s="387"/>
      <c r="AS271" s="387"/>
      <c r="AT271" s="387"/>
      <c r="AU271" s="387"/>
      <c r="AV271" s="387"/>
      <c r="AW271" s="387"/>
      <c r="AX271" s="387"/>
      <c r="AY271" s="387"/>
      <c r="AZ271" s="387"/>
      <c r="BA271" s="387"/>
      <c r="BB271" s="387"/>
      <c r="BC271" s="387"/>
      <c r="BD271" s="387"/>
      <c r="BE271" s="387"/>
      <c r="BF271" s="387"/>
      <c r="BG271" s="387"/>
      <c r="BH271" s="387"/>
      <c r="BI271" s="387"/>
      <c r="BJ271" s="387"/>
      <c r="BK271" s="387"/>
      <c r="BL271" s="387"/>
      <c r="BM271" s="387"/>
      <c r="BN271" s="387"/>
      <c r="BO271" s="387"/>
      <c r="BP271" s="387"/>
      <c r="BQ271" s="387"/>
      <c r="BR271" s="387"/>
      <c r="BS271" s="387"/>
      <c r="BT271" s="387"/>
      <c r="BU271" s="387"/>
      <c r="BV271" s="387"/>
    </row>
    <row r="272" spans="2:74" x14ac:dyDescent="0.3">
      <c r="B272" s="325"/>
      <c r="C272" s="309"/>
      <c r="D272" s="309"/>
      <c r="E272" s="421"/>
      <c r="F272" s="387"/>
      <c r="G272" s="387"/>
      <c r="H272" s="387"/>
      <c r="I272" s="387"/>
      <c r="J272" s="387"/>
      <c r="K272" s="387"/>
      <c r="L272" s="387"/>
      <c r="M272" s="387"/>
      <c r="N272" s="387"/>
      <c r="O272" s="387"/>
      <c r="P272" s="387"/>
      <c r="Q272" s="387"/>
      <c r="R272" s="387"/>
      <c r="S272" s="387"/>
      <c r="T272" s="387"/>
      <c r="U272" s="387"/>
      <c r="V272" s="387"/>
      <c r="W272" s="387"/>
      <c r="X272" s="387"/>
      <c r="Y272" s="387"/>
      <c r="Z272" s="387"/>
      <c r="AA272" s="387"/>
      <c r="AB272" s="387"/>
      <c r="AC272" s="387"/>
      <c r="AD272" s="387"/>
      <c r="AE272" s="387"/>
      <c r="AF272" s="387"/>
      <c r="AG272" s="387"/>
      <c r="AH272" s="387"/>
      <c r="AI272" s="387"/>
      <c r="AJ272" s="387"/>
      <c r="AK272" s="387"/>
      <c r="AL272" s="387"/>
      <c r="AM272" s="387"/>
      <c r="AN272" s="387"/>
      <c r="AO272" s="387"/>
      <c r="AP272" s="387"/>
      <c r="AQ272" s="387"/>
      <c r="AR272" s="387"/>
      <c r="AS272" s="387"/>
      <c r="AT272" s="387"/>
      <c r="AU272" s="387"/>
      <c r="AV272" s="387"/>
      <c r="AW272" s="387"/>
      <c r="AX272" s="387"/>
      <c r="AY272" s="387"/>
      <c r="AZ272" s="387"/>
      <c r="BA272" s="387"/>
      <c r="BB272" s="387"/>
      <c r="BC272" s="387"/>
      <c r="BD272" s="387"/>
      <c r="BE272" s="387"/>
      <c r="BF272" s="387"/>
      <c r="BG272" s="387"/>
      <c r="BH272" s="387"/>
      <c r="BI272" s="387"/>
      <c r="BJ272" s="387"/>
      <c r="BK272" s="387"/>
      <c r="BL272" s="387"/>
      <c r="BM272" s="387"/>
      <c r="BN272" s="387"/>
      <c r="BO272" s="387"/>
      <c r="BP272" s="387"/>
      <c r="BQ272" s="387"/>
      <c r="BR272" s="387"/>
      <c r="BS272" s="387"/>
      <c r="BT272" s="387"/>
      <c r="BU272" s="387"/>
      <c r="BV272" s="387"/>
    </row>
    <row r="273" spans="2:74" x14ac:dyDescent="0.3">
      <c r="B273" s="325"/>
      <c r="C273" s="309"/>
      <c r="D273" s="309"/>
      <c r="E273" s="421"/>
      <c r="F273" s="387"/>
      <c r="G273" s="387"/>
      <c r="H273" s="387"/>
      <c r="I273" s="387"/>
      <c r="J273" s="387"/>
      <c r="K273" s="387"/>
      <c r="L273" s="387"/>
      <c r="M273" s="387"/>
      <c r="N273" s="387"/>
      <c r="O273" s="387"/>
      <c r="P273" s="387"/>
      <c r="Q273" s="387"/>
      <c r="R273" s="387"/>
      <c r="S273" s="387"/>
      <c r="T273" s="387"/>
      <c r="U273" s="387"/>
      <c r="V273" s="387"/>
      <c r="W273" s="387"/>
      <c r="X273" s="387"/>
      <c r="Y273" s="387"/>
      <c r="Z273" s="387"/>
      <c r="AA273" s="387"/>
      <c r="AB273" s="387"/>
      <c r="AC273" s="387"/>
      <c r="AD273" s="387"/>
      <c r="AE273" s="387"/>
      <c r="AF273" s="387"/>
      <c r="AG273" s="387"/>
      <c r="AH273" s="387"/>
      <c r="AI273" s="387"/>
      <c r="AJ273" s="387"/>
      <c r="AK273" s="387"/>
      <c r="AL273" s="387"/>
      <c r="AM273" s="387"/>
      <c r="AN273" s="387"/>
      <c r="AO273" s="387"/>
      <c r="AP273" s="387"/>
      <c r="AQ273" s="387"/>
      <c r="AR273" s="387"/>
      <c r="AS273" s="387"/>
      <c r="AT273" s="387"/>
      <c r="AU273" s="387"/>
      <c r="AV273" s="387"/>
      <c r="AW273" s="387"/>
      <c r="AX273" s="387"/>
      <c r="AY273" s="387"/>
      <c r="AZ273" s="387"/>
      <c r="BA273" s="387"/>
      <c r="BB273" s="387"/>
      <c r="BC273" s="387"/>
      <c r="BD273" s="387"/>
      <c r="BE273" s="387"/>
      <c r="BF273" s="387"/>
      <c r="BG273" s="387"/>
      <c r="BH273" s="387"/>
      <c r="BI273" s="387"/>
      <c r="BJ273" s="387"/>
      <c r="BK273" s="387"/>
      <c r="BL273" s="387"/>
      <c r="BM273" s="387"/>
      <c r="BN273" s="387"/>
      <c r="BO273" s="387"/>
      <c r="BP273" s="387"/>
      <c r="BQ273" s="387"/>
      <c r="BR273" s="387"/>
      <c r="BS273" s="387"/>
      <c r="BT273" s="387"/>
      <c r="BU273" s="387"/>
      <c r="BV273" s="387"/>
    </row>
    <row r="274" spans="2:74" x14ac:dyDescent="0.3">
      <c r="B274" s="325"/>
      <c r="C274" s="309"/>
      <c r="D274" s="309"/>
      <c r="E274" s="421"/>
      <c r="F274" s="387"/>
      <c r="G274" s="387"/>
      <c r="H274" s="387"/>
      <c r="I274" s="387"/>
      <c r="J274" s="387"/>
      <c r="K274" s="387"/>
      <c r="L274" s="387"/>
      <c r="M274" s="387"/>
      <c r="N274" s="387"/>
      <c r="O274" s="387"/>
      <c r="P274" s="387"/>
      <c r="Q274" s="387"/>
      <c r="R274" s="387"/>
      <c r="S274" s="387"/>
      <c r="T274" s="387"/>
      <c r="U274" s="387"/>
      <c r="V274" s="387"/>
      <c r="W274" s="387"/>
      <c r="X274" s="387"/>
      <c r="Y274" s="387"/>
      <c r="Z274" s="387"/>
      <c r="AA274" s="387"/>
      <c r="AB274" s="387"/>
      <c r="AC274" s="387"/>
      <c r="AD274" s="387"/>
      <c r="AE274" s="387"/>
      <c r="AF274" s="387"/>
      <c r="AG274" s="387"/>
      <c r="AH274" s="387"/>
      <c r="AI274" s="387"/>
      <c r="AJ274" s="387"/>
      <c r="AK274" s="387"/>
      <c r="AL274" s="387"/>
      <c r="AM274" s="387"/>
      <c r="AN274" s="387"/>
      <c r="AO274" s="387"/>
      <c r="AP274" s="387"/>
      <c r="AQ274" s="387"/>
      <c r="AR274" s="387"/>
      <c r="AS274" s="387"/>
      <c r="AT274" s="387"/>
      <c r="AU274" s="387"/>
      <c r="AV274" s="387"/>
      <c r="AW274" s="387"/>
      <c r="AX274" s="387"/>
      <c r="AY274" s="387"/>
      <c r="AZ274" s="387"/>
      <c r="BA274" s="387"/>
      <c r="BB274" s="387"/>
      <c r="BC274" s="387"/>
      <c r="BD274" s="387"/>
      <c r="BE274" s="387"/>
      <c r="BF274" s="387"/>
      <c r="BG274" s="387"/>
      <c r="BH274" s="387"/>
      <c r="BI274" s="387"/>
      <c r="BJ274" s="387"/>
      <c r="BK274" s="387"/>
      <c r="BL274" s="387"/>
      <c r="BM274" s="387"/>
      <c r="BN274" s="387"/>
      <c r="BO274" s="387"/>
      <c r="BP274" s="387"/>
      <c r="BQ274" s="387"/>
      <c r="BR274" s="387"/>
      <c r="BS274" s="387"/>
      <c r="BT274" s="387"/>
      <c r="BU274" s="387"/>
      <c r="BV274" s="387"/>
    </row>
    <row r="275" spans="2:74" x14ac:dyDescent="0.3">
      <c r="B275" s="325"/>
      <c r="C275" s="309"/>
      <c r="D275" s="309"/>
      <c r="E275" s="421"/>
      <c r="F275" s="387"/>
      <c r="G275" s="387"/>
      <c r="H275" s="387"/>
      <c r="I275" s="387"/>
      <c r="J275" s="387"/>
      <c r="K275" s="387"/>
      <c r="L275" s="387"/>
      <c r="M275" s="387"/>
      <c r="N275" s="387"/>
      <c r="O275" s="387"/>
      <c r="P275" s="387"/>
      <c r="Q275" s="387"/>
      <c r="R275" s="387"/>
      <c r="S275" s="387"/>
      <c r="T275" s="387"/>
      <c r="U275" s="387"/>
      <c r="V275" s="387"/>
      <c r="W275" s="387"/>
      <c r="X275" s="387"/>
      <c r="Y275" s="387"/>
      <c r="Z275" s="387"/>
      <c r="AA275" s="387"/>
      <c r="AB275" s="387"/>
      <c r="AC275" s="387"/>
      <c r="AD275" s="387"/>
      <c r="AE275" s="387"/>
      <c r="AF275" s="387"/>
      <c r="AG275" s="387"/>
      <c r="AH275" s="387"/>
      <c r="AI275" s="387"/>
      <c r="AJ275" s="387"/>
      <c r="AK275" s="387"/>
      <c r="AL275" s="387"/>
      <c r="AM275" s="387"/>
      <c r="AN275" s="387"/>
      <c r="AO275" s="387"/>
      <c r="AP275" s="387"/>
      <c r="AQ275" s="387"/>
      <c r="AR275" s="387"/>
      <c r="AS275" s="387"/>
      <c r="AT275" s="387"/>
      <c r="AU275" s="387"/>
      <c r="AV275" s="387"/>
      <c r="AW275" s="387"/>
      <c r="AX275" s="387"/>
      <c r="AY275" s="387"/>
      <c r="AZ275" s="387"/>
      <c r="BA275" s="387"/>
      <c r="BB275" s="387"/>
      <c r="BC275" s="387"/>
      <c r="BD275" s="387"/>
      <c r="BE275" s="387"/>
      <c r="BF275" s="387"/>
      <c r="BG275" s="387"/>
      <c r="BH275" s="387"/>
      <c r="BI275" s="387"/>
      <c r="BJ275" s="387"/>
      <c r="BK275" s="387"/>
      <c r="BL275" s="387"/>
      <c r="BM275" s="387"/>
      <c r="BN275" s="387"/>
      <c r="BO275" s="387"/>
      <c r="BP275" s="387"/>
      <c r="BQ275" s="387"/>
      <c r="BR275" s="387"/>
      <c r="BS275" s="387"/>
      <c r="BT275" s="387"/>
      <c r="BU275" s="387"/>
      <c r="BV275" s="387"/>
    </row>
    <row r="276" spans="2:74" x14ac:dyDescent="0.3">
      <c r="B276" s="325"/>
      <c r="C276" s="309"/>
      <c r="D276" s="309"/>
      <c r="E276" s="421"/>
      <c r="F276" s="387"/>
      <c r="G276" s="387"/>
      <c r="H276" s="387"/>
      <c r="I276" s="387"/>
      <c r="J276" s="387"/>
      <c r="K276" s="387"/>
      <c r="L276" s="387"/>
      <c r="M276" s="387"/>
      <c r="N276" s="387"/>
      <c r="O276" s="387"/>
      <c r="P276" s="387"/>
      <c r="Q276" s="387"/>
      <c r="R276" s="387"/>
      <c r="S276" s="387"/>
      <c r="T276" s="387"/>
      <c r="U276" s="387"/>
      <c r="V276" s="387"/>
      <c r="W276" s="387"/>
      <c r="X276" s="387"/>
      <c r="Y276" s="387"/>
      <c r="Z276" s="387"/>
      <c r="AA276" s="387"/>
      <c r="AB276" s="387"/>
      <c r="AC276" s="387"/>
      <c r="AD276" s="387"/>
      <c r="AE276" s="387"/>
      <c r="AF276" s="387"/>
      <c r="AG276" s="387"/>
      <c r="AH276" s="387"/>
      <c r="AI276" s="387"/>
      <c r="AJ276" s="387"/>
      <c r="AK276" s="387"/>
      <c r="AL276" s="387"/>
      <c r="AM276" s="387"/>
      <c r="AN276" s="387"/>
      <c r="AO276" s="387"/>
      <c r="AP276" s="387"/>
      <c r="AQ276" s="387"/>
      <c r="AR276" s="387"/>
      <c r="AS276" s="387"/>
      <c r="AT276" s="387"/>
      <c r="AU276" s="387"/>
      <c r="AV276" s="387"/>
      <c r="AW276" s="387"/>
      <c r="AX276" s="387"/>
      <c r="AY276" s="387"/>
      <c r="AZ276" s="387"/>
      <c r="BA276" s="387"/>
      <c r="BB276" s="387"/>
      <c r="BC276" s="387"/>
      <c r="BD276" s="387"/>
      <c r="BE276" s="387"/>
      <c r="BF276" s="387"/>
      <c r="BG276" s="387"/>
      <c r="BH276" s="387"/>
      <c r="BI276" s="387"/>
      <c r="BJ276" s="387"/>
      <c r="BK276" s="387"/>
      <c r="BL276" s="387"/>
      <c r="BM276" s="387"/>
      <c r="BN276" s="387"/>
      <c r="BO276" s="387"/>
      <c r="BP276" s="387"/>
      <c r="BQ276" s="387"/>
      <c r="BR276" s="387"/>
      <c r="BS276" s="387"/>
      <c r="BT276" s="387"/>
      <c r="BU276" s="387"/>
      <c r="BV276" s="387"/>
    </row>
    <row r="277" spans="2:74" x14ac:dyDescent="0.3">
      <c r="B277" s="325"/>
      <c r="C277" s="309"/>
      <c r="D277" s="309"/>
      <c r="E277" s="421"/>
      <c r="F277" s="387"/>
      <c r="G277" s="387"/>
      <c r="H277" s="387"/>
      <c r="I277" s="387"/>
      <c r="J277" s="387"/>
      <c r="K277" s="387"/>
      <c r="L277" s="387"/>
      <c r="M277" s="387"/>
      <c r="N277" s="387"/>
      <c r="O277" s="387"/>
      <c r="P277" s="387"/>
      <c r="Q277" s="387"/>
      <c r="R277" s="387"/>
      <c r="S277" s="387"/>
      <c r="T277" s="387"/>
      <c r="U277" s="387"/>
      <c r="V277" s="387"/>
      <c r="W277" s="387"/>
      <c r="X277" s="387"/>
      <c r="Y277" s="387"/>
      <c r="Z277" s="387"/>
      <c r="AA277" s="387"/>
      <c r="AB277" s="387"/>
      <c r="AC277" s="387"/>
      <c r="AD277" s="387"/>
      <c r="AE277" s="387"/>
      <c r="AF277" s="387"/>
      <c r="AG277" s="387"/>
      <c r="AH277" s="387"/>
      <c r="AI277" s="387"/>
      <c r="AJ277" s="387"/>
      <c r="AK277" s="387"/>
      <c r="AL277" s="387"/>
      <c r="AM277" s="387"/>
      <c r="AN277" s="387"/>
      <c r="AO277" s="387"/>
      <c r="AP277" s="387"/>
      <c r="AQ277" s="387"/>
      <c r="AR277" s="387"/>
      <c r="AS277" s="387"/>
      <c r="AT277" s="387"/>
      <c r="AU277" s="387"/>
      <c r="AV277" s="387"/>
      <c r="AW277" s="387"/>
      <c r="AX277" s="387"/>
      <c r="AY277" s="387"/>
      <c r="AZ277" s="387"/>
      <c r="BA277" s="387"/>
      <c r="BB277" s="387"/>
      <c r="BC277" s="387"/>
      <c r="BD277" s="387"/>
      <c r="BE277" s="387"/>
      <c r="BF277" s="387"/>
      <c r="BG277" s="387"/>
      <c r="BH277" s="387"/>
      <c r="BI277" s="387"/>
      <c r="BJ277" s="387"/>
      <c r="BK277" s="387"/>
      <c r="BL277" s="387"/>
      <c r="BM277" s="387"/>
      <c r="BN277" s="387"/>
      <c r="BO277" s="387"/>
      <c r="BP277" s="387"/>
      <c r="BQ277" s="387"/>
      <c r="BR277" s="387"/>
      <c r="BS277" s="387"/>
      <c r="BT277" s="387"/>
      <c r="BU277" s="387"/>
      <c r="BV277" s="387"/>
    </row>
    <row r="278" spans="2:74" x14ac:dyDescent="0.3">
      <c r="B278" s="325"/>
      <c r="C278" s="309"/>
      <c r="D278" s="309"/>
      <c r="E278" s="421"/>
      <c r="F278" s="387"/>
      <c r="G278" s="387"/>
      <c r="H278" s="387"/>
      <c r="I278" s="387"/>
      <c r="J278" s="387"/>
      <c r="K278" s="387"/>
      <c r="L278" s="387"/>
      <c r="M278" s="387"/>
      <c r="N278" s="387"/>
      <c r="O278" s="387"/>
      <c r="P278" s="387"/>
      <c r="Q278" s="387"/>
      <c r="R278" s="387"/>
      <c r="S278" s="387"/>
      <c r="T278" s="387"/>
      <c r="U278" s="387"/>
      <c r="V278" s="387"/>
      <c r="W278" s="387"/>
      <c r="X278" s="387"/>
      <c r="Y278" s="387"/>
      <c r="Z278" s="387"/>
      <c r="AA278" s="387"/>
      <c r="AB278" s="387"/>
      <c r="AC278" s="387"/>
      <c r="AD278" s="387"/>
      <c r="AE278" s="387"/>
      <c r="AF278" s="387"/>
      <c r="AG278" s="387"/>
      <c r="AH278" s="387"/>
      <c r="AI278" s="387"/>
      <c r="AJ278" s="387"/>
      <c r="AK278" s="387"/>
      <c r="AL278" s="387"/>
      <c r="AM278" s="387"/>
      <c r="AN278" s="387"/>
      <c r="AO278" s="387"/>
      <c r="AP278" s="387"/>
      <c r="AQ278" s="387"/>
      <c r="AR278" s="387"/>
      <c r="AS278" s="387"/>
      <c r="AT278" s="387"/>
      <c r="AU278" s="387"/>
      <c r="AV278" s="387"/>
      <c r="AW278" s="387"/>
      <c r="AX278" s="387"/>
      <c r="AY278" s="387"/>
      <c r="AZ278" s="387"/>
      <c r="BA278" s="387"/>
      <c r="BB278" s="387"/>
      <c r="BC278" s="387"/>
      <c r="BD278" s="387"/>
      <c r="BE278" s="387"/>
      <c r="BF278" s="387"/>
      <c r="BG278" s="387"/>
      <c r="BH278" s="387"/>
      <c r="BI278" s="387"/>
      <c r="BJ278" s="387"/>
      <c r="BK278" s="387"/>
      <c r="BL278" s="387"/>
      <c r="BM278" s="387"/>
      <c r="BN278" s="387"/>
      <c r="BO278" s="387"/>
      <c r="BP278" s="387"/>
      <c r="BQ278" s="387"/>
      <c r="BR278" s="387"/>
      <c r="BS278" s="387"/>
      <c r="BT278" s="387"/>
      <c r="BU278" s="387"/>
      <c r="BV278" s="387"/>
    </row>
    <row r="279" spans="2:74" x14ac:dyDescent="0.3">
      <c r="B279" s="325"/>
      <c r="C279" s="309"/>
      <c r="D279" s="309"/>
      <c r="E279" s="421"/>
      <c r="F279" s="387"/>
      <c r="G279" s="387"/>
      <c r="H279" s="387"/>
      <c r="I279" s="387"/>
      <c r="J279" s="387"/>
      <c r="K279" s="387"/>
      <c r="L279" s="387"/>
      <c r="M279" s="387"/>
      <c r="N279" s="387"/>
      <c r="O279" s="387"/>
      <c r="P279" s="387"/>
      <c r="Q279" s="387"/>
      <c r="R279" s="387"/>
      <c r="S279" s="387"/>
      <c r="T279" s="387"/>
      <c r="U279" s="387"/>
      <c r="V279" s="387"/>
      <c r="W279" s="387"/>
      <c r="X279" s="387"/>
      <c r="Y279" s="387"/>
      <c r="Z279" s="387"/>
      <c r="AA279" s="387"/>
      <c r="AB279" s="387"/>
      <c r="AC279" s="387"/>
      <c r="AD279" s="387"/>
      <c r="AE279" s="387"/>
      <c r="AF279" s="387"/>
      <c r="AG279" s="387"/>
      <c r="AH279" s="387"/>
      <c r="AI279" s="387"/>
      <c r="AJ279" s="387"/>
      <c r="AK279" s="387"/>
      <c r="AL279" s="387"/>
      <c r="AM279" s="387"/>
      <c r="AN279" s="387"/>
      <c r="AO279" s="387"/>
      <c r="AP279" s="387"/>
      <c r="AQ279" s="387"/>
      <c r="AR279" s="387"/>
      <c r="AS279" s="387"/>
      <c r="AT279" s="387"/>
      <c r="AU279" s="387"/>
      <c r="AV279" s="387"/>
      <c r="AW279" s="387"/>
      <c r="AX279" s="387"/>
      <c r="AY279" s="387"/>
      <c r="AZ279" s="387"/>
      <c r="BA279" s="387"/>
      <c r="BB279" s="387"/>
      <c r="BC279" s="387"/>
      <c r="BD279" s="387"/>
      <c r="BE279" s="387"/>
      <c r="BF279" s="387"/>
      <c r="BG279" s="387"/>
      <c r="BH279" s="387"/>
      <c r="BI279" s="387"/>
      <c r="BJ279" s="387"/>
      <c r="BK279" s="387"/>
      <c r="BL279" s="387"/>
      <c r="BM279" s="387"/>
      <c r="BN279" s="387"/>
      <c r="BO279" s="387"/>
      <c r="BP279" s="387"/>
      <c r="BQ279" s="387"/>
      <c r="BR279" s="387"/>
      <c r="BS279" s="387"/>
      <c r="BT279" s="387"/>
      <c r="BU279" s="387"/>
      <c r="BV279" s="387"/>
    </row>
    <row r="280" spans="2:74" x14ac:dyDescent="0.3">
      <c r="B280" s="325"/>
      <c r="C280" s="309"/>
      <c r="D280" s="309"/>
      <c r="E280" s="421"/>
      <c r="F280" s="387"/>
      <c r="G280" s="387"/>
      <c r="H280" s="387"/>
      <c r="I280" s="387"/>
      <c r="J280" s="387"/>
      <c r="K280" s="387"/>
      <c r="L280" s="387"/>
      <c r="M280" s="387"/>
      <c r="N280" s="387"/>
      <c r="O280" s="387"/>
      <c r="P280" s="387"/>
      <c r="Q280" s="387"/>
      <c r="R280" s="387"/>
      <c r="S280" s="387"/>
      <c r="T280" s="387"/>
      <c r="U280" s="387"/>
      <c r="V280" s="387"/>
      <c r="W280" s="387"/>
      <c r="X280" s="387"/>
      <c r="Y280" s="387"/>
      <c r="Z280" s="387"/>
      <c r="AA280" s="387"/>
      <c r="AB280" s="387"/>
      <c r="AC280" s="387"/>
      <c r="AD280" s="387"/>
      <c r="AE280" s="387"/>
      <c r="AF280" s="387"/>
      <c r="AG280" s="387"/>
      <c r="AH280" s="387"/>
      <c r="AI280" s="387"/>
      <c r="AJ280" s="387"/>
      <c r="AK280" s="387"/>
      <c r="AL280" s="387"/>
      <c r="AM280" s="387"/>
      <c r="AN280" s="387"/>
      <c r="AO280" s="387"/>
      <c r="AP280" s="387"/>
      <c r="AQ280" s="387"/>
      <c r="AR280" s="387"/>
      <c r="AS280" s="387"/>
      <c r="AT280" s="387"/>
      <c r="AU280" s="387"/>
      <c r="AV280" s="387"/>
      <c r="AW280" s="387"/>
      <c r="AX280" s="387"/>
      <c r="AY280" s="387"/>
      <c r="AZ280" s="387"/>
      <c r="BA280" s="387"/>
      <c r="BB280" s="387"/>
      <c r="BC280" s="387"/>
      <c r="BD280" s="387"/>
      <c r="BE280" s="387"/>
      <c r="BF280" s="387"/>
      <c r="BG280" s="387"/>
      <c r="BH280" s="387"/>
      <c r="BI280" s="387"/>
      <c r="BJ280" s="387"/>
      <c r="BK280" s="387"/>
      <c r="BL280" s="387"/>
      <c r="BM280" s="387"/>
      <c r="BN280" s="387"/>
      <c r="BO280" s="387"/>
      <c r="BP280" s="387"/>
      <c r="BQ280" s="387"/>
      <c r="BR280" s="387"/>
      <c r="BS280" s="387"/>
      <c r="BT280" s="387"/>
      <c r="BU280" s="387"/>
      <c r="BV280" s="387"/>
    </row>
    <row r="281" spans="2:74" x14ac:dyDescent="0.3">
      <c r="B281" s="325"/>
      <c r="C281" s="309"/>
      <c r="D281" s="309"/>
      <c r="E281" s="421"/>
      <c r="F281" s="387"/>
      <c r="G281" s="387"/>
      <c r="H281" s="387"/>
      <c r="I281" s="387"/>
      <c r="J281" s="387"/>
      <c r="K281" s="387"/>
      <c r="L281" s="387"/>
      <c r="M281" s="387"/>
      <c r="N281" s="387"/>
      <c r="O281" s="387"/>
      <c r="P281" s="387"/>
      <c r="Q281" s="387"/>
      <c r="R281" s="387"/>
      <c r="S281" s="387"/>
      <c r="T281" s="387"/>
      <c r="U281" s="387"/>
      <c r="V281" s="387"/>
      <c r="W281" s="387"/>
      <c r="X281" s="387"/>
      <c r="Y281" s="387"/>
      <c r="Z281" s="387"/>
      <c r="AA281" s="387"/>
      <c r="AB281" s="387"/>
      <c r="AC281" s="387"/>
      <c r="AD281" s="387"/>
      <c r="AE281" s="387"/>
      <c r="AF281" s="387"/>
      <c r="AG281" s="387"/>
      <c r="AH281" s="387"/>
      <c r="AI281" s="387"/>
      <c r="AJ281" s="387"/>
      <c r="AK281" s="387"/>
      <c r="AL281" s="387"/>
      <c r="AM281" s="387"/>
      <c r="AN281" s="387"/>
      <c r="AO281" s="387"/>
      <c r="AP281" s="387"/>
      <c r="AQ281" s="387"/>
      <c r="AR281" s="387"/>
      <c r="AS281" s="387"/>
      <c r="AT281" s="387"/>
      <c r="AU281" s="387"/>
      <c r="AV281" s="387"/>
      <c r="AW281" s="387"/>
      <c r="AX281" s="387"/>
      <c r="AY281" s="387"/>
      <c r="AZ281" s="387"/>
      <c r="BA281" s="387"/>
      <c r="BB281" s="387"/>
      <c r="BC281" s="387"/>
      <c r="BD281" s="387"/>
      <c r="BE281" s="387"/>
      <c r="BF281" s="387"/>
      <c r="BG281" s="387"/>
      <c r="BH281" s="387"/>
      <c r="BI281" s="387"/>
      <c r="BJ281" s="387"/>
      <c r="BK281" s="387"/>
      <c r="BL281" s="387"/>
      <c r="BM281" s="387"/>
      <c r="BN281" s="387"/>
      <c r="BO281" s="387"/>
      <c r="BP281" s="387"/>
      <c r="BQ281" s="387"/>
      <c r="BR281" s="387"/>
      <c r="BS281" s="387"/>
      <c r="BT281" s="387"/>
      <c r="BU281" s="387"/>
      <c r="BV281" s="387"/>
    </row>
    <row r="282" spans="2:74" x14ac:dyDescent="0.3">
      <c r="B282" s="325"/>
      <c r="C282" s="309"/>
      <c r="D282" s="309"/>
      <c r="E282" s="421"/>
      <c r="F282" s="387"/>
      <c r="G282" s="387"/>
      <c r="H282" s="387"/>
      <c r="I282" s="387"/>
      <c r="J282" s="387"/>
      <c r="K282" s="387"/>
      <c r="L282" s="387"/>
      <c r="M282" s="387"/>
      <c r="N282" s="387"/>
      <c r="O282" s="387"/>
      <c r="P282" s="387"/>
      <c r="Q282" s="387"/>
      <c r="R282" s="387"/>
      <c r="S282" s="387"/>
      <c r="T282" s="387"/>
      <c r="U282" s="387"/>
      <c r="V282" s="387"/>
      <c r="W282" s="387"/>
      <c r="X282" s="387"/>
      <c r="Y282" s="387"/>
      <c r="Z282" s="387"/>
      <c r="AA282" s="387"/>
      <c r="AB282" s="387"/>
      <c r="AC282" s="387"/>
      <c r="AD282" s="387"/>
      <c r="AE282" s="387"/>
      <c r="AF282" s="387"/>
      <c r="AG282" s="387"/>
      <c r="AH282" s="387"/>
      <c r="AI282" s="387"/>
      <c r="AJ282" s="387"/>
      <c r="AK282" s="387"/>
      <c r="AL282" s="387"/>
      <c r="AM282" s="387"/>
      <c r="AN282" s="387"/>
      <c r="AO282" s="387"/>
      <c r="AP282" s="387"/>
      <c r="AQ282" s="387"/>
      <c r="AR282" s="387"/>
      <c r="AS282" s="387"/>
      <c r="AT282" s="387"/>
      <c r="AU282" s="387"/>
      <c r="AV282" s="387"/>
      <c r="AW282" s="387"/>
      <c r="AX282" s="387"/>
      <c r="AY282" s="387"/>
      <c r="AZ282" s="387"/>
      <c r="BA282" s="387"/>
      <c r="BB282" s="387"/>
      <c r="BC282" s="387"/>
      <c r="BD282" s="387"/>
      <c r="BE282" s="387"/>
      <c r="BF282" s="387"/>
      <c r="BG282" s="387"/>
      <c r="BH282" s="387"/>
      <c r="BI282" s="387"/>
      <c r="BJ282" s="387"/>
      <c r="BK282" s="387"/>
      <c r="BL282" s="387"/>
      <c r="BM282" s="387"/>
      <c r="BN282" s="387"/>
      <c r="BO282" s="387"/>
      <c r="BP282" s="387"/>
      <c r="BQ282" s="387"/>
      <c r="BR282" s="387"/>
      <c r="BS282" s="387"/>
      <c r="BT282" s="387"/>
      <c r="BU282" s="387"/>
      <c r="BV282" s="387"/>
    </row>
    <row r="283" spans="2:74" x14ac:dyDescent="0.3">
      <c r="B283" s="325"/>
      <c r="C283" s="309"/>
      <c r="D283" s="309"/>
      <c r="E283" s="421"/>
      <c r="F283" s="387"/>
      <c r="G283" s="387"/>
      <c r="H283" s="387"/>
      <c r="I283" s="387"/>
      <c r="J283" s="387"/>
      <c r="K283" s="387"/>
      <c r="L283" s="387"/>
      <c r="M283" s="387"/>
      <c r="N283" s="387"/>
      <c r="O283" s="387"/>
      <c r="P283" s="387"/>
      <c r="Q283" s="387"/>
      <c r="R283" s="387"/>
      <c r="S283" s="387"/>
      <c r="T283" s="387"/>
      <c r="U283" s="387"/>
      <c r="V283" s="387"/>
      <c r="W283" s="387"/>
      <c r="X283" s="387"/>
      <c r="Y283" s="387"/>
      <c r="Z283" s="387"/>
      <c r="AA283" s="387"/>
      <c r="AB283" s="387"/>
      <c r="AC283" s="387"/>
      <c r="AD283" s="387"/>
      <c r="AE283" s="387"/>
      <c r="AF283" s="387"/>
      <c r="AG283" s="387"/>
      <c r="AH283" s="387"/>
      <c r="AI283" s="387"/>
      <c r="AJ283" s="387"/>
      <c r="AK283" s="387"/>
      <c r="AL283" s="387"/>
      <c r="AM283" s="387"/>
      <c r="AN283" s="387"/>
      <c r="AO283" s="387"/>
      <c r="AP283" s="387"/>
      <c r="AQ283" s="387"/>
      <c r="AR283" s="387"/>
      <c r="AS283" s="387"/>
      <c r="AT283" s="387"/>
      <c r="AU283" s="387"/>
      <c r="AV283" s="387"/>
      <c r="AW283" s="387"/>
      <c r="AX283" s="387"/>
      <c r="AY283" s="387"/>
      <c r="AZ283" s="387"/>
      <c r="BA283" s="387"/>
      <c r="BB283" s="387"/>
      <c r="BC283" s="387"/>
      <c r="BD283" s="387"/>
      <c r="BE283" s="387"/>
      <c r="BF283" s="387"/>
      <c r="BG283" s="387"/>
      <c r="BH283" s="387"/>
      <c r="BI283" s="387"/>
      <c r="BJ283" s="387"/>
      <c r="BK283" s="387"/>
      <c r="BL283" s="387"/>
      <c r="BM283" s="387"/>
      <c r="BN283" s="387"/>
      <c r="BO283" s="387"/>
      <c r="BP283" s="387"/>
      <c r="BQ283" s="387"/>
      <c r="BR283" s="387"/>
      <c r="BS283" s="387"/>
      <c r="BT283" s="387"/>
      <c r="BU283" s="387"/>
      <c r="BV283" s="387"/>
    </row>
    <row r="284" spans="2:74" x14ac:dyDescent="0.3">
      <c r="B284" s="325"/>
      <c r="C284" s="325"/>
      <c r="D284" s="325"/>
      <c r="E284" s="421"/>
      <c r="F284" s="387"/>
      <c r="G284" s="387"/>
      <c r="H284" s="387"/>
      <c r="I284" s="387"/>
      <c r="J284" s="387"/>
      <c r="K284" s="387"/>
      <c r="L284" s="387"/>
      <c r="M284" s="387"/>
      <c r="N284" s="387"/>
      <c r="O284" s="387"/>
      <c r="P284" s="387"/>
      <c r="Q284" s="387"/>
      <c r="R284" s="387"/>
      <c r="S284" s="387"/>
      <c r="T284" s="387"/>
      <c r="U284" s="387"/>
      <c r="V284" s="387"/>
      <c r="W284" s="387"/>
      <c r="X284" s="387"/>
      <c r="Y284" s="387"/>
      <c r="Z284" s="387"/>
      <c r="AA284" s="387"/>
      <c r="AB284" s="387"/>
      <c r="AC284" s="387"/>
      <c r="AD284" s="387"/>
      <c r="AE284" s="387"/>
      <c r="AF284" s="387"/>
      <c r="AG284" s="387"/>
      <c r="AH284" s="387"/>
      <c r="AI284" s="387"/>
      <c r="AJ284" s="387"/>
      <c r="AK284" s="387"/>
      <c r="AL284" s="387"/>
      <c r="AM284" s="387"/>
      <c r="AN284" s="387"/>
      <c r="AO284" s="387"/>
      <c r="AP284" s="387"/>
      <c r="AQ284" s="387"/>
      <c r="AR284" s="387"/>
      <c r="AS284" s="387"/>
      <c r="AT284" s="387"/>
      <c r="AU284" s="387"/>
      <c r="AV284" s="387"/>
      <c r="AW284" s="387"/>
      <c r="AX284" s="387"/>
      <c r="AY284" s="387"/>
      <c r="AZ284" s="387"/>
      <c r="BA284" s="387"/>
      <c r="BB284" s="387"/>
      <c r="BC284" s="387"/>
      <c r="BD284" s="387"/>
      <c r="BE284" s="387"/>
      <c r="BF284" s="387"/>
      <c r="BG284" s="387"/>
      <c r="BH284" s="387"/>
      <c r="BI284" s="387"/>
      <c r="BJ284" s="387"/>
      <c r="BK284" s="387"/>
      <c r="BL284" s="387"/>
      <c r="BM284" s="387"/>
      <c r="BN284" s="387"/>
      <c r="BO284" s="387"/>
      <c r="BP284" s="387"/>
      <c r="BQ284" s="387"/>
      <c r="BR284" s="387"/>
      <c r="BS284" s="387"/>
      <c r="BT284" s="387"/>
      <c r="BU284" s="387"/>
      <c r="BV284" s="387"/>
    </row>
    <row r="285" spans="2:74" x14ac:dyDescent="0.3">
      <c r="B285" s="325"/>
      <c r="C285" s="325"/>
      <c r="D285" s="325"/>
      <c r="E285" s="421"/>
      <c r="F285" s="387"/>
      <c r="G285" s="387"/>
      <c r="H285" s="387"/>
      <c r="I285" s="387"/>
      <c r="J285" s="387"/>
      <c r="K285" s="387"/>
      <c r="L285" s="387"/>
      <c r="M285" s="387"/>
      <c r="N285" s="387"/>
      <c r="O285" s="387"/>
      <c r="P285" s="387"/>
      <c r="Q285" s="387"/>
      <c r="R285" s="387"/>
      <c r="S285" s="387"/>
      <c r="T285" s="387"/>
      <c r="U285" s="387"/>
      <c r="V285" s="387"/>
      <c r="W285" s="387"/>
      <c r="X285" s="387"/>
      <c r="Y285" s="387"/>
      <c r="Z285" s="387"/>
      <c r="AA285" s="387"/>
      <c r="AB285" s="387"/>
      <c r="AC285" s="387"/>
      <c r="AD285" s="387"/>
      <c r="AE285" s="387"/>
      <c r="AF285" s="387"/>
      <c r="AG285" s="387"/>
      <c r="AH285" s="387"/>
      <c r="AI285" s="387"/>
      <c r="AJ285" s="387"/>
      <c r="AK285" s="387"/>
      <c r="AL285" s="387"/>
      <c r="AM285" s="387"/>
      <c r="AN285" s="387"/>
      <c r="AO285" s="387"/>
      <c r="AP285" s="387"/>
      <c r="AQ285" s="387"/>
      <c r="AR285" s="387"/>
      <c r="AS285" s="387"/>
      <c r="AT285" s="387"/>
      <c r="AU285" s="387"/>
      <c r="AV285" s="387"/>
      <c r="AW285" s="387"/>
      <c r="AX285" s="387"/>
      <c r="AY285" s="387"/>
      <c r="AZ285" s="387"/>
      <c r="BA285" s="387"/>
      <c r="BB285" s="387"/>
      <c r="BC285" s="387"/>
      <c r="BD285" s="387"/>
      <c r="BE285" s="387"/>
      <c r="BF285" s="387"/>
      <c r="BG285" s="387"/>
      <c r="BH285" s="387"/>
      <c r="BI285" s="387"/>
      <c r="BJ285" s="387"/>
      <c r="BK285" s="387"/>
      <c r="BL285" s="387"/>
      <c r="BM285" s="387"/>
      <c r="BN285" s="387"/>
      <c r="BO285" s="387"/>
      <c r="BP285" s="387"/>
      <c r="BQ285" s="387"/>
      <c r="BR285" s="387"/>
      <c r="BS285" s="387"/>
      <c r="BT285" s="387"/>
      <c r="BU285" s="387"/>
      <c r="BV285" s="387"/>
    </row>
    <row r="286" spans="2:74" x14ac:dyDescent="0.3">
      <c r="B286" s="325"/>
      <c r="C286" s="309"/>
      <c r="D286" s="309"/>
      <c r="E286" s="421"/>
      <c r="F286" s="387"/>
      <c r="G286" s="387"/>
      <c r="H286" s="387"/>
      <c r="I286" s="387"/>
      <c r="J286" s="387"/>
      <c r="K286" s="387"/>
      <c r="L286" s="387"/>
      <c r="M286" s="387"/>
      <c r="N286" s="387"/>
      <c r="O286" s="387"/>
      <c r="P286" s="387"/>
      <c r="Q286" s="387"/>
      <c r="R286" s="387"/>
      <c r="S286" s="387"/>
      <c r="T286" s="387"/>
      <c r="U286" s="387"/>
      <c r="V286" s="387"/>
      <c r="W286" s="387"/>
      <c r="X286" s="387"/>
      <c r="Y286" s="387"/>
      <c r="Z286" s="387"/>
      <c r="AA286" s="387"/>
      <c r="AB286" s="387"/>
      <c r="AC286" s="387"/>
      <c r="AD286" s="387"/>
      <c r="AE286" s="387"/>
      <c r="AF286" s="387"/>
      <c r="AG286" s="387"/>
      <c r="AH286" s="387"/>
      <c r="AI286" s="387"/>
      <c r="AJ286" s="387"/>
      <c r="AK286" s="387"/>
      <c r="AL286" s="387"/>
      <c r="AM286" s="387"/>
      <c r="AN286" s="387"/>
      <c r="AO286" s="387"/>
      <c r="AP286" s="387"/>
      <c r="AQ286" s="387"/>
      <c r="AR286" s="387"/>
      <c r="AS286" s="387"/>
      <c r="AT286" s="387"/>
      <c r="AU286" s="387"/>
      <c r="AV286" s="387"/>
      <c r="AW286" s="387"/>
      <c r="AX286" s="387"/>
      <c r="AY286" s="387"/>
      <c r="AZ286" s="387"/>
      <c r="BA286" s="387"/>
      <c r="BB286" s="387"/>
      <c r="BC286" s="387"/>
      <c r="BD286" s="387"/>
      <c r="BE286" s="387"/>
      <c r="BF286" s="387"/>
      <c r="BG286" s="387"/>
      <c r="BH286" s="387"/>
      <c r="BI286" s="387"/>
      <c r="BJ286" s="387"/>
      <c r="BK286" s="387"/>
      <c r="BL286" s="387"/>
      <c r="BM286" s="387"/>
      <c r="BN286" s="387"/>
      <c r="BO286" s="387"/>
      <c r="BP286" s="387"/>
      <c r="BQ286" s="387"/>
      <c r="BR286" s="387"/>
      <c r="BS286" s="387"/>
      <c r="BT286" s="387"/>
      <c r="BU286" s="387"/>
      <c r="BV286" s="387"/>
    </row>
    <row r="287" spans="2:74" x14ac:dyDescent="0.3">
      <c r="B287" s="325"/>
      <c r="C287" s="309"/>
      <c r="D287" s="309"/>
      <c r="E287" s="421"/>
      <c r="F287" s="387"/>
      <c r="G287" s="387"/>
      <c r="H287" s="387"/>
      <c r="I287" s="387"/>
      <c r="J287" s="387"/>
      <c r="K287" s="387"/>
      <c r="L287" s="387"/>
      <c r="M287" s="387"/>
      <c r="N287" s="387"/>
      <c r="O287" s="387"/>
      <c r="P287" s="387"/>
      <c r="Q287" s="387"/>
      <c r="R287" s="387"/>
      <c r="S287" s="387"/>
      <c r="T287" s="387"/>
      <c r="U287" s="387"/>
      <c r="V287" s="387"/>
      <c r="W287" s="387"/>
      <c r="X287" s="387"/>
      <c r="Y287" s="387"/>
      <c r="Z287" s="387"/>
      <c r="AA287" s="387"/>
      <c r="AB287" s="387"/>
      <c r="AC287" s="387"/>
      <c r="AD287" s="387"/>
      <c r="AE287" s="387"/>
      <c r="AF287" s="387"/>
      <c r="AG287" s="387"/>
      <c r="AH287" s="387"/>
      <c r="AI287" s="387"/>
      <c r="AJ287" s="387"/>
      <c r="AK287" s="387"/>
      <c r="AL287" s="387"/>
      <c r="AM287" s="387"/>
      <c r="AN287" s="387"/>
      <c r="AO287" s="387"/>
      <c r="AP287" s="387"/>
      <c r="AQ287" s="387"/>
      <c r="AR287" s="387"/>
      <c r="AS287" s="387"/>
      <c r="AT287" s="387"/>
      <c r="AU287" s="387"/>
      <c r="AV287" s="387"/>
      <c r="AW287" s="387"/>
      <c r="AX287" s="387"/>
      <c r="AY287" s="387"/>
      <c r="AZ287" s="387"/>
      <c r="BA287" s="387"/>
      <c r="BB287" s="387"/>
      <c r="BC287" s="387"/>
      <c r="BD287" s="387"/>
      <c r="BE287" s="387"/>
      <c r="BF287" s="387"/>
      <c r="BG287" s="387"/>
      <c r="BH287" s="387"/>
      <c r="BI287" s="387"/>
      <c r="BJ287" s="387"/>
      <c r="BK287" s="387"/>
      <c r="BL287" s="387"/>
      <c r="BM287" s="387"/>
      <c r="BN287" s="387"/>
      <c r="BO287" s="387"/>
      <c r="BP287" s="387"/>
      <c r="BQ287" s="387"/>
      <c r="BR287" s="387"/>
      <c r="BS287" s="387"/>
      <c r="BT287" s="387"/>
      <c r="BU287" s="387"/>
      <c r="BV287" s="387"/>
    </row>
    <row r="288" spans="2:74" x14ac:dyDescent="0.3">
      <c r="B288" s="325"/>
      <c r="C288" s="309"/>
      <c r="D288" s="309"/>
      <c r="E288" s="421"/>
      <c r="F288" s="387"/>
      <c r="G288" s="387"/>
      <c r="H288" s="387"/>
      <c r="I288" s="387"/>
      <c r="J288" s="387"/>
      <c r="K288" s="387"/>
      <c r="L288" s="387"/>
      <c r="M288" s="387"/>
      <c r="N288" s="387"/>
      <c r="O288" s="387"/>
      <c r="P288" s="387"/>
      <c r="Q288" s="387"/>
      <c r="R288" s="387"/>
      <c r="S288" s="387"/>
      <c r="T288" s="387"/>
      <c r="U288" s="387"/>
      <c r="V288" s="387"/>
      <c r="W288" s="387"/>
      <c r="X288" s="387"/>
      <c r="Y288" s="387"/>
      <c r="Z288" s="387"/>
      <c r="AA288" s="387"/>
      <c r="AB288" s="387"/>
      <c r="AC288" s="387"/>
      <c r="AD288" s="387"/>
      <c r="AE288" s="387"/>
      <c r="AF288" s="387"/>
      <c r="AG288" s="387"/>
      <c r="AH288" s="387"/>
      <c r="AI288" s="387"/>
      <c r="AJ288" s="387"/>
      <c r="AK288" s="387"/>
      <c r="AL288" s="387"/>
      <c r="AM288" s="387"/>
      <c r="AN288" s="387"/>
      <c r="AO288" s="387"/>
      <c r="AP288" s="387"/>
      <c r="AQ288" s="387"/>
      <c r="AR288" s="387"/>
      <c r="AS288" s="387"/>
      <c r="AT288" s="387"/>
      <c r="AU288" s="387"/>
      <c r="AV288" s="387"/>
      <c r="AW288" s="387"/>
      <c r="AX288" s="387"/>
      <c r="AY288" s="387"/>
      <c r="AZ288" s="387"/>
      <c r="BA288" s="387"/>
      <c r="BB288" s="387"/>
      <c r="BC288" s="387"/>
      <c r="BD288" s="387"/>
      <c r="BE288" s="387"/>
      <c r="BF288" s="387"/>
      <c r="BG288" s="387"/>
      <c r="BH288" s="387"/>
      <c r="BI288" s="387"/>
      <c r="BJ288" s="387"/>
      <c r="BK288" s="387"/>
      <c r="BL288" s="387"/>
      <c r="BM288" s="387"/>
      <c r="BN288" s="387"/>
      <c r="BO288" s="387"/>
      <c r="BP288" s="387"/>
      <c r="BQ288" s="387"/>
      <c r="BR288" s="387"/>
      <c r="BS288" s="387"/>
      <c r="BT288" s="387"/>
      <c r="BU288" s="387"/>
      <c r="BV288" s="387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9387-54B8-4B3A-86D9-A8770ED8287C}">
  <sheetPr>
    <pageSetUpPr fitToPage="1"/>
  </sheetPr>
  <dimension ref="A1:CJ287"/>
  <sheetViews>
    <sheetView view="pageBreakPreview" topLeftCell="A34" zoomScaleNormal="100" zoomScaleSheetLayoutView="100" workbookViewId="0">
      <selection activeCell="F60" sqref="F60"/>
    </sheetView>
  </sheetViews>
  <sheetFormatPr defaultColWidth="9.1796875" defaultRowHeight="13" x14ac:dyDescent="0.3"/>
  <cols>
    <col min="1" max="1" width="2.81640625" style="17" customWidth="1"/>
    <col min="2" max="2" width="3.26953125" style="17" customWidth="1"/>
    <col min="3" max="3" width="50.7265625" style="17" customWidth="1"/>
    <col min="4" max="4" width="11.54296875" style="17" customWidth="1"/>
    <col min="5" max="5" width="17.7265625" style="17" bestFit="1" customWidth="1"/>
    <col min="6" max="6" width="19" style="17" bestFit="1" customWidth="1"/>
    <col min="7" max="7" width="17.26953125" style="17" bestFit="1" customWidth="1"/>
    <col min="8" max="8" width="19" style="17" bestFit="1" customWidth="1"/>
    <col min="9" max="9" width="19.1796875" style="17" bestFit="1" customWidth="1"/>
    <col min="10" max="14" width="13.54296875" style="17" hidden="1" customWidth="1"/>
    <col min="15" max="15" width="12.7265625" style="17" hidden="1" customWidth="1"/>
    <col min="16" max="16" width="12.81640625" style="17" hidden="1" customWidth="1"/>
    <col min="17" max="17" width="11.26953125" style="17" hidden="1" customWidth="1"/>
    <col min="18" max="18" width="12.7265625" style="17" hidden="1" customWidth="1"/>
    <col min="19" max="19" width="13.1796875" style="17" hidden="1" customWidth="1"/>
    <col min="20" max="20" width="12.1796875" style="17" hidden="1" customWidth="1"/>
    <col min="21" max="21" width="12.81640625" style="17" hidden="1" customWidth="1"/>
    <col min="22" max="22" width="11.26953125" style="17" hidden="1" customWidth="1"/>
    <col min="23" max="24" width="12.7265625" style="17" hidden="1" customWidth="1"/>
    <col min="25" max="25" width="12.54296875" style="17" hidden="1" customWidth="1"/>
    <col min="26" max="26" width="14.453125" style="17" hidden="1" customWidth="1"/>
    <col min="27" max="27" width="12.1796875" style="17" hidden="1" customWidth="1"/>
    <col min="28" max="28" width="15.26953125" style="17" hidden="1" customWidth="1"/>
    <col min="29" max="29" width="12.54296875" style="17" hidden="1" customWidth="1"/>
    <col min="30" max="30" width="12.26953125" style="17" hidden="1" customWidth="1"/>
    <col min="31" max="31" width="12.7265625" style="17" hidden="1" customWidth="1"/>
    <col min="32" max="32" width="11.26953125" style="17" hidden="1" customWidth="1"/>
    <col min="33" max="33" width="12.7265625" style="17" hidden="1" customWidth="1"/>
    <col min="34" max="54" width="15.453125" style="17" hidden="1" customWidth="1"/>
    <col min="55" max="55" width="17" style="17" bestFit="1" customWidth="1"/>
    <col min="56" max="56" width="18" style="17" bestFit="1" customWidth="1"/>
    <col min="57" max="58" width="15.453125" style="17" customWidth="1"/>
    <col min="59" max="59" width="17.7265625" style="17" bestFit="1" customWidth="1"/>
    <col min="60" max="69" width="15.453125" style="17" hidden="1" customWidth="1"/>
    <col min="70" max="70" width="18.26953125" style="17" bestFit="1" customWidth="1"/>
    <col min="71" max="71" width="19.453125" style="17" bestFit="1" customWidth="1"/>
    <col min="72" max="72" width="17.26953125" style="17" bestFit="1" customWidth="1"/>
    <col min="73" max="73" width="19" style="17" bestFit="1" customWidth="1"/>
    <col min="74" max="74" width="18.7265625" style="17" bestFit="1" customWidth="1"/>
    <col min="75" max="75" width="4.7265625" style="17" customWidth="1"/>
    <col min="76" max="76" width="9" style="17" hidden="1" customWidth="1"/>
    <col min="77" max="77" width="0.26953125" style="17" hidden="1" customWidth="1"/>
    <col min="78" max="79" width="11.26953125" style="17" hidden="1" customWidth="1"/>
    <col min="80" max="80" width="9.1796875" style="17" hidden="1" customWidth="1"/>
    <col min="81" max="81" width="10.81640625" style="17" hidden="1" customWidth="1"/>
    <col min="82" max="82" width="11.54296875" style="17" hidden="1" customWidth="1"/>
    <col min="83" max="83" width="10.1796875" style="17" hidden="1" customWidth="1"/>
    <col min="84" max="84" width="10.81640625" style="17" hidden="1" customWidth="1"/>
    <col min="85" max="85" width="9.26953125" style="17" hidden="1" customWidth="1"/>
    <col min="86" max="86" width="10.453125" style="17" hidden="1" customWidth="1"/>
    <col min="87" max="87" width="11.7265625" style="17" hidden="1" customWidth="1"/>
    <col min="88" max="88" width="9.1796875" style="17" hidden="1" customWidth="1"/>
    <col min="89" max="89" width="9.1796875" style="17"/>
    <col min="90" max="90" width="4.7265625" style="17" customWidth="1"/>
    <col min="91" max="16384" width="9.1796875" style="17"/>
  </cols>
  <sheetData>
    <row r="1" spans="1:87" ht="15.5" x14ac:dyDescent="0.35">
      <c r="A1" s="5" t="s">
        <v>194</v>
      </c>
      <c r="B1" s="9"/>
      <c r="C1" s="122"/>
      <c r="D1" s="6"/>
      <c r="E1" s="288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</row>
    <row r="2" spans="1:87" ht="14.5" x14ac:dyDescent="0.35">
      <c r="A2" s="289"/>
      <c r="B2" s="6"/>
      <c r="D2" s="290"/>
      <c r="E2" s="583" t="s">
        <v>2</v>
      </c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584"/>
      <c r="AF2" s="584"/>
      <c r="AG2" s="584"/>
      <c r="AH2" s="584"/>
      <c r="AI2" s="584"/>
      <c r="AJ2" s="584"/>
      <c r="AK2" s="584"/>
      <c r="AL2" s="584"/>
      <c r="AM2" s="584"/>
      <c r="AN2" s="584"/>
      <c r="AO2" s="584"/>
      <c r="AP2" s="584"/>
      <c r="AQ2" s="584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4"/>
      <c r="BK2" s="584"/>
      <c r="BL2" s="584"/>
      <c r="BM2" s="584"/>
      <c r="BN2" s="584"/>
      <c r="BO2" s="584"/>
      <c r="BP2" s="584"/>
      <c r="BQ2" s="584"/>
      <c r="BR2" s="584"/>
      <c r="BS2" s="584"/>
      <c r="BT2" s="584"/>
      <c r="BU2" s="584"/>
      <c r="BV2" s="585"/>
      <c r="BW2" s="430"/>
    </row>
    <row r="3" spans="1:87" ht="14.5" x14ac:dyDescent="0.35">
      <c r="A3" s="14"/>
      <c r="B3" s="6"/>
      <c r="C3" s="17" t="s">
        <v>195</v>
      </c>
      <c r="D3" s="291"/>
      <c r="E3" s="578" t="s">
        <v>276</v>
      </c>
      <c r="F3" s="579"/>
      <c r="G3" s="579"/>
      <c r="H3" s="579"/>
      <c r="I3" s="580"/>
      <c r="J3" s="578" t="s">
        <v>4</v>
      </c>
      <c r="K3" s="579"/>
      <c r="L3" s="579"/>
      <c r="M3" s="579"/>
      <c r="N3" s="580"/>
      <c r="O3" s="586" t="s">
        <v>5</v>
      </c>
      <c r="P3" s="579"/>
      <c r="Q3" s="579"/>
      <c r="R3" s="579"/>
      <c r="S3" s="580"/>
      <c r="T3" s="578" t="s">
        <v>6</v>
      </c>
      <c r="U3" s="579"/>
      <c r="V3" s="579"/>
      <c r="W3" s="579"/>
      <c r="X3" s="580"/>
      <c r="Y3" s="578" t="s">
        <v>7</v>
      </c>
      <c r="Z3" s="579"/>
      <c r="AA3" s="579"/>
      <c r="AB3" s="579"/>
      <c r="AC3" s="580"/>
      <c r="AD3" s="578" t="s">
        <v>8</v>
      </c>
      <c r="AE3" s="579"/>
      <c r="AF3" s="579"/>
      <c r="AG3" s="579"/>
      <c r="AH3" s="580"/>
      <c r="AI3" s="578" t="s">
        <v>9</v>
      </c>
      <c r="AJ3" s="579"/>
      <c r="AK3" s="579"/>
      <c r="AL3" s="579"/>
      <c r="AM3" s="580"/>
      <c r="AN3" s="578" t="s">
        <v>10</v>
      </c>
      <c r="AO3" s="579"/>
      <c r="AP3" s="579"/>
      <c r="AQ3" s="579"/>
      <c r="AR3" s="580"/>
      <c r="AS3" s="578" t="s">
        <v>11</v>
      </c>
      <c r="AT3" s="579"/>
      <c r="AU3" s="579"/>
      <c r="AV3" s="579"/>
      <c r="AW3" s="580"/>
      <c r="AX3" s="578" t="s">
        <v>12</v>
      </c>
      <c r="AY3" s="579"/>
      <c r="AZ3" s="579"/>
      <c r="BA3" s="579"/>
      <c r="BB3" s="580"/>
      <c r="BC3" s="578" t="s">
        <v>13</v>
      </c>
      <c r="BD3" s="579"/>
      <c r="BE3" s="579"/>
      <c r="BF3" s="579"/>
      <c r="BG3" s="580"/>
      <c r="BH3" s="578" t="s">
        <v>14</v>
      </c>
      <c r="BI3" s="579"/>
      <c r="BJ3" s="579"/>
      <c r="BK3" s="579"/>
      <c r="BL3" s="580"/>
      <c r="BM3" s="578" t="s">
        <v>15</v>
      </c>
      <c r="BN3" s="579"/>
      <c r="BO3" s="579"/>
      <c r="BP3" s="579"/>
      <c r="BQ3" s="580"/>
      <c r="BR3" s="578" t="s">
        <v>16</v>
      </c>
      <c r="BS3" s="579"/>
      <c r="BT3" s="579"/>
      <c r="BU3" s="579"/>
      <c r="BV3" s="581"/>
      <c r="BW3" s="16"/>
    </row>
    <row r="4" spans="1:87" x14ac:dyDescent="0.3">
      <c r="A4" s="14"/>
      <c r="B4" s="6"/>
      <c r="D4" s="291"/>
      <c r="E4" s="292" t="s">
        <v>197</v>
      </c>
      <c r="F4" s="50" t="s">
        <v>198</v>
      </c>
      <c r="G4" s="50" t="s">
        <v>199</v>
      </c>
      <c r="H4" s="50" t="s">
        <v>200</v>
      </c>
      <c r="I4" s="293" t="s">
        <v>201</v>
      </c>
      <c r="J4" s="292" t="s">
        <v>197</v>
      </c>
      <c r="K4" s="50" t="s">
        <v>198</v>
      </c>
      <c r="L4" s="50" t="s">
        <v>199</v>
      </c>
      <c r="M4" s="50" t="s">
        <v>200</v>
      </c>
      <c r="N4" s="294" t="s">
        <v>201</v>
      </c>
      <c r="O4" s="50" t="s">
        <v>197</v>
      </c>
      <c r="P4" s="50" t="s">
        <v>198</v>
      </c>
      <c r="Q4" s="50" t="s">
        <v>199</v>
      </c>
      <c r="R4" s="50" t="s">
        <v>200</v>
      </c>
      <c r="S4" s="294" t="s">
        <v>201</v>
      </c>
      <c r="T4" s="292" t="s">
        <v>197</v>
      </c>
      <c r="U4" s="50" t="s">
        <v>198</v>
      </c>
      <c r="V4" s="50" t="s">
        <v>199</v>
      </c>
      <c r="W4" s="50" t="s">
        <v>200</v>
      </c>
      <c r="X4" s="294" t="s">
        <v>201</v>
      </c>
      <c r="Y4" s="292" t="s">
        <v>197</v>
      </c>
      <c r="Z4" s="50" t="s">
        <v>198</v>
      </c>
      <c r="AA4" s="50" t="s">
        <v>199</v>
      </c>
      <c r="AB4" s="50" t="s">
        <v>200</v>
      </c>
      <c r="AC4" s="294" t="s">
        <v>201</v>
      </c>
      <c r="AD4" s="292" t="s">
        <v>197</v>
      </c>
      <c r="AE4" s="50" t="s">
        <v>198</v>
      </c>
      <c r="AF4" s="50" t="s">
        <v>199</v>
      </c>
      <c r="AG4" s="50" t="s">
        <v>200</v>
      </c>
      <c r="AH4" s="294" t="s">
        <v>201</v>
      </c>
      <c r="AI4" s="292" t="s">
        <v>197</v>
      </c>
      <c r="AJ4" s="50" t="s">
        <v>198</v>
      </c>
      <c r="AK4" s="50" t="s">
        <v>199</v>
      </c>
      <c r="AL4" s="50" t="s">
        <v>200</v>
      </c>
      <c r="AM4" s="294" t="s">
        <v>201</v>
      </c>
      <c r="AN4" s="292" t="s">
        <v>197</v>
      </c>
      <c r="AO4" s="50" t="s">
        <v>198</v>
      </c>
      <c r="AP4" s="50" t="s">
        <v>199</v>
      </c>
      <c r="AQ4" s="50" t="s">
        <v>200</v>
      </c>
      <c r="AR4" s="294" t="s">
        <v>201</v>
      </c>
      <c r="AS4" s="292" t="s">
        <v>197</v>
      </c>
      <c r="AT4" s="50" t="s">
        <v>198</v>
      </c>
      <c r="AU4" s="50" t="s">
        <v>199</v>
      </c>
      <c r="AV4" s="50" t="s">
        <v>200</v>
      </c>
      <c r="AW4" s="294" t="s">
        <v>201</v>
      </c>
      <c r="AX4" s="292" t="s">
        <v>197</v>
      </c>
      <c r="AY4" s="50" t="s">
        <v>198</v>
      </c>
      <c r="AZ4" s="50" t="s">
        <v>199</v>
      </c>
      <c r="BA4" s="50" t="s">
        <v>200</v>
      </c>
      <c r="BB4" s="294" t="s">
        <v>201</v>
      </c>
      <c r="BC4" s="292" t="s">
        <v>197</v>
      </c>
      <c r="BD4" s="50" t="s">
        <v>198</v>
      </c>
      <c r="BE4" s="50" t="s">
        <v>199</v>
      </c>
      <c r="BF4" s="50" t="s">
        <v>200</v>
      </c>
      <c r="BG4" s="294" t="s">
        <v>201</v>
      </c>
      <c r="BH4" s="292" t="s">
        <v>197</v>
      </c>
      <c r="BI4" s="50" t="s">
        <v>198</v>
      </c>
      <c r="BJ4" s="50" t="s">
        <v>199</v>
      </c>
      <c r="BK4" s="50" t="s">
        <v>202</v>
      </c>
      <c r="BL4" s="294" t="s">
        <v>201</v>
      </c>
      <c r="BM4" s="292" t="s">
        <v>197</v>
      </c>
      <c r="BN4" s="50" t="s">
        <v>198</v>
      </c>
      <c r="BO4" s="50" t="s">
        <v>199</v>
      </c>
      <c r="BP4" s="50" t="s">
        <v>200</v>
      </c>
      <c r="BQ4" s="294" t="s">
        <v>201</v>
      </c>
      <c r="BR4" s="292" t="s">
        <v>197</v>
      </c>
      <c r="BS4" s="50" t="s">
        <v>198</v>
      </c>
      <c r="BT4" s="50" t="s">
        <v>199</v>
      </c>
      <c r="BU4" s="50" t="s">
        <v>200</v>
      </c>
      <c r="BV4" s="431" t="s">
        <v>201</v>
      </c>
      <c r="BW4" s="430"/>
    </row>
    <row r="5" spans="1:87" ht="15.5" x14ac:dyDescent="0.35">
      <c r="A5" s="296" t="s">
        <v>18</v>
      </c>
      <c r="B5" s="26"/>
      <c r="C5" s="26"/>
      <c r="D5" s="297"/>
      <c r="E5" s="298" t="s">
        <v>203</v>
      </c>
      <c r="F5" s="30" t="s">
        <v>204</v>
      </c>
      <c r="G5" s="30" t="s">
        <v>205</v>
      </c>
      <c r="H5" s="30" t="s">
        <v>206</v>
      </c>
      <c r="I5" s="31"/>
      <c r="J5" s="298" t="s">
        <v>203</v>
      </c>
      <c r="K5" s="30" t="s">
        <v>204</v>
      </c>
      <c r="L5" s="30" t="s">
        <v>205</v>
      </c>
      <c r="M5" s="30" t="s">
        <v>206</v>
      </c>
      <c r="N5" s="31"/>
      <c r="O5" s="30" t="s">
        <v>203</v>
      </c>
      <c r="P5" s="30" t="s">
        <v>204</v>
      </c>
      <c r="Q5" s="30" t="s">
        <v>205</v>
      </c>
      <c r="R5" s="30" t="s">
        <v>206</v>
      </c>
      <c r="S5" s="31"/>
      <c r="T5" s="298" t="s">
        <v>203</v>
      </c>
      <c r="U5" s="30" t="s">
        <v>204</v>
      </c>
      <c r="V5" s="30" t="s">
        <v>205</v>
      </c>
      <c r="W5" s="30" t="s">
        <v>206</v>
      </c>
      <c r="X5" s="31"/>
      <c r="Y5" s="298" t="s">
        <v>203</v>
      </c>
      <c r="Z5" s="30" t="s">
        <v>204</v>
      </c>
      <c r="AA5" s="30" t="s">
        <v>205</v>
      </c>
      <c r="AB5" s="30" t="s">
        <v>206</v>
      </c>
      <c r="AC5" s="31"/>
      <c r="AD5" s="298" t="s">
        <v>203</v>
      </c>
      <c r="AE5" s="30" t="s">
        <v>204</v>
      </c>
      <c r="AF5" s="30" t="s">
        <v>205</v>
      </c>
      <c r="AG5" s="30" t="s">
        <v>206</v>
      </c>
      <c r="AH5" s="31"/>
      <c r="AI5" s="298" t="s">
        <v>203</v>
      </c>
      <c r="AJ5" s="30" t="s">
        <v>204</v>
      </c>
      <c r="AK5" s="30" t="s">
        <v>205</v>
      </c>
      <c r="AL5" s="30" t="s">
        <v>206</v>
      </c>
      <c r="AM5" s="31"/>
      <c r="AN5" s="298" t="s">
        <v>203</v>
      </c>
      <c r="AO5" s="30" t="s">
        <v>204</v>
      </c>
      <c r="AP5" s="30" t="s">
        <v>205</v>
      </c>
      <c r="AQ5" s="30" t="s">
        <v>206</v>
      </c>
      <c r="AR5" s="31"/>
      <c r="AS5" s="298" t="s">
        <v>203</v>
      </c>
      <c r="AT5" s="30" t="s">
        <v>204</v>
      </c>
      <c r="AU5" s="30" t="s">
        <v>205</v>
      </c>
      <c r="AV5" s="30" t="s">
        <v>206</v>
      </c>
      <c r="AW5" s="31"/>
      <c r="AX5" s="298" t="s">
        <v>203</v>
      </c>
      <c r="AY5" s="30" t="s">
        <v>204</v>
      </c>
      <c r="AZ5" s="30" t="s">
        <v>205</v>
      </c>
      <c r="BA5" s="30" t="s">
        <v>206</v>
      </c>
      <c r="BB5" s="31"/>
      <c r="BC5" s="298" t="s">
        <v>203</v>
      </c>
      <c r="BD5" s="30" t="s">
        <v>204</v>
      </c>
      <c r="BE5" s="30" t="s">
        <v>205</v>
      </c>
      <c r="BF5" s="30" t="s">
        <v>206</v>
      </c>
      <c r="BG5" s="31"/>
      <c r="BH5" s="298" t="s">
        <v>203</v>
      </c>
      <c r="BI5" s="30" t="s">
        <v>204</v>
      </c>
      <c r="BJ5" s="30" t="s">
        <v>205</v>
      </c>
      <c r="BK5" s="30" t="s">
        <v>206</v>
      </c>
      <c r="BL5" s="31"/>
      <c r="BM5" s="298" t="s">
        <v>203</v>
      </c>
      <c r="BN5" s="30" t="s">
        <v>204</v>
      </c>
      <c r="BO5" s="30" t="s">
        <v>205</v>
      </c>
      <c r="BP5" s="30" t="s">
        <v>206</v>
      </c>
      <c r="BQ5" s="31"/>
      <c r="BR5" s="298" t="s">
        <v>203</v>
      </c>
      <c r="BS5" s="30" t="s">
        <v>204</v>
      </c>
      <c r="BT5" s="30" t="s">
        <v>205</v>
      </c>
      <c r="BU5" s="30" t="s">
        <v>206</v>
      </c>
      <c r="BV5" s="298"/>
      <c r="BW5" s="430"/>
      <c r="BX5" s="432">
        <f>(100/12)*1</f>
        <v>8.3333333333333339</v>
      </c>
      <c r="CA5" s="5" t="s">
        <v>277</v>
      </c>
      <c r="CG5" s="5" t="s">
        <v>278</v>
      </c>
    </row>
    <row r="6" spans="1:87" x14ac:dyDescent="0.3">
      <c r="A6" s="302"/>
      <c r="B6" s="6"/>
      <c r="D6" s="50"/>
      <c r="E6" s="303"/>
      <c r="F6" s="50"/>
      <c r="G6" s="50"/>
      <c r="H6" s="50"/>
      <c r="I6" s="306"/>
      <c r="J6" s="292"/>
      <c r="K6" s="50"/>
      <c r="L6" s="50"/>
      <c r="M6" s="50"/>
      <c r="N6" s="306"/>
      <c r="O6" s="50"/>
      <c r="P6" s="50"/>
      <c r="Q6" s="50"/>
      <c r="R6" s="50"/>
      <c r="S6" s="306"/>
      <c r="T6" s="292"/>
      <c r="U6" s="50"/>
      <c r="V6" s="50"/>
      <c r="W6" s="50"/>
      <c r="X6" s="306"/>
      <c r="Y6" s="292"/>
      <c r="Z6" s="50"/>
      <c r="AA6" s="50"/>
      <c r="AB6" s="50"/>
      <c r="AC6" s="306"/>
      <c r="AD6" s="292"/>
      <c r="AE6" s="50"/>
      <c r="AF6" s="50"/>
      <c r="AG6" s="50"/>
      <c r="AH6" s="306"/>
      <c r="AI6" s="292"/>
      <c r="AJ6" s="50"/>
      <c r="AK6" s="50"/>
      <c r="AL6" s="50"/>
      <c r="AM6" s="306"/>
      <c r="AN6" s="292"/>
      <c r="AO6" s="50"/>
      <c r="AP6" s="50"/>
      <c r="AQ6" s="50"/>
      <c r="AR6" s="306"/>
      <c r="AS6" s="292"/>
      <c r="AT6" s="50"/>
      <c r="AU6" s="50"/>
      <c r="AV6" s="50"/>
      <c r="AW6" s="306"/>
      <c r="AX6" s="292"/>
      <c r="AY6" s="50"/>
      <c r="AZ6" s="50"/>
      <c r="BA6" s="50"/>
      <c r="BB6" s="306"/>
      <c r="BC6" s="292"/>
      <c r="BD6" s="50"/>
      <c r="BE6" s="50"/>
      <c r="BF6" s="50"/>
      <c r="BG6" s="306"/>
      <c r="BH6" s="292"/>
      <c r="BI6" s="50"/>
      <c r="BJ6" s="50"/>
      <c r="BK6" s="50"/>
      <c r="BL6" s="306"/>
      <c r="BM6" s="292"/>
      <c r="BN6" s="50"/>
      <c r="BO6" s="50"/>
      <c r="BP6" s="50"/>
      <c r="BQ6" s="306"/>
      <c r="BR6" s="292"/>
      <c r="BS6" s="50"/>
      <c r="BT6" s="50"/>
      <c r="BU6" s="50"/>
      <c r="BV6" s="292"/>
      <c r="BW6" s="430"/>
    </row>
    <row r="7" spans="1:87" ht="13.5" customHeight="1" x14ac:dyDescent="0.3">
      <c r="A7" s="308">
        <v>1</v>
      </c>
      <c r="B7" s="309" t="s">
        <v>207</v>
      </c>
      <c r="D7" s="310"/>
      <c r="E7" s="187">
        <f>502908-5706</f>
        <v>497202</v>
      </c>
      <c r="F7" s="381">
        <v>2078</v>
      </c>
      <c r="G7" s="166">
        <v>17731</v>
      </c>
      <c r="H7" s="166">
        <v>1200</v>
      </c>
      <c r="I7" s="172">
        <f t="shared" ref="I7:I47" si="0">SUM(E7:H7)</f>
        <v>518211</v>
      </c>
      <c r="J7" s="187">
        <v>30897</v>
      </c>
      <c r="K7" s="166">
        <v>92</v>
      </c>
      <c r="L7" s="166">
        <v>1136</v>
      </c>
      <c r="M7" s="166">
        <v>0</v>
      </c>
      <c r="N7" s="172">
        <f>SUM(J7:M7)</f>
        <v>32125</v>
      </c>
      <c r="O7" s="166">
        <v>36666</v>
      </c>
      <c r="P7" s="166">
        <v>149</v>
      </c>
      <c r="Q7" s="166">
        <v>977</v>
      </c>
      <c r="R7" s="166">
        <v>0</v>
      </c>
      <c r="S7" s="172">
        <f>SUM(O7:R7)</f>
        <v>37792</v>
      </c>
      <c r="T7" s="187">
        <v>41896</v>
      </c>
      <c r="U7" s="166">
        <v>226</v>
      </c>
      <c r="V7" s="166">
        <v>2103</v>
      </c>
      <c r="W7" s="166">
        <v>0</v>
      </c>
      <c r="X7" s="172">
        <f>SUM(T7:W7)</f>
        <v>44225</v>
      </c>
      <c r="Y7" s="433">
        <v>31952</v>
      </c>
      <c r="Z7" s="166">
        <v>10</v>
      </c>
      <c r="AA7" s="433">
        <v>179</v>
      </c>
      <c r="AB7" s="166">
        <v>0</v>
      </c>
      <c r="AC7" s="172">
        <f>SUM(Y7:AB7)</f>
        <v>32141</v>
      </c>
      <c r="AD7" s="187">
        <v>38786</v>
      </c>
      <c r="AE7" s="166">
        <v>80</v>
      </c>
      <c r="AF7" s="166">
        <v>1510</v>
      </c>
      <c r="AG7" s="166">
        <v>0</v>
      </c>
      <c r="AH7" s="172">
        <f>SUM(AD7:AG7)</f>
        <v>40376</v>
      </c>
      <c r="AI7" s="187">
        <v>36035</v>
      </c>
      <c r="AJ7" s="166">
        <v>82</v>
      </c>
      <c r="AK7" s="166">
        <v>777</v>
      </c>
      <c r="AL7" s="166">
        <v>0</v>
      </c>
      <c r="AM7" s="172">
        <f t="shared" ref="AM7:AM47" si="1">SUM(AI7:AL7)</f>
        <v>36894</v>
      </c>
      <c r="AN7" s="187">
        <v>36648</v>
      </c>
      <c r="AO7" s="166">
        <v>1</v>
      </c>
      <c r="AP7" s="166">
        <v>858</v>
      </c>
      <c r="AQ7" s="166">
        <v>0</v>
      </c>
      <c r="AR7" s="172">
        <f t="shared" ref="AR7:AR47" si="2">SUM(AN7:AQ7)</f>
        <v>37507</v>
      </c>
      <c r="AS7" s="187">
        <v>47163</v>
      </c>
      <c r="AT7" s="166">
        <v>20</v>
      </c>
      <c r="AU7" s="166">
        <v>1159</v>
      </c>
      <c r="AV7" s="166">
        <v>0</v>
      </c>
      <c r="AW7" s="172">
        <f>SUM(AS7:AV7)</f>
        <v>48342</v>
      </c>
      <c r="AX7" s="187">
        <v>41898</v>
      </c>
      <c r="AY7" s="166">
        <v>288</v>
      </c>
      <c r="AZ7" s="166">
        <v>660</v>
      </c>
      <c r="BA7" s="166">
        <v>0</v>
      </c>
      <c r="BB7" s="172">
        <f>SUM(AX7:BA7)</f>
        <v>42846</v>
      </c>
      <c r="BC7" s="187">
        <v>35315</v>
      </c>
      <c r="BD7" s="166">
        <v>152</v>
      </c>
      <c r="BE7" s="166">
        <v>1691</v>
      </c>
      <c r="BF7" s="166">
        <v>0</v>
      </c>
      <c r="BG7" s="172">
        <f>SUM(BC7:BF7)</f>
        <v>37158</v>
      </c>
      <c r="BH7" s="187">
        <v>0</v>
      </c>
      <c r="BI7" s="166">
        <v>0</v>
      </c>
      <c r="BJ7" s="166">
        <v>0</v>
      </c>
      <c r="BK7" s="166">
        <v>0</v>
      </c>
      <c r="BL7" s="172">
        <f>SUM(BH7:BK7)</f>
        <v>0</v>
      </c>
      <c r="BM7" s="187">
        <v>0</v>
      </c>
      <c r="BN7" s="166">
        <v>0</v>
      </c>
      <c r="BO7" s="166">
        <v>0</v>
      </c>
      <c r="BP7" s="166">
        <v>0</v>
      </c>
      <c r="BQ7" s="172">
        <f>SUM(BM7:BP7)</f>
        <v>0</v>
      </c>
      <c r="BR7" s="187">
        <f>+J7+O7+T7+Y7+AD7+AI7+AN7+AS7+AX7+BC7+BH7+BM7</f>
        <v>377256</v>
      </c>
      <c r="BS7" s="381">
        <f t="shared" ref="BS7:BU47" si="3">+K7+P7+U7+Z7+AE7+AJ7+AO7+AT7+AY7+BD7+BI7+BN7</f>
        <v>1100</v>
      </c>
      <c r="BT7" s="166">
        <f t="shared" si="3"/>
        <v>11050</v>
      </c>
      <c r="BU7" s="166">
        <f t="shared" si="3"/>
        <v>0</v>
      </c>
      <c r="BV7" s="187">
        <f>SUM(BR7:BU7)</f>
        <v>389406</v>
      </c>
      <c r="BW7" s="434"/>
      <c r="BX7" s="435">
        <f>(BV7/I7)*100</f>
        <v>75.144294505519952</v>
      </c>
      <c r="BZ7" s="436">
        <v>30897.113089999999</v>
      </c>
      <c r="CA7" s="436">
        <v>92.034950000000009</v>
      </c>
      <c r="CB7" s="436">
        <v>1136.2880599999989</v>
      </c>
      <c r="CC7" s="437">
        <v>0</v>
      </c>
      <c r="CD7" s="437">
        <v>32125.436100000003</v>
      </c>
      <c r="CE7" s="438">
        <f>+BZ7-J7</f>
        <v>0.11308999999891967</v>
      </c>
      <c r="CF7" s="438">
        <f>+CA7-K7</f>
        <v>3.495000000000914E-2</v>
      </c>
      <c r="CG7" s="438">
        <f>+CB7-L7</f>
        <v>0.28805999999894993</v>
      </c>
      <c r="CH7" s="140">
        <f>+CC7-M7</f>
        <v>0</v>
      </c>
      <c r="CI7" s="439">
        <f>+CD7-N7</f>
        <v>0.43610000000262517</v>
      </c>
    </row>
    <row r="8" spans="1:87" x14ac:dyDescent="0.3">
      <c r="A8" s="308">
        <v>2</v>
      </c>
      <c r="B8" s="309" t="s">
        <v>208</v>
      </c>
      <c r="D8" s="318" t="s">
        <v>70</v>
      </c>
      <c r="E8" s="187">
        <v>1641637</v>
      </c>
      <c r="F8" s="381">
        <f>370203+122492</f>
        <v>492695</v>
      </c>
      <c r="G8" s="166">
        <v>9816</v>
      </c>
      <c r="H8" s="166">
        <v>0</v>
      </c>
      <c r="I8" s="172">
        <f t="shared" si="0"/>
        <v>2144148</v>
      </c>
      <c r="J8" s="187">
        <v>137668</v>
      </c>
      <c r="K8" s="166">
        <v>122489</v>
      </c>
      <c r="L8" s="166">
        <v>179</v>
      </c>
      <c r="M8" s="166">
        <v>0</v>
      </c>
      <c r="N8" s="172">
        <f>SUM(J8:M8)</f>
        <v>260336</v>
      </c>
      <c r="O8" s="166">
        <v>137668</v>
      </c>
      <c r="P8" s="166">
        <v>0</v>
      </c>
      <c r="Q8" s="166">
        <v>179</v>
      </c>
      <c r="R8" s="166">
        <v>0</v>
      </c>
      <c r="S8" s="172">
        <f t="shared" ref="S8:S22" si="4">SUM(O8:R8)</f>
        <v>137847</v>
      </c>
      <c r="T8" s="187">
        <v>135111</v>
      </c>
      <c r="U8" s="166">
        <v>2736</v>
      </c>
      <c r="V8" s="166">
        <v>0</v>
      </c>
      <c r="W8" s="166">
        <v>0</v>
      </c>
      <c r="X8" s="172">
        <f t="shared" ref="X8:X47" si="5">SUM(T8:W8)</f>
        <v>137847</v>
      </c>
      <c r="Y8" s="187">
        <v>137668</v>
      </c>
      <c r="Z8" s="166">
        <v>122489</v>
      </c>
      <c r="AA8" s="166">
        <v>179</v>
      </c>
      <c r="AB8" s="166">
        <v>0</v>
      </c>
      <c r="AC8" s="172">
        <f t="shared" ref="AC8:AC47" si="6">SUM(Y8:AB8)</f>
        <v>260336</v>
      </c>
      <c r="AD8" s="187">
        <v>137668</v>
      </c>
      <c r="AE8" s="166">
        <v>0</v>
      </c>
      <c r="AF8" s="166">
        <v>179</v>
      </c>
      <c r="AG8" s="166">
        <v>0</v>
      </c>
      <c r="AH8" s="172">
        <f t="shared" ref="AH8:AH46" si="7">SUM(AD8:AG8)</f>
        <v>137847</v>
      </c>
      <c r="AI8" s="187">
        <v>135111</v>
      </c>
      <c r="AJ8" s="166">
        <v>0</v>
      </c>
      <c r="AK8" s="166">
        <v>2736</v>
      </c>
      <c r="AL8" s="166">
        <v>0</v>
      </c>
      <c r="AM8" s="172">
        <f t="shared" si="1"/>
        <v>137847</v>
      </c>
      <c r="AN8" s="187">
        <v>137668</v>
      </c>
      <c r="AO8" s="166">
        <v>122489</v>
      </c>
      <c r="AP8" s="166">
        <v>179</v>
      </c>
      <c r="AQ8" s="166">
        <v>0</v>
      </c>
      <c r="AR8" s="172">
        <f t="shared" si="2"/>
        <v>260336</v>
      </c>
      <c r="AS8" s="187">
        <v>137668</v>
      </c>
      <c r="AT8" s="166">
        <v>0</v>
      </c>
      <c r="AU8" s="166">
        <v>179</v>
      </c>
      <c r="AV8" s="166">
        <v>0</v>
      </c>
      <c r="AW8" s="172">
        <f>SUM(AS8:AV8)</f>
        <v>137847</v>
      </c>
      <c r="AX8" s="187">
        <v>135111</v>
      </c>
      <c r="AY8" s="166">
        <v>0</v>
      </c>
      <c r="AZ8" s="166">
        <v>2736</v>
      </c>
      <c r="BA8" s="166">
        <v>0</v>
      </c>
      <c r="BB8" s="172">
        <f t="shared" ref="BB8:BB47" si="8">SUM(AX8:BA8)</f>
        <v>137847</v>
      </c>
      <c r="BC8" s="187">
        <v>137668</v>
      </c>
      <c r="BD8" s="166">
        <v>0</v>
      </c>
      <c r="BE8" s="166">
        <v>179</v>
      </c>
      <c r="BF8" s="166">
        <v>0</v>
      </c>
      <c r="BG8" s="172">
        <f t="shared" ref="BG8:BG47" si="9">SUM(BC8:BF8)</f>
        <v>137847</v>
      </c>
      <c r="BH8" s="187">
        <v>0</v>
      </c>
      <c r="BI8" s="166">
        <v>0</v>
      </c>
      <c r="BJ8" s="166">
        <v>0</v>
      </c>
      <c r="BK8" s="166">
        <v>0</v>
      </c>
      <c r="BL8" s="172">
        <f t="shared" ref="BL8:BL47" si="10">SUM(BH8:BK8)</f>
        <v>0</v>
      </c>
      <c r="BM8" s="187">
        <v>0</v>
      </c>
      <c r="BN8" s="166">
        <v>0</v>
      </c>
      <c r="BO8" s="166">
        <v>0</v>
      </c>
      <c r="BP8" s="166">
        <v>0</v>
      </c>
      <c r="BQ8" s="172">
        <f t="shared" ref="BQ8:BQ47" si="11">SUM(BM8:BP8)</f>
        <v>0</v>
      </c>
      <c r="BR8" s="187">
        <f t="shared" ref="BR8:BR47" si="12">+J8+O8+T8+Y8+AD8+AI8+AN8+AS8+AX8+BC8+BH8+BM8</f>
        <v>1369009</v>
      </c>
      <c r="BS8" s="381">
        <f t="shared" si="3"/>
        <v>370203</v>
      </c>
      <c r="BT8" s="166">
        <f t="shared" si="3"/>
        <v>6725</v>
      </c>
      <c r="BU8" s="166">
        <f t="shared" si="3"/>
        <v>0</v>
      </c>
      <c r="BV8" s="187">
        <f t="shared" ref="BV8:BV47" si="13">SUM(BR8:BU8)</f>
        <v>1745937</v>
      </c>
      <c r="BW8" s="144"/>
      <c r="BX8" s="435">
        <f>(BV8/I8)*100</f>
        <v>81.42800776812048</v>
      </c>
      <c r="BZ8" s="440">
        <v>137668</v>
      </c>
      <c r="CA8" s="441">
        <v>122489</v>
      </c>
      <c r="CB8" s="441">
        <v>179</v>
      </c>
      <c r="CC8" s="442">
        <v>0</v>
      </c>
      <c r="CD8" s="443">
        <v>260336</v>
      </c>
      <c r="CE8" s="317">
        <f>+BZ8-J8</f>
        <v>0</v>
      </c>
      <c r="CF8" s="317">
        <f t="shared" ref="CF8:CI46" si="14">+CA8-K8</f>
        <v>0</v>
      </c>
      <c r="CG8" s="317">
        <f t="shared" si="14"/>
        <v>0</v>
      </c>
      <c r="CH8" s="136">
        <f t="shared" si="14"/>
        <v>0</v>
      </c>
      <c r="CI8" s="444">
        <f t="shared" si="14"/>
        <v>0</v>
      </c>
    </row>
    <row r="9" spans="1:87" x14ac:dyDescent="0.3">
      <c r="A9" s="308">
        <v>3</v>
      </c>
      <c r="B9" s="309" t="s">
        <v>209</v>
      </c>
      <c r="D9" s="318"/>
      <c r="E9" s="187">
        <v>4166697</v>
      </c>
      <c r="F9" s="381">
        <v>94231527</v>
      </c>
      <c r="G9" s="166">
        <v>44762</v>
      </c>
      <c r="H9" s="166">
        <v>72</v>
      </c>
      <c r="I9" s="172">
        <f t="shared" si="0"/>
        <v>98443058</v>
      </c>
      <c r="J9" s="187">
        <v>361638</v>
      </c>
      <c r="K9" s="166">
        <v>105</v>
      </c>
      <c r="L9" s="166">
        <v>0</v>
      </c>
      <c r="M9" s="166">
        <v>5</v>
      </c>
      <c r="N9" s="172">
        <f t="shared" ref="N9:N47" si="15">SUM(J9:M9)</f>
        <v>361748</v>
      </c>
      <c r="O9" s="166">
        <v>290380</v>
      </c>
      <c r="P9" s="166">
        <v>854</v>
      </c>
      <c r="Q9" s="166">
        <v>1018</v>
      </c>
      <c r="R9" s="166">
        <v>67</v>
      </c>
      <c r="S9" s="172">
        <f t="shared" si="4"/>
        <v>292319</v>
      </c>
      <c r="T9" s="187">
        <v>332230</v>
      </c>
      <c r="U9" s="166">
        <v>150816</v>
      </c>
      <c r="V9" s="166">
        <v>4546</v>
      </c>
      <c r="W9" s="166">
        <v>0</v>
      </c>
      <c r="X9" s="172">
        <f t="shared" si="5"/>
        <v>487592</v>
      </c>
      <c r="Y9" s="392">
        <v>335069</v>
      </c>
      <c r="Z9" s="166">
        <v>36376908</v>
      </c>
      <c r="AA9" s="166">
        <v>3745</v>
      </c>
      <c r="AB9" s="319">
        <v>0</v>
      </c>
      <c r="AC9" s="172">
        <f t="shared" si="6"/>
        <v>36715722</v>
      </c>
      <c r="AD9" s="187">
        <v>343872</v>
      </c>
      <c r="AE9" s="166">
        <v>22722</v>
      </c>
      <c r="AF9" s="166">
        <v>2706</v>
      </c>
      <c r="AG9" s="166">
        <v>0</v>
      </c>
      <c r="AH9" s="172">
        <f t="shared" si="7"/>
        <v>369300</v>
      </c>
      <c r="AI9" s="187">
        <v>397106</v>
      </c>
      <c r="AJ9" s="166">
        <v>2298254</v>
      </c>
      <c r="AK9" s="166">
        <v>7694</v>
      </c>
      <c r="AL9" s="166">
        <v>0</v>
      </c>
      <c r="AM9" s="172">
        <f t="shared" si="1"/>
        <v>2703054</v>
      </c>
      <c r="AN9" s="187">
        <v>349905</v>
      </c>
      <c r="AO9" s="166">
        <v>1112719</v>
      </c>
      <c r="AP9" s="166">
        <v>3705</v>
      </c>
      <c r="AQ9" s="166">
        <v>0</v>
      </c>
      <c r="AR9" s="172">
        <f t="shared" si="2"/>
        <v>1466329</v>
      </c>
      <c r="AS9" s="187">
        <v>397020</v>
      </c>
      <c r="AT9" s="166">
        <v>330127</v>
      </c>
      <c r="AU9" s="166">
        <v>4975</v>
      </c>
      <c r="AV9" s="166">
        <v>0</v>
      </c>
      <c r="AW9" s="172">
        <f>SUM(AS9:AV9)</f>
        <v>732122</v>
      </c>
      <c r="AX9" s="187">
        <v>437668</v>
      </c>
      <c r="AY9" s="166">
        <v>27295318</v>
      </c>
      <c r="AZ9" s="166">
        <v>2099</v>
      </c>
      <c r="BA9" s="166">
        <v>0</v>
      </c>
      <c r="BB9" s="172">
        <f t="shared" si="8"/>
        <v>27735085</v>
      </c>
      <c r="BC9" s="187">
        <v>301460</v>
      </c>
      <c r="BD9" s="166">
        <v>895660</v>
      </c>
      <c r="BE9" s="166">
        <v>231</v>
      </c>
      <c r="BF9" s="166">
        <v>0</v>
      </c>
      <c r="BG9" s="172">
        <f t="shared" si="9"/>
        <v>1197351</v>
      </c>
      <c r="BH9" s="187">
        <v>0</v>
      </c>
      <c r="BI9" s="166">
        <v>0</v>
      </c>
      <c r="BJ9" s="166">
        <v>0</v>
      </c>
      <c r="BK9" s="166">
        <v>0</v>
      </c>
      <c r="BL9" s="172">
        <f t="shared" si="10"/>
        <v>0</v>
      </c>
      <c r="BM9" s="187">
        <v>0</v>
      </c>
      <c r="BN9" s="166">
        <v>0</v>
      </c>
      <c r="BO9" s="166">
        <v>0</v>
      </c>
      <c r="BP9" s="166">
        <v>0</v>
      </c>
      <c r="BQ9" s="172">
        <f t="shared" si="11"/>
        <v>0</v>
      </c>
      <c r="BR9" s="187">
        <f t="shared" si="12"/>
        <v>3546348</v>
      </c>
      <c r="BS9" s="381">
        <f t="shared" si="3"/>
        <v>68483483</v>
      </c>
      <c r="BT9" s="166">
        <f t="shared" si="3"/>
        <v>30719</v>
      </c>
      <c r="BU9" s="166">
        <f t="shared" si="3"/>
        <v>72</v>
      </c>
      <c r="BV9" s="187">
        <f>SUM(BR9:BU9)</f>
        <v>72060622</v>
      </c>
      <c r="BW9" s="144"/>
      <c r="BX9" s="435">
        <f t="shared" ref="BX9:BX74" si="16">(BV9/I9)*100</f>
        <v>73.200308344748905</v>
      </c>
      <c r="BZ9" s="440">
        <v>356729.5698</v>
      </c>
      <c r="CA9" s="440">
        <v>105.57939</v>
      </c>
      <c r="CB9" s="440">
        <v>0</v>
      </c>
      <c r="CC9" s="443">
        <v>4.6364000000000001</v>
      </c>
      <c r="CD9" s="443">
        <v>356839.78559000004</v>
      </c>
      <c r="CE9" s="317">
        <f>+BZ9-J9</f>
        <v>-4908.4302000000025</v>
      </c>
      <c r="CF9" s="317">
        <f t="shared" si="14"/>
        <v>0.57939000000000362</v>
      </c>
      <c r="CG9" s="317">
        <f t="shared" si="14"/>
        <v>0</v>
      </c>
      <c r="CH9" s="136">
        <f t="shared" si="14"/>
        <v>-0.36359999999999992</v>
      </c>
      <c r="CI9" s="444">
        <f t="shared" si="14"/>
        <v>-4908.2144099999568</v>
      </c>
    </row>
    <row r="10" spans="1:87" x14ac:dyDescent="0.3">
      <c r="A10" s="308">
        <v>4</v>
      </c>
      <c r="B10" s="309" t="s">
        <v>210</v>
      </c>
      <c r="D10" s="318"/>
      <c r="E10" s="187">
        <v>503199</v>
      </c>
      <c r="F10" s="381">
        <v>247689</v>
      </c>
      <c r="G10" s="166">
        <v>4002</v>
      </c>
      <c r="H10" s="166">
        <v>114</v>
      </c>
      <c r="I10" s="172">
        <f>SUM(E10:H10)</f>
        <v>755004</v>
      </c>
      <c r="J10" s="187">
        <v>32579</v>
      </c>
      <c r="K10" s="166">
        <v>34471</v>
      </c>
      <c r="L10" s="166">
        <v>18</v>
      </c>
      <c r="M10" s="166">
        <v>0</v>
      </c>
      <c r="N10" s="172">
        <f>SUM(J10:M10)</f>
        <v>67068</v>
      </c>
      <c r="O10" s="166">
        <v>33871</v>
      </c>
      <c r="P10" s="166">
        <v>-345</v>
      </c>
      <c r="Q10" s="166">
        <v>337</v>
      </c>
      <c r="R10" s="166">
        <v>0</v>
      </c>
      <c r="S10" s="172">
        <f t="shared" si="4"/>
        <v>33863</v>
      </c>
      <c r="T10" s="187">
        <v>36386</v>
      </c>
      <c r="U10" s="166">
        <v>0</v>
      </c>
      <c r="V10" s="166">
        <v>153</v>
      </c>
      <c r="W10" s="166">
        <v>0</v>
      </c>
      <c r="X10" s="172">
        <f t="shared" si="5"/>
        <v>36539</v>
      </c>
      <c r="Y10" s="433">
        <v>51936</v>
      </c>
      <c r="Z10" s="166">
        <v>89064</v>
      </c>
      <c r="AA10" s="166">
        <v>348</v>
      </c>
      <c r="AB10" s="319">
        <v>0</v>
      </c>
      <c r="AC10" s="172">
        <f t="shared" si="6"/>
        <v>141348</v>
      </c>
      <c r="AD10" s="187">
        <v>42179</v>
      </c>
      <c r="AE10" s="166">
        <v>670</v>
      </c>
      <c r="AF10" s="166">
        <v>53</v>
      </c>
      <c r="AG10" s="166">
        <v>62</v>
      </c>
      <c r="AH10" s="172">
        <f t="shared" si="7"/>
        <v>42964</v>
      </c>
      <c r="AI10" s="187">
        <v>48896</v>
      </c>
      <c r="AJ10" s="166">
        <v>22</v>
      </c>
      <c r="AK10" s="166">
        <v>78</v>
      </c>
      <c r="AL10" s="166">
        <v>7</v>
      </c>
      <c r="AM10" s="172">
        <f t="shared" si="1"/>
        <v>49003</v>
      </c>
      <c r="AN10" s="187">
        <v>45913</v>
      </c>
      <c r="AO10" s="166">
        <v>39</v>
      </c>
      <c r="AP10" s="166">
        <v>521</v>
      </c>
      <c r="AQ10" s="166">
        <v>0</v>
      </c>
      <c r="AR10" s="172">
        <f t="shared" si="2"/>
        <v>46473</v>
      </c>
      <c r="AS10" s="187">
        <v>42892</v>
      </c>
      <c r="AT10" s="166">
        <v>61676</v>
      </c>
      <c r="AU10" s="166">
        <v>500</v>
      </c>
      <c r="AV10" s="166">
        <v>6</v>
      </c>
      <c r="AW10" s="172">
        <f>SUM(AS10:AV10)</f>
        <v>105074</v>
      </c>
      <c r="AX10" s="187">
        <v>39758</v>
      </c>
      <c r="AY10" s="166">
        <v>203</v>
      </c>
      <c r="AZ10" s="166">
        <v>342</v>
      </c>
      <c r="BA10" s="166">
        <v>23</v>
      </c>
      <c r="BB10" s="172">
        <f t="shared" si="8"/>
        <v>40326</v>
      </c>
      <c r="BC10" s="187">
        <v>43304</v>
      </c>
      <c r="BD10" s="166">
        <v>61692</v>
      </c>
      <c r="BE10" s="166">
        <v>473</v>
      </c>
      <c r="BF10" s="166">
        <v>15</v>
      </c>
      <c r="BG10" s="172">
        <f t="shared" si="9"/>
        <v>105484</v>
      </c>
      <c r="BH10" s="187">
        <v>0</v>
      </c>
      <c r="BI10" s="166">
        <v>0</v>
      </c>
      <c r="BJ10" s="166">
        <v>0</v>
      </c>
      <c r="BK10" s="166">
        <v>0</v>
      </c>
      <c r="BL10" s="172">
        <f t="shared" si="10"/>
        <v>0</v>
      </c>
      <c r="BM10" s="187">
        <v>0</v>
      </c>
      <c r="BN10" s="166">
        <v>0</v>
      </c>
      <c r="BO10" s="166">
        <v>0</v>
      </c>
      <c r="BP10" s="166">
        <v>0</v>
      </c>
      <c r="BQ10" s="172">
        <f t="shared" si="11"/>
        <v>0</v>
      </c>
      <c r="BR10" s="187">
        <f t="shared" si="12"/>
        <v>417714</v>
      </c>
      <c r="BS10" s="381">
        <f t="shared" si="3"/>
        <v>247492</v>
      </c>
      <c r="BT10" s="166">
        <f t="shared" si="3"/>
        <v>2823</v>
      </c>
      <c r="BU10" s="166">
        <f t="shared" si="3"/>
        <v>113</v>
      </c>
      <c r="BV10" s="187">
        <f t="shared" si="13"/>
        <v>668142</v>
      </c>
      <c r="BW10" s="144"/>
      <c r="BX10" s="435">
        <f t="shared" si="16"/>
        <v>88.495160290541506</v>
      </c>
      <c r="BZ10" s="440">
        <v>32578.773389999998</v>
      </c>
      <c r="CA10" s="440">
        <v>34470.602189999998</v>
      </c>
      <c r="CB10" s="440">
        <v>18.323350000000001</v>
      </c>
      <c r="CC10" s="443">
        <v>0</v>
      </c>
      <c r="CD10" s="443">
        <v>67067.698929999999</v>
      </c>
      <c r="CE10" s="317">
        <f t="shared" ref="CE10:CE47" si="17">+BZ10-J10</f>
        <v>-0.22661000000152853</v>
      </c>
      <c r="CF10" s="317">
        <f t="shared" si="14"/>
        <v>-0.39781000000220956</v>
      </c>
      <c r="CG10" s="317">
        <f t="shared" si="14"/>
        <v>0.32335000000000136</v>
      </c>
      <c r="CH10" s="136">
        <f t="shared" si="14"/>
        <v>0</v>
      </c>
      <c r="CI10" s="444">
        <f t="shared" si="14"/>
        <v>-0.30107000000134576</v>
      </c>
    </row>
    <row r="11" spans="1:87" x14ac:dyDescent="0.3">
      <c r="A11" s="308">
        <v>5</v>
      </c>
      <c r="B11" s="309" t="s">
        <v>211</v>
      </c>
      <c r="D11" s="318"/>
      <c r="E11" s="187">
        <f>6655839-7962</f>
        <v>6647877</v>
      </c>
      <c r="F11" s="381">
        <v>2443715</v>
      </c>
      <c r="G11" s="166">
        <v>331879</v>
      </c>
      <c r="H11" s="166">
        <v>7965</v>
      </c>
      <c r="I11" s="172">
        <f t="shared" si="0"/>
        <v>9431436</v>
      </c>
      <c r="J11" s="187">
        <v>451258</v>
      </c>
      <c r="K11" s="166">
        <v>243984</v>
      </c>
      <c r="L11" s="166">
        <v>17718</v>
      </c>
      <c r="M11" s="166">
        <v>0</v>
      </c>
      <c r="N11" s="172">
        <f t="shared" si="15"/>
        <v>712960</v>
      </c>
      <c r="O11" s="166">
        <v>608961</v>
      </c>
      <c r="P11" s="166">
        <v>203646</v>
      </c>
      <c r="Q11" s="166">
        <v>7627</v>
      </c>
      <c r="R11" s="166">
        <v>0</v>
      </c>
      <c r="S11" s="172">
        <f t="shared" si="4"/>
        <v>820234</v>
      </c>
      <c r="T11" s="187">
        <v>493358</v>
      </c>
      <c r="U11" s="166">
        <v>251126</v>
      </c>
      <c r="V11" s="166">
        <v>9108</v>
      </c>
      <c r="W11" s="166">
        <v>0</v>
      </c>
      <c r="X11" s="172">
        <f t="shared" si="5"/>
        <v>753592</v>
      </c>
      <c r="Y11" s="433">
        <v>484148</v>
      </c>
      <c r="Z11" s="166">
        <v>294536</v>
      </c>
      <c r="AA11" s="166">
        <v>12497</v>
      </c>
      <c r="AB11" s="319">
        <v>0</v>
      </c>
      <c r="AC11" s="172">
        <f t="shared" si="6"/>
        <v>791181</v>
      </c>
      <c r="AD11" s="187">
        <v>515132</v>
      </c>
      <c r="AE11" s="166">
        <v>253243</v>
      </c>
      <c r="AF11" s="166">
        <v>53905</v>
      </c>
      <c r="AG11" s="166">
        <v>0</v>
      </c>
      <c r="AH11" s="172">
        <f t="shared" si="7"/>
        <v>822280</v>
      </c>
      <c r="AI11" s="187">
        <v>633776</v>
      </c>
      <c r="AJ11" s="166">
        <v>251704</v>
      </c>
      <c r="AK11" s="166">
        <v>12702</v>
      </c>
      <c r="AL11" s="166">
        <v>0</v>
      </c>
      <c r="AM11" s="172">
        <f t="shared" si="1"/>
        <v>898182</v>
      </c>
      <c r="AN11" s="187">
        <v>615594</v>
      </c>
      <c r="AO11" s="166">
        <v>403665</v>
      </c>
      <c r="AP11" s="166">
        <v>19968</v>
      </c>
      <c r="AQ11" s="166">
        <v>0</v>
      </c>
      <c r="AR11" s="172">
        <f t="shared" si="2"/>
        <v>1039227</v>
      </c>
      <c r="AS11" s="187">
        <v>518581</v>
      </c>
      <c r="AT11" s="166">
        <v>91290</v>
      </c>
      <c r="AU11" s="166">
        <v>35692</v>
      </c>
      <c r="AV11" s="166">
        <v>0</v>
      </c>
      <c r="AW11" s="172">
        <f>SUM(AS11:AV11)</f>
        <v>645563</v>
      </c>
      <c r="AX11" s="187">
        <v>473031</v>
      </c>
      <c r="AY11" s="166">
        <v>90816</v>
      </c>
      <c r="AZ11" s="166">
        <v>9499</v>
      </c>
      <c r="BA11" s="166">
        <v>0</v>
      </c>
      <c r="BB11" s="172">
        <f t="shared" si="8"/>
        <v>573346</v>
      </c>
      <c r="BC11" s="187">
        <v>549788</v>
      </c>
      <c r="BD11" s="166">
        <v>134035</v>
      </c>
      <c r="BE11" s="166">
        <v>4305</v>
      </c>
      <c r="BF11" s="166">
        <v>0</v>
      </c>
      <c r="BG11" s="172">
        <f t="shared" si="9"/>
        <v>688128</v>
      </c>
      <c r="BH11" s="187">
        <v>0</v>
      </c>
      <c r="BI11" s="166">
        <v>0</v>
      </c>
      <c r="BJ11" s="166">
        <v>0</v>
      </c>
      <c r="BK11" s="166">
        <v>0</v>
      </c>
      <c r="BL11" s="172">
        <f t="shared" si="10"/>
        <v>0</v>
      </c>
      <c r="BM11" s="187">
        <v>0</v>
      </c>
      <c r="BN11" s="166">
        <v>0</v>
      </c>
      <c r="BO11" s="166">
        <v>0</v>
      </c>
      <c r="BP11" s="166">
        <v>0</v>
      </c>
      <c r="BQ11" s="172">
        <f t="shared" si="11"/>
        <v>0</v>
      </c>
      <c r="BR11" s="187">
        <f t="shared" si="12"/>
        <v>5343627</v>
      </c>
      <c r="BS11" s="381">
        <f t="shared" si="3"/>
        <v>2218045</v>
      </c>
      <c r="BT11" s="166">
        <f t="shared" si="3"/>
        <v>183021</v>
      </c>
      <c r="BU11" s="166">
        <f t="shared" si="3"/>
        <v>0</v>
      </c>
      <c r="BV11" s="187">
        <f t="shared" si="13"/>
        <v>7744693</v>
      </c>
      <c r="BW11" s="144"/>
      <c r="BX11" s="435">
        <f t="shared" si="16"/>
        <v>82.115735080002665</v>
      </c>
      <c r="BZ11" s="440">
        <v>451258.29492000001</v>
      </c>
      <c r="CA11" s="440">
        <v>243984.07265000002</v>
      </c>
      <c r="CB11" s="440">
        <v>17717.552769999998</v>
      </c>
      <c r="CC11" s="443">
        <v>0</v>
      </c>
      <c r="CD11" s="443">
        <v>712959.92033999995</v>
      </c>
      <c r="CE11" s="317">
        <f t="shared" si="17"/>
        <v>0.29492000001482666</v>
      </c>
      <c r="CF11" s="317">
        <f t="shared" si="14"/>
        <v>7.2650000016437843E-2</v>
      </c>
      <c r="CG11" s="317">
        <f t="shared" si="14"/>
        <v>-0.44723000000158208</v>
      </c>
      <c r="CH11" s="136">
        <f t="shared" si="14"/>
        <v>0</v>
      </c>
      <c r="CI11" s="444">
        <f t="shared" si="14"/>
        <v>-7.966000004671514E-2</v>
      </c>
    </row>
    <row r="12" spans="1:87" x14ac:dyDescent="0.3">
      <c r="A12" s="308">
        <v>6</v>
      </c>
      <c r="B12" s="309" t="s">
        <v>212</v>
      </c>
      <c r="D12" s="310"/>
      <c r="E12" s="187">
        <v>5121927</v>
      </c>
      <c r="F12" s="381">
        <v>719764</v>
      </c>
      <c r="G12" s="166">
        <v>86709</v>
      </c>
      <c r="H12" s="166">
        <v>108610</v>
      </c>
      <c r="I12" s="172">
        <f t="shared" si="0"/>
        <v>6037010</v>
      </c>
      <c r="J12" s="187">
        <v>403050</v>
      </c>
      <c r="K12" s="166">
        <v>7318</v>
      </c>
      <c r="L12" s="166">
        <v>3204</v>
      </c>
      <c r="M12" s="166">
        <v>0</v>
      </c>
      <c r="N12" s="172">
        <f t="shared" si="15"/>
        <v>413572</v>
      </c>
      <c r="O12" s="166">
        <v>457364</v>
      </c>
      <c r="P12" s="166">
        <v>192724</v>
      </c>
      <c r="Q12" s="166">
        <v>535</v>
      </c>
      <c r="R12" s="166">
        <v>1024</v>
      </c>
      <c r="S12" s="172">
        <f t="shared" si="4"/>
        <v>651647</v>
      </c>
      <c r="T12" s="187">
        <v>361493</v>
      </c>
      <c r="U12" s="166">
        <v>254730</v>
      </c>
      <c r="V12" s="166">
        <v>540</v>
      </c>
      <c r="W12" s="166">
        <v>0</v>
      </c>
      <c r="X12" s="172">
        <f t="shared" si="5"/>
        <v>616763</v>
      </c>
      <c r="Y12" s="433">
        <v>451081</v>
      </c>
      <c r="Z12" s="166">
        <v>6961</v>
      </c>
      <c r="AA12" s="166">
        <v>1209</v>
      </c>
      <c r="AB12" s="166">
        <v>34</v>
      </c>
      <c r="AC12" s="172">
        <f t="shared" si="6"/>
        <v>459285</v>
      </c>
      <c r="AD12" s="187">
        <v>420467</v>
      </c>
      <c r="AE12" s="166">
        <v>49</v>
      </c>
      <c r="AF12" s="166">
        <v>1802</v>
      </c>
      <c r="AG12" s="166">
        <v>982</v>
      </c>
      <c r="AH12" s="172">
        <f t="shared" si="7"/>
        <v>423300</v>
      </c>
      <c r="AI12" s="187">
        <v>347712</v>
      </c>
      <c r="AJ12" s="166">
        <v>2212</v>
      </c>
      <c r="AK12" s="166">
        <v>284</v>
      </c>
      <c r="AL12" s="166">
        <v>0</v>
      </c>
      <c r="AM12" s="172">
        <f t="shared" si="1"/>
        <v>350208</v>
      </c>
      <c r="AN12" s="187">
        <v>473452</v>
      </c>
      <c r="AO12" s="166">
        <v>49315</v>
      </c>
      <c r="AP12" s="166">
        <v>14373</v>
      </c>
      <c r="AQ12" s="166">
        <v>-503</v>
      </c>
      <c r="AR12" s="172">
        <f t="shared" si="2"/>
        <v>536637</v>
      </c>
      <c r="AS12" s="187">
        <v>184778</v>
      </c>
      <c r="AT12" s="166">
        <v>3623</v>
      </c>
      <c r="AU12" s="166">
        <v>2455</v>
      </c>
      <c r="AV12" s="166">
        <v>40952</v>
      </c>
      <c r="AW12" s="172">
        <f t="shared" ref="AW12:AW47" si="18">SUM(AS12:AV12)</f>
        <v>231808</v>
      </c>
      <c r="AX12" s="187">
        <v>164464</v>
      </c>
      <c r="AY12" s="166">
        <v>0</v>
      </c>
      <c r="AZ12" s="166">
        <v>116</v>
      </c>
      <c r="BA12" s="166">
        <v>7</v>
      </c>
      <c r="BB12" s="172">
        <f t="shared" si="8"/>
        <v>164587</v>
      </c>
      <c r="BC12" s="187">
        <v>224502</v>
      </c>
      <c r="BD12" s="166">
        <v>-1323</v>
      </c>
      <c r="BE12" s="166">
        <v>4498</v>
      </c>
      <c r="BF12" s="166">
        <v>496</v>
      </c>
      <c r="BG12" s="172">
        <f t="shared" si="9"/>
        <v>228173</v>
      </c>
      <c r="BH12" s="187">
        <v>0</v>
      </c>
      <c r="BI12" s="166">
        <v>0</v>
      </c>
      <c r="BJ12" s="166">
        <v>0</v>
      </c>
      <c r="BK12" s="166">
        <v>0</v>
      </c>
      <c r="BL12" s="172">
        <f t="shared" si="10"/>
        <v>0</v>
      </c>
      <c r="BM12" s="187">
        <v>0</v>
      </c>
      <c r="BN12" s="166">
        <v>0</v>
      </c>
      <c r="BO12" s="166">
        <v>0</v>
      </c>
      <c r="BP12" s="166">
        <v>0</v>
      </c>
      <c r="BQ12" s="172">
        <f t="shared" si="11"/>
        <v>0</v>
      </c>
      <c r="BR12" s="187">
        <f t="shared" si="12"/>
        <v>3488363</v>
      </c>
      <c r="BS12" s="381">
        <f t="shared" si="3"/>
        <v>515609</v>
      </c>
      <c r="BT12" s="166">
        <f t="shared" si="3"/>
        <v>29016</v>
      </c>
      <c r="BU12" s="166">
        <f t="shared" si="3"/>
        <v>42992</v>
      </c>
      <c r="BV12" s="187">
        <f t="shared" si="13"/>
        <v>4075980</v>
      </c>
      <c r="BW12" s="144"/>
      <c r="BX12" s="435">
        <f t="shared" si="16"/>
        <v>67.516535503502567</v>
      </c>
      <c r="BZ12" s="440">
        <v>403050.0095899991</v>
      </c>
      <c r="CA12" s="440">
        <v>7317.6166900000007</v>
      </c>
      <c r="CB12" s="440">
        <v>3204.4684899999997</v>
      </c>
      <c r="CC12" s="443">
        <v>0</v>
      </c>
      <c r="CD12" s="443">
        <v>413572.09476999904</v>
      </c>
      <c r="CE12" s="317">
        <f t="shared" si="17"/>
        <v>9.5899990992620587E-3</v>
      </c>
      <c r="CF12" s="317">
        <f t="shared" si="14"/>
        <v>-0.38330999999925552</v>
      </c>
      <c r="CG12" s="317">
        <f t="shared" si="14"/>
        <v>0.46848999999974694</v>
      </c>
      <c r="CH12" s="136">
        <f t="shared" si="14"/>
        <v>0</v>
      </c>
      <c r="CI12" s="444">
        <f t="shared" si="14"/>
        <v>9.47699990356341E-2</v>
      </c>
    </row>
    <row r="13" spans="1:87" x14ac:dyDescent="0.3">
      <c r="A13" s="308">
        <v>7</v>
      </c>
      <c r="B13" s="309" t="s">
        <v>213</v>
      </c>
      <c r="D13" s="310"/>
      <c r="E13" s="187">
        <v>101815</v>
      </c>
      <c r="F13" s="381">
        <v>103642</v>
      </c>
      <c r="G13" s="166">
        <v>2045</v>
      </c>
      <c r="H13" s="166">
        <v>0</v>
      </c>
      <c r="I13" s="172">
        <f t="shared" si="0"/>
        <v>207502</v>
      </c>
      <c r="J13" s="187">
        <v>5802</v>
      </c>
      <c r="K13" s="166">
        <v>7074</v>
      </c>
      <c r="L13" s="166">
        <v>316</v>
      </c>
      <c r="M13" s="166">
        <v>0</v>
      </c>
      <c r="N13" s="172">
        <f>SUM(J13:M13)</f>
        <v>13192</v>
      </c>
      <c r="O13" s="166">
        <v>7340</v>
      </c>
      <c r="P13" s="166">
        <v>8275</v>
      </c>
      <c r="Q13" s="166">
        <v>0</v>
      </c>
      <c r="R13" s="166">
        <v>0</v>
      </c>
      <c r="S13" s="172">
        <f t="shared" si="4"/>
        <v>15615</v>
      </c>
      <c r="T13" s="187">
        <v>7454</v>
      </c>
      <c r="U13" s="166">
        <v>8586</v>
      </c>
      <c r="V13" s="166">
        <v>276</v>
      </c>
      <c r="W13" s="166">
        <v>0</v>
      </c>
      <c r="X13" s="172">
        <f t="shared" si="5"/>
        <v>16316</v>
      </c>
      <c r="Y13" s="433">
        <v>7213</v>
      </c>
      <c r="Z13" s="166">
        <v>8586</v>
      </c>
      <c r="AA13" s="166">
        <v>8</v>
      </c>
      <c r="AB13" s="166">
        <v>0</v>
      </c>
      <c r="AC13" s="172">
        <f t="shared" si="6"/>
        <v>15807</v>
      </c>
      <c r="AD13" s="187">
        <v>8047</v>
      </c>
      <c r="AE13" s="166">
        <v>8586</v>
      </c>
      <c r="AF13" s="166">
        <v>360</v>
      </c>
      <c r="AG13" s="166">
        <v>0</v>
      </c>
      <c r="AH13" s="172">
        <f t="shared" si="7"/>
        <v>16993</v>
      </c>
      <c r="AI13" s="187">
        <v>12136</v>
      </c>
      <c r="AJ13" s="166">
        <v>8586</v>
      </c>
      <c r="AK13" s="166">
        <v>0</v>
      </c>
      <c r="AL13" s="166">
        <v>0</v>
      </c>
      <c r="AM13" s="172">
        <f t="shared" si="1"/>
        <v>20722</v>
      </c>
      <c r="AN13" s="187">
        <v>9544</v>
      </c>
      <c r="AO13" s="166">
        <v>8587</v>
      </c>
      <c r="AP13" s="166">
        <v>16</v>
      </c>
      <c r="AQ13" s="166">
        <v>0</v>
      </c>
      <c r="AR13" s="172">
        <f t="shared" si="2"/>
        <v>18147</v>
      </c>
      <c r="AS13" s="187">
        <v>11520</v>
      </c>
      <c r="AT13" s="166">
        <v>8587</v>
      </c>
      <c r="AU13" s="166">
        <v>332</v>
      </c>
      <c r="AV13" s="166">
        <v>0</v>
      </c>
      <c r="AW13" s="172">
        <f t="shared" si="18"/>
        <v>20439</v>
      </c>
      <c r="AX13" s="187">
        <v>9195</v>
      </c>
      <c r="AY13" s="166">
        <v>8587</v>
      </c>
      <c r="AZ13" s="166">
        <v>5</v>
      </c>
      <c r="BA13" s="166">
        <v>0</v>
      </c>
      <c r="BB13" s="172">
        <f t="shared" si="8"/>
        <v>17787</v>
      </c>
      <c r="BC13" s="187">
        <v>6453</v>
      </c>
      <c r="BD13" s="166">
        <v>8587</v>
      </c>
      <c r="BE13" s="166">
        <v>0</v>
      </c>
      <c r="BF13" s="166">
        <v>0</v>
      </c>
      <c r="BG13" s="172">
        <f t="shared" si="9"/>
        <v>15040</v>
      </c>
      <c r="BH13" s="187">
        <v>0</v>
      </c>
      <c r="BI13" s="166">
        <v>0</v>
      </c>
      <c r="BJ13" s="166">
        <v>0</v>
      </c>
      <c r="BK13" s="166">
        <v>0</v>
      </c>
      <c r="BL13" s="172">
        <f t="shared" si="10"/>
        <v>0</v>
      </c>
      <c r="BM13" s="187">
        <v>0</v>
      </c>
      <c r="BN13" s="166">
        <v>0</v>
      </c>
      <c r="BO13" s="166">
        <v>0</v>
      </c>
      <c r="BP13" s="166">
        <v>0</v>
      </c>
      <c r="BQ13" s="172">
        <f t="shared" si="11"/>
        <v>0</v>
      </c>
      <c r="BR13" s="187">
        <f t="shared" si="12"/>
        <v>84704</v>
      </c>
      <c r="BS13" s="381">
        <f t="shared" si="3"/>
        <v>84041</v>
      </c>
      <c r="BT13" s="166">
        <f t="shared" si="3"/>
        <v>1313</v>
      </c>
      <c r="BU13" s="166">
        <f t="shared" si="3"/>
        <v>0</v>
      </c>
      <c r="BV13" s="187">
        <f t="shared" si="13"/>
        <v>170058</v>
      </c>
      <c r="BW13" s="144"/>
      <c r="BX13" s="435">
        <f t="shared" si="16"/>
        <v>81.954872724118317</v>
      </c>
      <c r="BZ13" s="440">
        <v>5801.8629000000001</v>
      </c>
      <c r="CA13" s="440">
        <v>7074.1586100000004</v>
      </c>
      <c r="CB13" s="440">
        <v>315.87175000000002</v>
      </c>
      <c r="CC13" s="443">
        <v>0</v>
      </c>
      <c r="CD13" s="443">
        <v>13191.893260000001</v>
      </c>
      <c r="CE13" s="317">
        <f t="shared" si="17"/>
        <v>-0.13709999999991851</v>
      </c>
      <c r="CF13" s="317">
        <f t="shared" si="14"/>
        <v>0.15861000000040804</v>
      </c>
      <c r="CG13" s="317">
        <f t="shared" si="14"/>
        <v>-0.12824999999997999</v>
      </c>
      <c r="CH13" s="136">
        <f t="shared" si="14"/>
        <v>0</v>
      </c>
      <c r="CI13" s="444">
        <f t="shared" si="14"/>
        <v>-0.10673999999926309</v>
      </c>
    </row>
    <row r="14" spans="1:87" x14ac:dyDescent="0.3">
      <c r="A14" s="308">
        <v>8</v>
      </c>
      <c r="B14" s="309" t="s">
        <v>214</v>
      </c>
      <c r="D14" s="310"/>
      <c r="E14" s="187">
        <v>2138385</v>
      </c>
      <c r="F14" s="381">
        <v>27594184</v>
      </c>
      <c r="G14" s="166">
        <v>24546</v>
      </c>
      <c r="H14" s="166">
        <v>32612788</v>
      </c>
      <c r="I14" s="172">
        <f t="shared" si="0"/>
        <v>62369903</v>
      </c>
      <c r="J14" s="187">
        <v>154060</v>
      </c>
      <c r="K14" s="166">
        <v>2506865</v>
      </c>
      <c r="L14" s="166">
        <v>0</v>
      </c>
      <c r="M14" s="166">
        <v>193256</v>
      </c>
      <c r="N14" s="172">
        <f t="shared" si="15"/>
        <v>2854181</v>
      </c>
      <c r="O14" s="166">
        <v>154582</v>
      </c>
      <c r="P14" s="166">
        <f>1841276-40000</f>
        <v>1801276</v>
      </c>
      <c r="Q14" s="166">
        <v>444</v>
      </c>
      <c r="R14" s="166">
        <v>0</v>
      </c>
      <c r="S14" s="172">
        <f t="shared" si="4"/>
        <v>1956302</v>
      </c>
      <c r="T14" s="187">
        <v>180553</v>
      </c>
      <c r="U14" s="166">
        <v>2079762</v>
      </c>
      <c r="V14" s="166">
        <v>6538</v>
      </c>
      <c r="W14" s="166">
        <v>260347</v>
      </c>
      <c r="X14" s="172">
        <f t="shared" si="5"/>
        <v>2527200</v>
      </c>
      <c r="Y14" s="433">
        <v>180640</v>
      </c>
      <c r="Z14" s="166">
        <v>2315771</v>
      </c>
      <c r="AA14" s="166">
        <v>-753</v>
      </c>
      <c r="AB14" s="166">
        <v>7</v>
      </c>
      <c r="AC14" s="172">
        <f t="shared" si="6"/>
        <v>2495665</v>
      </c>
      <c r="AD14" s="187">
        <v>141606</v>
      </c>
      <c r="AE14" s="166">
        <v>2470977</v>
      </c>
      <c r="AF14" s="166">
        <v>592</v>
      </c>
      <c r="AG14" s="166">
        <v>0</v>
      </c>
      <c r="AH14" s="172">
        <f t="shared" si="7"/>
        <v>2613175</v>
      </c>
      <c r="AI14" s="187">
        <v>162728</v>
      </c>
      <c r="AJ14" s="166">
        <v>1854762</v>
      </c>
      <c r="AK14" s="166">
        <v>506</v>
      </c>
      <c r="AL14" s="166">
        <v>0</v>
      </c>
      <c r="AM14" s="172">
        <f t="shared" si="1"/>
        <v>2017996</v>
      </c>
      <c r="AN14" s="187">
        <v>161307</v>
      </c>
      <c r="AO14" s="166">
        <v>2003089</v>
      </c>
      <c r="AP14" s="166">
        <v>487</v>
      </c>
      <c r="AQ14" s="166">
        <v>0</v>
      </c>
      <c r="AR14" s="172">
        <f t="shared" si="2"/>
        <v>2164883</v>
      </c>
      <c r="AS14" s="187">
        <v>215917</v>
      </c>
      <c r="AT14" s="166">
        <v>2068868</v>
      </c>
      <c r="AU14" s="166">
        <v>3922</v>
      </c>
      <c r="AV14" s="166">
        <v>0</v>
      </c>
      <c r="AW14" s="172">
        <f t="shared" si="18"/>
        <v>2288707</v>
      </c>
      <c r="AX14" s="187">
        <v>187485</v>
      </c>
      <c r="AY14" s="166">
        <v>1930246</v>
      </c>
      <c r="AZ14" s="166">
        <v>101</v>
      </c>
      <c r="BA14" s="166">
        <v>5295445</v>
      </c>
      <c r="BB14" s="172">
        <f t="shared" si="8"/>
        <v>7413277</v>
      </c>
      <c r="BC14" s="187">
        <v>183578</v>
      </c>
      <c r="BD14" s="166">
        <v>13260639</v>
      </c>
      <c r="BE14" s="166">
        <v>1142</v>
      </c>
      <c r="BF14" s="166">
        <v>3932062</v>
      </c>
      <c r="BG14" s="172">
        <f t="shared" si="9"/>
        <v>17377421</v>
      </c>
      <c r="BH14" s="187">
        <v>0</v>
      </c>
      <c r="BI14" s="166">
        <v>0</v>
      </c>
      <c r="BJ14" s="166">
        <v>0</v>
      </c>
      <c r="BK14" s="166">
        <v>0</v>
      </c>
      <c r="BL14" s="172">
        <f t="shared" si="10"/>
        <v>0</v>
      </c>
      <c r="BM14" s="187">
        <v>0</v>
      </c>
      <c r="BN14" s="166">
        <v>0</v>
      </c>
      <c r="BO14" s="166">
        <v>0</v>
      </c>
      <c r="BP14" s="166">
        <v>0</v>
      </c>
      <c r="BQ14" s="172">
        <f t="shared" si="11"/>
        <v>0</v>
      </c>
      <c r="BR14" s="187">
        <f t="shared" si="12"/>
        <v>1722456</v>
      </c>
      <c r="BS14" s="381">
        <f t="shared" si="3"/>
        <v>32292255</v>
      </c>
      <c r="BT14" s="166">
        <f t="shared" si="3"/>
        <v>12979</v>
      </c>
      <c r="BU14" s="166">
        <f t="shared" si="3"/>
        <v>9681117</v>
      </c>
      <c r="BV14" s="187">
        <f>SUM(BR14:BU14)</f>
        <v>43708807</v>
      </c>
      <c r="BW14" s="144"/>
      <c r="BX14" s="435">
        <f t="shared" si="16"/>
        <v>70.079966293999206</v>
      </c>
      <c r="BZ14" s="440">
        <v>154060.05905000001</v>
      </c>
      <c r="CA14" s="440">
        <v>2506864.8586399998</v>
      </c>
      <c r="CB14" s="440">
        <v>0</v>
      </c>
      <c r="CC14" s="443">
        <v>193256.27014000001</v>
      </c>
      <c r="CD14" s="443">
        <v>2854181.1878300002</v>
      </c>
      <c r="CE14" s="317">
        <f t="shared" si="17"/>
        <v>5.9050000010756776E-2</v>
      </c>
      <c r="CF14" s="317">
        <f t="shared" si="14"/>
        <v>-0.14136000024154782</v>
      </c>
      <c r="CG14" s="317">
        <f t="shared" si="14"/>
        <v>0</v>
      </c>
      <c r="CH14" s="136">
        <f t="shared" si="14"/>
        <v>0.2701400000078138</v>
      </c>
      <c r="CI14" s="444">
        <f t="shared" si="14"/>
        <v>0.18783000018447638</v>
      </c>
    </row>
    <row r="15" spans="1:87" x14ac:dyDescent="0.3">
      <c r="A15" s="308">
        <v>9</v>
      </c>
      <c r="B15" s="309" t="s">
        <v>215</v>
      </c>
      <c r="D15" s="324"/>
      <c r="E15" s="187">
        <v>388643</v>
      </c>
      <c r="F15" s="381">
        <v>1725</v>
      </c>
      <c r="G15" s="166">
        <v>6295</v>
      </c>
      <c r="H15" s="166">
        <v>55</v>
      </c>
      <c r="I15" s="172">
        <f t="shared" si="0"/>
        <v>396718</v>
      </c>
      <c r="J15" s="187">
        <v>27198</v>
      </c>
      <c r="K15" s="166">
        <v>0</v>
      </c>
      <c r="L15" s="166">
        <v>41</v>
      </c>
      <c r="M15" s="166">
        <v>0</v>
      </c>
      <c r="N15" s="172">
        <f t="shared" si="15"/>
        <v>27239</v>
      </c>
      <c r="O15" s="166">
        <v>29174</v>
      </c>
      <c r="P15" s="166">
        <v>219</v>
      </c>
      <c r="Q15" s="166">
        <v>16</v>
      </c>
      <c r="R15" s="166">
        <v>0</v>
      </c>
      <c r="S15" s="172">
        <f t="shared" si="4"/>
        <v>29409</v>
      </c>
      <c r="T15" s="187">
        <v>28511</v>
      </c>
      <c r="U15" s="166">
        <v>39</v>
      </c>
      <c r="V15" s="166">
        <v>87</v>
      </c>
      <c r="W15" s="166">
        <v>0</v>
      </c>
      <c r="X15" s="172">
        <f t="shared" si="5"/>
        <v>28637</v>
      </c>
      <c r="Y15" s="187">
        <v>28562</v>
      </c>
      <c r="Z15" s="166">
        <v>112</v>
      </c>
      <c r="AA15" s="166">
        <v>122</v>
      </c>
      <c r="AB15" s="319">
        <v>0</v>
      </c>
      <c r="AC15" s="172">
        <f t="shared" si="6"/>
        <v>28796</v>
      </c>
      <c r="AD15" s="187">
        <v>27397</v>
      </c>
      <c r="AE15" s="166">
        <v>396</v>
      </c>
      <c r="AF15" s="166">
        <v>412</v>
      </c>
      <c r="AG15" s="166">
        <v>0</v>
      </c>
      <c r="AH15" s="172">
        <f t="shared" si="7"/>
        <v>28205</v>
      </c>
      <c r="AI15" s="187">
        <v>31313</v>
      </c>
      <c r="AJ15" s="166">
        <v>135</v>
      </c>
      <c r="AK15" s="166">
        <v>124</v>
      </c>
      <c r="AL15" s="166">
        <v>0</v>
      </c>
      <c r="AM15" s="172">
        <f t="shared" si="1"/>
        <v>31572</v>
      </c>
      <c r="AN15" s="187">
        <v>29337</v>
      </c>
      <c r="AO15" s="166">
        <v>159</v>
      </c>
      <c r="AP15" s="166">
        <v>169</v>
      </c>
      <c r="AQ15" s="166">
        <v>4</v>
      </c>
      <c r="AR15" s="172">
        <f t="shared" si="2"/>
        <v>29669</v>
      </c>
      <c r="AS15" s="187">
        <v>33906</v>
      </c>
      <c r="AT15" s="166">
        <v>143</v>
      </c>
      <c r="AU15" s="166">
        <v>118</v>
      </c>
      <c r="AV15" s="166">
        <v>38</v>
      </c>
      <c r="AW15" s="172">
        <f t="shared" si="18"/>
        <v>34205</v>
      </c>
      <c r="AX15" s="187">
        <v>30257</v>
      </c>
      <c r="AY15" s="166">
        <v>284</v>
      </c>
      <c r="AZ15" s="166">
        <v>93</v>
      </c>
      <c r="BA15" s="166">
        <v>0</v>
      </c>
      <c r="BB15" s="172">
        <f t="shared" si="8"/>
        <v>30634</v>
      </c>
      <c r="BC15" s="187">
        <v>31412</v>
      </c>
      <c r="BD15" s="166">
        <v>-124</v>
      </c>
      <c r="BE15" s="166">
        <v>73</v>
      </c>
      <c r="BF15" s="166">
        <v>1</v>
      </c>
      <c r="BG15" s="172">
        <f t="shared" si="9"/>
        <v>31362</v>
      </c>
      <c r="BH15" s="187">
        <v>0</v>
      </c>
      <c r="BI15" s="166">
        <v>0</v>
      </c>
      <c r="BJ15" s="166">
        <v>0</v>
      </c>
      <c r="BK15" s="166">
        <v>0</v>
      </c>
      <c r="BL15" s="172">
        <f t="shared" si="10"/>
        <v>0</v>
      </c>
      <c r="BM15" s="187">
        <v>0</v>
      </c>
      <c r="BN15" s="166">
        <v>0</v>
      </c>
      <c r="BO15" s="166">
        <v>0</v>
      </c>
      <c r="BP15" s="166">
        <v>0</v>
      </c>
      <c r="BQ15" s="172">
        <f t="shared" si="11"/>
        <v>0</v>
      </c>
      <c r="BR15" s="187">
        <f t="shared" si="12"/>
        <v>297067</v>
      </c>
      <c r="BS15" s="381">
        <f t="shared" si="3"/>
        <v>1363</v>
      </c>
      <c r="BT15" s="166">
        <f t="shared" si="3"/>
        <v>1255</v>
      </c>
      <c r="BU15" s="166">
        <f t="shared" si="3"/>
        <v>43</v>
      </c>
      <c r="BV15" s="187">
        <f t="shared" si="13"/>
        <v>299728</v>
      </c>
      <c r="BW15" s="144"/>
      <c r="BX15" s="435">
        <f t="shared" si="16"/>
        <v>75.551903367127281</v>
      </c>
      <c r="BZ15" s="440">
        <v>27197.848740000001</v>
      </c>
      <c r="CA15" s="440">
        <v>0</v>
      </c>
      <c r="CB15" s="440">
        <v>41.441460000000006</v>
      </c>
      <c r="CC15" s="443">
        <v>0</v>
      </c>
      <c r="CD15" s="443">
        <v>27239.290199999999</v>
      </c>
      <c r="CE15" s="317">
        <f t="shared" si="17"/>
        <v>-0.15125999999872874</v>
      </c>
      <c r="CF15" s="317">
        <f t="shared" si="14"/>
        <v>0</v>
      </c>
      <c r="CG15" s="317">
        <f t="shared" si="14"/>
        <v>0.4414600000000064</v>
      </c>
      <c r="CH15" s="136">
        <f t="shared" si="14"/>
        <v>0</v>
      </c>
      <c r="CI15" s="444">
        <f t="shared" si="14"/>
        <v>0.29019999999945867</v>
      </c>
    </row>
    <row r="16" spans="1:87" x14ac:dyDescent="0.3">
      <c r="A16" s="308">
        <v>10</v>
      </c>
      <c r="B16" s="325" t="s">
        <v>216</v>
      </c>
      <c r="D16" s="324"/>
      <c r="E16" s="187">
        <v>216847</v>
      </c>
      <c r="F16" s="381">
        <v>737</v>
      </c>
      <c r="G16" s="166">
        <v>775</v>
      </c>
      <c r="H16" s="166">
        <f>38839717-3030886</f>
        <v>35808831</v>
      </c>
      <c r="I16" s="172">
        <f t="shared" si="0"/>
        <v>36027190</v>
      </c>
      <c r="J16" s="187">
        <v>16534</v>
      </c>
      <c r="K16" s="166">
        <v>18</v>
      </c>
      <c r="L16" s="166">
        <v>0</v>
      </c>
      <c r="M16" s="166">
        <v>17000000</v>
      </c>
      <c r="N16" s="172">
        <f t="shared" si="15"/>
        <v>17016552</v>
      </c>
      <c r="O16" s="166">
        <v>16706</v>
      </c>
      <c r="P16" s="166">
        <v>72</v>
      </c>
      <c r="Q16" s="166">
        <v>141</v>
      </c>
      <c r="R16" s="166">
        <v>0</v>
      </c>
      <c r="S16" s="172">
        <f t="shared" si="4"/>
        <v>16919</v>
      </c>
      <c r="T16" s="187">
        <v>16334</v>
      </c>
      <c r="U16" s="166">
        <v>84</v>
      </c>
      <c r="V16" s="166">
        <v>-98</v>
      </c>
      <c r="W16" s="166">
        <v>3000000</v>
      </c>
      <c r="X16" s="172">
        <f t="shared" si="5"/>
        <v>3016320</v>
      </c>
      <c r="Y16" s="187">
        <v>14158</v>
      </c>
      <c r="Z16" s="166">
        <v>167</v>
      </c>
      <c r="AA16" s="166">
        <v>0</v>
      </c>
      <c r="AB16" s="166">
        <v>15770809</v>
      </c>
      <c r="AC16" s="172">
        <f t="shared" si="6"/>
        <v>15785134</v>
      </c>
      <c r="AD16" s="187">
        <v>18650</v>
      </c>
      <c r="AE16" s="166">
        <v>166</v>
      </c>
      <c r="AF16" s="166">
        <v>128</v>
      </c>
      <c r="AG16" s="166">
        <v>531</v>
      </c>
      <c r="AH16" s="172">
        <f t="shared" si="7"/>
        <v>19475</v>
      </c>
      <c r="AI16" s="187">
        <v>16998</v>
      </c>
      <c r="AJ16" s="166">
        <v>0</v>
      </c>
      <c r="AK16" s="166">
        <v>54</v>
      </c>
      <c r="AL16" s="166">
        <v>-531</v>
      </c>
      <c r="AM16" s="172">
        <f t="shared" si="1"/>
        <v>16521</v>
      </c>
      <c r="AN16" s="187">
        <v>17956</v>
      </c>
      <c r="AO16" s="166">
        <v>18</v>
      </c>
      <c r="AP16" s="166">
        <v>0</v>
      </c>
      <c r="AQ16" s="166">
        <v>0</v>
      </c>
      <c r="AR16" s="172">
        <f t="shared" si="2"/>
        <v>17974</v>
      </c>
      <c r="AS16" s="187">
        <v>13413</v>
      </c>
      <c r="AT16" s="166">
        <v>13</v>
      </c>
      <c r="AU16" s="166">
        <v>0</v>
      </c>
      <c r="AV16" s="166">
        <v>0</v>
      </c>
      <c r="AW16" s="172">
        <f t="shared" si="18"/>
        <v>13426</v>
      </c>
      <c r="AX16" s="187">
        <v>17787</v>
      </c>
      <c r="AY16" s="166">
        <v>86</v>
      </c>
      <c r="AZ16" s="166">
        <v>0</v>
      </c>
      <c r="BA16" s="166">
        <v>0</v>
      </c>
      <c r="BB16" s="172">
        <f t="shared" si="8"/>
        <v>17873</v>
      </c>
      <c r="BC16" s="187">
        <v>13528</v>
      </c>
      <c r="BD16" s="166">
        <v>0</v>
      </c>
      <c r="BE16" s="166">
        <v>0</v>
      </c>
      <c r="BF16" s="166">
        <v>0</v>
      </c>
      <c r="BG16" s="172">
        <f t="shared" si="9"/>
        <v>13528</v>
      </c>
      <c r="BH16" s="187">
        <v>0</v>
      </c>
      <c r="BI16" s="166">
        <v>0</v>
      </c>
      <c r="BJ16" s="166">
        <v>0</v>
      </c>
      <c r="BK16" s="166">
        <v>0</v>
      </c>
      <c r="BL16" s="172">
        <f t="shared" si="10"/>
        <v>0</v>
      </c>
      <c r="BM16" s="187">
        <v>0</v>
      </c>
      <c r="BN16" s="166">
        <v>0</v>
      </c>
      <c r="BO16" s="166">
        <v>0</v>
      </c>
      <c r="BP16" s="166">
        <v>0</v>
      </c>
      <c r="BQ16" s="172">
        <f t="shared" si="11"/>
        <v>0</v>
      </c>
      <c r="BR16" s="187">
        <f t="shared" si="12"/>
        <v>162064</v>
      </c>
      <c r="BS16" s="381">
        <f t="shared" si="3"/>
        <v>624</v>
      </c>
      <c r="BT16" s="166">
        <f t="shared" si="3"/>
        <v>225</v>
      </c>
      <c r="BU16" s="166">
        <f t="shared" si="3"/>
        <v>35770809</v>
      </c>
      <c r="BV16" s="187">
        <f t="shared" si="13"/>
        <v>35933722</v>
      </c>
      <c r="BW16" s="144"/>
      <c r="BX16" s="435">
        <f t="shared" si="16"/>
        <v>99.740562613959071</v>
      </c>
      <c r="BZ16" s="440">
        <v>16533.555319999999</v>
      </c>
      <c r="CA16" s="440">
        <v>18.1632</v>
      </c>
      <c r="CB16" s="440">
        <v>0</v>
      </c>
      <c r="CC16" s="443">
        <v>17000000</v>
      </c>
      <c r="CD16" s="443">
        <v>17016551.718520001</v>
      </c>
      <c r="CE16" s="317">
        <f t="shared" si="17"/>
        <v>-0.44468000000051688</v>
      </c>
      <c r="CF16" s="317">
        <f t="shared" si="14"/>
        <v>0.16319999999999979</v>
      </c>
      <c r="CG16" s="317">
        <f t="shared" si="14"/>
        <v>0</v>
      </c>
      <c r="CH16" s="136">
        <f t="shared" si="14"/>
        <v>0</v>
      </c>
      <c r="CI16" s="444">
        <f t="shared" si="14"/>
        <v>-0.28147999942302704</v>
      </c>
    </row>
    <row r="17" spans="1:87" x14ac:dyDescent="0.3">
      <c r="A17" s="308">
        <v>11</v>
      </c>
      <c r="B17" s="309" t="s">
        <v>217</v>
      </c>
      <c r="D17" s="318"/>
      <c r="E17" s="187">
        <v>405694</v>
      </c>
      <c r="F17" s="381">
        <v>46760</v>
      </c>
      <c r="G17" s="166">
        <v>4712</v>
      </c>
      <c r="H17" s="166">
        <v>439</v>
      </c>
      <c r="I17" s="172">
        <f t="shared" si="0"/>
        <v>457605</v>
      </c>
      <c r="J17" s="187">
        <v>24867</v>
      </c>
      <c r="K17" s="166">
        <v>5744</v>
      </c>
      <c r="L17" s="166">
        <v>0</v>
      </c>
      <c r="M17" s="166">
        <v>0</v>
      </c>
      <c r="N17" s="172">
        <f t="shared" si="15"/>
        <v>30611</v>
      </c>
      <c r="O17" s="166">
        <v>39036</v>
      </c>
      <c r="P17" s="166">
        <v>3857</v>
      </c>
      <c r="Q17" s="166">
        <v>490</v>
      </c>
      <c r="R17" s="166">
        <v>0</v>
      </c>
      <c r="S17" s="172">
        <f t="shared" si="4"/>
        <v>43383</v>
      </c>
      <c r="T17" s="187">
        <v>26246</v>
      </c>
      <c r="U17" s="166">
        <v>5420</v>
      </c>
      <c r="V17" s="166">
        <v>333</v>
      </c>
      <c r="W17" s="166">
        <v>0</v>
      </c>
      <c r="X17" s="172">
        <f t="shared" si="5"/>
        <v>31999</v>
      </c>
      <c r="Y17" s="187">
        <v>41477</v>
      </c>
      <c r="Z17" s="166">
        <v>3764</v>
      </c>
      <c r="AA17" s="166">
        <v>82</v>
      </c>
      <c r="AB17" s="319">
        <v>0</v>
      </c>
      <c r="AC17" s="172">
        <f t="shared" si="6"/>
        <v>45323</v>
      </c>
      <c r="AD17" s="187">
        <v>28857</v>
      </c>
      <c r="AE17" s="166">
        <v>3627</v>
      </c>
      <c r="AF17" s="166">
        <v>28</v>
      </c>
      <c r="AG17" s="166">
        <v>0</v>
      </c>
      <c r="AH17" s="172">
        <f t="shared" si="7"/>
        <v>32512</v>
      </c>
      <c r="AI17" s="187">
        <v>29957</v>
      </c>
      <c r="AJ17" s="166">
        <v>3859</v>
      </c>
      <c r="AK17" s="166">
        <v>35</v>
      </c>
      <c r="AL17" s="166">
        <v>101</v>
      </c>
      <c r="AM17" s="172">
        <f t="shared" si="1"/>
        <v>33952</v>
      </c>
      <c r="AN17" s="187">
        <v>43498</v>
      </c>
      <c r="AO17" s="166">
        <v>3708</v>
      </c>
      <c r="AP17" s="166">
        <v>214</v>
      </c>
      <c r="AQ17" s="166">
        <v>0</v>
      </c>
      <c r="AR17" s="172">
        <f t="shared" si="2"/>
        <v>47420</v>
      </c>
      <c r="AS17" s="187">
        <v>28082</v>
      </c>
      <c r="AT17" s="166">
        <v>3881</v>
      </c>
      <c r="AU17" s="166">
        <v>76</v>
      </c>
      <c r="AV17" s="166">
        <v>0</v>
      </c>
      <c r="AW17" s="172">
        <f t="shared" si="18"/>
        <v>32039</v>
      </c>
      <c r="AX17" s="187">
        <v>26350</v>
      </c>
      <c r="AY17" s="166">
        <v>3536</v>
      </c>
      <c r="AZ17" s="166">
        <v>686</v>
      </c>
      <c r="BA17" s="166">
        <v>0</v>
      </c>
      <c r="BB17" s="172">
        <f t="shared" si="8"/>
        <v>30572</v>
      </c>
      <c r="BC17" s="187">
        <v>39205</v>
      </c>
      <c r="BD17" s="166">
        <v>3541</v>
      </c>
      <c r="BE17" s="166">
        <v>0</v>
      </c>
      <c r="BF17" s="166">
        <v>0</v>
      </c>
      <c r="BG17" s="172">
        <f t="shared" si="9"/>
        <v>42746</v>
      </c>
      <c r="BH17" s="187">
        <v>0</v>
      </c>
      <c r="BI17" s="166">
        <v>0</v>
      </c>
      <c r="BJ17" s="166">
        <v>0</v>
      </c>
      <c r="BK17" s="166">
        <v>0</v>
      </c>
      <c r="BL17" s="172">
        <f t="shared" si="10"/>
        <v>0</v>
      </c>
      <c r="BM17" s="187">
        <v>0</v>
      </c>
      <c r="BN17" s="166">
        <v>0</v>
      </c>
      <c r="BO17" s="166">
        <v>0</v>
      </c>
      <c r="BP17" s="166">
        <v>0</v>
      </c>
      <c r="BQ17" s="172">
        <f t="shared" si="11"/>
        <v>0</v>
      </c>
      <c r="BR17" s="187">
        <f t="shared" si="12"/>
        <v>327575</v>
      </c>
      <c r="BS17" s="381">
        <f t="shared" si="3"/>
        <v>40937</v>
      </c>
      <c r="BT17" s="166">
        <f t="shared" si="3"/>
        <v>1944</v>
      </c>
      <c r="BU17" s="166">
        <f t="shared" si="3"/>
        <v>101</v>
      </c>
      <c r="BV17" s="187">
        <f t="shared" si="13"/>
        <v>370557</v>
      </c>
      <c r="BW17" s="144"/>
      <c r="BX17" s="435">
        <f t="shared" si="16"/>
        <v>80.97748057822794</v>
      </c>
      <c r="BZ17" s="440">
        <v>24867.085379999997</v>
      </c>
      <c r="CA17" s="440">
        <v>5744.13238</v>
      </c>
      <c r="CB17" s="440">
        <v>0</v>
      </c>
      <c r="CC17" s="443">
        <v>0</v>
      </c>
      <c r="CD17" s="443">
        <v>30611.21776</v>
      </c>
      <c r="CE17" s="317">
        <f t="shared" si="17"/>
        <v>8.5379999996803235E-2</v>
      </c>
      <c r="CF17" s="317">
        <f t="shared" si="14"/>
        <v>0.13238000000001193</v>
      </c>
      <c r="CG17" s="317">
        <f t="shared" si="14"/>
        <v>0</v>
      </c>
      <c r="CH17" s="136">
        <f t="shared" si="14"/>
        <v>0</v>
      </c>
      <c r="CI17" s="444">
        <f t="shared" si="14"/>
        <v>0.21775999999954365</v>
      </c>
    </row>
    <row r="18" spans="1:87" x14ac:dyDescent="0.3">
      <c r="A18" s="308">
        <v>12</v>
      </c>
      <c r="B18" s="17" t="s">
        <v>218</v>
      </c>
      <c r="D18" s="310"/>
      <c r="E18" s="187">
        <v>260444</v>
      </c>
      <c r="F18" s="381">
        <v>1933</v>
      </c>
      <c r="G18" s="166">
        <v>3383</v>
      </c>
      <c r="H18" s="166">
        <v>11</v>
      </c>
      <c r="I18" s="172">
        <f t="shared" si="0"/>
        <v>265771</v>
      </c>
      <c r="J18" s="187">
        <v>16472</v>
      </c>
      <c r="K18" s="166">
        <v>0</v>
      </c>
      <c r="L18" s="166">
        <v>32</v>
      </c>
      <c r="M18" s="166">
        <v>0</v>
      </c>
      <c r="N18" s="172">
        <f t="shared" si="15"/>
        <v>16504</v>
      </c>
      <c r="O18" s="166">
        <v>20953</v>
      </c>
      <c r="P18" s="166">
        <v>0</v>
      </c>
      <c r="Q18" s="166">
        <v>17</v>
      </c>
      <c r="R18" s="166">
        <v>0</v>
      </c>
      <c r="S18" s="172">
        <f t="shared" si="4"/>
        <v>20970</v>
      </c>
      <c r="T18" s="187">
        <v>20723</v>
      </c>
      <c r="U18" s="166">
        <v>117</v>
      </c>
      <c r="V18" s="166">
        <v>146</v>
      </c>
      <c r="W18" s="166">
        <v>0</v>
      </c>
      <c r="X18" s="172">
        <f t="shared" si="5"/>
        <v>20986</v>
      </c>
      <c r="Y18" s="187">
        <v>19174</v>
      </c>
      <c r="Z18" s="166">
        <v>0</v>
      </c>
      <c r="AA18" s="166">
        <v>14</v>
      </c>
      <c r="AB18" s="319">
        <v>0</v>
      </c>
      <c r="AC18" s="172">
        <f t="shared" si="6"/>
        <v>19188</v>
      </c>
      <c r="AD18" s="187">
        <v>23013</v>
      </c>
      <c r="AE18" s="166">
        <v>0</v>
      </c>
      <c r="AF18" s="166">
        <v>127</v>
      </c>
      <c r="AG18" s="166">
        <v>0</v>
      </c>
      <c r="AH18" s="172">
        <f t="shared" si="7"/>
        <v>23140</v>
      </c>
      <c r="AI18" s="187">
        <v>22524</v>
      </c>
      <c r="AJ18" s="166">
        <v>0</v>
      </c>
      <c r="AK18" s="166">
        <v>94</v>
      </c>
      <c r="AL18" s="166">
        <v>0</v>
      </c>
      <c r="AM18" s="172">
        <f t="shared" si="1"/>
        <v>22618</v>
      </c>
      <c r="AN18" s="187">
        <v>21948</v>
      </c>
      <c r="AO18" s="166">
        <v>494</v>
      </c>
      <c r="AP18" s="166">
        <v>232</v>
      </c>
      <c r="AQ18" s="166">
        <v>0</v>
      </c>
      <c r="AR18" s="172">
        <f t="shared" si="2"/>
        <v>22674</v>
      </c>
      <c r="AS18" s="187">
        <v>21772</v>
      </c>
      <c r="AT18" s="166">
        <v>42</v>
      </c>
      <c r="AU18" s="166">
        <v>408</v>
      </c>
      <c r="AV18" s="166">
        <v>0</v>
      </c>
      <c r="AW18" s="172">
        <f t="shared" si="18"/>
        <v>22222</v>
      </c>
      <c r="AX18" s="187">
        <v>24520</v>
      </c>
      <c r="AY18" s="166">
        <v>54</v>
      </c>
      <c r="AZ18" s="166">
        <v>59</v>
      </c>
      <c r="BA18" s="166">
        <v>0</v>
      </c>
      <c r="BB18" s="172">
        <f t="shared" si="8"/>
        <v>24633</v>
      </c>
      <c r="BC18" s="187">
        <v>20003</v>
      </c>
      <c r="BD18" s="166">
        <v>114</v>
      </c>
      <c r="BE18" s="166">
        <v>984</v>
      </c>
      <c r="BF18" s="166">
        <v>0</v>
      </c>
      <c r="BG18" s="172">
        <f t="shared" si="9"/>
        <v>21101</v>
      </c>
      <c r="BH18" s="187">
        <v>0</v>
      </c>
      <c r="BI18" s="166">
        <v>0</v>
      </c>
      <c r="BJ18" s="166">
        <v>0</v>
      </c>
      <c r="BK18" s="166">
        <v>0</v>
      </c>
      <c r="BL18" s="172">
        <f t="shared" si="10"/>
        <v>0</v>
      </c>
      <c r="BM18" s="187">
        <v>0</v>
      </c>
      <c r="BN18" s="166">
        <v>0</v>
      </c>
      <c r="BO18" s="166">
        <v>0</v>
      </c>
      <c r="BP18" s="166">
        <v>0</v>
      </c>
      <c r="BQ18" s="172">
        <f t="shared" si="11"/>
        <v>0</v>
      </c>
      <c r="BR18" s="187">
        <f t="shared" si="12"/>
        <v>211102</v>
      </c>
      <c r="BS18" s="381">
        <f t="shared" si="3"/>
        <v>821</v>
      </c>
      <c r="BT18" s="166">
        <f t="shared" si="3"/>
        <v>2113</v>
      </c>
      <c r="BU18" s="166">
        <f t="shared" si="3"/>
        <v>0</v>
      </c>
      <c r="BV18" s="187">
        <f t="shared" si="13"/>
        <v>214036</v>
      </c>
      <c r="BW18" s="144"/>
      <c r="BX18" s="435">
        <f t="shared" si="16"/>
        <v>80.533993550838872</v>
      </c>
      <c r="BZ18" s="440">
        <v>16501.015489999998</v>
      </c>
      <c r="CA18" s="440">
        <v>0</v>
      </c>
      <c r="CB18" s="440">
        <v>31.678699999999999</v>
      </c>
      <c r="CC18" s="443">
        <v>0</v>
      </c>
      <c r="CD18" s="443">
        <v>16532.694189999998</v>
      </c>
      <c r="CE18" s="317">
        <f t="shared" si="17"/>
        <v>29.015489999997953</v>
      </c>
      <c r="CF18" s="317">
        <f t="shared" si="14"/>
        <v>0</v>
      </c>
      <c r="CG18" s="317">
        <f t="shared" si="14"/>
        <v>-0.32130000000000081</v>
      </c>
      <c r="CH18" s="136">
        <f t="shared" si="14"/>
        <v>0</v>
      </c>
      <c r="CI18" s="444">
        <f t="shared" si="14"/>
        <v>28.694189999998343</v>
      </c>
    </row>
    <row r="19" spans="1:87" x14ac:dyDescent="0.3">
      <c r="A19" s="308">
        <v>13</v>
      </c>
      <c r="B19" s="17" t="s">
        <v>219</v>
      </c>
      <c r="D19" s="310"/>
      <c r="E19" s="187">
        <v>776951</v>
      </c>
      <c r="F19" s="381">
        <v>7299156</v>
      </c>
      <c r="G19" s="166">
        <v>5953</v>
      </c>
      <c r="H19" s="166">
        <v>135</v>
      </c>
      <c r="I19" s="172">
        <f t="shared" si="0"/>
        <v>8082195</v>
      </c>
      <c r="J19" s="187">
        <v>48555</v>
      </c>
      <c r="K19" s="166">
        <v>1276370</v>
      </c>
      <c r="L19" s="166">
        <v>40</v>
      </c>
      <c r="M19" s="166">
        <v>0</v>
      </c>
      <c r="N19" s="172">
        <f>SUM(J19:M19)</f>
        <v>1324965</v>
      </c>
      <c r="O19" s="166">
        <v>54940</v>
      </c>
      <c r="P19" s="166">
        <v>135869</v>
      </c>
      <c r="Q19" s="166">
        <v>280</v>
      </c>
      <c r="R19" s="166">
        <v>0</v>
      </c>
      <c r="S19" s="172">
        <f t="shared" si="4"/>
        <v>191089</v>
      </c>
      <c r="T19" s="187">
        <v>52284</v>
      </c>
      <c r="U19" s="166">
        <v>31075</v>
      </c>
      <c r="V19" s="166">
        <v>342</v>
      </c>
      <c r="W19" s="166">
        <v>0</v>
      </c>
      <c r="X19" s="172">
        <f t="shared" si="5"/>
        <v>83701</v>
      </c>
      <c r="Y19" s="187">
        <v>50931</v>
      </c>
      <c r="Z19" s="166">
        <v>1071907</v>
      </c>
      <c r="AA19" s="166">
        <v>1388</v>
      </c>
      <c r="AB19" s="319">
        <v>0</v>
      </c>
      <c r="AC19" s="172">
        <f t="shared" si="6"/>
        <v>1124226</v>
      </c>
      <c r="AD19" s="187">
        <v>72263</v>
      </c>
      <c r="AE19" s="166">
        <v>150016</v>
      </c>
      <c r="AF19" s="166">
        <v>205</v>
      </c>
      <c r="AG19" s="166">
        <v>0</v>
      </c>
      <c r="AH19" s="172">
        <f t="shared" si="7"/>
        <v>222484</v>
      </c>
      <c r="AI19" s="187">
        <v>69147</v>
      </c>
      <c r="AJ19" s="166">
        <v>735615</v>
      </c>
      <c r="AK19" s="166">
        <v>135</v>
      </c>
      <c r="AL19" s="166">
        <v>0</v>
      </c>
      <c r="AM19" s="172">
        <f t="shared" si="1"/>
        <v>804897</v>
      </c>
      <c r="AN19" s="187">
        <v>56655</v>
      </c>
      <c r="AO19" s="166">
        <v>1495511</v>
      </c>
      <c r="AP19" s="166">
        <v>564</v>
      </c>
      <c r="AQ19" s="166">
        <v>0</v>
      </c>
      <c r="AR19" s="172">
        <f t="shared" si="2"/>
        <v>1552730</v>
      </c>
      <c r="AS19" s="187">
        <v>57205</v>
      </c>
      <c r="AT19" s="166">
        <v>243488</v>
      </c>
      <c r="AU19" s="166">
        <v>1112</v>
      </c>
      <c r="AV19" s="166">
        <v>0</v>
      </c>
      <c r="AW19" s="172">
        <f t="shared" si="18"/>
        <v>301805</v>
      </c>
      <c r="AX19" s="187">
        <v>83367</v>
      </c>
      <c r="AY19" s="166">
        <v>235046</v>
      </c>
      <c r="AZ19" s="166">
        <v>244</v>
      </c>
      <c r="BA19" s="166">
        <v>0</v>
      </c>
      <c r="BB19" s="172">
        <f t="shared" si="8"/>
        <v>318657</v>
      </c>
      <c r="BC19" s="187">
        <v>50009</v>
      </c>
      <c r="BD19" s="166">
        <v>35608</v>
      </c>
      <c r="BE19" s="166">
        <v>48</v>
      </c>
      <c r="BF19" s="166">
        <v>0</v>
      </c>
      <c r="BG19" s="172">
        <f t="shared" si="9"/>
        <v>85665</v>
      </c>
      <c r="BH19" s="187">
        <v>0</v>
      </c>
      <c r="BI19" s="166">
        <v>0</v>
      </c>
      <c r="BJ19" s="166">
        <v>0</v>
      </c>
      <c r="BK19" s="166">
        <v>0</v>
      </c>
      <c r="BL19" s="172">
        <f t="shared" si="10"/>
        <v>0</v>
      </c>
      <c r="BM19" s="187">
        <v>0</v>
      </c>
      <c r="BN19" s="166">
        <v>0</v>
      </c>
      <c r="BO19" s="166">
        <v>0</v>
      </c>
      <c r="BP19" s="166">
        <v>0</v>
      </c>
      <c r="BQ19" s="172">
        <f t="shared" si="11"/>
        <v>0</v>
      </c>
      <c r="BR19" s="187">
        <f t="shared" si="12"/>
        <v>595356</v>
      </c>
      <c r="BS19" s="381">
        <f t="shared" si="3"/>
        <v>5410505</v>
      </c>
      <c r="BT19" s="166">
        <f t="shared" si="3"/>
        <v>4358</v>
      </c>
      <c r="BU19" s="166">
        <f t="shared" si="3"/>
        <v>0</v>
      </c>
      <c r="BV19" s="187">
        <f t="shared" si="13"/>
        <v>6010219</v>
      </c>
      <c r="BW19" s="144"/>
      <c r="BX19" s="435">
        <f t="shared" si="16"/>
        <v>74.363696990730858</v>
      </c>
      <c r="BZ19" s="440">
        <v>48554.969459999993</v>
      </c>
      <c r="CA19" s="440">
        <v>1276370.4848699998</v>
      </c>
      <c r="CB19" s="440">
        <v>39.552340000000001</v>
      </c>
      <c r="CC19" s="443">
        <v>0</v>
      </c>
      <c r="CD19" s="443">
        <v>1324965.00667</v>
      </c>
      <c r="CE19" s="317">
        <f t="shared" si="17"/>
        <v>-3.0540000007022172E-2</v>
      </c>
      <c r="CF19" s="317">
        <f t="shared" si="14"/>
        <v>0.48486999981105328</v>
      </c>
      <c r="CG19" s="317">
        <f t="shared" si="14"/>
        <v>-0.44765999999999906</v>
      </c>
      <c r="CH19" s="136">
        <f t="shared" si="14"/>
        <v>0</v>
      </c>
      <c r="CI19" s="444">
        <f t="shared" si="14"/>
        <v>6.6700000315904617E-3</v>
      </c>
    </row>
    <row r="20" spans="1:87" x14ac:dyDescent="0.3">
      <c r="A20" s="308">
        <v>14</v>
      </c>
      <c r="B20" s="309" t="s">
        <v>220</v>
      </c>
      <c r="D20" s="318"/>
      <c r="E20" s="187">
        <v>4137424</v>
      </c>
      <c r="F20" s="381">
        <v>7541</v>
      </c>
      <c r="G20" s="166">
        <v>501144</v>
      </c>
      <c r="H20" s="166">
        <v>2206</v>
      </c>
      <c r="I20" s="172">
        <f t="shared" si="0"/>
        <v>4648315</v>
      </c>
      <c r="J20" s="187">
        <v>132732</v>
      </c>
      <c r="K20" s="166">
        <v>1732</v>
      </c>
      <c r="L20" s="166">
        <v>22595</v>
      </c>
      <c r="M20" s="166">
        <v>0</v>
      </c>
      <c r="N20" s="172">
        <f t="shared" si="15"/>
        <v>157059</v>
      </c>
      <c r="O20" s="166">
        <v>158476</v>
      </c>
      <c r="P20" s="166">
        <v>184</v>
      </c>
      <c r="Q20" s="166">
        <v>43478</v>
      </c>
      <c r="R20" s="166">
        <v>0</v>
      </c>
      <c r="S20" s="172">
        <f t="shared" si="4"/>
        <v>202138</v>
      </c>
      <c r="T20" s="187">
        <v>150278</v>
      </c>
      <c r="U20" s="166">
        <v>1002</v>
      </c>
      <c r="V20" s="166">
        <v>22880</v>
      </c>
      <c r="W20" s="166">
        <v>0</v>
      </c>
      <c r="X20" s="172">
        <f t="shared" si="5"/>
        <v>174160</v>
      </c>
      <c r="Y20" s="187">
        <v>278974</v>
      </c>
      <c r="Z20" s="166">
        <v>408</v>
      </c>
      <c r="AA20" s="166">
        <v>22592</v>
      </c>
      <c r="AB20" s="319">
        <v>0</v>
      </c>
      <c r="AC20" s="172">
        <f t="shared" si="6"/>
        <v>301974</v>
      </c>
      <c r="AD20" s="187">
        <v>192500</v>
      </c>
      <c r="AE20" s="166">
        <v>964</v>
      </c>
      <c r="AF20" s="166">
        <v>23111</v>
      </c>
      <c r="AG20" s="166">
        <v>0</v>
      </c>
      <c r="AH20" s="172">
        <f t="shared" si="7"/>
        <v>216575</v>
      </c>
      <c r="AI20" s="187">
        <v>495308</v>
      </c>
      <c r="AJ20" s="166">
        <v>515</v>
      </c>
      <c r="AK20" s="166">
        <v>23075</v>
      </c>
      <c r="AL20" s="166">
        <v>0</v>
      </c>
      <c r="AM20" s="172">
        <f t="shared" si="1"/>
        <v>518898</v>
      </c>
      <c r="AN20" s="187">
        <v>-28498</v>
      </c>
      <c r="AO20" s="166">
        <v>126</v>
      </c>
      <c r="AP20" s="166">
        <v>210614</v>
      </c>
      <c r="AQ20" s="166">
        <v>0</v>
      </c>
      <c r="AR20" s="172">
        <f t="shared" si="2"/>
        <v>182242</v>
      </c>
      <c r="AS20" s="187">
        <v>178506</v>
      </c>
      <c r="AT20" s="166">
        <v>290</v>
      </c>
      <c r="AU20" s="166">
        <v>43019</v>
      </c>
      <c r="AV20" s="166">
        <v>0</v>
      </c>
      <c r="AW20" s="172">
        <f t="shared" si="18"/>
        <v>221815</v>
      </c>
      <c r="AX20" s="187">
        <v>222606</v>
      </c>
      <c r="AY20" s="166">
        <v>32</v>
      </c>
      <c r="AZ20" s="166">
        <v>-6074</v>
      </c>
      <c r="BA20" s="166">
        <v>0</v>
      </c>
      <c r="BB20" s="172">
        <f t="shared" si="8"/>
        <v>216564</v>
      </c>
      <c r="BC20" s="187">
        <v>226097</v>
      </c>
      <c r="BD20" s="166">
        <v>444</v>
      </c>
      <c r="BE20" s="166">
        <v>33143</v>
      </c>
      <c r="BF20" s="166">
        <v>0</v>
      </c>
      <c r="BG20" s="172">
        <f t="shared" si="9"/>
        <v>259684</v>
      </c>
      <c r="BH20" s="187">
        <v>0</v>
      </c>
      <c r="BI20" s="166">
        <v>0</v>
      </c>
      <c r="BJ20" s="166">
        <v>0</v>
      </c>
      <c r="BK20" s="166">
        <v>0</v>
      </c>
      <c r="BL20" s="172">
        <f t="shared" si="10"/>
        <v>0</v>
      </c>
      <c r="BM20" s="187">
        <v>0</v>
      </c>
      <c r="BN20" s="166">
        <v>0</v>
      </c>
      <c r="BO20" s="166">
        <v>0</v>
      </c>
      <c r="BP20" s="166">
        <v>0</v>
      </c>
      <c r="BQ20" s="172">
        <f t="shared" si="11"/>
        <v>0</v>
      </c>
      <c r="BR20" s="187">
        <f t="shared" si="12"/>
        <v>2006979</v>
      </c>
      <c r="BS20" s="381">
        <f t="shared" si="3"/>
        <v>5697</v>
      </c>
      <c r="BT20" s="166">
        <f t="shared" si="3"/>
        <v>438433</v>
      </c>
      <c r="BU20" s="166">
        <f t="shared" si="3"/>
        <v>0</v>
      </c>
      <c r="BV20" s="187">
        <f t="shared" si="13"/>
        <v>2451109</v>
      </c>
      <c r="BW20" s="144"/>
      <c r="BX20" s="435">
        <f t="shared" si="16"/>
        <v>52.731129452285394</v>
      </c>
      <c r="BZ20" s="440">
        <v>132732.06374999988</v>
      </c>
      <c r="CA20" s="440">
        <v>1731.9571300000002</v>
      </c>
      <c r="CB20" s="440">
        <v>22594.563580000002</v>
      </c>
      <c r="CC20" s="443">
        <v>0</v>
      </c>
      <c r="CD20" s="443">
        <v>157058.58445999993</v>
      </c>
      <c r="CE20" s="317">
        <f t="shared" si="17"/>
        <v>6.3749999884748831E-2</v>
      </c>
      <c r="CF20" s="317">
        <f t="shared" si="14"/>
        <v>-4.2869999999766151E-2</v>
      </c>
      <c r="CG20" s="317">
        <f t="shared" si="14"/>
        <v>-0.43641999999817926</v>
      </c>
      <c r="CH20" s="136">
        <f t="shared" si="14"/>
        <v>0</v>
      </c>
      <c r="CI20" s="444">
        <f t="shared" si="14"/>
        <v>-0.41554000007454306</v>
      </c>
    </row>
    <row r="21" spans="1:87" x14ac:dyDescent="0.3">
      <c r="A21" s="308">
        <v>15</v>
      </c>
      <c r="B21" s="309" t="s">
        <v>221</v>
      </c>
      <c r="D21" s="318"/>
      <c r="E21" s="187">
        <v>106360</v>
      </c>
      <c r="F21" s="381">
        <v>46204</v>
      </c>
      <c r="G21" s="166">
        <v>1922</v>
      </c>
      <c r="H21" s="166">
        <v>171</v>
      </c>
      <c r="I21" s="172">
        <f t="shared" si="0"/>
        <v>154657</v>
      </c>
      <c r="J21" s="187">
        <v>7038</v>
      </c>
      <c r="K21" s="166">
        <v>0</v>
      </c>
      <c r="L21" s="166">
        <v>74</v>
      </c>
      <c r="M21" s="166">
        <v>0</v>
      </c>
      <c r="N21" s="172">
        <f>SUM(J21:M21)</f>
        <v>7112</v>
      </c>
      <c r="O21" s="166">
        <v>6933</v>
      </c>
      <c r="P21" s="166">
        <v>11518</v>
      </c>
      <c r="Q21" s="166">
        <v>87</v>
      </c>
      <c r="R21" s="166">
        <v>0</v>
      </c>
      <c r="S21" s="172">
        <f t="shared" si="4"/>
        <v>18538</v>
      </c>
      <c r="T21" s="187">
        <v>7848</v>
      </c>
      <c r="U21" s="166">
        <v>0</v>
      </c>
      <c r="V21" s="166">
        <v>87</v>
      </c>
      <c r="W21" s="166">
        <v>0</v>
      </c>
      <c r="X21" s="172">
        <f t="shared" si="5"/>
        <v>7935</v>
      </c>
      <c r="Y21" s="187">
        <v>7129</v>
      </c>
      <c r="Z21" s="166">
        <v>11498</v>
      </c>
      <c r="AA21" s="166">
        <v>87</v>
      </c>
      <c r="AB21" s="319">
        <v>0</v>
      </c>
      <c r="AC21" s="172">
        <f t="shared" si="6"/>
        <v>18714</v>
      </c>
      <c r="AD21" s="187">
        <v>7497</v>
      </c>
      <c r="AE21" s="166">
        <v>0</v>
      </c>
      <c r="AF21" s="166">
        <v>108</v>
      </c>
      <c r="AG21" s="166">
        <v>0</v>
      </c>
      <c r="AH21" s="172">
        <f t="shared" si="7"/>
        <v>7605</v>
      </c>
      <c r="AI21" s="187">
        <v>7764</v>
      </c>
      <c r="AJ21" s="166">
        <v>11</v>
      </c>
      <c r="AK21" s="166">
        <v>0</v>
      </c>
      <c r="AL21" s="166">
        <v>0</v>
      </c>
      <c r="AM21" s="172">
        <f t="shared" si="1"/>
        <v>7775</v>
      </c>
      <c r="AN21" s="187">
        <v>8802</v>
      </c>
      <c r="AO21" s="166">
        <v>11508</v>
      </c>
      <c r="AP21" s="166">
        <v>174</v>
      </c>
      <c r="AQ21" s="166">
        <v>0</v>
      </c>
      <c r="AR21" s="172">
        <f t="shared" si="2"/>
        <v>20484</v>
      </c>
      <c r="AS21" s="187">
        <v>7427</v>
      </c>
      <c r="AT21" s="166">
        <v>17</v>
      </c>
      <c r="AU21" s="166">
        <v>86</v>
      </c>
      <c r="AV21" s="166">
        <v>0</v>
      </c>
      <c r="AW21" s="172">
        <f t="shared" si="18"/>
        <v>7530</v>
      </c>
      <c r="AX21" s="187">
        <v>9655</v>
      </c>
      <c r="AY21" s="166">
        <v>128</v>
      </c>
      <c r="AZ21" s="166">
        <v>0</v>
      </c>
      <c r="BA21" s="166">
        <v>0</v>
      </c>
      <c r="BB21" s="172">
        <f t="shared" si="8"/>
        <v>9783</v>
      </c>
      <c r="BC21" s="187">
        <v>8627</v>
      </c>
      <c r="BD21" s="166">
        <v>1</v>
      </c>
      <c r="BE21" s="166">
        <v>182</v>
      </c>
      <c r="BF21" s="166">
        <v>0</v>
      </c>
      <c r="BG21" s="172">
        <f t="shared" si="9"/>
        <v>8810</v>
      </c>
      <c r="BH21" s="187">
        <v>0</v>
      </c>
      <c r="BI21" s="166">
        <v>0</v>
      </c>
      <c r="BJ21" s="166">
        <v>0</v>
      </c>
      <c r="BK21" s="166">
        <v>0</v>
      </c>
      <c r="BL21" s="172">
        <f t="shared" si="10"/>
        <v>0</v>
      </c>
      <c r="BM21" s="187">
        <v>0</v>
      </c>
      <c r="BN21" s="166">
        <v>0</v>
      </c>
      <c r="BO21" s="166">
        <v>0</v>
      </c>
      <c r="BP21" s="166">
        <v>0</v>
      </c>
      <c r="BQ21" s="172">
        <f t="shared" si="11"/>
        <v>0</v>
      </c>
      <c r="BR21" s="187">
        <f t="shared" si="12"/>
        <v>78720</v>
      </c>
      <c r="BS21" s="381">
        <f t="shared" si="3"/>
        <v>34681</v>
      </c>
      <c r="BT21" s="166">
        <f t="shared" si="3"/>
        <v>885</v>
      </c>
      <c r="BU21" s="166">
        <f t="shared" si="3"/>
        <v>0</v>
      </c>
      <c r="BV21" s="187">
        <f t="shared" si="13"/>
        <v>114286</v>
      </c>
      <c r="BW21" s="144"/>
      <c r="BX21" s="435">
        <f t="shared" si="16"/>
        <v>73.896428871632054</v>
      </c>
      <c r="BZ21" s="440">
        <v>7037.8290999999999</v>
      </c>
      <c r="CA21" s="440">
        <v>0</v>
      </c>
      <c r="CB21" s="440">
        <v>74.101349999999996</v>
      </c>
      <c r="CC21" s="443">
        <v>0</v>
      </c>
      <c r="CD21" s="443">
        <v>7111.9304499999989</v>
      </c>
      <c r="CE21" s="317">
        <f t="shared" si="17"/>
        <v>-0.17090000000007421</v>
      </c>
      <c r="CF21" s="317">
        <f t="shared" si="14"/>
        <v>0</v>
      </c>
      <c r="CG21" s="317">
        <f t="shared" si="14"/>
        <v>0.1013499999999965</v>
      </c>
      <c r="CH21" s="136">
        <f t="shared" si="14"/>
        <v>0</v>
      </c>
      <c r="CI21" s="444">
        <f t="shared" si="14"/>
        <v>-6.9550000001072476E-2</v>
      </c>
    </row>
    <row r="22" spans="1:87" x14ac:dyDescent="0.3">
      <c r="A22" s="308">
        <v>16</v>
      </c>
      <c r="B22" s="309" t="s">
        <v>222</v>
      </c>
      <c r="D22" s="310"/>
      <c r="E22" s="187">
        <v>2732144</v>
      </c>
      <c r="F22" s="381">
        <v>22326674</v>
      </c>
      <c r="G22" s="166">
        <v>2107125</v>
      </c>
      <c r="H22" s="166">
        <v>5298</v>
      </c>
      <c r="I22" s="172">
        <f t="shared" si="0"/>
        <v>27171241</v>
      </c>
      <c r="J22" s="187">
        <v>126999</v>
      </c>
      <c r="K22" s="166">
        <v>4656071</v>
      </c>
      <c r="L22" s="166">
        <v>60232</v>
      </c>
      <c r="M22" s="166">
        <v>15</v>
      </c>
      <c r="N22" s="172">
        <f t="shared" si="15"/>
        <v>4843317</v>
      </c>
      <c r="O22" s="166">
        <v>100815</v>
      </c>
      <c r="P22" s="166">
        <v>2435661</v>
      </c>
      <c r="Q22" s="166">
        <v>36456</v>
      </c>
      <c r="R22" s="166">
        <v>5</v>
      </c>
      <c r="S22" s="172">
        <f t="shared" si="4"/>
        <v>2572937</v>
      </c>
      <c r="T22" s="187">
        <v>89399</v>
      </c>
      <c r="U22" s="166">
        <v>667782</v>
      </c>
      <c r="V22" s="166">
        <v>12874</v>
      </c>
      <c r="W22" s="166">
        <v>9</v>
      </c>
      <c r="X22" s="172">
        <f t="shared" si="5"/>
        <v>770064</v>
      </c>
      <c r="Y22" s="187">
        <v>88495</v>
      </c>
      <c r="Z22" s="166">
        <v>1505868</v>
      </c>
      <c r="AA22" s="166">
        <v>138250</v>
      </c>
      <c r="AB22" s="166">
        <v>115</v>
      </c>
      <c r="AC22" s="172">
        <f t="shared" si="6"/>
        <v>1732728</v>
      </c>
      <c r="AD22" s="187">
        <v>143512</v>
      </c>
      <c r="AE22" s="166">
        <v>3734597</v>
      </c>
      <c r="AF22" s="166">
        <v>262816</v>
      </c>
      <c r="AG22" s="166">
        <v>7</v>
      </c>
      <c r="AH22" s="172">
        <f t="shared" si="7"/>
        <v>4140932</v>
      </c>
      <c r="AI22" s="187">
        <v>128869</v>
      </c>
      <c r="AJ22" s="166">
        <v>659611</v>
      </c>
      <c r="AK22" s="166">
        <v>291845</v>
      </c>
      <c r="AL22" s="166">
        <v>52</v>
      </c>
      <c r="AM22" s="172">
        <f t="shared" si="1"/>
        <v>1080377</v>
      </c>
      <c r="AN22" s="187">
        <v>563212</v>
      </c>
      <c r="AO22" s="166">
        <v>1577860</v>
      </c>
      <c r="AP22" s="166">
        <v>118809</v>
      </c>
      <c r="AQ22" s="166">
        <v>3</v>
      </c>
      <c r="AR22" s="172">
        <f t="shared" si="2"/>
        <v>2259884</v>
      </c>
      <c r="AS22" s="187">
        <v>104217</v>
      </c>
      <c r="AT22" s="166">
        <v>3379426</v>
      </c>
      <c r="AU22" s="166">
        <v>107120</v>
      </c>
      <c r="AV22" s="166">
        <v>1</v>
      </c>
      <c r="AW22" s="172">
        <f t="shared" si="18"/>
        <v>3590764</v>
      </c>
      <c r="AX22" s="187">
        <v>335572</v>
      </c>
      <c r="AY22" s="166">
        <v>664261</v>
      </c>
      <c r="AZ22" s="166">
        <v>181938</v>
      </c>
      <c r="BA22" s="166">
        <v>4953</v>
      </c>
      <c r="BB22" s="172">
        <f t="shared" si="8"/>
        <v>1186724</v>
      </c>
      <c r="BC22" s="187">
        <v>76410</v>
      </c>
      <c r="BD22" s="166">
        <v>2050318</v>
      </c>
      <c r="BE22" s="166">
        <v>305661</v>
      </c>
      <c r="BF22" s="166">
        <v>3</v>
      </c>
      <c r="BG22" s="172">
        <f t="shared" si="9"/>
        <v>2432392</v>
      </c>
      <c r="BH22" s="187">
        <v>0</v>
      </c>
      <c r="BI22" s="166">
        <v>0</v>
      </c>
      <c r="BJ22" s="166">
        <v>0</v>
      </c>
      <c r="BK22" s="166">
        <v>0</v>
      </c>
      <c r="BL22" s="172">
        <f t="shared" si="10"/>
        <v>0</v>
      </c>
      <c r="BM22" s="187">
        <v>0</v>
      </c>
      <c r="BN22" s="166">
        <v>0</v>
      </c>
      <c r="BO22" s="166">
        <v>0</v>
      </c>
      <c r="BP22" s="166">
        <v>0</v>
      </c>
      <c r="BQ22" s="172">
        <f t="shared" si="11"/>
        <v>0</v>
      </c>
      <c r="BR22" s="187">
        <f t="shared" si="12"/>
        <v>1757500</v>
      </c>
      <c r="BS22" s="381">
        <f t="shared" si="3"/>
        <v>21331455</v>
      </c>
      <c r="BT22" s="166">
        <f t="shared" si="3"/>
        <v>1516001</v>
      </c>
      <c r="BU22" s="166">
        <f t="shared" si="3"/>
        <v>5163</v>
      </c>
      <c r="BV22" s="187">
        <f t="shared" si="13"/>
        <v>24610119</v>
      </c>
      <c r="BW22" s="144"/>
      <c r="BX22" s="435">
        <f>(BV22/I22)*100</f>
        <v>90.57414418428661</v>
      </c>
      <c r="BZ22" s="440">
        <v>126998.65837</v>
      </c>
      <c r="CA22" s="440">
        <v>4656071.4892300004</v>
      </c>
      <c r="CB22" s="440">
        <v>60231.554009999898</v>
      </c>
      <c r="CC22" s="443">
        <v>15.26163</v>
      </c>
      <c r="CD22" s="443">
        <v>4843316.9632400004</v>
      </c>
      <c r="CE22" s="317">
        <f t="shared" si="17"/>
        <v>-0.34162999999534804</v>
      </c>
      <c r="CF22" s="317">
        <f>+CA22-K22</f>
        <v>0.48923000041395426</v>
      </c>
      <c r="CG22" s="317">
        <f t="shared" si="14"/>
        <v>-0.44599000010202872</v>
      </c>
      <c r="CH22" s="136">
        <f t="shared" si="14"/>
        <v>0.26163000000000025</v>
      </c>
      <c r="CI22" s="444">
        <f t="shared" si="14"/>
        <v>-3.6759999580681324E-2</v>
      </c>
    </row>
    <row r="23" spans="1:87" x14ac:dyDescent="0.3">
      <c r="A23" s="308">
        <v>17</v>
      </c>
      <c r="B23" s="309" t="s">
        <v>223</v>
      </c>
      <c r="D23" s="310"/>
      <c r="E23" s="187">
        <v>9757833</v>
      </c>
      <c r="F23" s="381">
        <f>106658146-19011610</f>
        <v>87646536</v>
      </c>
      <c r="G23" s="166">
        <v>10003</v>
      </c>
      <c r="H23" s="166">
        <v>638</v>
      </c>
      <c r="I23" s="172">
        <f t="shared" si="0"/>
        <v>97415010</v>
      </c>
      <c r="J23" s="187">
        <v>684975</v>
      </c>
      <c r="K23" s="166">
        <v>29642900</v>
      </c>
      <c r="L23" s="166">
        <v>98</v>
      </c>
      <c r="M23" s="166">
        <v>0</v>
      </c>
      <c r="N23" s="172">
        <f t="shared" si="15"/>
        <v>30327973</v>
      </c>
      <c r="O23" s="166">
        <v>747360</v>
      </c>
      <c r="P23" s="166">
        <v>336308</v>
      </c>
      <c r="Q23" s="166">
        <v>432</v>
      </c>
      <c r="R23" s="166">
        <v>0</v>
      </c>
      <c r="S23" s="172">
        <f>SUM(O23:R23)</f>
        <v>1084100</v>
      </c>
      <c r="T23" s="187">
        <v>736970</v>
      </c>
      <c r="U23" s="166">
        <v>12115056</v>
      </c>
      <c r="V23" s="166">
        <v>367</v>
      </c>
      <c r="W23" s="166">
        <v>0</v>
      </c>
      <c r="X23" s="172">
        <f t="shared" si="5"/>
        <v>12852393</v>
      </c>
      <c r="Y23" s="187">
        <v>708203</v>
      </c>
      <c r="Z23" s="166">
        <v>4564997</v>
      </c>
      <c r="AA23" s="166">
        <v>887</v>
      </c>
      <c r="AB23" s="166">
        <v>0</v>
      </c>
      <c r="AC23" s="172">
        <f t="shared" si="6"/>
        <v>5274087</v>
      </c>
      <c r="AD23" s="187">
        <v>712825</v>
      </c>
      <c r="AE23" s="166">
        <v>15759383</v>
      </c>
      <c r="AF23" s="166">
        <v>2153</v>
      </c>
      <c r="AG23" s="166">
        <v>0</v>
      </c>
      <c r="AH23" s="172">
        <f t="shared" si="7"/>
        <v>16474361</v>
      </c>
      <c r="AI23" s="187">
        <v>933713</v>
      </c>
      <c r="AJ23" s="166">
        <v>3305071</v>
      </c>
      <c r="AK23" s="166">
        <v>139</v>
      </c>
      <c r="AL23" s="166">
        <v>0</v>
      </c>
      <c r="AM23" s="172">
        <f t="shared" si="1"/>
        <v>4238923</v>
      </c>
      <c r="AN23" s="187">
        <v>775924</v>
      </c>
      <c r="AO23" s="166">
        <v>14525312</v>
      </c>
      <c r="AP23" s="166">
        <v>623</v>
      </c>
      <c r="AQ23" s="166">
        <v>0</v>
      </c>
      <c r="AR23" s="172">
        <f t="shared" si="2"/>
        <v>15301859</v>
      </c>
      <c r="AS23" s="187">
        <v>896766</v>
      </c>
      <c r="AT23" s="166">
        <v>3546644</v>
      </c>
      <c r="AU23" s="166">
        <v>597</v>
      </c>
      <c r="AV23" s="166">
        <v>0</v>
      </c>
      <c r="AW23" s="172">
        <f t="shared" si="18"/>
        <v>4444007</v>
      </c>
      <c r="AX23" s="187">
        <v>890648</v>
      </c>
      <c r="AY23" s="166">
        <v>49930</v>
      </c>
      <c r="AZ23" s="166">
        <v>10165</v>
      </c>
      <c r="BA23" s="166">
        <v>0</v>
      </c>
      <c r="BB23" s="172">
        <f t="shared" si="8"/>
        <v>950743</v>
      </c>
      <c r="BC23" s="187">
        <v>809943</v>
      </c>
      <c r="BD23" s="166">
        <v>1650340</v>
      </c>
      <c r="BE23" s="166">
        <v>-8219</v>
      </c>
      <c r="BF23" s="166">
        <v>0</v>
      </c>
      <c r="BG23" s="172">
        <f t="shared" si="9"/>
        <v>2452064</v>
      </c>
      <c r="BH23" s="187">
        <v>0</v>
      </c>
      <c r="BI23" s="166">
        <v>0</v>
      </c>
      <c r="BJ23" s="166">
        <v>0</v>
      </c>
      <c r="BK23" s="166">
        <v>0</v>
      </c>
      <c r="BL23" s="172">
        <f t="shared" si="10"/>
        <v>0</v>
      </c>
      <c r="BM23" s="187">
        <v>0</v>
      </c>
      <c r="BN23" s="166">
        <v>0</v>
      </c>
      <c r="BO23" s="166">
        <v>0</v>
      </c>
      <c r="BP23" s="166">
        <v>0</v>
      </c>
      <c r="BQ23" s="172">
        <f t="shared" si="11"/>
        <v>0</v>
      </c>
      <c r="BR23" s="187">
        <f t="shared" si="12"/>
        <v>7897327</v>
      </c>
      <c r="BS23" s="381">
        <f t="shared" si="3"/>
        <v>85495941</v>
      </c>
      <c r="BT23" s="166">
        <f t="shared" si="3"/>
        <v>7242</v>
      </c>
      <c r="BU23" s="166">
        <f t="shared" si="3"/>
        <v>0</v>
      </c>
      <c r="BV23" s="187">
        <f t="shared" si="13"/>
        <v>93400510</v>
      </c>
      <c r="BW23" s="144"/>
      <c r="BX23" s="435">
        <f t="shared" si="16"/>
        <v>95.878971834012034</v>
      </c>
      <c r="BZ23" s="440">
        <v>684975.46971000009</v>
      </c>
      <c r="CA23" s="440">
        <v>29642899.780370001</v>
      </c>
      <c r="CB23" s="440">
        <v>98.356909999999999</v>
      </c>
      <c r="CC23" s="443">
        <v>0</v>
      </c>
      <c r="CD23" s="443">
        <v>30327973.606990002</v>
      </c>
      <c r="CE23" s="317">
        <f t="shared" si="17"/>
        <v>0.46971000009216368</v>
      </c>
      <c r="CF23" s="317">
        <f t="shared" si="14"/>
        <v>-0.21962999925017357</v>
      </c>
      <c r="CG23" s="317">
        <f t="shared" si="14"/>
        <v>0.35690999999999917</v>
      </c>
      <c r="CH23" s="136">
        <f t="shared" si="14"/>
        <v>0</v>
      </c>
      <c r="CI23" s="444">
        <f t="shared" si="14"/>
        <v>0.60699000209569931</v>
      </c>
    </row>
    <row r="24" spans="1:87" x14ac:dyDescent="0.3">
      <c r="A24" s="308">
        <v>18</v>
      </c>
      <c r="B24" s="309" t="s">
        <v>224</v>
      </c>
      <c r="D24" s="324"/>
      <c r="E24" s="187">
        <v>9966194</v>
      </c>
      <c r="F24" s="381">
        <v>54491902</v>
      </c>
      <c r="G24" s="166">
        <v>670980</v>
      </c>
      <c r="H24" s="166">
        <v>8355</v>
      </c>
      <c r="I24" s="172">
        <f t="shared" si="0"/>
        <v>65137431</v>
      </c>
      <c r="J24" s="187">
        <v>1515216</v>
      </c>
      <c r="K24" s="166">
        <v>5848359</v>
      </c>
      <c r="L24" s="166">
        <v>34811</v>
      </c>
      <c r="M24" s="166">
        <v>0</v>
      </c>
      <c r="N24" s="172">
        <f t="shared" si="15"/>
        <v>7398386</v>
      </c>
      <c r="O24" s="166">
        <v>147507</v>
      </c>
      <c r="P24" s="166">
        <v>3415461</v>
      </c>
      <c r="Q24" s="166">
        <v>28189</v>
      </c>
      <c r="R24" s="166">
        <v>0</v>
      </c>
      <c r="S24" s="172">
        <f t="shared" ref="S24:S33" si="19">SUM(O24:R24)</f>
        <v>3591157</v>
      </c>
      <c r="T24" s="187">
        <v>2775743</v>
      </c>
      <c r="U24" s="166">
        <v>4188386</v>
      </c>
      <c r="V24" s="166">
        <v>59296</v>
      </c>
      <c r="W24" s="166">
        <v>0</v>
      </c>
      <c r="X24" s="172">
        <f t="shared" si="5"/>
        <v>7023425</v>
      </c>
      <c r="Y24" s="187">
        <v>176943</v>
      </c>
      <c r="Z24" s="166">
        <v>5839148</v>
      </c>
      <c r="AA24" s="166">
        <v>146321</v>
      </c>
      <c r="AB24" s="166">
        <v>0</v>
      </c>
      <c r="AC24" s="172">
        <f t="shared" si="6"/>
        <v>6162412</v>
      </c>
      <c r="AD24" s="187">
        <v>273868</v>
      </c>
      <c r="AE24" s="166">
        <v>3955397</v>
      </c>
      <c r="AF24" s="166">
        <v>18130</v>
      </c>
      <c r="AG24" s="166">
        <v>0</v>
      </c>
      <c r="AH24" s="172">
        <f t="shared" si="7"/>
        <v>4247395</v>
      </c>
      <c r="AI24" s="187">
        <v>1759425</v>
      </c>
      <c r="AJ24" s="166">
        <v>3804040</v>
      </c>
      <c r="AK24" s="166">
        <v>34735</v>
      </c>
      <c r="AL24" s="166">
        <v>0</v>
      </c>
      <c r="AM24" s="172">
        <f t="shared" si="1"/>
        <v>5598200</v>
      </c>
      <c r="AN24" s="187">
        <v>779584</v>
      </c>
      <c r="AO24" s="166">
        <v>5875828</v>
      </c>
      <c r="AP24" s="166">
        <v>50869</v>
      </c>
      <c r="AQ24" s="166">
        <v>1869</v>
      </c>
      <c r="AR24" s="172">
        <f t="shared" si="2"/>
        <v>6708150</v>
      </c>
      <c r="AS24" s="187">
        <v>683034</v>
      </c>
      <c r="AT24" s="166">
        <v>3793531</v>
      </c>
      <c r="AU24" s="166">
        <v>10674</v>
      </c>
      <c r="AV24" s="166">
        <v>0</v>
      </c>
      <c r="AW24" s="172">
        <f t="shared" si="18"/>
        <v>4487239</v>
      </c>
      <c r="AX24" s="187">
        <v>279036</v>
      </c>
      <c r="AY24" s="166">
        <v>3848242</v>
      </c>
      <c r="AZ24" s="166">
        <v>17581</v>
      </c>
      <c r="BA24" s="166">
        <v>0</v>
      </c>
      <c r="BB24" s="172">
        <f t="shared" si="8"/>
        <v>4144859</v>
      </c>
      <c r="BC24" s="187">
        <v>948058</v>
      </c>
      <c r="BD24" s="166">
        <v>5836556</v>
      </c>
      <c r="BE24" s="166">
        <v>20014</v>
      </c>
      <c r="BF24" s="166">
        <v>0</v>
      </c>
      <c r="BG24" s="172">
        <f t="shared" si="9"/>
        <v>6804628</v>
      </c>
      <c r="BH24" s="187">
        <v>0</v>
      </c>
      <c r="BI24" s="166">
        <v>0</v>
      </c>
      <c r="BJ24" s="166">
        <v>0</v>
      </c>
      <c r="BK24" s="166">
        <v>0</v>
      </c>
      <c r="BL24" s="172">
        <f t="shared" si="10"/>
        <v>0</v>
      </c>
      <c r="BM24" s="187">
        <v>0</v>
      </c>
      <c r="BN24" s="166">
        <v>0</v>
      </c>
      <c r="BO24" s="166">
        <v>0</v>
      </c>
      <c r="BP24" s="166">
        <v>0</v>
      </c>
      <c r="BQ24" s="172">
        <f t="shared" si="11"/>
        <v>0</v>
      </c>
      <c r="BR24" s="187">
        <f t="shared" si="12"/>
        <v>9338414</v>
      </c>
      <c r="BS24" s="381">
        <f t="shared" si="3"/>
        <v>46404948</v>
      </c>
      <c r="BT24" s="166">
        <f t="shared" si="3"/>
        <v>420620</v>
      </c>
      <c r="BU24" s="166">
        <f t="shared" si="3"/>
        <v>1869</v>
      </c>
      <c r="BV24" s="187">
        <f t="shared" si="13"/>
        <v>56165851</v>
      </c>
      <c r="BW24" s="144"/>
      <c r="BX24" s="435">
        <f t="shared" si="16"/>
        <v>86.226690456981629</v>
      </c>
      <c r="BZ24" s="440">
        <v>1515564.0930600001</v>
      </c>
      <c r="CA24" s="440">
        <v>5848359.4311800003</v>
      </c>
      <c r="CB24" s="440">
        <v>34811.36997</v>
      </c>
      <c r="CC24" s="443">
        <v>0</v>
      </c>
      <c r="CD24" s="443">
        <v>7398734.8942100005</v>
      </c>
      <c r="CE24" s="317">
        <f t="shared" si="17"/>
        <v>348.0930600001011</v>
      </c>
      <c r="CF24" s="317">
        <f t="shared" si="14"/>
        <v>0.43118000030517578</v>
      </c>
      <c r="CG24" s="317">
        <f t="shared" si="14"/>
        <v>0.36996999999973923</v>
      </c>
      <c r="CH24" s="136">
        <f t="shared" si="14"/>
        <v>0</v>
      </c>
      <c r="CI24" s="444">
        <f t="shared" si="14"/>
        <v>348.89421000052243</v>
      </c>
    </row>
    <row r="25" spans="1:87" x14ac:dyDescent="0.3">
      <c r="A25" s="320">
        <v>19</v>
      </c>
      <c r="B25" s="321" t="s">
        <v>225</v>
      </c>
      <c r="D25" s="326"/>
      <c r="E25" s="187">
        <v>877775</v>
      </c>
      <c r="F25" s="381">
        <v>232212259</v>
      </c>
      <c r="G25" s="166">
        <v>18898</v>
      </c>
      <c r="H25" s="166">
        <v>0</v>
      </c>
      <c r="I25" s="172">
        <f t="shared" si="0"/>
        <v>233108932</v>
      </c>
      <c r="J25" s="187">
        <v>56835</v>
      </c>
      <c r="K25" s="166">
        <v>20190548</v>
      </c>
      <c r="L25" s="166">
        <v>756</v>
      </c>
      <c r="M25" s="166">
        <v>0</v>
      </c>
      <c r="N25" s="172">
        <f t="shared" si="15"/>
        <v>20248139</v>
      </c>
      <c r="O25" s="166">
        <v>78986</v>
      </c>
      <c r="P25" s="166">
        <v>16911131</v>
      </c>
      <c r="Q25" s="166">
        <v>2479</v>
      </c>
      <c r="R25" s="166">
        <v>0</v>
      </c>
      <c r="S25" s="172">
        <f t="shared" si="19"/>
        <v>16992596</v>
      </c>
      <c r="T25" s="187">
        <v>64138</v>
      </c>
      <c r="U25" s="166">
        <v>17238110</v>
      </c>
      <c r="V25" s="166">
        <v>63</v>
      </c>
      <c r="W25" s="166">
        <v>0</v>
      </c>
      <c r="X25" s="172">
        <f t="shared" si="5"/>
        <v>17302311</v>
      </c>
      <c r="Y25" s="187">
        <v>56230</v>
      </c>
      <c r="Z25" s="166">
        <v>17243438</v>
      </c>
      <c r="AA25" s="166">
        <v>526</v>
      </c>
      <c r="AB25" s="166">
        <v>0</v>
      </c>
      <c r="AC25" s="172">
        <f t="shared" si="6"/>
        <v>17300194</v>
      </c>
      <c r="AD25" s="187">
        <v>58067</v>
      </c>
      <c r="AE25" s="166">
        <v>17287919</v>
      </c>
      <c r="AF25" s="166">
        <v>480</v>
      </c>
      <c r="AG25" s="166">
        <v>0</v>
      </c>
      <c r="AH25" s="172">
        <f t="shared" si="7"/>
        <v>17346466</v>
      </c>
      <c r="AI25" s="187">
        <v>78388</v>
      </c>
      <c r="AJ25" s="166">
        <v>17995016</v>
      </c>
      <c r="AK25" s="166">
        <v>-365</v>
      </c>
      <c r="AL25" s="166">
        <v>0</v>
      </c>
      <c r="AM25" s="172">
        <f t="shared" si="1"/>
        <v>18073039</v>
      </c>
      <c r="AN25" s="187">
        <v>75127</v>
      </c>
      <c r="AO25" s="166">
        <v>22358605</v>
      </c>
      <c r="AP25" s="166">
        <v>310</v>
      </c>
      <c r="AQ25" s="166">
        <v>0</v>
      </c>
      <c r="AR25" s="172">
        <f t="shared" si="2"/>
        <v>22434042</v>
      </c>
      <c r="AS25" s="187">
        <v>78238</v>
      </c>
      <c r="AT25" s="166">
        <v>20911660</v>
      </c>
      <c r="AU25" s="166">
        <v>610</v>
      </c>
      <c r="AV25" s="166">
        <v>0</v>
      </c>
      <c r="AW25" s="172">
        <f t="shared" si="18"/>
        <v>20990508</v>
      </c>
      <c r="AX25" s="187">
        <v>80153</v>
      </c>
      <c r="AY25" s="166">
        <v>20186907</v>
      </c>
      <c r="AZ25" s="166">
        <v>101</v>
      </c>
      <c r="BA25" s="166">
        <v>0</v>
      </c>
      <c r="BB25" s="172">
        <f t="shared" si="8"/>
        <v>20267161</v>
      </c>
      <c r="BC25" s="187">
        <v>56722</v>
      </c>
      <c r="BD25" s="166">
        <v>20582871</v>
      </c>
      <c r="BE25" s="166">
        <v>840</v>
      </c>
      <c r="BF25" s="166">
        <v>0</v>
      </c>
      <c r="BG25" s="172">
        <f t="shared" si="9"/>
        <v>20640433</v>
      </c>
      <c r="BH25" s="187">
        <v>0</v>
      </c>
      <c r="BI25" s="166">
        <v>0</v>
      </c>
      <c r="BJ25" s="166">
        <v>0</v>
      </c>
      <c r="BK25" s="166">
        <v>0</v>
      </c>
      <c r="BL25" s="172">
        <f t="shared" si="10"/>
        <v>0</v>
      </c>
      <c r="BM25" s="187">
        <v>0</v>
      </c>
      <c r="BN25" s="166">
        <v>0</v>
      </c>
      <c r="BO25" s="166">
        <v>0</v>
      </c>
      <c r="BP25" s="166">
        <v>0</v>
      </c>
      <c r="BQ25" s="172">
        <f t="shared" si="11"/>
        <v>0</v>
      </c>
      <c r="BR25" s="187">
        <f t="shared" si="12"/>
        <v>682884</v>
      </c>
      <c r="BS25" s="381">
        <f t="shared" si="3"/>
        <v>190906205</v>
      </c>
      <c r="BT25" s="166">
        <f t="shared" si="3"/>
        <v>5800</v>
      </c>
      <c r="BU25" s="166">
        <f t="shared" si="3"/>
        <v>0</v>
      </c>
      <c r="BV25" s="187">
        <f t="shared" si="13"/>
        <v>191594889</v>
      </c>
      <c r="BW25" s="144"/>
      <c r="BX25" s="435">
        <f t="shared" si="16"/>
        <v>82.191140149018409</v>
      </c>
      <c r="BZ25" s="440">
        <v>56818.1031</v>
      </c>
      <c r="CA25" s="440">
        <v>20216114.733369999</v>
      </c>
      <c r="CB25" s="440">
        <v>756.03154999999992</v>
      </c>
      <c r="CC25" s="443">
        <v>0</v>
      </c>
      <c r="CD25" s="443">
        <v>20273688.868020002</v>
      </c>
      <c r="CE25" s="317">
        <f t="shared" si="17"/>
        <v>-16.896899999999732</v>
      </c>
      <c r="CF25" s="317">
        <f t="shared" si="14"/>
        <v>25566.733369998634</v>
      </c>
      <c r="CG25" s="317">
        <f t="shared" si="14"/>
        <v>3.1549999999924694E-2</v>
      </c>
      <c r="CH25" s="136">
        <f t="shared" si="14"/>
        <v>0</v>
      </c>
      <c r="CI25" s="444">
        <f>+CD25-N25</f>
        <v>25549.868020001799</v>
      </c>
    </row>
    <row r="26" spans="1:87" x14ac:dyDescent="0.3">
      <c r="A26" s="320">
        <v>20</v>
      </c>
      <c r="B26" s="582" t="s">
        <v>226</v>
      </c>
      <c r="C26" s="582"/>
      <c r="D26" s="310"/>
      <c r="E26" s="187">
        <v>166010</v>
      </c>
      <c r="F26" s="381">
        <v>993671</v>
      </c>
      <c r="G26" s="166">
        <v>4549</v>
      </c>
      <c r="H26" s="166">
        <v>193</v>
      </c>
      <c r="I26" s="172">
        <f t="shared" si="0"/>
        <v>1164423</v>
      </c>
      <c r="J26" s="187">
        <v>9319</v>
      </c>
      <c r="K26" s="166">
        <v>7616</v>
      </c>
      <c r="L26" s="166">
        <v>17</v>
      </c>
      <c r="M26" s="166">
        <v>0</v>
      </c>
      <c r="N26" s="172">
        <f t="shared" si="15"/>
        <v>16952</v>
      </c>
      <c r="O26" s="166">
        <v>12808</v>
      </c>
      <c r="P26" s="166">
        <v>185616</v>
      </c>
      <c r="Q26" s="166">
        <v>17</v>
      </c>
      <c r="R26" s="166">
        <v>0</v>
      </c>
      <c r="S26" s="172">
        <f t="shared" si="19"/>
        <v>198441</v>
      </c>
      <c r="T26" s="187">
        <v>12491</v>
      </c>
      <c r="U26" s="166">
        <v>7644</v>
      </c>
      <c r="V26" s="166">
        <v>621</v>
      </c>
      <c r="W26" s="166">
        <v>0</v>
      </c>
      <c r="X26" s="172">
        <f t="shared" si="5"/>
        <v>20756</v>
      </c>
      <c r="Y26" s="187">
        <v>10093</v>
      </c>
      <c r="Z26" s="166">
        <v>7615</v>
      </c>
      <c r="AA26" s="166">
        <v>414</v>
      </c>
      <c r="AB26" s="166">
        <v>0</v>
      </c>
      <c r="AC26" s="172">
        <f t="shared" si="6"/>
        <v>18122</v>
      </c>
      <c r="AD26" s="187">
        <v>14957</v>
      </c>
      <c r="AE26" s="166">
        <v>179686</v>
      </c>
      <c r="AF26" s="166">
        <v>16</v>
      </c>
      <c r="AG26" s="166">
        <v>0</v>
      </c>
      <c r="AH26" s="172">
        <f t="shared" si="7"/>
        <v>194659</v>
      </c>
      <c r="AI26" s="187">
        <v>12805</v>
      </c>
      <c r="AJ26" s="166">
        <v>7615</v>
      </c>
      <c r="AK26" s="166">
        <v>616</v>
      </c>
      <c r="AL26" s="166">
        <v>0</v>
      </c>
      <c r="AM26" s="172">
        <f t="shared" si="1"/>
        <v>21036</v>
      </c>
      <c r="AN26" s="187">
        <v>12260</v>
      </c>
      <c r="AO26" s="166">
        <v>7615</v>
      </c>
      <c r="AP26" s="166">
        <v>2361</v>
      </c>
      <c r="AQ26" s="166">
        <v>0</v>
      </c>
      <c r="AR26" s="172">
        <f t="shared" si="2"/>
        <v>22236</v>
      </c>
      <c r="AS26" s="187">
        <v>15052</v>
      </c>
      <c r="AT26" s="166">
        <v>97793</v>
      </c>
      <c r="AU26" s="166">
        <v>11</v>
      </c>
      <c r="AV26" s="166">
        <v>0</v>
      </c>
      <c r="AW26" s="172">
        <f t="shared" si="18"/>
        <v>112856</v>
      </c>
      <c r="AX26" s="187">
        <v>15488</v>
      </c>
      <c r="AY26" s="166">
        <v>7614</v>
      </c>
      <c r="AZ26" s="166">
        <v>18</v>
      </c>
      <c r="BA26" s="166">
        <v>0</v>
      </c>
      <c r="BB26" s="172">
        <f t="shared" si="8"/>
        <v>23120</v>
      </c>
      <c r="BC26" s="187">
        <v>14577</v>
      </c>
      <c r="BD26" s="166">
        <v>307631</v>
      </c>
      <c r="BE26" s="166">
        <v>121</v>
      </c>
      <c r="BF26" s="166">
        <v>0</v>
      </c>
      <c r="BG26" s="172">
        <f t="shared" si="9"/>
        <v>322329</v>
      </c>
      <c r="BH26" s="187">
        <v>0</v>
      </c>
      <c r="BI26" s="166">
        <v>0</v>
      </c>
      <c r="BJ26" s="166">
        <v>0</v>
      </c>
      <c r="BK26" s="166">
        <v>0</v>
      </c>
      <c r="BL26" s="172">
        <f t="shared" si="10"/>
        <v>0</v>
      </c>
      <c r="BM26" s="187">
        <v>0</v>
      </c>
      <c r="BN26" s="166">
        <v>0</v>
      </c>
      <c r="BO26" s="166">
        <v>0</v>
      </c>
      <c r="BP26" s="166">
        <v>0</v>
      </c>
      <c r="BQ26" s="172">
        <f t="shared" si="11"/>
        <v>0</v>
      </c>
      <c r="BR26" s="187">
        <f t="shared" si="12"/>
        <v>129850</v>
      </c>
      <c r="BS26" s="381">
        <f t="shared" si="3"/>
        <v>816445</v>
      </c>
      <c r="BT26" s="166">
        <f t="shared" si="3"/>
        <v>4212</v>
      </c>
      <c r="BU26" s="166">
        <f t="shared" si="3"/>
        <v>0</v>
      </c>
      <c r="BV26" s="187">
        <f t="shared" si="13"/>
        <v>950507</v>
      </c>
      <c r="BW26" s="144"/>
      <c r="BX26" s="435">
        <f t="shared" si="16"/>
        <v>81.629012824377398</v>
      </c>
      <c r="BZ26" s="440">
        <v>0</v>
      </c>
      <c r="CA26" s="440">
        <v>0</v>
      </c>
      <c r="CB26" s="440">
        <v>0</v>
      </c>
      <c r="CC26" s="443">
        <v>0</v>
      </c>
      <c r="CD26" s="443">
        <v>0</v>
      </c>
      <c r="CE26" s="317">
        <f t="shared" si="17"/>
        <v>-9319</v>
      </c>
      <c r="CF26" s="317">
        <f t="shared" si="14"/>
        <v>-7616</v>
      </c>
      <c r="CG26" s="317">
        <f t="shared" si="14"/>
        <v>-17</v>
      </c>
      <c r="CH26" s="136">
        <f t="shared" si="14"/>
        <v>0</v>
      </c>
      <c r="CI26" s="444">
        <f t="shared" si="14"/>
        <v>-16952</v>
      </c>
    </row>
    <row r="27" spans="1:87" x14ac:dyDescent="0.3">
      <c r="A27" s="320">
        <v>21</v>
      </c>
      <c r="B27" s="327" t="s">
        <v>227</v>
      </c>
      <c r="C27" s="327"/>
      <c r="D27" s="310"/>
      <c r="E27" s="187">
        <v>137060</v>
      </c>
      <c r="F27" s="381">
        <v>409</v>
      </c>
      <c r="G27" s="166">
        <v>923</v>
      </c>
      <c r="H27" s="166">
        <v>15</v>
      </c>
      <c r="I27" s="172">
        <f t="shared" si="0"/>
        <v>138407</v>
      </c>
      <c r="J27" s="187">
        <v>10311</v>
      </c>
      <c r="K27" s="166">
        <v>20</v>
      </c>
      <c r="L27" s="166">
        <v>14</v>
      </c>
      <c r="M27" s="166">
        <v>0</v>
      </c>
      <c r="N27" s="172">
        <f t="shared" si="15"/>
        <v>10345</v>
      </c>
      <c r="O27" s="166">
        <v>9325</v>
      </c>
      <c r="P27" s="166">
        <v>12</v>
      </c>
      <c r="Q27" s="166">
        <v>32</v>
      </c>
      <c r="R27" s="166">
        <v>0</v>
      </c>
      <c r="S27" s="172">
        <f t="shared" si="19"/>
        <v>9369</v>
      </c>
      <c r="T27" s="187">
        <v>9767</v>
      </c>
      <c r="U27" s="166">
        <v>0</v>
      </c>
      <c r="V27" s="166">
        <v>14</v>
      </c>
      <c r="W27" s="166">
        <v>0</v>
      </c>
      <c r="X27" s="172">
        <f t="shared" si="5"/>
        <v>9781</v>
      </c>
      <c r="Y27" s="187">
        <v>10705</v>
      </c>
      <c r="Z27" s="166">
        <v>0</v>
      </c>
      <c r="AA27" s="166">
        <v>66</v>
      </c>
      <c r="AB27" s="166">
        <v>0</v>
      </c>
      <c r="AC27" s="172">
        <f t="shared" si="6"/>
        <v>10771</v>
      </c>
      <c r="AD27" s="187">
        <v>9817</v>
      </c>
      <c r="AE27" s="166">
        <v>0</v>
      </c>
      <c r="AF27" s="166">
        <v>398</v>
      </c>
      <c r="AG27" s="166">
        <v>0</v>
      </c>
      <c r="AH27" s="172">
        <f t="shared" si="7"/>
        <v>10215</v>
      </c>
      <c r="AI27" s="187">
        <v>12662</v>
      </c>
      <c r="AJ27" s="166">
        <v>7</v>
      </c>
      <c r="AK27" s="166">
        <v>183</v>
      </c>
      <c r="AL27" s="166">
        <v>0</v>
      </c>
      <c r="AM27" s="172">
        <f t="shared" si="1"/>
        <v>12852</v>
      </c>
      <c r="AN27" s="187">
        <v>11638</v>
      </c>
      <c r="AO27" s="166">
        <v>0</v>
      </c>
      <c r="AP27" s="166">
        <v>2</v>
      </c>
      <c r="AQ27" s="166">
        <v>0</v>
      </c>
      <c r="AR27" s="172">
        <f t="shared" si="2"/>
        <v>11640</v>
      </c>
      <c r="AS27" s="187">
        <v>13445</v>
      </c>
      <c r="AT27" s="166">
        <v>126</v>
      </c>
      <c r="AU27" s="166">
        <v>0</v>
      </c>
      <c r="AV27" s="166">
        <v>0</v>
      </c>
      <c r="AW27" s="172">
        <f t="shared" si="18"/>
        <v>13571</v>
      </c>
      <c r="AX27" s="187">
        <v>10949</v>
      </c>
      <c r="AY27" s="166">
        <v>0</v>
      </c>
      <c r="AZ27" s="166">
        <v>4</v>
      </c>
      <c r="BA27" s="166">
        <v>0</v>
      </c>
      <c r="BB27" s="172">
        <f t="shared" si="8"/>
        <v>10953</v>
      </c>
      <c r="BC27" s="187">
        <v>9259</v>
      </c>
      <c r="BD27" s="166">
        <v>148</v>
      </c>
      <c r="BE27" s="166">
        <v>3</v>
      </c>
      <c r="BF27" s="166">
        <v>0</v>
      </c>
      <c r="BG27" s="172">
        <f t="shared" si="9"/>
        <v>9410</v>
      </c>
      <c r="BH27" s="187">
        <v>0</v>
      </c>
      <c r="BI27" s="166">
        <v>0</v>
      </c>
      <c r="BJ27" s="166">
        <v>0</v>
      </c>
      <c r="BK27" s="166">
        <v>0</v>
      </c>
      <c r="BL27" s="172">
        <f t="shared" si="10"/>
        <v>0</v>
      </c>
      <c r="BM27" s="187">
        <v>0</v>
      </c>
      <c r="BN27" s="166">
        <v>0</v>
      </c>
      <c r="BO27" s="166">
        <v>0</v>
      </c>
      <c r="BP27" s="166">
        <v>0</v>
      </c>
      <c r="BQ27" s="172">
        <f t="shared" si="11"/>
        <v>0</v>
      </c>
      <c r="BR27" s="187">
        <f t="shared" si="12"/>
        <v>107878</v>
      </c>
      <c r="BS27" s="381">
        <f t="shared" si="3"/>
        <v>313</v>
      </c>
      <c r="BT27" s="166">
        <f t="shared" si="3"/>
        <v>716</v>
      </c>
      <c r="BU27" s="166">
        <f t="shared" si="3"/>
        <v>0</v>
      </c>
      <c r="BV27" s="187">
        <f t="shared" si="13"/>
        <v>108907</v>
      </c>
      <c r="BW27" s="144"/>
      <c r="BX27" s="435">
        <f>(BV27/I27)*100</f>
        <v>78.686049116012924</v>
      </c>
      <c r="BZ27" s="440">
        <v>10311.057650000001</v>
      </c>
      <c r="CA27" s="440">
        <v>20.43967</v>
      </c>
      <c r="CB27" s="440">
        <v>13.867900000000001</v>
      </c>
      <c r="CC27" s="443">
        <v>0</v>
      </c>
      <c r="CD27" s="443">
        <v>10345.365220000002</v>
      </c>
      <c r="CE27" s="317">
        <f t="shared" si="17"/>
        <v>5.7650000000649015E-2</v>
      </c>
      <c r="CF27" s="317">
        <f t="shared" si="14"/>
        <v>0.43966999999999956</v>
      </c>
      <c r="CG27" s="317">
        <f t="shared" si="14"/>
        <v>-0.13209999999999944</v>
      </c>
      <c r="CH27" s="136">
        <f t="shared" si="14"/>
        <v>0</v>
      </c>
      <c r="CI27" s="444">
        <f t="shared" si="14"/>
        <v>0.36522000000150001</v>
      </c>
    </row>
    <row r="28" spans="1:87" x14ac:dyDescent="0.3">
      <c r="A28" s="308">
        <v>22</v>
      </c>
      <c r="B28" s="309" t="s">
        <v>228</v>
      </c>
      <c r="D28" s="328"/>
      <c r="E28" s="187">
        <v>24444131</v>
      </c>
      <c r="F28" s="381">
        <v>816322</v>
      </c>
      <c r="G28" s="166">
        <v>433180</v>
      </c>
      <c r="H28" s="166">
        <v>0</v>
      </c>
      <c r="I28" s="172">
        <f t="shared" si="0"/>
        <v>25693633</v>
      </c>
      <c r="J28" s="187">
        <v>1555783</v>
      </c>
      <c r="K28" s="166">
        <v>61009</v>
      </c>
      <c r="L28" s="166">
        <v>44923</v>
      </c>
      <c r="M28" s="166">
        <v>0</v>
      </c>
      <c r="N28" s="172">
        <f t="shared" si="15"/>
        <v>1661715</v>
      </c>
      <c r="O28" s="166">
        <v>1869195</v>
      </c>
      <c r="P28" s="166">
        <v>49921</v>
      </c>
      <c r="Q28" s="166">
        <v>4878</v>
      </c>
      <c r="R28" s="166">
        <v>0</v>
      </c>
      <c r="S28" s="172">
        <f t="shared" si="19"/>
        <v>1923994</v>
      </c>
      <c r="T28" s="187">
        <v>2099122</v>
      </c>
      <c r="U28" s="166">
        <v>141944</v>
      </c>
      <c r="V28" s="166">
        <v>11574</v>
      </c>
      <c r="W28" s="166">
        <v>0</v>
      </c>
      <c r="X28" s="172">
        <f t="shared" si="5"/>
        <v>2252640</v>
      </c>
      <c r="Y28" s="187">
        <v>1760494</v>
      </c>
      <c r="Z28" s="166">
        <v>52573</v>
      </c>
      <c r="AA28" s="166">
        <v>12314</v>
      </c>
      <c r="AB28" s="166">
        <v>0</v>
      </c>
      <c r="AC28" s="172">
        <f t="shared" si="6"/>
        <v>1825381</v>
      </c>
      <c r="AD28" s="187">
        <v>1981187</v>
      </c>
      <c r="AE28" s="166">
        <v>54747</v>
      </c>
      <c r="AF28" s="166">
        <v>19436</v>
      </c>
      <c r="AG28" s="166">
        <v>0</v>
      </c>
      <c r="AH28" s="172">
        <f t="shared" si="7"/>
        <v>2055370</v>
      </c>
      <c r="AI28" s="187">
        <v>2361547</v>
      </c>
      <c r="AJ28" s="166">
        <v>16364</v>
      </c>
      <c r="AK28" s="166">
        <v>24943</v>
      </c>
      <c r="AL28" s="166">
        <v>0</v>
      </c>
      <c r="AM28" s="172">
        <f t="shared" si="1"/>
        <v>2402854</v>
      </c>
      <c r="AN28" s="187">
        <v>2019638</v>
      </c>
      <c r="AO28" s="166">
        <v>181258</v>
      </c>
      <c r="AP28" s="166">
        <v>45984</v>
      </c>
      <c r="AQ28" s="166">
        <v>0</v>
      </c>
      <c r="AR28" s="172">
        <f t="shared" si="2"/>
        <v>2246880</v>
      </c>
      <c r="AS28" s="187">
        <v>2418363</v>
      </c>
      <c r="AT28" s="166">
        <v>90436</v>
      </c>
      <c r="AU28" s="166">
        <v>7404</v>
      </c>
      <c r="AV28" s="166">
        <v>0</v>
      </c>
      <c r="AW28" s="172">
        <f t="shared" si="18"/>
        <v>2516203</v>
      </c>
      <c r="AX28" s="187">
        <v>1982955</v>
      </c>
      <c r="AY28" s="166">
        <v>48807</v>
      </c>
      <c r="AZ28" s="166">
        <v>28118</v>
      </c>
      <c r="BA28" s="166">
        <v>115</v>
      </c>
      <c r="BB28" s="172">
        <f t="shared" si="8"/>
        <v>2059995</v>
      </c>
      <c r="BC28" s="187">
        <v>2177790</v>
      </c>
      <c r="BD28" s="166">
        <v>54101</v>
      </c>
      <c r="BE28" s="166">
        <v>52967</v>
      </c>
      <c r="BF28" s="166">
        <v>0</v>
      </c>
      <c r="BG28" s="172">
        <f t="shared" si="9"/>
        <v>2284858</v>
      </c>
      <c r="BH28" s="187">
        <v>0</v>
      </c>
      <c r="BI28" s="166">
        <v>0</v>
      </c>
      <c r="BJ28" s="166">
        <v>0</v>
      </c>
      <c r="BK28" s="166">
        <v>0</v>
      </c>
      <c r="BL28" s="172">
        <f t="shared" si="10"/>
        <v>0</v>
      </c>
      <c r="BM28" s="187">
        <v>0</v>
      </c>
      <c r="BN28" s="166">
        <v>0</v>
      </c>
      <c r="BO28" s="166">
        <v>0</v>
      </c>
      <c r="BP28" s="166">
        <v>0</v>
      </c>
      <c r="BQ28" s="172">
        <f t="shared" si="11"/>
        <v>0</v>
      </c>
      <c r="BR28" s="187">
        <f t="shared" si="12"/>
        <v>20226074</v>
      </c>
      <c r="BS28" s="381">
        <f t="shared" si="3"/>
        <v>751160</v>
      </c>
      <c r="BT28" s="166">
        <f t="shared" si="3"/>
        <v>252541</v>
      </c>
      <c r="BU28" s="166">
        <f t="shared" si="3"/>
        <v>115</v>
      </c>
      <c r="BV28" s="187">
        <f t="shared" si="13"/>
        <v>21229890</v>
      </c>
      <c r="BW28" s="144"/>
      <c r="BX28" s="435">
        <f t="shared" si="16"/>
        <v>82.627046163537869</v>
      </c>
      <c r="BZ28" s="440">
        <v>1555783.3125500008</v>
      </c>
      <c r="CA28" s="440">
        <v>61008.881500000003</v>
      </c>
      <c r="CB28" s="440">
        <v>44922.604099999997</v>
      </c>
      <c r="CC28" s="443">
        <v>0</v>
      </c>
      <c r="CD28" s="443">
        <v>1661714.7981500009</v>
      </c>
      <c r="CE28" s="317">
        <f t="shared" si="17"/>
        <v>0.31255000084638596</v>
      </c>
      <c r="CF28" s="317">
        <f t="shared" si="14"/>
        <v>-0.11849999999685679</v>
      </c>
      <c r="CG28" s="317">
        <f t="shared" si="14"/>
        <v>-0.3959000000031665</v>
      </c>
      <c r="CH28" s="136">
        <f t="shared" si="14"/>
        <v>0</v>
      </c>
      <c r="CI28" s="444">
        <f t="shared" si="14"/>
        <v>-0.20184999913908541</v>
      </c>
    </row>
    <row r="29" spans="1:87" x14ac:dyDescent="0.3">
      <c r="A29" s="308">
        <v>23</v>
      </c>
      <c r="B29" s="309" t="s">
        <v>229</v>
      </c>
      <c r="D29" s="310"/>
      <c r="E29" s="187">
        <v>44347914</v>
      </c>
      <c r="F29" s="381">
        <v>3396140</v>
      </c>
      <c r="G29" s="166">
        <v>1028860</v>
      </c>
      <c r="H29" s="166">
        <v>3000</v>
      </c>
      <c r="I29" s="172">
        <f t="shared" si="0"/>
        <v>48775914</v>
      </c>
      <c r="J29" s="187">
        <v>3065923</v>
      </c>
      <c r="K29" s="166">
        <v>472519</v>
      </c>
      <c r="L29" s="166">
        <v>4038</v>
      </c>
      <c r="M29" s="166">
        <v>0</v>
      </c>
      <c r="N29" s="172">
        <f t="shared" si="15"/>
        <v>3542480</v>
      </c>
      <c r="O29" s="166">
        <v>3283624</v>
      </c>
      <c r="P29" s="166">
        <v>119473</v>
      </c>
      <c r="Q29" s="166">
        <v>87527</v>
      </c>
      <c r="R29" s="166">
        <v>0</v>
      </c>
      <c r="S29" s="172">
        <f t="shared" si="19"/>
        <v>3490624</v>
      </c>
      <c r="T29" s="187">
        <v>3183092</v>
      </c>
      <c r="U29" s="166">
        <v>118233</v>
      </c>
      <c r="V29" s="166">
        <v>4615</v>
      </c>
      <c r="W29" s="166">
        <v>0</v>
      </c>
      <c r="X29" s="172">
        <f t="shared" si="5"/>
        <v>3305940</v>
      </c>
      <c r="Y29" s="187">
        <v>3673682</v>
      </c>
      <c r="Z29" s="166">
        <v>472851</v>
      </c>
      <c r="AA29" s="166">
        <v>57937</v>
      </c>
      <c r="AB29" s="166">
        <v>0</v>
      </c>
      <c r="AC29" s="172">
        <f t="shared" si="6"/>
        <v>4204470</v>
      </c>
      <c r="AD29" s="187">
        <v>3881316</v>
      </c>
      <c r="AE29" s="166">
        <v>118237</v>
      </c>
      <c r="AF29" s="166">
        <v>113273</v>
      </c>
      <c r="AG29" s="166">
        <v>0</v>
      </c>
      <c r="AH29" s="172">
        <f t="shared" si="7"/>
        <v>4112826</v>
      </c>
      <c r="AI29" s="187">
        <v>3815790</v>
      </c>
      <c r="AJ29" s="166">
        <v>100603</v>
      </c>
      <c r="AK29" s="166">
        <v>27086</v>
      </c>
      <c r="AL29" s="166">
        <v>0</v>
      </c>
      <c r="AM29" s="172">
        <f t="shared" si="1"/>
        <v>3943479</v>
      </c>
      <c r="AN29" s="187">
        <v>3930365</v>
      </c>
      <c r="AO29" s="166">
        <v>401078</v>
      </c>
      <c r="AP29" s="166">
        <v>61731</v>
      </c>
      <c r="AQ29" s="166">
        <v>0</v>
      </c>
      <c r="AR29" s="172">
        <f t="shared" si="2"/>
        <v>4393174</v>
      </c>
      <c r="AS29" s="187">
        <v>4169518</v>
      </c>
      <c r="AT29" s="166">
        <v>172755</v>
      </c>
      <c r="AU29" s="166">
        <v>28667</v>
      </c>
      <c r="AV29" s="166">
        <v>0</v>
      </c>
      <c r="AW29" s="172">
        <f t="shared" si="18"/>
        <v>4370940</v>
      </c>
      <c r="AX29" s="187">
        <v>3658336</v>
      </c>
      <c r="AY29" s="166">
        <v>83656</v>
      </c>
      <c r="AZ29" s="166">
        <v>74763</v>
      </c>
      <c r="BA29" s="166">
        <v>0</v>
      </c>
      <c r="BB29" s="172">
        <f t="shared" si="8"/>
        <v>3816755</v>
      </c>
      <c r="BC29" s="187">
        <v>3548322</v>
      </c>
      <c r="BD29" s="166">
        <v>462783</v>
      </c>
      <c r="BE29" s="166">
        <v>113897</v>
      </c>
      <c r="BF29" s="166">
        <v>0</v>
      </c>
      <c r="BG29" s="172">
        <f t="shared" si="9"/>
        <v>4125002</v>
      </c>
      <c r="BH29" s="187">
        <v>0</v>
      </c>
      <c r="BI29" s="166">
        <v>0</v>
      </c>
      <c r="BJ29" s="166">
        <v>0</v>
      </c>
      <c r="BK29" s="166">
        <v>0</v>
      </c>
      <c r="BL29" s="172">
        <f t="shared" si="10"/>
        <v>0</v>
      </c>
      <c r="BM29" s="187">
        <v>0</v>
      </c>
      <c r="BN29" s="166">
        <v>0</v>
      </c>
      <c r="BO29" s="166">
        <v>0</v>
      </c>
      <c r="BP29" s="166">
        <v>0</v>
      </c>
      <c r="BQ29" s="172">
        <f>SUM(BM29:BP29)</f>
        <v>0</v>
      </c>
      <c r="BR29" s="187">
        <f t="shared" si="12"/>
        <v>36209968</v>
      </c>
      <c r="BS29" s="381">
        <f t="shared" si="3"/>
        <v>2522188</v>
      </c>
      <c r="BT29" s="166">
        <f t="shared" si="3"/>
        <v>573534</v>
      </c>
      <c r="BU29" s="166">
        <f t="shared" si="3"/>
        <v>0</v>
      </c>
      <c r="BV29" s="187">
        <f t="shared" si="13"/>
        <v>39305690</v>
      </c>
      <c r="BW29" s="144"/>
      <c r="BX29" s="435">
        <f t="shared" si="16"/>
        <v>80.584220318249706</v>
      </c>
      <c r="BZ29" s="440">
        <v>3065815</v>
      </c>
      <c r="CA29" s="440">
        <v>472519</v>
      </c>
      <c r="CB29" s="440">
        <v>4038</v>
      </c>
      <c r="CC29" s="443">
        <v>109</v>
      </c>
      <c r="CD29" s="443">
        <v>3542481</v>
      </c>
      <c r="CE29" s="317">
        <f t="shared" si="17"/>
        <v>-108</v>
      </c>
      <c r="CF29" s="317">
        <f t="shared" si="14"/>
        <v>0</v>
      </c>
      <c r="CG29" s="317">
        <f t="shared" si="14"/>
        <v>0</v>
      </c>
      <c r="CH29" s="136">
        <f>+CC29-M29</f>
        <v>109</v>
      </c>
      <c r="CI29" s="444">
        <f t="shared" si="14"/>
        <v>1</v>
      </c>
    </row>
    <row r="30" spans="1:87" x14ac:dyDescent="0.3">
      <c r="A30" s="308">
        <v>24</v>
      </c>
      <c r="B30" s="309" t="s">
        <v>230</v>
      </c>
      <c r="D30" s="339"/>
      <c r="E30" s="187">
        <v>331787</v>
      </c>
      <c r="F30" s="381">
        <v>1581</v>
      </c>
      <c r="G30" s="166">
        <v>14540</v>
      </c>
      <c r="H30" s="166">
        <v>0</v>
      </c>
      <c r="I30" s="172">
        <f t="shared" si="0"/>
        <v>347908</v>
      </c>
      <c r="J30" s="187">
        <v>17938</v>
      </c>
      <c r="K30" s="166">
        <v>24</v>
      </c>
      <c r="L30" s="166">
        <v>0</v>
      </c>
      <c r="M30" s="166">
        <v>0</v>
      </c>
      <c r="N30" s="172">
        <f t="shared" si="15"/>
        <v>17962</v>
      </c>
      <c r="O30" s="166">
        <v>22805</v>
      </c>
      <c r="P30" s="166">
        <v>0</v>
      </c>
      <c r="Q30" s="166">
        <v>0</v>
      </c>
      <c r="R30" s="166">
        <v>0</v>
      </c>
      <c r="S30" s="172">
        <f t="shared" si="19"/>
        <v>22805</v>
      </c>
      <c r="T30" s="187">
        <v>28046</v>
      </c>
      <c r="U30" s="166">
        <v>351</v>
      </c>
      <c r="V30" s="166">
        <v>81</v>
      </c>
      <c r="W30" s="166">
        <v>0</v>
      </c>
      <c r="X30" s="172">
        <f t="shared" si="5"/>
        <v>28478</v>
      </c>
      <c r="Y30" s="187">
        <v>28363</v>
      </c>
      <c r="Z30" s="166">
        <v>0</v>
      </c>
      <c r="AA30" s="166">
        <v>0</v>
      </c>
      <c r="AB30" s="166">
        <v>0</v>
      </c>
      <c r="AC30" s="172">
        <f t="shared" si="6"/>
        <v>28363</v>
      </c>
      <c r="AD30" s="187">
        <v>26467</v>
      </c>
      <c r="AE30" s="166">
        <v>762</v>
      </c>
      <c r="AF30" s="166">
        <v>14</v>
      </c>
      <c r="AG30" s="166">
        <v>0</v>
      </c>
      <c r="AH30" s="172">
        <f t="shared" si="7"/>
        <v>27243</v>
      </c>
      <c r="AI30" s="187">
        <v>26488</v>
      </c>
      <c r="AJ30" s="166">
        <v>67</v>
      </c>
      <c r="AK30" s="166">
        <v>506</v>
      </c>
      <c r="AL30" s="166">
        <v>0</v>
      </c>
      <c r="AM30" s="172">
        <f t="shared" si="1"/>
        <v>27061</v>
      </c>
      <c r="AN30" s="187">
        <v>22979</v>
      </c>
      <c r="AO30" s="166">
        <v>44</v>
      </c>
      <c r="AP30" s="166">
        <v>10</v>
      </c>
      <c r="AQ30" s="166">
        <v>0</v>
      </c>
      <c r="AR30" s="172">
        <f t="shared" si="2"/>
        <v>23033</v>
      </c>
      <c r="AS30" s="187">
        <v>31861</v>
      </c>
      <c r="AT30" s="166">
        <v>75</v>
      </c>
      <c r="AU30" s="166">
        <v>1072</v>
      </c>
      <c r="AV30" s="166">
        <v>0</v>
      </c>
      <c r="AW30" s="172">
        <f t="shared" si="18"/>
        <v>33008</v>
      </c>
      <c r="AX30" s="187">
        <v>22234</v>
      </c>
      <c r="AY30" s="166">
        <v>47</v>
      </c>
      <c r="AZ30" s="166">
        <v>0</v>
      </c>
      <c r="BA30" s="166">
        <v>0</v>
      </c>
      <c r="BB30" s="172">
        <f t="shared" si="8"/>
        <v>22281</v>
      </c>
      <c r="BC30" s="187">
        <v>28441</v>
      </c>
      <c r="BD30" s="166">
        <v>119</v>
      </c>
      <c r="BE30" s="166">
        <v>1893</v>
      </c>
      <c r="BF30" s="166">
        <v>0</v>
      </c>
      <c r="BG30" s="172">
        <f t="shared" si="9"/>
        <v>30453</v>
      </c>
      <c r="BH30" s="187">
        <v>0</v>
      </c>
      <c r="BI30" s="166">
        <v>0</v>
      </c>
      <c r="BJ30" s="166">
        <v>0</v>
      </c>
      <c r="BK30" s="166">
        <v>0</v>
      </c>
      <c r="BL30" s="172">
        <f t="shared" si="10"/>
        <v>0</v>
      </c>
      <c r="BM30" s="187">
        <v>0</v>
      </c>
      <c r="BN30" s="166">
        <v>0</v>
      </c>
      <c r="BO30" s="166">
        <v>0</v>
      </c>
      <c r="BP30" s="166">
        <v>0</v>
      </c>
      <c r="BQ30" s="172">
        <f t="shared" si="11"/>
        <v>0</v>
      </c>
      <c r="BR30" s="187">
        <f t="shared" si="12"/>
        <v>255622</v>
      </c>
      <c r="BS30" s="381">
        <f t="shared" si="3"/>
        <v>1489</v>
      </c>
      <c r="BT30" s="166">
        <f t="shared" si="3"/>
        <v>3576</v>
      </c>
      <c r="BU30" s="166">
        <f t="shared" si="3"/>
        <v>0</v>
      </c>
      <c r="BV30" s="187">
        <f t="shared" si="13"/>
        <v>260687</v>
      </c>
      <c r="BW30" s="144"/>
      <c r="BX30" s="435">
        <f t="shared" si="16"/>
        <v>74.929866516435382</v>
      </c>
      <c r="BZ30" s="440">
        <v>17938.247740000003</v>
      </c>
      <c r="CA30" s="440">
        <v>23.461200000000002</v>
      </c>
      <c r="CB30" s="440">
        <v>0</v>
      </c>
      <c r="CC30" s="443">
        <v>0</v>
      </c>
      <c r="CD30" s="443">
        <v>17961.70894</v>
      </c>
      <c r="CE30" s="317">
        <f t="shared" si="17"/>
        <v>0.24774000000252272</v>
      </c>
      <c r="CF30" s="317">
        <f t="shared" si="14"/>
        <v>-0.53879999999999839</v>
      </c>
      <c r="CG30" s="317">
        <f t="shared" si="14"/>
        <v>0</v>
      </c>
      <c r="CH30" s="136">
        <f t="shared" si="14"/>
        <v>0</v>
      </c>
      <c r="CI30" s="444">
        <f t="shared" si="14"/>
        <v>-0.29105999999956111</v>
      </c>
    </row>
    <row r="31" spans="1:87" x14ac:dyDescent="0.3">
      <c r="A31" s="308">
        <v>25</v>
      </c>
      <c r="B31" s="309" t="s">
        <v>231</v>
      </c>
      <c r="D31" s="310"/>
      <c r="E31" s="187">
        <f>17010828-2132400</f>
        <v>14878428</v>
      </c>
      <c r="F31" s="381">
        <f>3179180-42111</f>
        <v>3137069</v>
      </c>
      <c r="G31" s="166">
        <v>1037831</v>
      </c>
      <c r="H31" s="166">
        <v>47021</v>
      </c>
      <c r="I31" s="172">
        <f t="shared" si="0"/>
        <v>19100349</v>
      </c>
      <c r="J31" s="187">
        <v>941606</v>
      </c>
      <c r="K31" s="166">
        <v>254681</v>
      </c>
      <c r="L31" s="166">
        <v>40479</v>
      </c>
      <c r="M31" s="166">
        <v>32</v>
      </c>
      <c r="N31" s="172">
        <f t="shared" si="15"/>
        <v>1236798</v>
      </c>
      <c r="O31" s="166">
        <v>946746</v>
      </c>
      <c r="P31" s="166">
        <v>254053</v>
      </c>
      <c r="Q31" s="166">
        <v>19305</v>
      </c>
      <c r="R31" s="166">
        <v>43</v>
      </c>
      <c r="S31" s="172">
        <f t="shared" si="19"/>
        <v>1220147</v>
      </c>
      <c r="T31" s="187">
        <v>1034211</v>
      </c>
      <c r="U31" s="166">
        <v>250116</v>
      </c>
      <c r="V31" s="166">
        <v>4069</v>
      </c>
      <c r="W31" s="166">
        <v>0</v>
      </c>
      <c r="X31" s="172">
        <f t="shared" si="5"/>
        <v>1288396</v>
      </c>
      <c r="Y31" s="187">
        <v>1016068</v>
      </c>
      <c r="Z31" s="166">
        <v>274914</v>
      </c>
      <c r="AA31" s="166">
        <v>110547</v>
      </c>
      <c r="AB31" s="166">
        <v>82</v>
      </c>
      <c r="AC31" s="172">
        <f t="shared" si="6"/>
        <v>1401611</v>
      </c>
      <c r="AD31" s="187">
        <v>1003769</v>
      </c>
      <c r="AE31" s="166">
        <v>267688</v>
      </c>
      <c r="AF31" s="166">
        <v>59237</v>
      </c>
      <c r="AG31" s="166">
        <v>-5</v>
      </c>
      <c r="AH31" s="172">
        <f t="shared" si="7"/>
        <v>1330689</v>
      </c>
      <c r="AI31" s="187">
        <v>1505526</v>
      </c>
      <c r="AJ31" s="166">
        <v>251286</v>
      </c>
      <c r="AK31" s="166">
        <v>4760</v>
      </c>
      <c r="AL31" s="166">
        <v>0</v>
      </c>
      <c r="AM31" s="172">
        <f t="shared" si="1"/>
        <v>1761572</v>
      </c>
      <c r="AN31" s="187">
        <v>1178681</v>
      </c>
      <c r="AO31" s="166">
        <v>256613</v>
      </c>
      <c r="AP31" s="166">
        <v>130349</v>
      </c>
      <c r="AQ31" s="166">
        <v>7</v>
      </c>
      <c r="AR31" s="172">
        <f t="shared" si="2"/>
        <v>1565650</v>
      </c>
      <c r="AS31" s="187">
        <v>1452126</v>
      </c>
      <c r="AT31" s="166">
        <v>251634</v>
      </c>
      <c r="AU31" s="166">
        <v>84844</v>
      </c>
      <c r="AV31" s="166">
        <v>281</v>
      </c>
      <c r="AW31" s="172">
        <f t="shared" si="18"/>
        <v>1788885</v>
      </c>
      <c r="AX31" s="187">
        <v>1236472</v>
      </c>
      <c r="AY31" s="166">
        <v>252518</v>
      </c>
      <c r="AZ31" s="166">
        <v>56544</v>
      </c>
      <c r="BA31" s="166">
        <v>-280</v>
      </c>
      <c r="BB31" s="172">
        <f t="shared" si="8"/>
        <v>1545254</v>
      </c>
      <c r="BC31" s="187">
        <v>1104417</v>
      </c>
      <c r="BD31" s="166">
        <v>255922</v>
      </c>
      <c r="BE31" s="166">
        <v>75264</v>
      </c>
      <c r="BF31" s="166">
        <v>84</v>
      </c>
      <c r="BG31" s="172">
        <f t="shared" si="9"/>
        <v>1435687</v>
      </c>
      <c r="BH31" s="187">
        <v>0</v>
      </c>
      <c r="BI31" s="166">
        <v>0</v>
      </c>
      <c r="BJ31" s="166">
        <v>0</v>
      </c>
      <c r="BK31" s="166">
        <v>0</v>
      </c>
      <c r="BL31" s="172">
        <f t="shared" si="10"/>
        <v>0</v>
      </c>
      <c r="BM31" s="187">
        <v>0</v>
      </c>
      <c r="BN31" s="166">
        <v>0</v>
      </c>
      <c r="BO31" s="166">
        <v>0</v>
      </c>
      <c r="BP31" s="166">
        <v>0</v>
      </c>
      <c r="BQ31" s="172">
        <f t="shared" si="11"/>
        <v>0</v>
      </c>
      <c r="BR31" s="187">
        <f t="shared" si="12"/>
        <v>11419622</v>
      </c>
      <c r="BS31" s="381">
        <f t="shared" si="3"/>
        <v>2569425</v>
      </c>
      <c r="BT31" s="166">
        <f t="shared" si="3"/>
        <v>585398</v>
      </c>
      <c r="BU31" s="166">
        <f t="shared" si="3"/>
        <v>244</v>
      </c>
      <c r="BV31" s="187">
        <f t="shared" si="13"/>
        <v>14574689</v>
      </c>
      <c r="BW31" s="144"/>
      <c r="BX31" s="435">
        <f t="shared" si="16"/>
        <v>76.305877971130258</v>
      </c>
      <c r="BZ31" s="440">
        <v>942045.34461999801</v>
      </c>
      <c r="CA31" s="440">
        <v>254680.47593000002</v>
      </c>
      <c r="CB31" s="440">
        <v>40479.102119999996</v>
      </c>
      <c r="CC31" s="443">
        <v>31.444890000000001</v>
      </c>
      <c r="CD31" s="443">
        <v>1237236.3675599981</v>
      </c>
      <c r="CE31" s="317">
        <f t="shared" si="17"/>
        <v>439.34461999800988</v>
      </c>
      <c r="CF31" s="317">
        <f t="shared" si="14"/>
        <v>-0.5240699999849312</v>
      </c>
      <c r="CG31" s="317">
        <f t="shared" si="14"/>
        <v>0.10211999999592081</v>
      </c>
      <c r="CH31" s="136">
        <f t="shared" si="14"/>
        <v>-0.5551099999999991</v>
      </c>
      <c r="CI31" s="444">
        <f t="shared" si="14"/>
        <v>438.36755999806337</v>
      </c>
    </row>
    <row r="32" spans="1:87" x14ac:dyDescent="0.3">
      <c r="A32" s="308">
        <v>26</v>
      </c>
      <c r="B32" s="309" t="s">
        <v>232</v>
      </c>
      <c r="D32" s="310"/>
      <c r="E32" s="187">
        <v>358189</v>
      </c>
      <c r="F32" s="381">
        <v>129055</v>
      </c>
      <c r="G32" s="166">
        <v>28334</v>
      </c>
      <c r="H32" s="166">
        <v>17</v>
      </c>
      <c r="I32" s="172">
        <f t="shared" si="0"/>
        <v>515595</v>
      </c>
      <c r="J32" s="187">
        <v>12695</v>
      </c>
      <c r="K32" s="166">
        <v>4369</v>
      </c>
      <c r="L32" s="166">
        <v>0</v>
      </c>
      <c r="M32" s="166">
        <v>0</v>
      </c>
      <c r="N32" s="172">
        <f>SUM(J32:M32)</f>
        <v>17064</v>
      </c>
      <c r="O32" s="166">
        <v>24239</v>
      </c>
      <c r="P32" s="166">
        <v>10727</v>
      </c>
      <c r="Q32" s="166">
        <v>0</v>
      </c>
      <c r="R32" s="166">
        <v>17</v>
      </c>
      <c r="S32" s="172">
        <f t="shared" si="19"/>
        <v>34983</v>
      </c>
      <c r="T32" s="187">
        <v>17310</v>
      </c>
      <c r="U32" s="166">
        <v>3436</v>
      </c>
      <c r="V32" s="166">
        <v>0</v>
      </c>
      <c r="W32" s="166">
        <v>0</v>
      </c>
      <c r="X32" s="172">
        <f t="shared" si="5"/>
        <v>20746</v>
      </c>
      <c r="Y32" s="187">
        <v>22299</v>
      </c>
      <c r="Z32" s="166">
        <v>9935</v>
      </c>
      <c r="AA32" s="166">
        <v>61</v>
      </c>
      <c r="AB32" s="166">
        <v>0</v>
      </c>
      <c r="AC32" s="172">
        <f t="shared" si="6"/>
        <v>32295</v>
      </c>
      <c r="AD32" s="187">
        <v>16631</v>
      </c>
      <c r="AE32" s="166">
        <v>7732</v>
      </c>
      <c r="AF32" s="166">
        <v>0</v>
      </c>
      <c r="AG32" s="166">
        <v>0</v>
      </c>
      <c r="AH32" s="172">
        <f t="shared" si="7"/>
        <v>24363</v>
      </c>
      <c r="AI32" s="187">
        <v>28028</v>
      </c>
      <c r="AJ32" s="166">
        <v>11020</v>
      </c>
      <c r="AK32" s="166">
        <v>0</v>
      </c>
      <c r="AL32" s="166">
        <v>0</v>
      </c>
      <c r="AM32" s="172">
        <f t="shared" si="1"/>
        <v>39048</v>
      </c>
      <c r="AN32" s="187">
        <v>22105</v>
      </c>
      <c r="AO32" s="166">
        <v>9961</v>
      </c>
      <c r="AP32" s="166">
        <v>21</v>
      </c>
      <c r="AQ32" s="166">
        <v>0</v>
      </c>
      <c r="AR32" s="172">
        <f t="shared" si="2"/>
        <v>32087</v>
      </c>
      <c r="AS32" s="187">
        <v>27810</v>
      </c>
      <c r="AT32" s="166">
        <v>9002</v>
      </c>
      <c r="AU32" s="166">
        <v>13107</v>
      </c>
      <c r="AV32" s="166">
        <v>0</v>
      </c>
      <c r="AW32" s="172">
        <f t="shared" si="18"/>
        <v>49919</v>
      </c>
      <c r="AX32" s="187">
        <v>31142</v>
      </c>
      <c r="AY32" s="166">
        <v>7259</v>
      </c>
      <c r="AZ32" s="166">
        <v>225</v>
      </c>
      <c r="BA32" s="166">
        <v>0</v>
      </c>
      <c r="BB32" s="172">
        <f t="shared" si="8"/>
        <v>38626</v>
      </c>
      <c r="BC32" s="187">
        <v>25141</v>
      </c>
      <c r="BD32" s="166">
        <v>13841</v>
      </c>
      <c r="BE32" s="166">
        <v>117</v>
      </c>
      <c r="BF32" s="166">
        <v>0</v>
      </c>
      <c r="BG32" s="172">
        <f t="shared" si="9"/>
        <v>39099</v>
      </c>
      <c r="BH32" s="187">
        <v>0</v>
      </c>
      <c r="BI32" s="166">
        <v>0</v>
      </c>
      <c r="BJ32" s="166">
        <v>0</v>
      </c>
      <c r="BK32" s="166">
        <v>0</v>
      </c>
      <c r="BL32" s="172">
        <f t="shared" si="10"/>
        <v>0</v>
      </c>
      <c r="BM32" s="187">
        <v>0</v>
      </c>
      <c r="BN32" s="166">
        <v>0</v>
      </c>
      <c r="BO32" s="166">
        <v>0</v>
      </c>
      <c r="BP32" s="166">
        <v>0</v>
      </c>
      <c r="BQ32" s="172">
        <f t="shared" si="11"/>
        <v>0</v>
      </c>
      <c r="BR32" s="187">
        <f t="shared" si="12"/>
        <v>227400</v>
      </c>
      <c r="BS32" s="381">
        <f t="shared" si="3"/>
        <v>87282</v>
      </c>
      <c r="BT32" s="166">
        <f t="shared" si="3"/>
        <v>13531</v>
      </c>
      <c r="BU32" s="166">
        <f t="shared" si="3"/>
        <v>17</v>
      </c>
      <c r="BV32" s="187">
        <f t="shared" si="13"/>
        <v>328230</v>
      </c>
      <c r="BW32" s="144"/>
      <c r="BX32" s="435">
        <f t="shared" si="16"/>
        <v>63.660431152357958</v>
      </c>
      <c r="BZ32" s="440">
        <v>12694.954389999999</v>
      </c>
      <c r="CA32" s="440">
        <v>4368.6620400000002</v>
      </c>
      <c r="CB32" s="440">
        <v>0</v>
      </c>
      <c r="CC32" s="443">
        <v>0</v>
      </c>
      <c r="CD32" s="443">
        <v>17063.616429999998</v>
      </c>
      <c r="CE32" s="317">
        <f t="shared" si="17"/>
        <v>-4.5610000001033768E-2</v>
      </c>
      <c r="CF32" s="317">
        <f t="shared" si="14"/>
        <v>-0.33795999999983906</v>
      </c>
      <c r="CG32" s="317">
        <f t="shared" si="14"/>
        <v>0</v>
      </c>
      <c r="CH32" s="136">
        <f t="shared" si="14"/>
        <v>0</v>
      </c>
      <c r="CI32" s="444">
        <f t="shared" si="14"/>
        <v>-0.38357000000178232</v>
      </c>
    </row>
    <row r="33" spans="1:87" x14ac:dyDescent="0.3">
      <c r="A33" s="308">
        <v>27</v>
      </c>
      <c r="B33" s="17" t="s">
        <v>233</v>
      </c>
      <c r="D33" s="310"/>
      <c r="E33" s="187">
        <f>2054031-994022</f>
        <v>1060009</v>
      </c>
      <c r="F33" s="381">
        <f>75443-69320</f>
        <v>6123</v>
      </c>
      <c r="G33" s="166">
        <v>89715</v>
      </c>
      <c r="H33" s="166">
        <v>316</v>
      </c>
      <c r="I33" s="172">
        <f t="shared" si="0"/>
        <v>1156163</v>
      </c>
      <c r="J33" s="187">
        <v>70757</v>
      </c>
      <c r="K33" s="166">
        <v>428</v>
      </c>
      <c r="L33" s="166">
        <v>13403</v>
      </c>
      <c r="M33" s="166">
        <v>0</v>
      </c>
      <c r="N33" s="172">
        <f t="shared" si="15"/>
        <v>84588</v>
      </c>
      <c r="O33" s="166">
        <v>78341</v>
      </c>
      <c r="P33" s="166">
        <v>134</v>
      </c>
      <c r="Q33" s="166">
        <v>6666</v>
      </c>
      <c r="R33" s="166">
        <v>0</v>
      </c>
      <c r="S33" s="172">
        <f t="shared" si="19"/>
        <v>85141</v>
      </c>
      <c r="T33" s="187">
        <v>84201</v>
      </c>
      <c r="U33" s="166">
        <v>65</v>
      </c>
      <c r="V33" s="166">
        <v>6045</v>
      </c>
      <c r="W33" s="166">
        <v>0</v>
      </c>
      <c r="X33" s="172">
        <f t="shared" si="5"/>
        <v>90311</v>
      </c>
      <c r="Y33" s="187">
        <v>84152</v>
      </c>
      <c r="Z33" s="166">
        <v>1610</v>
      </c>
      <c r="AA33" s="166">
        <v>9033</v>
      </c>
      <c r="AB33" s="166">
        <v>0</v>
      </c>
      <c r="AC33" s="172">
        <f t="shared" si="6"/>
        <v>94795</v>
      </c>
      <c r="AD33" s="187">
        <v>81390</v>
      </c>
      <c r="AE33" s="166">
        <v>857</v>
      </c>
      <c r="AF33" s="166">
        <v>-1379</v>
      </c>
      <c r="AG33" s="166">
        <v>0</v>
      </c>
      <c r="AH33" s="172">
        <f t="shared" si="7"/>
        <v>80868</v>
      </c>
      <c r="AI33" s="187">
        <v>105088</v>
      </c>
      <c r="AJ33" s="166">
        <v>185</v>
      </c>
      <c r="AK33" s="166">
        <v>19654</v>
      </c>
      <c r="AL33" s="166">
        <v>0</v>
      </c>
      <c r="AM33" s="172">
        <f t="shared" si="1"/>
        <v>124927</v>
      </c>
      <c r="AN33" s="187">
        <v>84683</v>
      </c>
      <c r="AO33" s="166">
        <v>3651</v>
      </c>
      <c r="AP33" s="166">
        <v>2298</v>
      </c>
      <c r="AQ33" s="166">
        <v>0</v>
      </c>
      <c r="AR33" s="172">
        <f t="shared" si="2"/>
        <v>90632</v>
      </c>
      <c r="AS33" s="187">
        <v>86596</v>
      </c>
      <c r="AT33" s="166">
        <v>587</v>
      </c>
      <c r="AU33" s="166">
        <v>-1349</v>
      </c>
      <c r="AV33" s="166">
        <v>49</v>
      </c>
      <c r="AW33" s="172">
        <f t="shared" si="18"/>
        <v>85883</v>
      </c>
      <c r="AX33" s="187">
        <v>98730</v>
      </c>
      <c r="AY33" s="166">
        <v>239</v>
      </c>
      <c r="AZ33" s="166">
        <v>6761</v>
      </c>
      <c r="BA33" s="166">
        <v>0</v>
      </c>
      <c r="BB33" s="172">
        <f t="shared" si="8"/>
        <v>105730</v>
      </c>
      <c r="BC33" s="187">
        <v>88837</v>
      </c>
      <c r="BD33" s="166">
        <v>430</v>
      </c>
      <c r="BE33" s="166">
        <v>5535</v>
      </c>
      <c r="BF33" s="166">
        <v>276</v>
      </c>
      <c r="BG33" s="172">
        <f t="shared" si="9"/>
        <v>95078</v>
      </c>
      <c r="BH33" s="187">
        <v>0</v>
      </c>
      <c r="BI33" s="166">
        <v>0</v>
      </c>
      <c r="BJ33" s="166">
        <v>0</v>
      </c>
      <c r="BK33" s="166">
        <v>0</v>
      </c>
      <c r="BL33" s="172">
        <f t="shared" si="10"/>
        <v>0</v>
      </c>
      <c r="BM33" s="187">
        <v>0</v>
      </c>
      <c r="BN33" s="166">
        <v>0</v>
      </c>
      <c r="BO33" s="166">
        <v>0</v>
      </c>
      <c r="BP33" s="166">
        <v>0</v>
      </c>
      <c r="BQ33" s="172">
        <f t="shared" si="11"/>
        <v>0</v>
      </c>
      <c r="BR33" s="187">
        <f t="shared" si="12"/>
        <v>862775</v>
      </c>
      <c r="BS33" s="381">
        <f t="shared" si="3"/>
        <v>8186</v>
      </c>
      <c r="BT33" s="166">
        <f t="shared" si="3"/>
        <v>66667</v>
      </c>
      <c r="BU33" s="166">
        <f t="shared" si="3"/>
        <v>325</v>
      </c>
      <c r="BV33" s="187">
        <f t="shared" si="13"/>
        <v>937953</v>
      </c>
      <c r="BW33" s="144"/>
      <c r="BX33" s="435">
        <f t="shared" si="16"/>
        <v>81.126363670174541</v>
      </c>
      <c r="BZ33" s="440">
        <v>70756.549950000001</v>
      </c>
      <c r="CA33" s="440">
        <v>428.37214</v>
      </c>
      <c r="CB33" s="440">
        <v>13402.68924</v>
      </c>
      <c r="CC33" s="443">
        <v>0</v>
      </c>
      <c r="CD33" s="443">
        <v>84587.611330000014</v>
      </c>
      <c r="CE33" s="317">
        <f t="shared" si="17"/>
        <v>-0.45004999999946449</v>
      </c>
      <c r="CF33" s="317">
        <f t="shared" si="14"/>
        <v>0.37214000000000169</v>
      </c>
      <c r="CG33" s="317">
        <f t="shared" si="14"/>
        <v>-0.31076000000030035</v>
      </c>
      <c r="CH33" s="136">
        <f t="shared" si="14"/>
        <v>0</v>
      </c>
      <c r="CI33" s="444">
        <f t="shared" si="14"/>
        <v>-0.38866999998572282</v>
      </c>
    </row>
    <row r="34" spans="1:87" x14ac:dyDescent="0.3">
      <c r="A34" s="320">
        <v>28</v>
      </c>
      <c r="B34" s="321" t="s">
        <v>234</v>
      </c>
      <c r="D34" s="322"/>
      <c r="E34" s="187">
        <v>94754519</v>
      </c>
      <c r="F34" s="381">
        <v>2068007</v>
      </c>
      <c r="G34" s="166">
        <v>2702575</v>
      </c>
      <c r="H34" s="166">
        <v>70291</v>
      </c>
      <c r="I34" s="172">
        <f t="shared" si="0"/>
        <v>99595392</v>
      </c>
      <c r="J34" s="187">
        <v>7006885</v>
      </c>
      <c r="K34" s="166">
        <v>279990</v>
      </c>
      <c r="L34" s="166">
        <v>29016</v>
      </c>
      <c r="M34" s="166">
        <v>180</v>
      </c>
      <c r="N34" s="172">
        <f t="shared" si="15"/>
        <v>7316071</v>
      </c>
      <c r="O34" s="440">
        <v>7250118</v>
      </c>
      <c r="P34" s="166">
        <v>139509</v>
      </c>
      <c r="Q34" s="440">
        <v>37940</v>
      </c>
      <c r="R34" s="166">
        <v>7626</v>
      </c>
      <c r="S34" s="172">
        <f>SUM(O34:R34)</f>
        <v>7435193</v>
      </c>
      <c r="T34" s="187">
        <v>7423669</v>
      </c>
      <c r="U34" s="166">
        <v>74252</v>
      </c>
      <c r="V34" s="166">
        <v>44846</v>
      </c>
      <c r="W34" s="166">
        <v>1159</v>
      </c>
      <c r="X34" s="172">
        <f t="shared" si="5"/>
        <v>7543926</v>
      </c>
      <c r="Y34" s="187">
        <v>7514016</v>
      </c>
      <c r="Z34" s="166">
        <v>85773</v>
      </c>
      <c r="AA34" s="166">
        <f>65108-20</f>
        <v>65088</v>
      </c>
      <c r="AB34" s="166">
        <v>5559</v>
      </c>
      <c r="AC34" s="172">
        <f t="shared" si="6"/>
        <v>7670436</v>
      </c>
      <c r="AD34" s="187">
        <v>7490676</v>
      </c>
      <c r="AE34" s="166">
        <v>148310</v>
      </c>
      <c r="AF34" s="166">
        <v>131136</v>
      </c>
      <c r="AG34" s="166">
        <v>5374</v>
      </c>
      <c r="AH34" s="172">
        <f t="shared" si="7"/>
        <v>7775496</v>
      </c>
      <c r="AI34" s="187">
        <v>8633632</v>
      </c>
      <c r="AJ34" s="166">
        <v>139444</v>
      </c>
      <c r="AK34" s="166">
        <v>172751</v>
      </c>
      <c r="AL34" s="166">
        <v>7422</v>
      </c>
      <c r="AM34" s="172">
        <f t="shared" si="1"/>
        <v>8953249</v>
      </c>
      <c r="AN34" s="187">
        <v>7885320</v>
      </c>
      <c r="AO34" s="166">
        <v>85722</v>
      </c>
      <c r="AP34" s="166">
        <v>217105</v>
      </c>
      <c r="AQ34" s="166">
        <v>12540</v>
      </c>
      <c r="AR34" s="172">
        <f t="shared" si="2"/>
        <v>8200687</v>
      </c>
      <c r="AS34" s="187">
        <v>7988608</v>
      </c>
      <c r="AT34" s="166">
        <v>121795</v>
      </c>
      <c r="AU34" s="166">
        <v>227631</v>
      </c>
      <c r="AV34" s="166">
        <v>1157</v>
      </c>
      <c r="AW34" s="172">
        <f t="shared" si="18"/>
        <v>8339191</v>
      </c>
      <c r="AX34" s="187">
        <v>8099274</v>
      </c>
      <c r="AY34" s="166">
        <v>94823</v>
      </c>
      <c r="AZ34" s="166">
        <v>212236</v>
      </c>
      <c r="BA34" s="166">
        <v>470</v>
      </c>
      <c r="BB34" s="172">
        <f t="shared" si="8"/>
        <v>8406803</v>
      </c>
      <c r="BC34" s="187">
        <v>8091849</v>
      </c>
      <c r="BD34" s="166">
        <v>149795</v>
      </c>
      <c r="BE34" s="166">
        <v>162623</v>
      </c>
      <c r="BF34" s="166">
        <v>1168</v>
      </c>
      <c r="BG34" s="172">
        <f t="shared" si="9"/>
        <v>8405435</v>
      </c>
      <c r="BH34" s="187">
        <v>0</v>
      </c>
      <c r="BI34" s="166">
        <v>0</v>
      </c>
      <c r="BJ34" s="166">
        <v>0</v>
      </c>
      <c r="BK34" s="166">
        <v>0</v>
      </c>
      <c r="BL34" s="172">
        <f t="shared" si="10"/>
        <v>0</v>
      </c>
      <c r="BM34" s="187">
        <v>0</v>
      </c>
      <c r="BN34" s="166">
        <v>0</v>
      </c>
      <c r="BO34" s="166">
        <v>0</v>
      </c>
      <c r="BP34" s="166">
        <v>0</v>
      </c>
      <c r="BQ34" s="172">
        <f t="shared" si="11"/>
        <v>0</v>
      </c>
      <c r="BR34" s="187">
        <f t="shared" si="12"/>
        <v>77384047</v>
      </c>
      <c r="BS34" s="381">
        <f t="shared" si="3"/>
        <v>1319413</v>
      </c>
      <c r="BT34" s="166">
        <f t="shared" si="3"/>
        <v>1300372</v>
      </c>
      <c r="BU34" s="166">
        <f t="shared" si="3"/>
        <v>42655</v>
      </c>
      <c r="BV34" s="187">
        <f t="shared" si="13"/>
        <v>80046487</v>
      </c>
      <c r="BW34" s="144"/>
      <c r="BX34" s="435">
        <f t="shared" si="16"/>
        <v>80.371677235830347</v>
      </c>
      <c r="BZ34" s="440">
        <v>7006885</v>
      </c>
      <c r="CA34" s="440">
        <v>279990</v>
      </c>
      <c r="CB34" s="440">
        <v>29016</v>
      </c>
      <c r="CC34" s="443">
        <v>180</v>
      </c>
      <c r="CD34" s="443">
        <v>7316071</v>
      </c>
      <c r="CE34" s="317">
        <f t="shared" si="17"/>
        <v>0</v>
      </c>
      <c r="CF34" s="317">
        <f t="shared" si="14"/>
        <v>0</v>
      </c>
      <c r="CG34" s="317">
        <f t="shared" si="14"/>
        <v>0</v>
      </c>
      <c r="CH34" s="136">
        <f t="shared" si="14"/>
        <v>0</v>
      </c>
      <c r="CI34" s="444">
        <f t="shared" si="14"/>
        <v>0</v>
      </c>
    </row>
    <row r="35" spans="1:87" x14ac:dyDescent="0.3">
      <c r="A35" s="308">
        <v>29</v>
      </c>
      <c r="B35" s="309" t="s">
        <v>235</v>
      </c>
      <c r="D35" s="310"/>
      <c r="E35" s="187">
        <v>7544723</v>
      </c>
      <c r="F35" s="381">
        <v>7635461</v>
      </c>
      <c r="G35" s="166">
        <v>1748807</v>
      </c>
      <c r="H35" s="166">
        <v>2233</v>
      </c>
      <c r="I35" s="172">
        <f t="shared" si="0"/>
        <v>16931224</v>
      </c>
      <c r="J35" s="187">
        <v>436794</v>
      </c>
      <c r="K35" s="166">
        <v>587509</v>
      </c>
      <c r="L35" s="166">
        <v>13256</v>
      </c>
      <c r="M35" s="166">
        <v>0</v>
      </c>
      <c r="N35" s="172">
        <f t="shared" si="15"/>
        <v>1037559</v>
      </c>
      <c r="O35" s="166">
        <v>470738</v>
      </c>
      <c r="P35" s="166">
        <v>196166</v>
      </c>
      <c r="Q35" s="166">
        <v>43878</v>
      </c>
      <c r="R35" s="166">
        <v>0</v>
      </c>
      <c r="S35" s="172">
        <f>SUM(O35:R35)</f>
        <v>710782</v>
      </c>
      <c r="T35" s="187">
        <v>396518</v>
      </c>
      <c r="U35" s="166">
        <v>242697</v>
      </c>
      <c r="V35" s="166">
        <v>23211</v>
      </c>
      <c r="W35" s="166">
        <v>0</v>
      </c>
      <c r="X35" s="187">
        <f t="shared" si="5"/>
        <v>662426</v>
      </c>
      <c r="Y35" s="187">
        <v>563701</v>
      </c>
      <c r="Z35" s="166">
        <v>550154</v>
      </c>
      <c r="AA35" s="166">
        <v>23254</v>
      </c>
      <c r="AB35" s="166">
        <v>0</v>
      </c>
      <c r="AC35" s="172">
        <f t="shared" si="6"/>
        <v>1137109</v>
      </c>
      <c r="AD35" s="187">
        <v>458311</v>
      </c>
      <c r="AE35" s="166">
        <v>584543</v>
      </c>
      <c r="AF35" s="166">
        <v>34712</v>
      </c>
      <c r="AG35" s="166">
        <v>0</v>
      </c>
      <c r="AH35" s="172">
        <f t="shared" si="7"/>
        <v>1077566</v>
      </c>
      <c r="AI35" s="187">
        <v>548283</v>
      </c>
      <c r="AJ35" s="166">
        <v>1096525</v>
      </c>
      <c r="AK35" s="166">
        <v>43677</v>
      </c>
      <c r="AL35" s="166">
        <v>0</v>
      </c>
      <c r="AM35" s="172">
        <f t="shared" si="1"/>
        <v>1688485</v>
      </c>
      <c r="AN35" s="187">
        <v>445314</v>
      </c>
      <c r="AO35" s="166">
        <v>486638</v>
      </c>
      <c r="AP35" s="166">
        <v>74899</v>
      </c>
      <c r="AQ35" s="166">
        <v>-1</v>
      </c>
      <c r="AR35" s="172">
        <f t="shared" si="2"/>
        <v>1006850</v>
      </c>
      <c r="AS35" s="187">
        <v>514188</v>
      </c>
      <c r="AT35" s="166">
        <v>1397560</v>
      </c>
      <c r="AU35" s="166">
        <v>32980</v>
      </c>
      <c r="AV35" s="166">
        <v>0</v>
      </c>
      <c r="AW35" s="172">
        <f t="shared" si="18"/>
        <v>1944728</v>
      </c>
      <c r="AX35" s="187">
        <v>1062162</v>
      </c>
      <c r="AY35" s="166">
        <v>453633</v>
      </c>
      <c r="AZ35" s="166">
        <v>149195</v>
      </c>
      <c r="BA35" s="166">
        <v>0</v>
      </c>
      <c r="BB35" s="172">
        <f t="shared" si="8"/>
        <v>1664990</v>
      </c>
      <c r="BC35" s="187">
        <v>576839</v>
      </c>
      <c r="BD35" s="166">
        <v>515487</v>
      </c>
      <c r="BE35" s="166">
        <v>38887</v>
      </c>
      <c r="BF35" s="166">
        <v>122</v>
      </c>
      <c r="BG35" s="172">
        <f t="shared" si="9"/>
        <v>1131335</v>
      </c>
      <c r="BH35" s="187">
        <v>0</v>
      </c>
      <c r="BI35" s="166">
        <v>0</v>
      </c>
      <c r="BJ35" s="166">
        <v>0</v>
      </c>
      <c r="BK35" s="166">
        <v>0</v>
      </c>
      <c r="BL35" s="172">
        <f t="shared" si="10"/>
        <v>0</v>
      </c>
      <c r="BM35" s="187">
        <v>0</v>
      </c>
      <c r="BN35" s="166">
        <v>0</v>
      </c>
      <c r="BO35" s="166">
        <v>0</v>
      </c>
      <c r="BP35" s="166">
        <v>0</v>
      </c>
      <c r="BQ35" s="172">
        <f t="shared" si="11"/>
        <v>0</v>
      </c>
      <c r="BR35" s="187">
        <f t="shared" si="12"/>
        <v>5472848</v>
      </c>
      <c r="BS35" s="381">
        <f t="shared" si="3"/>
        <v>6110912</v>
      </c>
      <c r="BT35" s="166">
        <f t="shared" si="3"/>
        <v>477949</v>
      </c>
      <c r="BU35" s="166">
        <f t="shared" si="3"/>
        <v>121</v>
      </c>
      <c r="BV35" s="187">
        <f t="shared" si="13"/>
        <v>12061830</v>
      </c>
      <c r="BW35" s="144"/>
      <c r="BX35" s="435">
        <f t="shared" si="16"/>
        <v>71.240153694735824</v>
      </c>
      <c r="BZ35" s="440">
        <v>436760.81563000008</v>
      </c>
      <c r="CA35" s="440">
        <v>587509.08739</v>
      </c>
      <c r="CB35" s="440">
        <v>20001.968590000004</v>
      </c>
      <c r="CC35" s="443">
        <v>0.15426999999999999</v>
      </c>
      <c r="CD35" s="443">
        <v>1044272.02588</v>
      </c>
      <c r="CE35" s="317">
        <f t="shared" si="17"/>
        <v>-33.184369999915361</v>
      </c>
      <c r="CF35" s="317">
        <f t="shared" si="14"/>
        <v>8.7390000000596046E-2</v>
      </c>
      <c r="CG35" s="317">
        <f>+CB35-L35</f>
        <v>6745.968590000004</v>
      </c>
      <c r="CH35" s="136">
        <f t="shared" si="14"/>
        <v>0.15426999999999999</v>
      </c>
      <c r="CI35" s="444">
        <f t="shared" si="14"/>
        <v>6713.0258799999719</v>
      </c>
    </row>
    <row r="36" spans="1:87" x14ac:dyDescent="0.3">
      <c r="A36" s="308">
        <v>30</v>
      </c>
      <c r="B36" s="309" t="s">
        <v>236</v>
      </c>
      <c r="D36" s="310"/>
      <c r="E36" s="187">
        <v>582288</v>
      </c>
      <c r="F36" s="381">
        <v>2978399</v>
      </c>
      <c r="G36" s="166">
        <v>8716</v>
      </c>
      <c r="H36" s="166">
        <v>61</v>
      </c>
      <c r="I36" s="172">
        <f t="shared" si="0"/>
        <v>3569464</v>
      </c>
      <c r="J36" s="187">
        <v>25539</v>
      </c>
      <c r="K36" s="166">
        <v>313255</v>
      </c>
      <c r="L36" s="166">
        <v>0</v>
      </c>
      <c r="M36" s="166">
        <v>0</v>
      </c>
      <c r="N36" s="172">
        <f t="shared" si="15"/>
        <v>338794</v>
      </c>
      <c r="O36" s="166">
        <v>28908</v>
      </c>
      <c r="P36" s="166">
        <v>448803</v>
      </c>
      <c r="Q36" s="166">
        <v>528</v>
      </c>
      <c r="R36" s="166">
        <v>0</v>
      </c>
      <c r="S36" s="172">
        <f>SUM(O36:R36)</f>
        <v>478239</v>
      </c>
      <c r="T36" s="187">
        <v>30702</v>
      </c>
      <c r="U36" s="166">
        <v>214</v>
      </c>
      <c r="V36" s="166">
        <v>420</v>
      </c>
      <c r="W36" s="166">
        <v>0</v>
      </c>
      <c r="X36" s="172">
        <f t="shared" si="5"/>
        <v>31336</v>
      </c>
      <c r="Y36" s="187">
        <v>28876</v>
      </c>
      <c r="Z36" s="166">
        <v>308285</v>
      </c>
      <c r="AA36" s="166">
        <v>0</v>
      </c>
      <c r="AB36" s="166">
        <v>0</v>
      </c>
      <c r="AC36" s="172">
        <f t="shared" si="6"/>
        <v>337161</v>
      </c>
      <c r="AD36" s="187">
        <v>49032</v>
      </c>
      <c r="AE36" s="166">
        <v>126294</v>
      </c>
      <c r="AF36" s="166">
        <v>344</v>
      </c>
      <c r="AG36" s="166">
        <v>0</v>
      </c>
      <c r="AH36" s="172">
        <f t="shared" si="7"/>
        <v>175670</v>
      </c>
      <c r="AI36" s="187">
        <v>50769</v>
      </c>
      <c r="AJ36" s="166">
        <v>32154</v>
      </c>
      <c r="AK36" s="166">
        <v>820</v>
      </c>
      <c r="AL36" s="166">
        <v>0</v>
      </c>
      <c r="AM36" s="172">
        <f t="shared" si="1"/>
        <v>83743</v>
      </c>
      <c r="AN36" s="187">
        <v>50099</v>
      </c>
      <c r="AO36" s="166">
        <v>428032</v>
      </c>
      <c r="AP36" s="166">
        <v>187</v>
      </c>
      <c r="AQ36" s="166">
        <v>0</v>
      </c>
      <c r="AR36" s="172">
        <f t="shared" si="2"/>
        <v>478318</v>
      </c>
      <c r="AS36" s="187">
        <v>49307</v>
      </c>
      <c r="AT36" s="166">
        <v>371</v>
      </c>
      <c r="AU36" s="166">
        <v>741</v>
      </c>
      <c r="AV36" s="166">
        <v>0</v>
      </c>
      <c r="AW36" s="172">
        <f t="shared" si="18"/>
        <v>50419</v>
      </c>
      <c r="AX36" s="187">
        <v>43849</v>
      </c>
      <c r="AY36" s="166">
        <v>536579</v>
      </c>
      <c r="AZ36" s="166">
        <v>0</v>
      </c>
      <c r="BA36" s="166">
        <v>0</v>
      </c>
      <c r="BB36" s="172">
        <f t="shared" si="8"/>
        <v>580428</v>
      </c>
      <c r="BC36" s="187">
        <v>32881</v>
      </c>
      <c r="BD36" s="166">
        <v>676606</v>
      </c>
      <c r="BE36" s="166">
        <v>809</v>
      </c>
      <c r="BF36" s="166">
        <v>0</v>
      </c>
      <c r="BG36" s="172">
        <f t="shared" si="9"/>
        <v>710296</v>
      </c>
      <c r="BH36" s="187">
        <v>0</v>
      </c>
      <c r="BI36" s="166">
        <v>0</v>
      </c>
      <c r="BJ36" s="166">
        <v>0</v>
      </c>
      <c r="BK36" s="166">
        <v>0</v>
      </c>
      <c r="BL36" s="172">
        <f t="shared" si="10"/>
        <v>0</v>
      </c>
      <c r="BM36" s="187">
        <v>0</v>
      </c>
      <c r="BN36" s="166">
        <v>0</v>
      </c>
      <c r="BO36" s="166">
        <v>0</v>
      </c>
      <c r="BP36" s="166">
        <v>0</v>
      </c>
      <c r="BQ36" s="172">
        <f t="shared" si="11"/>
        <v>0</v>
      </c>
      <c r="BR36" s="187">
        <f t="shared" si="12"/>
        <v>389962</v>
      </c>
      <c r="BS36" s="381">
        <f t="shared" si="3"/>
        <v>2870593</v>
      </c>
      <c r="BT36" s="166">
        <f t="shared" si="3"/>
        <v>3849</v>
      </c>
      <c r="BU36" s="166">
        <f t="shared" si="3"/>
        <v>0</v>
      </c>
      <c r="BV36" s="187">
        <f t="shared" si="13"/>
        <v>3264404</v>
      </c>
      <c r="BW36" s="144"/>
      <c r="BX36" s="435">
        <f t="shared" si="16"/>
        <v>91.453618806633159</v>
      </c>
      <c r="BZ36" s="440">
        <v>25539.409489999998</v>
      </c>
      <c r="CA36" s="440">
        <v>313255.32788</v>
      </c>
      <c r="CB36" s="440">
        <v>0</v>
      </c>
      <c r="CC36" s="443">
        <v>0</v>
      </c>
      <c r="CD36" s="443">
        <v>338794.73736999999</v>
      </c>
      <c r="CE36" s="317">
        <f t="shared" si="17"/>
        <v>0.40948999999818625</v>
      </c>
      <c r="CF36" s="317">
        <f t="shared" si="14"/>
        <v>0.32787999999709427</v>
      </c>
      <c r="CG36" s="317">
        <f t="shared" si="14"/>
        <v>0</v>
      </c>
      <c r="CH36" s="136">
        <f t="shared" si="14"/>
        <v>0</v>
      </c>
      <c r="CI36" s="444">
        <f t="shared" si="14"/>
        <v>0.73736999998800457</v>
      </c>
    </row>
    <row r="37" spans="1:87" x14ac:dyDescent="0.3">
      <c r="A37" s="308">
        <v>31</v>
      </c>
      <c r="B37" s="309" t="s">
        <v>237</v>
      </c>
      <c r="D37" s="310"/>
      <c r="E37" s="187">
        <v>1813761</v>
      </c>
      <c r="F37" s="381">
        <v>1343135</v>
      </c>
      <c r="G37" s="166">
        <v>75171</v>
      </c>
      <c r="H37" s="166">
        <v>99</v>
      </c>
      <c r="I37" s="172">
        <f t="shared" si="0"/>
        <v>3232166</v>
      </c>
      <c r="J37" s="187">
        <v>116245</v>
      </c>
      <c r="K37" s="166">
        <v>300930</v>
      </c>
      <c r="L37" s="166">
        <v>505</v>
      </c>
      <c r="M37" s="166">
        <v>0</v>
      </c>
      <c r="N37" s="172">
        <f t="shared" si="15"/>
        <v>417680</v>
      </c>
      <c r="O37" s="166">
        <v>133570</v>
      </c>
      <c r="P37" s="166">
        <v>11112</v>
      </c>
      <c r="Q37" s="166">
        <v>3196</v>
      </c>
      <c r="R37" s="166">
        <v>0</v>
      </c>
      <c r="S37" s="172">
        <f>SUM(O37:R37)</f>
        <v>147878</v>
      </c>
      <c r="T37" s="187">
        <v>156253</v>
      </c>
      <c r="U37" s="166">
        <v>35724</v>
      </c>
      <c r="V37" s="166">
        <v>2181</v>
      </c>
      <c r="W37" s="166">
        <v>0</v>
      </c>
      <c r="X37" s="172">
        <f t="shared" si="5"/>
        <v>194158</v>
      </c>
      <c r="Y37" s="187">
        <v>145772</v>
      </c>
      <c r="Z37" s="166">
        <v>254889</v>
      </c>
      <c r="AA37" s="166">
        <v>590</v>
      </c>
      <c r="AB37" s="166">
        <v>0</v>
      </c>
      <c r="AC37" s="172">
        <f t="shared" si="6"/>
        <v>401251</v>
      </c>
      <c r="AD37" s="187">
        <v>135273</v>
      </c>
      <c r="AE37" s="166">
        <v>38273</v>
      </c>
      <c r="AF37" s="166">
        <v>1099</v>
      </c>
      <c r="AG37" s="166">
        <v>34</v>
      </c>
      <c r="AH37" s="172">
        <f t="shared" si="7"/>
        <v>174679</v>
      </c>
      <c r="AI37" s="187">
        <v>182070</v>
      </c>
      <c r="AJ37" s="166">
        <v>21528</v>
      </c>
      <c r="AK37" s="166">
        <v>3696</v>
      </c>
      <c r="AL37" s="166">
        <v>39</v>
      </c>
      <c r="AM37" s="172">
        <f t="shared" si="1"/>
        <v>207333</v>
      </c>
      <c r="AN37" s="187">
        <v>158237</v>
      </c>
      <c r="AO37" s="166">
        <v>263983</v>
      </c>
      <c r="AP37" s="166">
        <v>1339</v>
      </c>
      <c r="AQ37" s="166">
        <v>0</v>
      </c>
      <c r="AR37" s="172">
        <f t="shared" si="2"/>
        <v>423559</v>
      </c>
      <c r="AS37" s="187">
        <v>150005</v>
      </c>
      <c r="AT37" s="166">
        <v>65350</v>
      </c>
      <c r="AU37" s="166">
        <v>9135</v>
      </c>
      <c r="AV37" s="166">
        <v>0</v>
      </c>
      <c r="AW37" s="172">
        <f t="shared" si="18"/>
        <v>224490</v>
      </c>
      <c r="AX37" s="187">
        <v>161607</v>
      </c>
      <c r="AY37" s="166">
        <v>52834</v>
      </c>
      <c r="AZ37" s="166">
        <v>4706</v>
      </c>
      <c r="BA37" s="166">
        <v>0</v>
      </c>
      <c r="BB37" s="172">
        <f t="shared" si="8"/>
        <v>219147</v>
      </c>
      <c r="BC37" s="187">
        <v>126287</v>
      </c>
      <c r="BD37" s="166">
        <v>249691</v>
      </c>
      <c r="BE37" s="166">
        <v>4862</v>
      </c>
      <c r="BF37" s="166">
        <v>0</v>
      </c>
      <c r="BG37" s="172">
        <f t="shared" si="9"/>
        <v>380840</v>
      </c>
      <c r="BH37" s="187">
        <v>0</v>
      </c>
      <c r="BI37" s="166">
        <v>0</v>
      </c>
      <c r="BJ37" s="166">
        <v>0</v>
      </c>
      <c r="BK37" s="166">
        <v>0</v>
      </c>
      <c r="BL37" s="172">
        <f t="shared" si="10"/>
        <v>0</v>
      </c>
      <c r="BM37" s="187">
        <v>0</v>
      </c>
      <c r="BN37" s="166">
        <v>0</v>
      </c>
      <c r="BO37" s="166">
        <v>0</v>
      </c>
      <c r="BP37" s="166">
        <v>0</v>
      </c>
      <c r="BQ37" s="172">
        <f t="shared" si="11"/>
        <v>0</v>
      </c>
      <c r="BR37" s="187">
        <f t="shared" si="12"/>
        <v>1465319</v>
      </c>
      <c r="BS37" s="381">
        <f t="shared" si="3"/>
        <v>1294314</v>
      </c>
      <c r="BT37" s="166">
        <f t="shared" si="3"/>
        <v>31309</v>
      </c>
      <c r="BU37" s="166">
        <f t="shared" si="3"/>
        <v>73</v>
      </c>
      <c r="BV37" s="187">
        <f t="shared" si="13"/>
        <v>2791015</v>
      </c>
      <c r="BW37" s="144"/>
      <c r="BX37" s="435">
        <f t="shared" si="16"/>
        <v>86.351227009998865</v>
      </c>
      <c r="BZ37" s="440">
        <v>116245.3176400001</v>
      </c>
      <c r="CA37" s="440">
        <v>300929.85016999999</v>
      </c>
      <c r="CB37" s="440">
        <v>504.44198999999998</v>
      </c>
      <c r="CC37" s="443">
        <v>0</v>
      </c>
      <c r="CD37" s="443">
        <v>417679.60980000009</v>
      </c>
      <c r="CE37" s="317">
        <f t="shared" si="17"/>
        <v>0.31764000009570736</v>
      </c>
      <c r="CF37" s="317">
        <f t="shared" si="14"/>
        <v>-0.14983000000938773</v>
      </c>
      <c r="CG37" s="317">
        <f t="shared" si="14"/>
        <v>-0.55801000000002432</v>
      </c>
      <c r="CH37" s="136">
        <f t="shared" si="14"/>
        <v>0</v>
      </c>
      <c r="CI37" s="444">
        <f t="shared" si="14"/>
        <v>-0.39019999990705401</v>
      </c>
    </row>
    <row r="38" spans="1:87" x14ac:dyDescent="0.3">
      <c r="A38" s="308">
        <v>32</v>
      </c>
      <c r="B38" s="325" t="s">
        <v>279</v>
      </c>
      <c r="D38" s="310"/>
      <c r="E38" s="187">
        <v>4669233</v>
      </c>
      <c r="F38" s="381">
        <v>2528739</v>
      </c>
      <c r="G38" s="166">
        <v>290148</v>
      </c>
      <c r="H38" s="166">
        <v>1893</v>
      </c>
      <c r="I38" s="172">
        <f t="shared" si="0"/>
        <v>7490013</v>
      </c>
      <c r="J38" s="187">
        <v>267664</v>
      </c>
      <c r="K38" s="166">
        <v>217989</v>
      </c>
      <c r="L38" s="166">
        <v>14002</v>
      </c>
      <c r="M38" s="166">
        <v>0</v>
      </c>
      <c r="N38" s="172">
        <f t="shared" si="15"/>
        <v>499655</v>
      </c>
      <c r="O38" s="166">
        <v>338302</v>
      </c>
      <c r="P38" s="166">
        <v>87175</v>
      </c>
      <c r="Q38" s="166">
        <v>18131</v>
      </c>
      <c r="R38" s="166">
        <v>21</v>
      </c>
      <c r="S38" s="172">
        <f>SUM(O38:R38)</f>
        <v>443629</v>
      </c>
      <c r="T38" s="187">
        <v>383694</v>
      </c>
      <c r="U38" s="166">
        <v>161490</v>
      </c>
      <c r="V38" s="166">
        <v>18991</v>
      </c>
      <c r="W38" s="166">
        <v>45</v>
      </c>
      <c r="X38" s="172">
        <f t="shared" si="5"/>
        <v>564220</v>
      </c>
      <c r="Y38" s="187">
        <v>434394</v>
      </c>
      <c r="Z38" s="166">
        <v>202837</v>
      </c>
      <c r="AA38" s="166">
        <v>14561</v>
      </c>
      <c r="AB38" s="166">
        <v>393</v>
      </c>
      <c r="AC38" s="172">
        <f t="shared" si="6"/>
        <v>652185</v>
      </c>
      <c r="AD38" s="187">
        <v>360575</v>
      </c>
      <c r="AE38" s="166">
        <v>76811</v>
      </c>
      <c r="AF38" s="166">
        <v>16977</v>
      </c>
      <c r="AG38" s="166">
        <v>313</v>
      </c>
      <c r="AH38" s="172">
        <f>SUM(AD38:AG38)</f>
        <v>454676</v>
      </c>
      <c r="AI38" s="187">
        <v>347364</v>
      </c>
      <c r="AJ38" s="166">
        <v>100210</v>
      </c>
      <c r="AK38" s="166">
        <v>17404</v>
      </c>
      <c r="AL38" s="166">
        <v>634</v>
      </c>
      <c r="AM38" s="172">
        <f t="shared" si="1"/>
        <v>465612</v>
      </c>
      <c r="AN38" s="187">
        <v>465730</v>
      </c>
      <c r="AO38" s="166">
        <v>369289</v>
      </c>
      <c r="AP38" s="166">
        <v>16936</v>
      </c>
      <c r="AQ38" s="166">
        <v>160</v>
      </c>
      <c r="AR38" s="172">
        <f t="shared" si="2"/>
        <v>852115</v>
      </c>
      <c r="AS38" s="187">
        <v>343606</v>
      </c>
      <c r="AT38" s="166">
        <v>453806</v>
      </c>
      <c r="AU38" s="166">
        <v>18177</v>
      </c>
      <c r="AV38" s="166">
        <v>0</v>
      </c>
      <c r="AW38" s="172">
        <f t="shared" si="18"/>
        <v>815589</v>
      </c>
      <c r="AX38" s="187">
        <v>478905</v>
      </c>
      <c r="AY38" s="166">
        <v>156837</v>
      </c>
      <c r="AZ38" s="166">
        <v>35087</v>
      </c>
      <c r="BA38" s="166">
        <v>326</v>
      </c>
      <c r="BB38" s="172">
        <f t="shared" si="8"/>
        <v>671155</v>
      </c>
      <c r="BC38" s="187">
        <v>317983</v>
      </c>
      <c r="BD38" s="166">
        <v>397474</v>
      </c>
      <c r="BE38" s="166">
        <v>18375</v>
      </c>
      <c r="BF38" s="166">
        <v>0</v>
      </c>
      <c r="BG38" s="172">
        <f t="shared" si="9"/>
        <v>733832</v>
      </c>
      <c r="BH38" s="187">
        <v>0</v>
      </c>
      <c r="BI38" s="166">
        <v>0</v>
      </c>
      <c r="BJ38" s="166">
        <v>0</v>
      </c>
      <c r="BK38" s="166">
        <v>0</v>
      </c>
      <c r="BL38" s="172">
        <f t="shared" si="10"/>
        <v>0</v>
      </c>
      <c r="BM38" s="187">
        <v>0</v>
      </c>
      <c r="BN38" s="166">
        <v>0</v>
      </c>
      <c r="BO38" s="166">
        <v>0</v>
      </c>
      <c r="BP38" s="166">
        <v>0</v>
      </c>
      <c r="BQ38" s="172">
        <f t="shared" si="11"/>
        <v>0</v>
      </c>
      <c r="BR38" s="187">
        <f t="shared" si="12"/>
        <v>3738217</v>
      </c>
      <c r="BS38" s="381">
        <f t="shared" si="3"/>
        <v>2223918</v>
      </c>
      <c r="BT38" s="166">
        <f t="shared" si="3"/>
        <v>188641</v>
      </c>
      <c r="BU38" s="166">
        <f t="shared" si="3"/>
        <v>1892</v>
      </c>
      <c r="BV38" s="187">
        <f t="shared" si="13"/>
        <v>6152668</v>
      </c>
      <c r="BW38" s="144"/>
      <c r="BX38" s="435">
        <f t="shared" si="16"/>
        <v>82.14495755881866</v>
      </c>
      <c r="BZ38" s="440">
        <v>267664.30442</v>
      </c>
      <c r="CA38" s="440">
        <v>217989.15900999997</v>
      </c>
      <c r="CB38" s="440">
        <v>14002.262550000001</v>
      </c>
      <c r="CC38" s="443">
        <v>0</v>
      </c>
      <c r="CD38" s="443">
        <v>499655.72598000005</v>
      </c>
      <c r="CE38" s="317">
        <f t="shared" si="17"/>
        <v>0.30442000000039116</v>
      </c>
      <c r="CF38" s="317">
        <f t="shared" si="14"/>
        <v>0.15900999997393228</v>
      </c>
      <c r="CG38" s="317">
        <f t="shared" si="14"/>
        <v>0.26255000000128348</v>
      </c>
      <c r="CH38" s="136">
        <f t="shared" si="14"/>
        <v>0</v>
      </c>
      <c r="CI38" s="444">
        <f t="shared" si="14"/>
        <v>0.7259800000465475</v>
      </c>
    </row>
    <row r="39" spans="1:87" x14ac:dyDescent="0.3">
      <c r="A39" s="320">
        <v>33</v>
      </c>
      <c r="B39" s="17" t="s">
        <v>239</v>
      </c>
      <c r="D39" s="326"/>
      <c r="E39" s="187">
        <v>678987</v>
      </c>
      <c r="F39" s="381">
        <v>30272455</v>
      </c>
      <c r="G39" s="166">
        <v>7576</v>
      </c>
      <c r="H39" s="166">
        <v>514</v>
      </c>
      <c r="I39" s="172">
        <f t="shared" si="0"/>
        <v>30959532</v>
      </c>
      <c r="J39" s="187">
        <v>45996</v>
      </c>
      <c r="K39" s="166">
        <v>1458922</v>
      </c>
      <c r="L39" s="166">
        <v>233</v>
      </c>
      <c r="M39" s="166">
        <v>0</v>
      </c>
      <c r="N39" s="172">
        <f t="shared" si="15"/>
        <v>1505151</v>
      </c>
      <c r="O39" s="166">
        <v>47133</v>
      </c>
      <c r="P39" s="166">
        <v>1098463</v>
      </c>
      <c r="Q39" s="166">
        <v>378</v>
      </c>
      <c r="R39" s="166">
        <v>15</v>
      </c>
      <c r="S39" s="172">
        <f t="shared" ref="S39:S47" si="20">SUM(O39:R39)</f>
        <v>1145989</v>
      </c>
      <c r="T39" s="187">
        <v>50451</v>
      </c>
      <c r="U39" s="166">
        <v>1134057</v>
      </c>
      <c r="V39" s="166">
        <v>216</v>
      </c>
      <c r="W39" s="166">
        <v>0</v>
      </c>
      <c r="X39" s="172">
        <f t="shared" si="5"/>
        <v>1184724</v>
      </c>
      <c r="Y39" s="187">
        <v>73230</v>
      </c>
      <c r="Z39" s="166">
        <v>5115281</v>
      </c>
      <c r="AA39" s="166">
        <v>293</v>
      </c>
      <c r="AB39" s="166">
        <v>0</v>
      </c>
      <c r="AC39" s="172">
        <f t="shared" si="6"/>
        <v>5188804</v>
      </c>
      <c r="AD39" s="187">
        <v>51699</v>
      </c>
      <c r="AE39" s="166">
        <v>1750642</v>
      </c>
      <c r="AF39" s="166">
        <v>808</v>
      </c>
      <c r="AG39" s="166">
        <v>0</v>
      </c>
      <c r="AH39" s="172">
        <f t="shared" si="7"/>
        <v>1803149</v>
      </c>
      <c r="AI39" s="187">
        <v>58333</v>
      </c>
      <c r="AJ39" s="166">
        <v>1972402</v>
      </c>
      <c r="AK39" s="166">
        <v>393</v>
      </c>
      <c r="AL39" s="166">
        <v>15</v>
      </c>
      <c r="AM39" s="172">
        <f t="shared" si="1"/>
        <v>2031143</v>
      </c>
      <c r="AN39" s="187">
        <v>60670</v>
      </c>
      <c r="AO39" s="166">
        <v>1343407</v>
      </c>
      <c r="AP39" s="166">
        <v>1567</v>
      </c>
      <c r="AQ39" s="166">
        <v>0</v>
      </c>
      <c r="AR39" s="172">
        <f t="shared" si="2"/>
        <v>1405644</v>
      </c>
      <c r="AS39" s="187">
        <v>57840</v>
      </c>
      <c r="AT39" s="166">
        <v>4864199</v>
      </c>
      <c r="AU39" s="166">
        <v>908</v>
      </c>
      <c r="AV39" s="166">
        <v>0</v>
      </c>
      <c r="AW39" s="172">
        <f t="shared" si="18"/>
        <v>4922947</v>
      </c>
      <c r="AX39" s="187">
        <v>56624</v>
      </c>
      <c r="AY39" s="166">
        <v>1900704</v>
      </c>
      <c r="AZ39" s="166">
        <v>514</v>
      </c>
      <c r="BA39" s="166">
        <v>46</v>
      </c>
      <c r="BB39" s="172">
        <f t="shared" si="8"/>
        <v>1957888</v>
      </c>
      <c r="BC39" s="187">
        <v>52898</v>
      </c>
      <c r="BD39" s="166">
        <v>1163055</v>
      </c>
      <c r="BE39" s="166">
        <v>651</v>
      </c>
      <c r="BF39" s="166">
        <v>0</v>
      </c>
      <c r="BG39" s="172">
        <f t="shared" si="9"/>
        <v>1216604</v>
      </c>
      <c r="BH39" s="187">
        <v>0</v>
      </c>
      <c r="BI39" s="166">
        <v>0</v>
      </c>
      <c r="BJ39" s="166">
        <v>0</v>
      </c>
      <c r="BK39" s="166">
        <v>0</v>
      </c>
      <c r="BL39" s="172">
        <f t="shared" si="10"/>
        <v>0</v>
      </c>
      <c r="BM39" s="187">
        <v>0</v>
      </c>
      <c r="BN39" s="166">
        <v>0</v>
      </c>
      <c r="BO39" s="166">
        <v>0</v>
      </c>
      <c r="BP39" s="166">
        <v>0</v>
      </c>
      <c r="BQ39" s="172">
        <f t="shared" si="11"/>
        <v>0</v>
      </c>
      <c r="BR39" s="187">
        <f t="shared" si="12"/>
        <v>554874</v>
      </c>
      <c r="BS39" s="381">
        <f t="shared" si="3"/>
        <v>21801132</v>
      </c>
      <c r="BT39" s="166">
        <f t="shared" si="3"/>
        <v>5961</v>
      </c>
      <c r="BU39" s="166">
        <f t="shared" si="3"/>
        <v>76</v>
      </c>
      <c r="BV39" s="187">
        <f t="shared" si="13"/>
        <v>22362043</v>
      </c>
      <c r="BW39" s="144"/>
      <c r="BX39" s="435">
        <f t="shared" si="16"/>
        <v>72.229912906952208</v>
      </c>
      <c r="BZ39" s="440">
        <v>45996.249749999995</v>
      </c>
      <c r="CA39" s="440">
        <v>1458921.87518</v>
      </c>
      <c r="CB39" s="440">
        <v>232.94753</v>
      </c>
      <c r="CC39" s="443">
        <v>0</v>
      </c>
      <c r="CD39" s="443">
        <v>1505151.0724599999</v>
      </c>
      <c r="CE39" s="317">
        <f t="shared" si="17"/>
        <v>0.24974999999540159</v>
      </c>
      <c r="CF39" s="317">
        <f t="shared" si="14"/>
        <v>-0.12482000002637506</v>
      </c>
      <c r="CG39" s="317">
        <f t="shared" si="14"/>
        <v>-5.2469999999999573E-2</v>
      </c>
      <c r="CH39" s="136">
        <f t="shared" si="14"/>
        <v>0</v>
      </c>
      <c r="CI39" s="444">
        <f t="shared" si="14"/>
        <v>7.2459999937564135E-2</v>
      </c>
    </row>
    <row r="40" spans="1:87" x14ac:dyDescent="0.3">
      <c r="A40" s="308">
        <v>34</v>
      </c>
      <c r="B40" s="309" t="s">
        <v>240</v>
      </c>
      <c r="D40" s="310"/>
      <c r="E40" s="187">
        <v>1829773</v>
      </c>
      <c r="F40" s="381">
        <v>7066681</v>
      </c>
      <c r="G40" s="166">
        <v>6791</v>
      </c>
      <c r="H40" s="166">
        <v>292</v>
      </c>
      <c r="I40" s="172">
        <f t="shared" si="0"/>
        <v>8903537</v>
      </c>
      <c r="J40" s="187">
        <v>87744</v>
      </c>
      <c r="K40" s="166">
        <v>658456</v>
      </c>
      <c r="L40" s="166">
        <v>187</v>
      </c>
      <c r="M40" s="166">
        <v>0</v>
      </c>
      <c r="N40" s="172">
        <f t="shared" si="15"/>
        <v>746387</v>
      </c>
      <c r="O40" s="166">
        <v>106181</v>
      </c>
      <c r="P40" s="166">
        <v>657186</v>
      </c>
      <c r="Q40" s="166">
        <v>0</v>
      </c>
      <c r="R40" s="166">
        <v>0</v>
      </c>
      <c r="S40" s="172">
        <f t="shared" si="20"/>
        <v>763367</v>
      </c>
      <c r="T40" s="187">
        <v>103454</v>
      </c>
      <c r="U40" s="166">
        <v>240391</v>
      </c>
      <c r="V40" s="166">
        <v>380</v>
      </c>
      <c r="W40" s="166">
        <v>0</v>
      </c>
      <c r="X40" s="172">
        <f t="shared" si="5"/>
        <v>344225</v>
      </c>
      <c r="Y40" s="187">
        <v>114539</v>
      </c>
      <c r="Z40" s="166">
        <v>1395087</v>
      </c>
      <c r="AA40" s="166">
        <v>85</v>
      </c>
      <c r="AB40" s="166">
        <v>0</v>
      </c>
      <c r="AC40" s="172">
        <f t="shared" si="6"/>
        <v>1509711</v>
      </c>
      <c r="AD40" s="187">
        <v>93641</v>
      </c>
      <c r="AE40" s="166">
        <v>269906</v>
      </c>
      <c r="AF40" s="166">
        <v>9</v>
      </c>
      <c r="AG40" s="166">
        <v>0</v>
      </c>
      <c r="AH40" s="172">
        <f t="shared" si="7"/>
        <v>363556</v>
      </c>
      <c r="AI40" s="187">
        <v>119321</v>
      </c>
      <c r="AJ40" s="166">
        <v>243783</v>
      </c>
      <c r="AK40" s="166">
        <v>-295</v>
      </c>
      <c r="AL40" s="166">
        <v>0</v>
      </c>
      <c r="AM40" s="172">
        <f t="shared" si="1"/>
        <v>362809</v>
      </c>
      <c r="AN40" s="187">
        <v>243468</v>
      </c>
      <c r="AO40" s="166">
        <v>718953</v>
      </c>
      <c r="AP40" s="166">
        <v>71</v>
      </c>
      <c r="AQ40" s="166">
        <v>0</v>
      </c>
      <c r="AR40" s="172">
        <f t="shared" si="2"/>
        <v>962492</v>
      </c>
      <c r="AS40" s="187">
        <v>107953</v>
      </c>
      <c r="AT40" s="166">
        <v>1558384</v>
      </c>
      <c r="AU40" s="166">
        <v>255</v>
      </c>
      <c r="AV40" s="166">
        <v>0</v>
      </c>
      <c r="AW40" s="172">
        <f t="shared" si="18"/>
        <v>1666592</v>
      </c>
      <c r="AX40" s="187">
        <v>145069</v>
      </c>
      <c r="AY40" s="166">
        <v>55153</v>
      </c>
      <c r="AZ40" s="166">
        <v>49</v>
      </c>
      <c r="BA40" s="166">
        <v>0</v>
      </c>
      <c r="BB40" s="172">
        <f t="shared" si="8"/>
        <v>200271</v>
      </c>
      <c r="BC40" s="187">
        <v>98248</v>
      </c>
      <c r="BD40" s="166">
        <v>113903</v>
      </c>
      <c r="BE40" s="166">
        <v>-137</v>
      </c>
      <c r="BF40" s="166">
        <v>0</v>
      </c>
      <c r="BG40" s="172">
        <f t="shared" si="9"/>
        <v>212014</v>
      </c>
      <c r="BH40" s="187">
        <v>0</v>
      </c>
      <c r="BI40" s="166">
        <v>0</v>
      </c>
      <c r="BJ40" s="166">
        <v>0</v>
      </c>
      <c r="BK40" s="166">
        <v>0</v>
      </c>
      <c r="BL40" s="172">
        <f t="shared" si="10"/>
        <v>0</v>
      </c>
      <c r="BM40" s="187">
        <v>0</v>
      </c>
      <c r="BN40" s="166">
        <v>0</v>
      </c>
      <c r="BO40" s="166">
        <v>0</v>
      </c>
      <c r="BP40" s="166">
        <v>0</v>
      </c>
      <c r="BQ40" s="172">
        <f t="shared" si="11"/>
        <v>0</v>
      </c>
      <c r="BR40" s="187">
        <f t="shared" si="12"/>
        <v>1219618</v>
      </c>
      <c r="BS40" s="381">
        <f t="shared" si="3"/>
        <v>5911202</v>
      </c>
      <c r="BT40" s="166">
        <f t="shared" si="3"/>
        <v>604</v>
      </c>
      <c r="BU40" s="166">
        <f t="shared" si="3"/>
        <v>0</v>
      </c>
      <c r="BV40" s="187">
        <f t="shared" si="13"/>
        <v>7131424</v>
      </c>
      <c r="BW40" s="144"/>
      <c r="BX40" s="435">
        <f t="shared" si="16"/>
        <v>80.096527930416869</v>
      </c>
      <c r="BZ40" s="440">
        <v>87743.970720000027</v>
      </c>
      <c r="CA40" s="440">
        <v>658456.27989999996</v>
      </c>
      <c r="CB40" s="440">
        <v>186.89713</v>
      </c>
      <c r="CC40" s="443">
        <v>0</v>
      </c>
      <c r="CD40" s="443">
        <v>746387.14775</v>
      </c>
      <c r="CE40" s="317">
        <f t="shared" si="17"/>
        <v>-2.9279999973368831E-2</v>
      </c>
      <c r="CF40" s="317">
        <f t="shared" si="14"/>
        <v>0.27989999996498227</v>
      </c>
      <c r="CG40" s="317">
        <f t="shared" si="14"/>
        <v>-0.1028699999999958</v>
      </c>
      <c r="CH40" s="136">
        <f t="shared" si="14"/>
        <v>0</v>
      </c>
      <c r="CI40" s="444">
        <f t="shared" si="14"/>
        <v>0.14775000000372529</v>
      </c>
    </row>
    <row r="41" spans="1:87" x14ac:dyDescent="0.3">
      <c r="A41" s="308">
        <v>35</v>
      </c>
      <c r="B41" s="309" t="s">
        <v>241</v>
      </c>
      <c r="D41" s="310"/>
      <c r="E41" s="187">
        <v>485583</v>
      </c>
      <c r="F41" s="381">
        <v>8467427</v>
      </c>
      <c r="G41" s="166">
        <v>8941</v>
      </c>
      <c r="H41" s="166">
        <v>92</v>
      </c>
      <c r="I41" s="172">
        <f t="shared" si="0"/>
        <v>8962043</v>
      </c>
      <c r="J41" s="187">
        <v>29357</v>
      </c>
      <c r="K41" s="166">
        <v>929065</v>
      </c>
      <c r="L41" s="166">
        <v>156</v>
      </c>
      <c r="M41" s="166">
        <v>35</v>
      </c>
      <c r="N41" s="172">
        <f t="shared" si="15"/>
        <v>958613</v>
      </c>
      <c r="O41" s="166">
        <v>33981</v>
      </c>
      <c r="P41" s="166">
        <v>11418</v>
      </c>
      <c r="Q41" s="166">
        <v>565</v>
      </c>
      <c r="R41" s="166">
        <v>0</v>
      </c>
      <c r="S41" s="172">
        <f t="shared" si="20"/>
        <v>45964</v>
      </c>
      <c r="T41" s="187">
        <v>36341</v>
      </c>
      <c r="U41" s="166">
        <v>80953</v>
      </c>
      <c r="V41" s="166">
        <v>424</v>
      </c>
      <c r="W41" s="166">
        <v>46</v>
      </c>
      <c r="X41" s="172">
        <f t="shared" si="5"/>
        <v>117764</v>
      </c>
      <c r="Y41" s="187">
        <v>36562</v>
      </c>
      <c r="Z41" s="166">
        <v>1282054</v>
      </c>
      <c r="AA41" s="166">
        <v>146</v>
      </c>
      <c r="AB41" s="166">
        <v>0</v>
      </c>
      <c r="AC41" s="172">
        <f t="shared" si="6"/>
        <v>1318762</v>
      </c>
      <c r="AD41" s="187">
        <v>36972</v>
      </c>
      <c r="AE41" s="166">
        <v>1547599</v>
      </c>
      <c r="AF41" s="166">
        <v>0</v>
      </c>
      <c r="AG41" s="166">
        <v>0</v>
      </c>
      <c r="AH41" s="172">
        <f t="shared" si="7"/>
        <v>1584571</v>
      </c>
      <c r="AI41" s="187">
        <v>44696</v>
      </c>
      <c r="AJ41" s="166">
        <v>534942</v>
      </c>
      <c r="AK41" s="166">
        <v>673</v>
      </c>
      <c r="AL41" s="166">
        <v>0</v>
      </c>
      <c r="AM41" s="172">
        <f t="shared" si="1"/>
        <v>580311</v>
      </c>
      <c r="AN41" s="187">
        <v>38829</v>
      </c>
      <c r="AO41" s="166">
        <v>912970</v>
      </c>
      <c r="AP41" s="166">
        <v>1983</v>
      </c>
      <c r="AQ41" s="166">
        <v>0</v>
      </c>
      <c r="AR41" s="172">
        <f t="shared" si="2"/>
        <v>953782</v>
      </c>
      <c r="AS41" s="187">
        <v>36895</v>
      </c>
      <c r="AT41" s="166">
        <v>636507</v>
      </c>
      <c r="AU41" s="166">
        <v>613</v>
      </c>
      <c r="AV41" s="166">
        <v>0</v>
      </c>
      <c r="AW41" s="172">
        <f t="shared" si="18"/>
        <v>674015</v>
      </c>
      <c r="AX41" s="187">
        <v>47148</v>
      </c>
      <c r="AY41" s="166">
        <v>445374</v>
      </c>
      <c r="AZ41" s="166">
        <v>1068</v>
      </c>
      <c r="BA41" s="166">
        <v>0</v>
      </c>
      <c r="BB41" s="172">
        <f t="shared" si="8"/>
        <v>493590</v>
      </c>
      <c r="BC41" s="187">
        <v>34645</v>
      </c>
      <c r="BD41" s="166">
        <v>1141536</v>
      </c>
      <c r="BE41" s="166">
        <v>305</v>
      </c>
      <c r="BF41" s="166">
        <v>5</v>
      </c>
      <c r="BG41" s="172">
        <f t="shared" si="9"/>
        <v>1176491</v>
      </c>
      <c r="BH41" s="187">
        <v>0</v>
      </c>
      <c r="BI41" s="166">
        <v>0</v>
      </c>
      <c r="BJ41" s="166">
        <v>0</v>
      </c>
      <c r="BK41" s="166">
        <v>0</v>
      </c>
      <c r="BL41" s="172">
        <f t="shared" si="10"/>
        <v>0</v>
      </c>
      <c r="BM41" s="187">
        <v>0</v>
      </c>
      <c r="BN41" s="166">
        <v>0</v>
      </c>
      <c r="BO41" s="166">
        <v>0</v>
      </c>
      <c r="BP41" s="166">
        <v>0</v>
      </c>
      <c r="BQ41" s="172">
        <f t="shared" si="11"/>
        <v>0</v>
      </c>
      <c r="BR41" s="187">
        <f t="shared" si="12"/>
        <v>375426</v>
      </c>
      <c r="BS41" s="381">
        <f t="shared" si="3"/>
        <v>7522418</v>
      </c>
      <c r="BT41" s="166">
        <f t="shared" si="3"/>
        <v>5933</v>
      </c>
      <c r="BU41" s="166">
        <f t="shared" si="3"/>
        <v>86</v>
      </c>
      <c r="BV41" s="187">
        <f t="shared" si="13"/>
        <v>7903863</v>
      </c>
      <c r="BW41" s="144"/>
      <c r="BX41" s="435">
        <f t="shared" si="16"/>
        <v>88.192647591626155</v>
      </c>
      <c r="BZ41" s="440">
        <v>29356.672210000001</v>
      </c>
      <c r="CA41" s="440">
        <v>929064.91767</v>
      </c>
      <c r="CB41" s="440">
        <v>155.779</v>
      </c>
      <c r="CC41" s="443">
        <v>34.747250000000001</v>
      </c>
      <c r="CD41" s="443">
        <v>958612.11612999998</v>
      </c>
      <c r="CE41" s="317">
        <f t="shared" si="17"/>
        <v>-0.32778999999936786</v>
      </c>
      <c r="CF41" s="317">
        <f t="shared" si="14"/>
        <v>-8.2330000004731119E-2</v>
      </c>
      <c r="CG41" s="317">
        <f t="shared" si="14"/>
        <v>-0.22100000000000364</v>
      </c>
      <c r="CH41" s="136">
        <f t="shared" si="14"/>
        <v>-0.25274999999999892</v>
      </c>
      <c r="CI41" s="444">
        <f t="shared" si="14"/>
        <v>-0.88387000001966953</v>
      </c>
    </row>
    <row r="42" spans="1:87" x14ac:dyDescent="0.3">
      <c r="A42" s="308">
        <v>36</v>
      </c>
      <c r="B42" s="17" t="s">
        <v>242</v>
      </c>
      <c r="D42" s="310"/>
      <c r="E42" s="187">
        <v>212377</v>
      </c>
      <c r="F42" s="381">
        <v>2397586</v>
      </c>
      <c r="G42" s="166">
        <v>3250</v>
      </c>
      <c r="H42" s="166">
        <v>5</v>
      </c>
      <c r="I42" s="172">
        <f t="shared" si="0"/>
        <v>2613218</v>
      </c>
      <c r="J42" s="187">
        <v>15382</v>
      </c>
      <c r="K42" s="166">
        <v>97893</v>
      </c>
      <c r="L42" s="166">
        <v>113</v>
      </c>
      <c r="M42" s="166">
        <v>0</v>
      </c>
      <c r="N42" s="172">
        <f t="shared" si="15"/>
        <v>113388</v>
      </c>
      <c r="O42" s="166">
        <v>14670</v>
      </c>
      <c r="P42" s="166">
        <v>1537</v>
      </c>
      <c r="Q42" s="166">
        <v>162</v>
      </c>
      <c r="R42" s="166">
        <v>0</v>
      </c>
      <c r="S42" s="172">
        <f t="shared" si="20"/>
        <v>16369</v>
      </c>
      <c r="T42" s="187">
        <v>14188</v>
      </c>
      <c r="U42" s="166">
        <v>653390</v>
      </c>
      <c r="V42" s="166">
        <v>126</v>
      </c>
      <c r="W42" s="166">
        <v>0</v>
      </c>
      <c r="X42" s="172">
        <f t="shared" si="5"/>
        <v>667704</v>
      </c>
      <c r="Y42" s="187">
        <v>14936</v>
      </c>
      <c r="Z42" s="166">
        <v>116655</v>
      </c>
      <c r="AA42" s="166">
        <v>412</v>
      </c>
      <c r="AB42" s="166">
        <v>5</v>
      </c>
      <c r="AC42" s="172">
        <f t="shared" si="6"/>
        <v>132008</v>
      </c>
      <c r="AD42" s="187">
        <v>12572</v>
      </c>
      <c r="AE42" s="166">
        <v>435480</v>
      </c>
      <c r="AF42" s="166">
        <v>224</v>
      </c>
      <c r="AG42" s="166">
        <v>0</v>
      </c>
      <c r="AH42" s="172">
        <f>SUM(AD42:AG42)</f>
        <v>448276</v>
      </c>
      <c r="AI42" s="187">
        <v>18548</v>
      </c>
      <c r="AJ42" s="166">
        <v>118652</v>
      </c>
      <c r="AK42" s="166">
        <v>-183</v>
      </c>
      <c r="AL42" s="166">
        <v>0</v>
      </c>
      <c r="AM42" s="172">
        <f t="shared" si="1"/>
        <v>137017</v>
      </c>
      <c r="AN42" s="187">
        <v>17172</v>
      </c>
      <c r="AO42" s="166">
        <v>99046</v>
      </c>
      <c r="AP42" s="166">
        <v>119</v>
      </c>
      <c r="AQ42" s="166">
        <v>0</v>
      </c>
      <c r="AR42" s="172">
        <f t="shared" si="2"/>
        <v>116337</v>
      </c>
      <c r="AS42" s="187">
        <v>18489</v>
      </c>
      <c r="AT42" s="166">
        <v>378648</v>
      </c>
      <c r="AU42" s="166">
        <v>219</v>
      </c>
      <c r="AV42" s="166">
        <v>0</v>
      </c>
      <c r="AW42" s="172">
        <f t="shared" si="18"/>
        <v>397356</v>
      </c>
      <c r="AX42" s="187">
        <v>22031</v>
      </c>
      <c r="AY42" s="166">
        <v>138510</v>
      </c>
      <c r="AZ42" s="166">
        <v>797</v>
      </c>
      <c r="BA42" s="166">
        <v>0</v>
      </c>
      <c r="BB42" s="172">
        <f t="shared" si="8"/>
        <v>161338</v>
      </c>
      <c r="BC42" s="187">
        <v>19221</v>
      </c>
      <c r="BD42" s="166">
        <v>82109</v>
      </c>
      <c r="BE42" s="166">
        <v>45</v>
      </c>
      <c r="BF42" s="166">
        <v>0</v>
      </c>
      <c r="BG42" s="172">
        <f t="shared" si="9"/>
        <v>101375</v>
      </c>
      <c r="BH42" s="187">
        <v>0</v>
      </c>
      <c r="BI42" s="166">
        <v>0</v>
      </c>
      <c r="BJ42" s="166">
        <v>0</v>
      </c>
      <c r="BK42" s="166">
        <v>0</v>
      </c>
      <c r="BL42" s="172">
        <f t="shared" si="10"/>
        <v>0</v>
      </c>
      <c r="BM42" s="187">
        <v>0</v>
      </c>
      <c r="BN42" s="166">
        <v>0</v>
      </c>
      <c r="BO42" s="166">
        <v>0</v>
      </c>
      <c r="BP42" s="166">
        <v>0</v>
      </c>
      <c r="BQ42" s="172">
        <f t="shared" si="11"/>
        <v>0</v>
      </c>
      <c r="BR42" s="187">
        <f t="shared" si="12"/>
        <v>167209</v>
      </c>
      <c r="BS42" s="381">
        <f t="shared" si="3"/>
        <v>2121920</v>
      </c>
      <c r="BT42" s="166">
        <f t="shared" si="3"/>
        <v>2034</v>
      </c>
      <c r="BU42" s="166">
        <f t="shared" si="3"/>
        <v>5</v>
      </c>
      <c r="BV42" s="187">
        <f t="shared" si="13"/>
        <v>2291168</v>
      </c>
      <c r="BW42" s="144"/>
      <c r="BX42" s="435">
        <f t="shared" si="16"/>
        <v>87.676114277492346</v>
      </c>
      <c r="BZ42" s="440">
        <v>14832.222280000013</v>
      </c>
      <c r="CA42" s="440">
        <v>96850</v>
      </c>
      <c r="CB42" s="440">
        <v>112.87321</v>
      </c>
      <c r="CC42" s="443">
        <v>0</v>
      </c>
      <c r="CD42" s="443">
        <v>111795.09549000002</v>
      </c>
      <c r="CE42" s="317">
        <f t="shared" si="17"/>
        <v>-549.77771999998731</v>
      </c>
      <c r="CF42" s="317">
        <f t="shared" si="14"/>
        <v>-1043</v>
      </c>
      <c r="CG42" s="317">
        <f t="shared" si="14"/>
        <v>-0.12678999999999974</v>
      </c>
      <c r="CH42" s="136">
        <f t="shared" si="14"/>
        <v>0</v>
      </c>
      <c r="CI42" s="444">
        <f t="shared" si="14"/>
        <v>-1592.9045099999785</v>
      </c>
    </row>
    <row r="43" spans="1:87" x14ac:dyDescent="0.3">
      <c r="A43" s="308">
        <v>37</v>
      </c>
      <c r="B43" s="17" t="s">
        <v>243</v>
      </c>
      <c r="D43" s="339"/>
      <c r="E43" s="187">
        <v>843770</v>
      </c>
      <c r="F43" s="381">
        <v>4731841</v>
      </c>
      <c r="G43" s="166">
        <v>56285</v>
      </c>
      <c r="H43" s="166">
        <v>11764</v>
      </c>
      <c r="I43" s="172">
        <f>SUM(E43:H43)</f>
        <v>5643660</v>
      </c>
      <c r="J43" s="187">
        <v>43551</v>
      </c>
      <c r="K43" s="166">
        <v>684690</v>
      </c>
      <c r="L43" s="166">
        <v>267</v>
      </c>
      <c r="M43" s="166">
        <v>0</v>
      </c>
      <c r="N43" s="172">
        <f t="shared" si="15"/>
        <v>728508</v>
      </c>
      <c r="O43" s="166">
        <v>62546</v>
      </c>
      <c r="P43" s="166">
        <v>17211</v>
      </c>
      <c r="Q43" s="166">
        <v>54</v>
      </c>
      <c r="R43" s="166">
        <v>5</v>
      </c>
      <c r="S43" s="172">
        <f>SUM(O43:R43)</f>
        <v>79816</v>
      </c>
      <c r="T43" s="187">
        <v>52111</v>
      </c>
      <c r="U43" s="166">
        <v>170703</v>
      </c>
      <c r="V43" s="166">
        <v>1677</v>
      </c>
      <c r="W43" s="166">
        <v>0</v>
      </c>
      <c r="X43" s="172">
        <f t="shared" si="5"/>
        <v>224491</v>
      </c>
      <c r="Y43" s="187">
        <v>80011</v>
      </c>
      <c r="Z43" s="166">
        <v>928894</v>
      </c>
      <c r="AA43" s="166">
        <v>222</v>
      </c>
      <c r="AB43" s="166">
        <v>0</v>
      </c>
      <c r="AC43" s="172">
        <f t="shared" si="6"/>
        <v>1009127</v>
      </c>
      <c r="AD43" s="187">
        <v>56723</v>
      </c>
      <c r="AE43" s="166">
        <v>337420</v>
      </c>
      <c r="AF43" s="166">
        <v>29</v>
      </c>
      <c r="AG43" s="166">
        <v>20</v>
      </c>
      <c r="AH43" s="172">
        <f t="shared" si="7"/>
        <v>394192</v>
      </c>
      <c r="AI43" s="187">
        <v>84061</v>
      </c>
      <c r="AJ43" s="166">
        <v>58855</v>
      </c>
      <c r="AK43" s="166">
        <v>5</v>
      </c>
      <c r="AL43" s="166">
        <v>0</v>
      </c>
      <c r="AM43" s="172">
        <f t="shared" si="1"/>
        <v>142921</v>
      </c>
      <c r="AN43" s="187">
        <v>69927</v>
      </c>
      <c r="AO43" s="166">
        <v>893724</v>
      </c>
      <c r="AP43" s="166">
        <v>2301</v>
      </c>
      <c r="AQ43" s="166">
        <v>212</v>
      </c>
      <c r="AR43" s="172">
        <f t="shared" si="2"/>
        <v>966164</v>
      </c>
      <c r="AS43" s="187">
        <v>98061</v>
      </c>
      <c r="AT43" s="166">
        <v>239781</v>
      </c>
      <c r="AU43" s="166">
        <v>4827</v>
      </c>
      <c r="AV43" s="166">
        <v>11</v>
      </c>
      <c r="AW43" s="172">
        <f t="shared" si="18"/>
        <v>342680</v>
      </c>
      <c r="AX43" s="187">
        <v>67748</v>
      </c>
      <c r="AY43" s="166">
        <v>260443</v>
      </c>
      <c r="AZ43" s="166">
        <v>0</v>
      </c>
      <c r="BA43" s="166">
        <v>179</v>
      </c>
      <c r="BB43" s="172">
        <f t="shared" si="8"/>
        <v>328370</v>
      </c>
      <c r="BC43" s="187">
        <v>47033</v>
      </c>
      <c r="BD43" s="166">
        <v>676026</v>
      </c>
      <c r="BE43" s="166">
        <v>215</v>
      </c>
      <c r="BF43" s="166">
        <v>15</v>
      </c>
      <c r="BG43" s="172">
        <f t="shared" si="9"/>
        <v>723289</v>
      </c>
      <c r="BH43" s="187">
        <v>0</v>
      </c>
      <c r="BI43" s="166">
        <v>0</v>
      </c>
      <c r="BJ43" s="166">
        <v>0</v>
      </c>
      <c r="BK43" s="166">
        <v>0</v>
      </c>
      <c r="BL43" s="172">
        <f t="shared" si="10"/>
        <v>0</v>
      </c>
      <c r="BM43" s="187">
        <v>0</v>
      </c>
      <c r="BN43" s="166">
        <v>0</v>
      </c>
      <c r="BO43" s="166">
        <v>0</v>
      </c>
      <c r="BP43" s="166">
        <v>0</v>
      </c>
      <c r="BQ43" s="172">
        <f t="shared" si="11"/>
        <v>0</v>
      </c>
      <c r="BR43" s="187">
        <f t="shared" si="12"/>
        <v>661772</v>
      </c>
      <c r="BS43" s="381">
        <f t="shared" si="3"/>
        <v>4267747</v>
      </c>
      <c r="BT43" s="166">
        <f t="shared" si="3"/>
        <v>9597</v>
      </c>
      <c r="BU43" s="166">
        <f t="shared" si="3"/>
        <v>442</v>
      </c>
      <c r="BV43" s="187">
        <f t="shared" si="13"/>
        <v>4939558</v>
      </c>
      <c r="BW43" s="144"/>
      <c r="BX43" s="435">
        <f t="shared" si="16"/>
        <v>87.524018101728302</v>
      </c>
      <c r="BZ43" s="440">
        <v>43550.579710000013</v>
      </c>
      <c r="CA43" s="440">
        <v>684690.49906000006</v>
      </c>
      <c r="CB43" s="440">
        <v>266.99572000000001</v>
      </c>
      <c r="CC43" s="443">
        <v>0</v>
      </c>
      <c r="CD43" s="443">
        <v>728508.07449000003</v>
      </c>
      <c r="CE43" s="317">
        <f t="shared" si="17"/>
        <v>-0.42028999998728978</v>
      </c>
      <c r="CF43" s="317">
        <f t="shared" si="14"/>
        <v>0.49906000006012619</v>
      </c>
      <c r="CG43" s="317">
        <f t="shared" si="14"/>
        <v>-4.2799999999942884E-3</v>
      </c>
      <c r="CH43" s="136">
        <f t="shared" si="14"/>
        <v>0</v>
      </c>
      <c r="CI43" s="444">
        <f t="shared" si="14"/>
        <v>7.4490000028163195E-2</v>
      </c>
    </row>
    <row r="44" spans="1:87" x14ac:dyDescent="0.3">
      <c r="A44" s="308">
        <v>38</v>
      </c>
      <c r="B44" s="309" t="s">
        <v>244</v>
      </c>
      <c r="D44" s="310"/>
      <c r="E44" s="187">
        <v>754713</v>
      </c>
      <c r="F44" s="381">
        <v>1569314</v>
      </c>
      <c r="G44" s="166">
        <v>213502</v>
      </c>
      <c r="H44" s="166">
        <v>247</v>
      </c>
      <c r="I44" s="172">
        <f t="shared" si="0"/>
        <v>2537776</v>
      </c>
      <c r="J44" s="187">
        <v>32635</v>
      </c>
      <c r="K44" s="166">
        <v>518974</v>
      </c>
      <c r="L44" s="166">
        <v>71</v>
      </c>
      <c r="M44" s="166">
        <v>0</v>
      </c>
      <c r="N44" s="172">
        <f t="shared" si="15"/>
        <v>551680</v>
      </c>
      <c r="O44" s="166">
        <v>44246</v>
      </c>
      <c r="P44" s="166">
        <v>2616</v>
      </c>
      <c r="Q44" s="166">
        <v>1940</v>
      </c>
      <c r="R44" s="166">
        <v>24</v>
      </c>
      <c r="S44" s="172">
        <f t="shared" si="20"/>
        <v>48826</v>
      </c>
      <c r="T44" s="187">
        <v>37210</v>
      </c>
      <c r="U44" s="166">
        <v>53</v>
      </c>
      <c r="V44" s="166">
        <v>107</v>
      </c>
      <c r="W44" s="166">
        <v>0</v>
      </c>
      <c r="X44" s="172">
        <f t="shared" si="5"/>
        <v>37370</v>
      </c>
      <c r="Y44" s="187">
        <v>42089</v>
      </c>
      <c r="Z44" s="166">
        <v>86909</v>
      </c>
      <c r="AA44" s="166">
        <v>250</v>
      </c>
      <c r="AB44" s="166">
        <v>0</v>
      </c>
      <c r="AC44" s="172">
        <f t="shared" si="6"/>
        <v>129248</v>
      </c>
      <c r="AD44" s="187">
        <v>45804</v>
      </c>
      <c r="AE44" s="166">
        <v>636</v>
      </c>
      <c r="AF44" s="166">
        <v>7883</v>
      </c>
      <c r="AG44" s="166">
        <v>15</v>
      </c>
      <c r="AH44" s="172">
        <f t="shared" si="7"/>
        <v>54338</v>
      </c>
      <c r="AI44" s="187">
        <v>42135</v>
      </c>
      <c r="AJ44" s="166">
        <v>1152</v>
      </c>
      <c r="AK44" s="166">
        <v>57</v>
      </c>
      <c r="AL44" s="166">
        <v>138</v>
      </c>
      <c r="AM44" s="172">
        <f t="shared" si="1"/>
        <v>43482</v>
      </c>
      <c r="AN44" s="187">
        <v>79357</v>
      </c>
      <c r="AO44" s="166">
        <v>606593</v>
      </c>
      <c r="AP44" s="166">
        <v>106839</v>
      </c>
      <c r="AQ44" s="166">
        <v>0</v>
      </c>
      <c r="AR44" s="172">
        <f t="shared" si="2"/>
        <v>792789</v>
      </c>
      <c r="AS44" s="187">
        <v>56230</v>
      </c>
      <c r="AT44" s="166">
        <v>120</v>
      </c>
      <c r="AU44" s="166">
        <v>1036</v>
      </c>
      <c r="AV44" s="166">
        <v>0</v>
      </c>
      <c r="AW44" s="172">
        <f t="shared" si="18"/>
        <v>57386</v>
      </c>
      <c r="AX44" s="187">
        <v>107903</v>
      </c>
      <c r="AY44" s="166">
        <v>180065</v>
      </c>
      <c r="AZ44" s="166">
        <v>486</v>
      </c>
      <c r="BA44" s="166">
        <v>0</v>
      </c>
      <c r="BB44" s="172">
        <f t="shared" si="8"/>
        <v>288454</v>
      </c>
      <c r="BC44" s="187">
        <v>39984</v>
      </c>
      <c r="BD44" s="166">
        <v>90628</v>
      </c>
      <c r="BE44" s="166">
        <v>794</v>
      </c>
      <c r="BF44" s="166">
        <v>0</v>
      </c>
      <c r="BG44" s="172">
        <f t="shared" si="9"/>
        <v>131406</v>
      </c>
      <c r="BH44" s="187">
        <v>0</v>
      </c>
      <c r="BI44" s="166">
        <v>0</v>
      </c>
      <c r="BJ44" s="166">
        <v>0</v>
      </c>
      <c r="BK44" s="166">
        <v>0</v>
      </c>
      <c r="BL44" s="172">
        <f t="shared" si="10"/>
        <v>0</v>
      </c>
      <c r="BM44" s="187">
        <v>0</v>
      </c>
      <c r="BN44" s="166">
        <v>0</v>
      </c>
      <c r="BO44" s="166">
        <v>0</v>
      </c>
      <c r="BP44" s="166">
        <v>0</v>
      </c>
      <c r="BQ44" s="172">
        <f t="shared" si="11"/>
        <v>0</v>
      </c>
      <c r="BR44" s="187">
        <f t="shared" si="12"/>
        <v>527593</v>
      </c>
      <c r="BS44" s="381">
        <f t="shared" si="3"/>
        <v>1487746</v>
      </c>
      <c r="BT44" s="166">
        <f t="shared" si="3"/>
        <v>119463</v>
      </c>
      <c r="BU44" s="166">
        <f t="shared" si="3"/>
        <v>177</v>
      </c>
      <c r="BV44" s="187">
        <f t="shared" si="13"/>
        <v>2134979</v>
      </c>
      <c r="BW44" s="144"/>
      <c r="BX44" s="435">
        <f t="shared" si="16"/>
        <v>84.127952979301554</v>
      </c>
      <c r="BZ44" s="440">
        <v>32634.672039999998</v>
      </c>
      <c r="CA44" s="440">
        <v>518973.73267</v>
      </c>
      <c r="CB44" s="440">
        <v>71.467469999999992</v>
      </c>
      <c r="CC44" s="443">
        <v>0</v>
      </c>
      <c r="CD44" s="443">
        <v>551679.87218000006</v>
      </c>
      <c r="CE44" s="317">
        <f t="shared" si="17"/>
        <v>-0.32796000000234926</v>
      </c>
      <c r="CF44" s="317">
        <f t="shared" si="14"/>
        <v>-0.26733000000240281</v>
      </c>
      <c r="CG44" s="317">
        <f t="shared" si="14"/>
        <v>0.46746999999999161</v>
      </c>
      <c r="CH44" s="136">
        <f t="shared" si="14"/>
        <v>0</v>
      </c>
      <c r="CI44" s="444">
        <f t="shared" si="14"/>
        <v>-0.12781999993603677</v>
      </c>
    </row>
    <row r="45" spans="1:87" x14ac:dyDescent="0.3">
      <c r="A45" s="308">
        <v>39</v>
      </c>
      <c r="B45" s="309" t="s">
        <v>245</v>
      </c>
      <c r="D45" s="310"/>
      <c r="E45" s="187">
        <v>1513349</v>
      </c>
      <c r="F45" s="381">
        <v>10096844</v>
      </c>
      <c r="G45" s="166">
        <v>2787</v>
      </c>
      <c r="H45" s="166">
        <v>1116</v>
      </c>
      <c r="I45" s="172">
        <f t="shared" si="0"/>
        <v>11614096</v>
      </c>
      <c r="J45" s="187">
        <v>111379</v>
      </c>
      <c r="K45" s="166">
        <v>1485795</v>
      </c>
      <c r="L45" s="166">
        <v>302</v>
      </c>
      <c r="M45" s="166">
        <v>0</v>
      </c>
      <c r="N45" s="172">
        <f>SUM(J45:M45)</f>
        <v>1597476</v>
      </c>
      <c r="O45" s="166">
        <v>128328</v>
      </c>
      <c r="P45" s="166">
        <v>403674</v>
      </c>
      <c r="Q45" s="166">
        <v>12</v>
      </c>
      <c r="R45" s="166">
        <v>0</v>
      </c>
      <c r="S45" s="172">
        <f>SUM(O45:R45)</f>
        <v>532014</v>
      </c>
      <c r="T45" s="187">
        <v>95288</v>
      </c>
      <c r="U45" s="166">
        <v>682891</v>
      </c>
      <c r="V45" s="166">
        <v>0</v>
      </c>
      <c r="W45" s="166">
        <v>7</v>
      </c>
      <c r="X45" s="172">
        <f t="shared" si="5"/>
        <v>778186</v>
      </c>
      <c r="Y45" s="187">
        <v>138056</v>
      </c>
      <c r="Z45" s="166">
        <v>672651</v>
      </c>
      <c r="AA45" s="166">
        <v>0</v>
      </c>
      <c r="AB45" s="166">
        <v>0</v>
      </c>
      <c r="AC45" s="172">
        <f t="shared" si="6"/>
        <v>810707</v>
      </c>
      <c r="AD45" s="187">
        <v>120629</v>
      </c>
      <c r="AE45" s="166">
        <v>720526</v>
      </c>
      <c r="AF45" s="166">
        <v>11</v>
      </c>
      <c r="AG45" s="166">
        <v>0</v>
      </c>
      <c r="AH45" s="172">
        <f>SUM(AD45:AG45)</f>
        <v>841166</v>
      </c>
      <c r="AI45" s="187">
        <v>135981</v>
      </c>
      <c r="AJ45" s="166">
        <v>1626555</v>
      </c>
      <c r="AK45" s="166">
        <v>6</v>
      </c>
      <c r="AL45" s="166">
        <v>0</v>
      </c>
      <c r="AM45" s="172">
        <f t="shared" si="1"/>
        <v>1762542</v>
      </c>
      <c r="AN45" s="187">
        <v>122486</v>
      </c>
      <c r="AO45" s="166">
        <v>1151496</v>
      </c>
      <c r="AP45" s="166">
        <v>799</v>
      </c>
      <c r="AQ45" s="166">
        <v>0</v>
      </c>
      <c r="AR45" s="172">
        <f t="shared" si="2"/>
        <v>1274781</v>
      </c>
      <c r="AS45" s="187">
        <v>121228</v>
      </c>
      <c r="AT45" s="166">
        <v>429594</v>
      </c>
      <c r="AU45" s="166">
        <v>67</v>
      </c>
      <c r="AV45" s="166">
        <v>0</v>
      </c>
      <c r="AW45" s="172">
        <f t="shared" si="18"/>
        <v>550889</v>
      </c>
      <c r="AX45" s="187">
        <v>130673</v>
      </c>
      <c r="AY45" s="166">
        <v>278596</v>
      </c>
      <c r="AZ45" s="166">
        <v>0</v>
      </c>
      <c r="BA45" s="166">
        <v>0</v>
      </c>
      <c r="BB45" s="172">
        <f t="shared" si="8"/>
        <v>409269</v>
      </c>
      <c r="BC45" s="187">
        <v>116243</v>
      </c>
      <c r="BD45" s="166">
        <v>37000</v>
      </c>
      <c r="BE45" s="166">
        <v>283</v>
      </c>
      <c r="BF45" s="166">
        <v>0</v>
      </c>
      <c r="BG45" s="172">
        <f t="shared" si="9"/>
        <v>153526</v>
      </c>
      <c r="BH45" s="187">
        <v>0</v>
      </c>
      <c r="BI45" s="166">
        <v>0</v>
      </c>
      <c r="BJ45" s="166">
        <v>0</v>
      </c>
      <c r="BK45" s="166">
        <v>0</v>
      </c>
      <c r="BL45" s="172">
        <f t="shared" si="10"/>
        <v>0</v>
      </c>
      <c r="BM45" s="187">
        <v>0</v>
      </c>
      <c r="BN45" s="166">
        <v>0</v>
      </c>
      <c r="BO45" s="166">
        <v>0</v>
      </c>
      <c r="BP45" s="166">
        <v>0</v>
      </c>
      <c r="BQ45" s="172">
        <f t="shared" si="11"/>
        <v>0</v>
      </c>
      <c r="BR45" s="187">
        <f t="shared" si="12"/>
        <v>1220291</v>
      </c>
      <c r="BS45" s="381">
        <f t="shared" si="3"/>
        <v>7488778</v>
      </c>
      <c r="BT45" s="166">
        <f t="shared" si="3"/>
        <v>1480</v>
      </c>
      <c r="BU45" s="166">
        <f t="shared" si="3"/>
        <v>7</v>
      </c>
      <c r="BV45" s="187">
        <f t="shared" si="13"/>
        <v>8710556</v>
      </c>
      <c r="BW45" s="144"/>
      <c r="BX45" s="435">
        <f t="shared" si="16"/>
        <v>74.999862236372067</v>
      </c>
      <c r="BZ45" s="440">
        <v>111060.15774</v>
      </c>
      <c r="CA45" s="440">
        <v>1485795.30373</v>
      </c>
      <c r="CB45" s="440">
        <v>302.36720000000003</v>
      </c>
      <c r="CC45" s="443">
        <v>0</v>
      </c>
      <c r="CD45" s="443">
        <v>1597157.82867</v>
      </c>
      <c r="CE45" s="317">
        <f t="shared" si="17"/>
        <v>-318.8422600000049</v>
      </c>
      <c r="CF45" s="317">
        <f t="shared" si="14"/>
        <v>0.30373000004328787</v>
      </c>
      <c r="CG45" s="317">
        <f t="shared" si="14"/>
        <v>0.36720000000002528</v>
      </c>
      <c r="CH45" s="136">
        <f t="shared" si="14"/>
        <v>0</v>
      </c>
      <c r="CI45" s="444">
        <f t="shared" si="14"/>
        <v>-318.17133000004105</v>
      </c>
    </row>
    <row r="46" spans="1:87" x14ac:dyDescent="0.3">
      <c r="A46" s="308">
        <v>40</v>
      </c>
      <c r="B46" s="309" t="s">
        <v>246</v>
      </c>
      <c r="D46" s="310"/>
      <c r="E46" s="187">
        <v>1099211</v>
      </c>
      <c r="F46" s="381">
        <f>63763594-3372</f>
        <v>63760222</v>
      </c>
      <c r="G46" s="166">
        <v>43702</v>
      </c>
      <c r="H46" s="166">
        <v>142</v>
      </c>
      <c r="I46" s="172">
        <f t="shared" si="0"/>
        <v>64903277</v>
      </c>
      <c r="J46" s="187">
        <v>146828</v>
      </c>
      <c r="K46" s="166">
        <v>7814040</v>
      </c>
      <c r="L46" s="166">
        <v>143</v>
      </c>
      <c r="M46" s="166">
        <v>0</v>
      </c>
      <c r="N46" s="172">
        <f t="shared" si="15"/>
        <v>7961011</v>
      </c>
      <c r="O46" s="166">
        <v>88531</v>
      </c>
      <c r="P46" s="166">
        <v>4950271</v>
      </c>
      <c r="Q46" s="166">
        <v>518</v>
      </c>
      <c r="R46" s="166">
        <v>45</v>
      </c>
      <c r="S46" s="172">
        <f t="shared" si="20"/>
        <v>5039365</v>
      </c>
      <c r="T46" s="187">
        <v>-4854</v>
      </c>
      <c r="U46" s="166">
        <v>1606090</v>
      </c>
      <c r="V46" s="166">
        <v>266</v>
      </c>
      <c r="W46" s="166">
        <v>72</v>
      </c>
      <c r="X46" s="172">
        <f t="shared" si="5"/>
        <v>1601574</v>
      </c>
      <c r="Y46" s="187">
        <v>81011</v>
      </c>
      <c r="Z46" s="166">
        <v>9107938</v>
      </c>
      <c r="AA46" s="166">
        <v>654</v>
      </c>
      <c r="AB46" s="166">
        <v>0</v>
      </c>
      <c r="AC46" s="172">
        <f t="shared" si="6"/>
        <v>9189603</v>
      </c>
      <c r="AD46" s="187">
        <v>69613</v>
      </c>
      <c r="AE46" s="166">
        <v>4295742</v>
      </c>
      <c r="AF46" s="166">
        <v>517</v>
      </c>
      <c r="AG46" s="166">
        <v>0</v>
      </c>
      <c r="AH46" s="172">
        <f t="shared" si="7"/>
        <v>4365872</v>
      </c>
      <c r="AI46" s="187">
        <v>75614</v>
      </c>
      <c r="AJ46" s="166">
        <v>813752</v>
      </c>
      <c r="AK46" s="166">
        <v>276</v>
      </c>
      <c r="AL46" s="166">
        <v>0</v>
      </c>
      <c r="AM46" s="172">
        <f t="shared" si="1"/>
        <v>889642</v>
      </c>
      <c r="AN46" s="187">
        <v>79276</v>
      </c>
      <c r="AO46" s="166">
        <v>5956783</v>
      </c>
      <c r="AP46" s="166">
        <v>579</v>
      </c>
      <c r="AQ46" s="166">
        <v>14</v>
      </c>
      <c r="AR46" s="172">
        <f t="shared" si="2"/>
        <v>6036652</v>
      </c>
      <c r="AS46" s="187">
        <v>62053</v>
      </c>
      <c r="AT46" s="166">
        <v>10994320</v>
      </c>
      <c r="AU46" s="166">
        <v>298</v>
      </c>
      <c r="AV46" s="166">
        <v>0</v>
      </c>
      <c r="AW46" s="172">
        <f t="shared" si="18"/>
        <v>11056671</v>
      </c>
      <c r="AX46" s="187">
        <v>95616</v>
      </c>
      <c r="AY46" s="166">
        <v>3305823</v>
      </c>
      <c r="AZ46" s="166">
        <v>114</v>
      </c>
      <c r="BA46" s="166">
        <v>1</v>
      </c>
      <c r="BB46" s="172">
        <f t="shared" si="8"/>
        <v>3401554</v>
      </c>
      <c r="BC46" s="187">
        <v>71780</v>
      </c>
      <c r="BD46" s="166">
        <v>7069803</v>
      </c>
      <c r="BE46" s="166">
        <v>832</v>
      </c>
      <c r="BF46" s="166">
        <v>0</v>
      </c>
      <c r="BG46" s="172">
        <f t="shared" si="9"/>
        <v>7142415</v>
      </c>
      <c r="BH46" s="187">
        <v>0</v>
      </c>
      <c r="BI46" s="166">
        <v>0</v>
      </c>
      <c r="BJ46" s="166">
        <v>0</v>
      </c>
      <c r="BK46" s="166">
        <v>0</v>
      </c>
      <c r="BL46" s="172">
        <f t="shared" si="10"/>
        <v>0</v>
      </c>
      <c r="BM46" s="187">
        <v>0</v>
      </c>
      <c r="BN46" s="166">
        <v>0</v>
      </c>
      <c r="BO46" s="166">
        <v>0</v>
      </c>
      <c r="BP46" s="166">
        <v>0</v>
      </c>
      <c r="BQ46" s="172">
        <f t="shared" si="11"/>
        <v>0</v>
      </c>
      <c r="BR46" s="187">
        <f t="shared" si="12"/>
        <v>765468</v>
      </c>
      <c r="BS46" s="381">
        <f t="shared" si="3"/>
        <v>55914562</v>
      </c>
      <c r="BT46" s="166">
        <f t="shared" si="3"/>
        <v>4197</v>
      </c>
      <c r="BU46" s="166">
        <f t="shared" si="3"/>
        <v>132</v>
      </c>
      <c r="BV46" s="187">
        <f t="shared" si="13"/>
        <v>56684359</v>
      </c>
      <c r="BW46" s="144"/>
      <c r="BX46" s="435">
        <f t="shared" si="16"/>
        <v>87.336667145481726</v>
      </c>
      <c r="BZ46" s="440">
        <v>146828.30793000001</v>
      </c>
      <c r="CA46" s="440">
        <v>7814040.2123100003</v>
      </c>
      <c r="CB46" s="440">
        <v>143.31022000000002</v>
      </c>
      <c r="CC46" s="443">
        <v>0</v>
      </c>
      <c r="CD46" s="443">
        <v>7961011.8304600008</v>
      </c>
      <c r="CE46" s="317">
        <f t="shared" si="17"/>
        <v>0.30793000000994653</v>
      </c>
      <c r="CF46" s="317">
        <f t="shared" si="14"/>
        <v>0.21231000032275915</v>
      </c>
      <c r="CG46" s="317">
        <f t="shared" si="14"/>
        <v>0.31022000000001526</v>
      </c>
      <c r="CH46" s="136">
        <f t="shared" si="14"/>
        <v>0</v>
      </c>
      <c r="CI46" s="444">
        <f t="shared" si="14"/>
        <v>0.83046000078320503</v>
      </c>
    </row>
    <row r="47" spans="1:87" x14ac:dyDescent="0.3">
      <c r="A47" s="308">
        <v>41</v>
      </c>
      <c r="B47" s="309" t="s">
        <v>247</v>
      </c>
      <c r="D47" s="361"/>
      <c r="E47" s="187">
        <v>3215615</v>
      </c>
      <c r="F47" s="381">
        <v>9414312</v>
      </c>
      <c r="G47" s="166">
        <v>2573409</v>
      </c>
      <c r="H47" s="166">
        <v>178</v>
      </c>
      <c r="I47" s="172">
        <f t="shared" si="0"/>
        <v>15203514</v>
      </c>
      <c r="J47" s="187">
        <v>165548</v>
      </c>
      <c r="K47" s="166">
        <v>1345</v>
      </c>
      <c r="L47" s="166">
        <v>58262</v>
      </c>
      <c r="M47" s="166">
        <v>0</v>
      </c>
      <c r="N47" s="172">
        <f t="shared" si="15"/>
        <v>225155</v>
      </c>
      <c r="O47" s="166">
        <v>218363</v>
      </c>
      <c r="P47" s="166">
        <v>889567</v>
      </c>
      <c r="Q47" s="166">
        <v>86903</v>
      </c>
      <c r="R47" s="166">
        <v>0</v>
      </c>
      <c r="S47" s="172">
        <f t="shared" si="20"/>
        <v>1194833</v>
      </c>
      <c r="T47" s="187">
        <v>198439</v>
      </c>
      <c r="U47" s="166">
        <v>436056</v>
      </c>
      <c r="V47" s="166">
        <v>200248</v>
      </c>
      <c r="W47" s="166">
        <v>0</v>
      </c>
      <c r="X47" s="172">
        <f t="shared" si="5"/>
        <v>834743</v>
      </c>
      <c r="Y47" s="187">
        <v>207679</v>
      </c>
      <c r="Z47" s="166">
        <v>1005363</v>
      </c>
      <c r="AA47" s="166">
        <v>180558</v>
      </c>
      <c r="AB47" s="166"/>
      <c r="AC47" s="172">
        <f t="shared" si="6"/>
        <v>1393600</v>
      </c>
      <c r="AD47" s="187">
        <v>265837</v>
      </c>
      <c r="AE47" s="166">
        <v>403203</v>
      </c>
      <c r="AF47" s="166">
        <v>158222</v>
      </c>
      <c r="AG47" s="166">
        <v>0</v>
      </c>
      <c r="AH47" s="172">
        <f>SUM(AD47:AG47)</f>
        <v>827262</v>
      </c>
      <c r="AI47" s="187">
        <v>304765</v>
      </c>
      <c r="AJ47" s="166">
        <v>761675</v>
      </c>
      <c r="AK47" s="166">
        <v>168310</v>
      </c>
      <c r="AL47" s="166">
        <v>0</v>
      </c>
      <c r="AM47" s="172">
        <f t="shared" si="1"/>
        <v>1234750</v>
      </c>
      <c r="AN47" s="187">
        <v>228544</v>
      </c>
      <c r="AO47" s="166">
        <v>890085</v>
      </c>
      <c r="AP47" s="166">
        <v>169153</v>
      </c>
      <c r="AQ47" s="166">
        <v>0</v>
      </c>
      <c r="AR47" s="172">
        <f t="shared" si="2"/>
        <v>1287782</v>
      </c>
      <c r="AS47" s="187">
        <v>298655</v>
      </c>
      <c r="AT47" s="166">
        <v>1244523</v>
      </c>
      <c r="AU47" s="166">
        <v>216986</v>
      </c>
      <c r="AV47" s="166">
        <v>0</v>
      </c>
      <c r="AW47" s="172">
        <f t="shared" si="18"/>
        <v>1760164</v>
      </c>
      <c r="AX47" s="187">
        <v>269362</v>
      </c>
      <c r="AY47" s="166">
        <v>491284</v>
      </c>
      <c r="AZ47" s="166">
        <v>277669</v>
      </c>
      <c r="BA47" s="166">
        <v>0</v>
      </c>
      <c r="BB47" s="172">
        <f t="shared" si="8"/>
        <v>1038315</v>
      </c>
      <c r="BC47" s="187">
        <v>222998</v>
      </c>
      <c r="BD47" s="166">
        <v>282066</v>
      </c>
      <c r="BE47" s="166">
        <v>102836</v>
      </c>
      <c r="BF47" s="166">
        <v>178</v>
      </c>
      <c r="BG47" s="172">
        <f t="shared" si="9"/>
        <v>608078</v>
      </c>
      <c r="BH47" s="187">
        <v>0</v>
      </c>
      <c r="BI47" s="166">
        <v>0</v>
      </c>
      <c r="BJ47" s="166">
        <v>0</v>
      </c>
      <c r="BK47" s="166">
        <v>0</v>
      </c>
      <c r="BL47" s="172">
        <f t="shared" si="10"/>
        <v>0</v>
      </c>
      <c r="BM47" s="187">
        <v>0</v>
      </c>
      <c r="BN47" s="166">
        <v>0</v>
      </c>
      <c r="BO47" s="166">
        <v>0</v>
      </c>
      <c r="BP47" s="166">
        <v>0</v>
      </c>
      <c r="BQ47" s="172">
        <f t="shared" si="11"/>
        <v>0</v>
      </c>
      <c r="BR47" s="187">
        <f t="shared" si="12"/>
        <v>2380190</v>
      </c>
      <c r="BS47" s="381">
        <f t="shared" si="3"/>
        <v>6405167</v>
      </c>
      <c r="BT47" s="166">
        <f t="shared" si="3"/>
        <v>1619147</v>
      </c>
      <c r="BU47" s="166">
        <f t="shared" si="3"/>
        <v>178</v>
      </c>
      <c r="BV47" s="187">
        <f t="shared" si="13"/>
        <v>10404682</v>
      </c>
      <c r="BW47" s="144"/>
      <c r="BX47" s="435">
        <f t="shared" si="16"/>
        <v>68.43603393268161</v>
      </c>
      <c r="BZ47" s="440">
        <v>164437.41099</v>
      </c>
      <c r="CA47" s="440">
        <v>1344.5187799999999</v>
      </c>
      <c r="CB47" s="440">
        <v>38147.001879999996</v>
      </c>
      <c r="CC47" s="443">
        <v>0</v>
      </c>
      <c r="CD47" s="443">
        <v>203928.93165000001</v>
      </c>
      <c r="CE47" s="317">
        <f t="shared" si="17"/>
        <v>-1110.5890099999961</v>
      </c>
      <c r="CF47" s="317">
        <f>+CA47-K47</f>
        <v>-0.48122000000012122</v>
      </c>
      <c r="CG47" s="317">
        <f t="shared" ref="CG47:CI47" si="21">+CB47-L47</f>
        <v>-20114.998120000004</v>
      </c>
      <c r="CH47" s="136">
        <f t="shared" si="21"/>
        <v>0</v>
      </c>
      <c r="CI47" s="444">
        <f t="shared" si="21"/>
        <v>-21226.068349999987</v>
      </c>
    </row>
    <row r="48" spans="1:87" x14ac:dyDescent="0.3">
      <c r="A48" s="396" t="s">
        <v>248</v>
      </c>
      <c r="B48" s="405"/>
      <c r="C48" s="404"/>
      <c r="D48" s="445"/>
      <c r="E48" s="446">
        <f>SUM(E7:E47)</f>
        <v>256166478</v>
      </c>
      <c r="F48" s="354">
        <f>SUM(F7:F47)</f>
        <v>692727514</v>
      </c>
      <c r="G48" s="354">
        <f>SUM(G7:G47)</f>
        <v>14232272</v>
      </c>
      <c r="H48" s="354">
        <f>SUM(H7:H47)</f>
        <v>68696377</v>
      </c>
      <c r="I48" s="352">
        <f>SUM(I7:I47)</f>
        <v>1031822641</v>
      </c>
      <c r="J48" s="353">
        <f t="shared" ref="J48:BU48" si="22">SUM(J7:J47)</f>
        <v>18450252</v>
      </c>
      <c r="K48" s="354">
        <f t="shared" si="22"/>
        <v>80693659</v>
      </c>
      <c r="L48" s="354">
        <f t="shared" si="22"/>
        <v>360637</v>
      </c>
      <c r="M48" s="354">
        <f t="shared" si="22"/>
        <v>17193523</v>
      </c>
      <c r="N48" s="352">
        <f>SUM(N7:N47)</f>
        <v>116698071</v>
      </c>
      <c r="O48" s="354">
        <f t="shared" si="22"/>
        <v>18340416</v>
      </c>
      <c r="P48" s="354">
        <f t="shared" si="22"/>
        <v>34991503</v>
      </c>
      <c r="Q48" s="354">
        <f t="shared" si="22"/>
        <v>435812</v>
      </c>
      <c r="R48" s="354">
        <f t="shared" si="22"/>
        <v>8892</v>
      </c>
      <c r="S48" s="352">
        <f t="shared" si="22"/>
        <v>53776623</v>
      </c>
      <c r="T48" s="353">
        <f t="shared" si="22"/>
        <v>20998659</v>
      </c>
      <c r="U48" s="354">
        <f t="shared" si="22"/>
        <v>43035803</v>
      </c>
      <c r="V48" s="354">
        <f t="shared" si="22"/>
        <v>439753</v>
      </c>
      <c r="W48" s="354">
        <f t="shared" si="22"/>
        <v>3261685</v>
      </c>
      <c r="X48" s="352">
        <f t="shared" si="22"/>
        <v>67735900</v>
      </c>
      <c r="Y48" s="353">
        <f t="shared" si="22"/>
        <v>19230711</v>
      </c>
      <c r="Z48" s="354">
        <f t="shared" si="22"/>
        <v>91387900</v>
      </c>
      <c r="AA48" s="354">
        <f t="shared" si="22"/>
        <v>804166</v>
      </c>
      <c r="AB48" s="354">
        <f t="shared" si="22"/>
        <v>15777004</v>
      </c>
      <c r="AC48" s="352">
        <f t="shared" si="22"/>
        <v>127199781</v>
      </c>
      <c r="AD48" s="353">
        <f t="shared" si="22"/>
        <v>19469097</v>
      </c>
      <c r="AE48" s="354">
        <f t="shared" si="22"/>
        <v>55013886</v>
      </c>
      <c r="AF48" s="354">
        <f t="shared" si="22"/>
        <v>911771</v>
      </c>
      <c r="AG48" s="354">
        <f t="shared" si="22"/>
        <v>7333</v>
      </c>
      <c r="AH48" s="352">
        <f t="shared" si="22"/>
        <v>75402087</v>
      </c>
      <c r="AI48" s="353">
        <f t="shared" si="22"/>
        <v>23860412</v>
      </c>
      <c r="AJ48" s="354">
        <f t="shared" si="22"/>
        <v>38828271</v>
      </c>
      <c r="AK48" s="354">
        <f t="shared" si="22"/>
        <v>859986</v>
      </c>
      <c r="AL48" s="354">
        <f t="shared" si="22"/>
        <v>7877</v>
      </c>
      <c r="AM48" s="352">
        <f t="shared" si="22"/>
        <v>63556546</v>
      </c>
      <c r="AN48" s="353">
        <f t="shared" si="22"/>
        <v>21400354</v>
      </c>
      <c r="AO48" s="354">
        <f t="shared" si="22"/>
        <v>64615974</v>
      </c>
      <c r="AP48" s="354">
        <f t="shared" si="22"/>
        <v>1259318</v>
      </c>
      <c r="AQ48" s="401">
        <f t="shared" si="22"/>
        <v>14305</v>
      </c>
      <c r="AR48" s="352">
        <f t="shared" si="22"/>
        <v>87289951</v>
      </c>
      <c r="AS48" s="354">
        <f t="shared" si="22"/>
        <v>21775994</v>
      </c>
      <c r="AT48" s="354">
        <f t="shared" si="22"/>
        <v>57450692</v>
      </c>
      <c r="AU48" s="354">
        <f t="shared" si="22"/>
        <v>860663</v>
      </c>
      <c r="AV48" s="354">
        <f t="shared" si="22"/>
        <v>42495</v>
      </c>
      <c r="AW48" s="352">
        <f t="shared" si="22"/>
        <v>80129844</v>
      </c>
      <c r="AX48" s="354">
        <f t="shared" si="22"/>
        <v>21332838</v>
      </c>
      <c r="AY48" s="354">
        <f t="shared" si="22"/>
        <v>63064762</v>
      </c>
      <c r="AZ48" s="354">
        <f t="shared" si="22"/>
        <v>1068705</v>
      </c>
      <c r="BA48" s="354">
        <f t="shared" si="22"/>
        <v>5301285</v>
      </c>
      <c r="BB48" s="352">
        <f t="shared" si="22"/>
        <v>90767590</v>
      </c>
      <c r="BC48" s="354">
        <f t="shared" si="22"/>
        <v>20607755</v>
      </c>
      <c r="BD48" s="354">
        <f t="shared" si="22"/>
        <v>58259265</v>
      </c>
      <c r="BE48" s="354">
        <f t="shared" si="22"/>
        <v>946422</v>
      </c>
      <c r="BF48" s="354">
        <f t="shared" si="22"/>
        <v>3934425</v>
      </c>
      <c r="BG48" s="352">
        <f t="shared" si="22"/>
        <v>83747867</v>
      </c>
      <c r="BH48" s="353">
        <f t="shared" si="22"/>
        <v>0</v>
      </c>
      <c r="BI48" s="354">
        <f t="shared" si="22"/>
        <v>0</v>
      </c>
      <c r="BJ48" s="354">
        <f>SUM(BJ7:BJ47)</f>
        <v>0</v>
      </c>
      <c r="BK48" s="354">
        <f t="shared" si="22"/>
        <v>0</v>
      </c>
      <c r="BL48" s="352">
        <f t="shared" si="22"/>
        <v>0</v>
      </c>
      <c r="BM48" s="353">
        <f t="shared" si="22"/>
        <v>0</v>
      </c>
      <c r="BN48" s="354">
        <f>SUM(BN7:BN47)</f>
        <v>0</v>
      </c>
      <c r="BO48" s="354">
        <f>SUM(BO7:BO47)</f>
        <v>0</v>
      </c>
      <c r="BP48" s="354">
        <f t="shared" si="22"/>
        <v>0</v>
      </c>
      <c r="BQ48" s="352">
        <f t="shared" si="22"/>
        <v>0</v>
      </c>
      <c r="BR48" s="353">
        <f t="shared" si="22"/>
        <v>205466488</v>
      </c>
      <c r="BS48" s="354">
        <f t="shared" si="22"/>
        <v>587341715</v>
      </c>
      <c r="BT48" s="354">
        <f t="shared" si="22"/>
        <v>7947233</v>
      </c>
      <c r="BU48" s="354">
        <f t="shared" si="22"/>
        <v>45548824</v>
      </c>
      <c r="BV48" s="355">
        <f t="shared" ref="BV48" si="23">SUM(BV7:BV47)</f>
        <v>846304260</v>
      </c>
      <c r="BW48" s="144"/>
      <c r="BX48" s="435">
        <f t="shared" si="16"/>
        <v>82.020322715519868</v>
      </c>
      <c r="BZ48" s="447">
        <f t="shared" ref="BZ48:CI48" si="24">SUM(BZ7:BZ47)</f>
        <v>18434703.931669999</v>
      </c>
      <c r="CA48" s="448">
        <f t="shared" si="24"/>
        <v>80710568.151079983</v>
      </c>
      <c r="CB48" s="448">
        <f t="shared" si="24"/>
        <v>347250.73013999988</v>
      </c>
      <c r="CC48" s="449">
        <f t="shared" si="24"/>
        <v>17193631.514579996</v>
      </c>
      <c r="CD48" s="449">
        <f t="shared" si="24"/>
        <v>116686154.32746997</v>
      </c>
      <c r="CE48" s="450">
        <f t="shared" si="24"/>
        <v>-15548.068330001717</v>
      </c>
      <c r="CF48" s="451">
        <f t="shared" si="24"/>
        <v>16909.151080000025</v>
      </c>
      <c r="CG48" s="451">
        <f t="shared" si="24"/>
        <v>-13386.269860000109</v>
      </c>
      <c r="CH48" s="451">
        <f t="shared" si="24"/>
        <v>108.51458000000781</v>
      </c>
      <c r="CI48" s="452">
        <f t="shared" si="24"/>
        <v>-11916.672529995585</v>
      </c>
    </row>
    <row r="49" spans="1:87" x14ac:dyDescent="0.3">
      <c r="A49" s="358" t="s">
        <v>249</v>
      </c>
      <c r="B49" s="309"/>
      <c r="D49" s="359"/>
      <c r="E49" s="274"/>
      <c r="F49" s="47"/>
      <c r="G49" s="47"/>
      <c r="H49" s="47"/>
      <c r="I49" s="236"/>
      <c r="J49" s="274"/>
      <c r="K49" s="47"/>
      <c r="L49" s="47"/>
      <c r="M49" s="47"/>
      <c r="N49" s="236"/>
      <c r="O49" s="47"/>
      <c r="P49" s="47"/>
      <c r="Q49" s="47"/>
      <c r="R49" s="47"/>
      <c r="S49" s="236"/>
      <c r="T49" s="274"/>
      <c r="U49" s="47"/>
      <c r="V49" s="47"/>
      <c r="W49" s="47"/>
      <c r="X49" s="236"/>
      <c r="Y49" s="274"/>
      <c r="Z49" s="47"/>
      <c r="AA49" s="47"/>
      <c r="AB49" s="47"/>
      <c r="AC49" s="236"/>
      <c r="AD49" s="274"/>
      <c r="AE49" s="47"/>
      <c r="AF49" s="47"/>
      <c r="AG49" s="47"/>
      <c r="AH49" s="236"/>
      <c r="AI49" s="187"/>
      <c r="AJ49" s="166"/>
      <c r="AK49" s="166"/>
      <c r="AL49" s="166"/>
      <c r="AM49" s="236"/>
      <c r="AN49" s="274"/>
      <c r="AO49" s="47"/>
      <c r="AP49" s="47"/>
      <c r="AQ49" s="47"/>
      <c r="AR49" s="236"/>
      <c r="AS49" s="274"/>
      <c r="AT49" s="47"/>
      <c r="AU49" s="47"/>
      <c r="AV49" s="47"/>
      <c r="AW49" s="236"/>
      <c r="AX49" s="47"/>
      <c r="AY49" s="47"/>
      <c r="AZ49" s="47"/>
      <c r="BA49" s="47"/>
      <c r="BB49" s="236"/>
      <c r="BC49" s="47"/>
      <c r="BD49" s="47"/>
      <c r="BE49" s="47"/>
      <c r="BF49" s="47"/>
      <c r="BG49" s="236"/>
      <c r="BH49" s="274"/>
      <c r="BI49" s="47"/>
      <c r="BJ49" s="47"/>
      <c r="BK49" s="47"/>
      <c r="BL49" s="236"/>
      <c r="BM49" s="274"/>
      <c r="BN49" s="47"/>
      <c r="BO49" s="47"/>
      <c r="BP49" s="47"/>
      <c r="BQ49" s="236"/>
      <c r="BR49" s="274"/>
      <c r="BS49" s="47"/>
      <c r="BT49" s="47"/>
      <c r="BU49" s="47"/>
      <c r="BV49" s="236"/>
      <c r="BW49" s="144"/>
      <c r="BX49" s="435"/>
      <c r="CD49" s="453"/>
      <c r="CI49" s="454"/>
    </row>
    <row r="50" spans="1:87" x14ac:dyDescent="0.3">
      <c r="A50" s="302" t="s">
        <v>25</v>
      </c>
      <c r="D50" s="361"/>
      <c r="E50" s="455"/>
      <c r="F50" s="456"/>
      <c r="G50" s="456"/>
      <c r="H50" s="456"/>
      <c r="I50" s="236"/>
      <c r="J50" s="455"/>
      <c r="K50" s="456"/>
      <c r="L50" s="456"/>
      <c r="M50" s="456"/>
      <c r="N50" s="236"/>
      <c r="O50" s="456"/>
      <c r="P50" s="456"/>
      <c r="Q50" s="456"/>
      <c r="R50" s="456"/>
      <c r="S50" s="274"/>
      <c r="T50" s="455"/>
      <c r="U50" s="456"/>
      <c r="V50" s="456"/>
      <c r="W50" s="456"/>
      <c r="X50" s="274"/>
      <c r="Y50" s="455"/>
      <c r="Z50" s="456"/>
      <c r="AA50" s="456"/>
      <c r="AB50" s="456"/>
      <c r="AC50" s="274"/>
      <c r="AD50" s="455"/>
      <c r="AE50" s="456"/>
      <c r="AF50" s="456"/>
      <c r="AG50" s="456"/>
      <c r="AH50" s="274"/>
      <c r="AI50" s="187"/>
      <c r="AJ50" s="166"/>
      <c r="AK50" s="166"/>
      <c r="AL50" s="166"/>
      <c r="AM50" s="274"/>
      <c r="AN50" s="455"/>
      <c r="AO50" s="456"/>
      <c r="AP50" s="456"/>
      <c r="AQ50" s="456"/>
      <c r="AR50" s="236"/>
      <c r="AS50" s="456"/>
      <c r="AT50" s="456"/>
      <c r="AU50" s="456"/>
      <c r="AV50" s="456"/>
      <c r="AW50" s="236"/>
      <c r="AX50" s="456"/>
      <c r="AY50" s="456"/>
      <c r="AZ50" s="456"/>
      <c r="BA50" s="456"/>
      <c r="BB50" s="236"/>
      <c r="BC50" s="456"/>
      <c r="BD50" s="456"/>
      <c r="BE50" s="456"/>
      <c r="BF50" s="456"/>
      <c r="BG50" s="236"/>
      <c r="BH50" s="455"/>
      <c r="BI50" s="456"/>
      <c r="BJ50" s="456"/>
      <c r="BK50" s="456"/>
      <c r="BL50" s="236"/>
      <c r="BM50" s="455"/>
      <c r="BN50" s="456"/>
      <c r="BO50" s="456"/>
      <c r="BP50" s="456"/>
      <c r="BQ50" s="236"/>
      <c r="BR50" s="455"/>
      <c r="BS50" s="456"/>
      <c r="BT50" s="456"/>
      <c r="BU50" s="456"/>
      <c r="BV50" s="274"/>
      <c r="BW50" s="457"/>
      <c r="BX50" s="435"/>
      <c r="CD50" s="458"/>
      <c r="CI50" s="454"/>
    </row>
    <row r="51" spans="1:87" x14ac:dyDescent="0.3">
      <c r="A51" s="308" t="s">
        <v>280</v>
      </c>
      <c r="B51" s="364"/>
      <c r="C51" s="364"/>
      <c r="D51" s="361"/>
      <c r="E51" s="381">
        <v>5706</v>
      </c>
      <c r="F51" s="381">
        <v>0</v>
      </c>
      <c r="G51" s="381">
        <v>0</v>
      </c>
      <c r="H51" s="381">
        <v>0</v>
      </c>
      <c r="I51" s="172">
        <f t="shared" ref="I51:I57" si="25">SUM(E51:H51)</f>
        <v>5706</v>
      </c>
      <c r="J51" s="380">
        <v>475</v>
      </c>
      <c r="K51" s="381">
        <v>0</v>
      </c>
      <c r="L51" s="381">
        <v>0</v>
      </c>
      <c r="M51" s="381">
        <v>0</v>
      </c>
      <c r="N51" s="172">
        <f>SUM(J51:M51)</f>
        <v>475</v>
      </c>
      <c r="O51" s="381">
        <v>475</v>
      </c>
      <c r="P51" s="381">
        <v>0</v>
      </c>
      <c r="Q51" s="381">
        <v>0</v>
      </c>
      <c r="R51" s="381">
        <v>0</v>
      </c>
      <c r="S51" s="172">
        <f>SUM(O51:R51)</f>
        <v>475</v>
      </c>
      <c r="T51" s="381">
        <v>475</v>
      </c>
      <c r="U51" s="381">
        <v>0</v>
      </c>
      <c r="V51" s="381">
        <v>0</v>
      </c>
      <c r="W51" s="381">
        <v>0</v>
      </c>
      <c r="X51" s="172">
        <f>SUM(T51:W51)</f>
        <v>475</v>
      </c>
      <c r="Y51" s="433">
        <v>475</v>
      </c>
      <c r="Z51" s="381">
        <v>0</v>
      </c>
      <c r="AA51" s="381">
        <v>0</v>
      </c>
      <c r="AB51" s="381">
        <v>0</v>
      </c>
      <c r="AC51" s="172">
        <f>SUM(Y51:AB51)</f>
        <v>475</v>
      </c>
      <c r="AD51" s="381">
        <v>475</v>
      </c>
      <c r="AE51" s="381">
        <v>0</v>
      </c>
      <c r="AF51" s="381">
        <v>0</v>
      </c>
      <c r="AG51" s="381">
        <v>0</v>
      </c>
      <c r="AH51" s="172">
        <f>SUM(AD51:AG51)</f>
        <v>475</v>
      </c>
      <c r="AI51" s="459">
        <v>475</v>
      </c>
      <c r="AJ51" s="459">
        <v>0</v>
      </c>
      <c r="AK51" s="459">
        <v>0</v>
      </c>
      <c r="AL51" s="459">
        <v>0</v>
      </c>
      <c r="AM51" s="172">
        <f>SUM(AI51:AL51)</f>
        <v>475</v>
      </c>
      <c r="AN51" s="381">
        <v>475</v>
      </c>
      <c r="AO51" s="381">
        <v>0</v>
      </c>
      <c r="AP51" s="381">
        <v>0</v>
      </c>
      <c r="AQ51" s="381">
        <v>0</v>
      </c>
      <c r="AR51" s="172">
        <f>SUM(AN51:AQ51)</f>
        <v>475</v>
      </c>
      <c r="AS51" s="381">
        <v>479</v>
      </c>
      <c r="AT51" s="381">
        <v>0</v>
      </c>
      <c r="AU51" s="381">
        <v>0</v>
      </c>
      <c r="AV51" s="381">
        <v>0</v>
      </c>
      <c r="AW51" s="172">
        <f>SUM(AS51:AV51)</f>
        <v>479</v>
      </c>
      <c r="AX51" s="381">
        <v>477</v>
      </c>
      <c r="AY51" s="381">
        <v>0</v>
      </c>
      <c r="AZ51" s="381">
        <v>0</v>
      </c>
      <c r="BA51" s="381">
        <v>0</v>
      </c>
      <c r="BB51" s="172">
        <f>SUM(AX51:BA51)</f>
        <v>477</v>
      </c>
      <c r="BC51" s="381">
        <v>475</v>
      </c>
      <c r="BD51" s="381">
        <v>0</v>
      </c>
      <c r="BE51" s="381">
        <v>0</v>
      </c>
      <c r="BF51" s="381">
        <v>0</v>
      </c>
      <c r="BG51" s="172">
        <f>SUM(BC51:BF51)</f>
        <v>475</v>
      </c>
      <c r="BH51" s="381">
        <v>0</v>
      </c>
      <c r="BI51" s="381">
        <v>0</v>
      </c>
      <c r="BJ51" s="381">
        <v>0</v>
      </c>
      <c r="BK51" s="381">
        <v>0</v>
      </c>
      <c r="BL51" s="172">
        <f>SUM(BH51:BK51)</f>
        <v>0</v>
      </c>
      <c r="BM51" s="381">
        <v>0</v>
      </c>
      <c r="BN51" s="381">
        <v>0</v>
      </c>
      <c r="BO51" s="381">
        <v>0</v>
      </c>
      <c r="BP51" s="381">
        <v>0</v>
      </c>
      <c r="BQ51" s="172">
        <f>SUM(BM51:BP51)</f>
        <v>0</v>
      </c>
      <c r="BR51" s="381">
        <f t="shared" ref="BR51:BT52" si="26">+J51+O51+T51+Y51+AD51+AI51+AN51+AS51+AX51+BC51+BH51+BM51</f>
        <v>4756</v>
      </c>
      <c r="BS51" s="381">
        <f t="shared" si="26"/>
        <v>0</v>
      </c>
      <c r="BT51" s="381">
        <f t="shared" si="26"/>
        <v>0</v>
      </c>
      <c r="BU51" s="381">
        <f>+M51+R51+W51+AB51+AG51+AL51+AQ51+AV51+BA51+BF51+BK51+BP51</f>
        <v>0</v>
      </c>
      <c r="BV51" s="172">
        <f>SUM(BR51:BU51)</f>
        <v>4756</v>
      </c>
      <c r="BW51" s="144"/>
      <c r="BX51" s="435">
        <f t="shared" si="16"/>
        <v>83.350858745180517</v>
      </c>
      <c r="BZ51" s="440">
        <v>475.02672999999999</v>
      </c>
      <c r="CA51" s="440">
        <v>0</v>
      </c>
      <c r="CB51" s="440">
        <v>0</v>
      </c>
      <c r="CC51" s="443">
        <v>0</v>
      </c>
      <c r="CD51" s="443">
        <v>475.02672999999999</v>
      </c>
      <c r="CE51" s="317">
        <f t="shared" ref="CE51:CG68" si="27">+BZ51-J51</f>
        <v>2.6729999999986376E-2</v>
      </c>
      <c r="CF51" s="317">
        <f t="shared" si="27"/>
        <v>0</v>
      </c>
      <c r="CG51" s="317">
        <f>+CB51-L51</f>
        <v>0</v>
      </c>
      <c r="CH51" s="136">
        <f t="shared" ref="CH51:CI68" si="28">+CC51-M51</f>
        <v>0</v>
      </c>
      <c r="CI51" s="444">
        <f t="shared" si="28"/>
        <v>2.6729999999986376E-2</v>
      </c>
    </row>
    <row r="52" spans="1:87" x14ac:dyDescent="0.3">
      <c r="A52" s="308" t="s">
        <v>251</v>
      </c>
      <c r="B52" s="364"/>
      <c r="D52" s="359" t="s">
        <v>70</v>
      </c>
      <c r="E52" s="381">
        <v>501880</v>
      </c>
      <c r="F52" s="381">
        <v>0</v>
      </c>
      <c r="G52" s="381">
        <v>0</v>
      </c>
      <c r="H52" s="381">
        <v>0</v>
      </c>
      <c r="I52" s="172">
        <f t="shared" si="25"/>
        <v>501880</v>
      </c>
      <c r="J52" s="380">
        <v>39309</v>
      </c>
      <c r="K52" s="381">
        <v>0</v>
      </c>
      <c r="L52" s="381">
        <v>0</v>
      </c>
      <c r="M52" s="381">
        <v>0</v>
      </c>
      <c r="N52" s="172">
        <f>SUM(J52:M52)</f>
        <v>39309</v>
      </c>
      <c r="O52" s="381">
        <v>39309</v>
      </c>
      <c r="P52" s="381">
        <v>0</v>
      </c>
      <c r="Q52" s="381">
        <v>0</v>
      </c>
      <c r="R52" s="381">
        <v>0</v>
      </c>
      <c r="S52" s="172">
        <f>SUM(O52:R52)</f>
        <v>39309</v>
      </c>
      <c r="T52" s="381">
        <v>39309</v>
      </c>
      <c r="U52" s="381">
        <v>0</v>
      </c>
      <c r="V52" s="381">
        <v>0</v>
      </c>
      <c r="W52" s="381">
        <v>0</v>
      </c>
      <c r="X52" s="172">
        <f>SUM(T52:W52)</f>
        <v>39309</v>
      </c>
      <c r="Y52" s="381">
        <v>39309</v>
      </c>
      <c r="Z52" s="381">
        <v>0</v>
      </c>
      <c r="AA52" s="381">
        <v>0</v>
      </c>
      <c r="AB52" s="381">
        <v>0</v>
      </c>
      <c r="AC52" s="172">
        <f>SUM(Y52:AB52)</f>
        <v>39309</v>
      </c>
      <c r="AD52" s="381">
        <v>39309</v>
      </c>
      <c r="AE52" s="381">
        <v>0</v>
      </c>
      <c r="AF52" s="381">
        <v>0</v>
      </c>
      <c r="AG52" s="381">
        <v>0</v>
      </c>
      <c r="AH52" s="172">
        <f>SUM(AD52:AG52)</f>
        <v>39309</v>
      </c>
      <c r="AI52" s="459">
        <v>39309</v>
      </c>
      <c r="AJ52" s="459">
        <v>0</v>
      </c>
      <c r="AK52" s="459">
        <v>0</v>
      </c>
      <c r="AL52" s="459">
        <v>0</v>
      </c>
      <c r="AM52" s="172">
        <f>SUM(AI52:AL52)</f>
        <v>39309</v>
      </c>
      <c r="AN52" s="381">
        <v>39309</v>
      </c>
      <c r="AO52" s="381">
        <v>0</v>
      </c>
      <c r="AP52" s="381">
        <v>0</v>
      </c>
      <c r="AQ52" s="381">
        <v>0</v>
      </c>
      <c r="AR52" s="172">
        <f>SUM(AN52:AQ52)</f>
        <v>39309</v>
      </c>
      <c r="AS52" s="381">
        <v>39309</v>
      </c>
      <c r="AT52" s="381">
        <v>0</v>
      </c>
      <c r="AU52" s="381">
        <v>0</v>
      </c>
      <c r="AV52" s="381">
        <v>0</v>
      </c>
      <c r="AW52" s="172">
        <f>SUM(AS52:AV52)</f>
        <v>39309</v>
      </c>
      <c r="AX52" s="381">
        <v>39309</v>
      </c>
      <c r="AY52" s="381">
        <v>0</v>
      </c>
      <c r="AZ52" s="381">
        <v>0</v>
      </c>
      <c r="BA52" s="381">
        <v>0</v>
      </c>
      <c r="BB52" s="172">
        <f>SUM(AX52:BA52)</f>
        <v>39309</v>
      </c>
      <c r="BC52" s="381">
        <v>39309</v>
      </c>
      <c r="BD52" s="381">
        <v>0</v>
      </c>
      <c r="BE52" s="381">
        <v>0</v>
      </c>
      <c r="BF52" s="381">
        <v>0</v>
      </c>
      <c r="BG52" s="172">
        <f>SUM(BC52:BF52)</f>
        <v>39309</v>
      </c>
      <c r="BH52" s="381">
        <v>0</v>
      </c>
      <c r="BI52" s="381">
        <v>0</v>
      </c>
      <c r="BJ52" s="381">
        <v>0</v>
      </c>
      <c r="BK52" s="381">
        <v>0</v>
      </c>
      <c r="BL52" s="172">
        <f>SUM(BH52:BK52)</f>
        <v>0</v>
      </c>
      <c r="BM52" s="381">
        <v>0</v>
      </c>
      <c r="BN52" s="381">
        <v>0</v>
      </c>
      <c r="BO52" s="381">
        <v>0</v>
      </c>
      <c r="BP52" s="381">
        <v>0</v>
      </c>
      <c r="BQ52" s="172">
        <f>SUM(BM52:BP52)</f>
        <v>0</v>
      </c>
      <c r="BR52" s="381">
        <f t="shared" si="26"/>
        <v>393090</v>
      </c>
      <c r="BS52" s="381">
        <f t="shared" si="26"/>
        <v>0</v>
      </c>
      <c r="BT52" s="381">
        <f t="shared" si="26"/>
        <v>0</v>
      </c>
      <c r="BU52" s="381">
        <f>+M52+R52+W52+AB52+AG52+AL52+AQ52+AV52+BA52+BF52+BK52+BP52</f>
        <v>0</v>
      </c>
      <c r="BV52" s="172">
        <f>SUM(BR52:BU52)</f>
        <v>393090</v>
      </c>
      <c r="BW52" s="144"/>
      <c r="BX52" s="435">
        <f t="shared" si="16"/>
        <v>78.323503626364868</v>
      </c>
      <c r="BZ52" s="440">
        <v>39309</v>
      </c>
      <c r="CA52" s="440">
        <v>0</v>
      </c>
      <c r="CB52" s="440">
        <v>0</v>
      </c>
      <c r="CC52" s="443">
        <v>0</v>
      </c>
      <c r="CD52" s="443">
        <v>39309</v>
      </c>
      <c r="CE52" s="317">
        <f t="shared" si="27"/>
        <v>0</v>
      </c>
      <c r="CF52" s="317">
        <f t="shared" si="27"/>
        <v>0</v>
      </c>
      <c r="CG52" s="317">
        <f t="shared" si="27"/>
        <v>0</v>
      </c>
      <c r="CH52" s="136">
        <f t="shared" si="28"/>
        <v>0</v>
      </c>
      <c r="CI52" s="444">
        <f t="shared" si="28"/>
        <v>0</v>
      </c>
    </row>
    <row r="53" spans="1:87" x14ac:dyDescent="0.3">
      <c r="A53" s="308" t="s">
        <v>252</v>
      </c>
      <c r="B53" s="364"/>
      <c r="D53" s="366"/>
      <c r="E53" s="381">
        <v>268071597.58304003</v>
      </c>
      <c r="F53" s="381">
        <v>0</v>
      </c>
      <c r="G53" s="381">
        <v>0</v>
      </c>
      <c r="H53" s="381">
        <v>0</v>
      </c>
      <c r="I53" s="172">
        <f>SUM(I54:I55)</f>
        <v>268071602</v>
      </c>
      <c r="J53" s="380">
        <f>SUM(J54:J55)</f>
        <v>3056138.2470400003</v>
      </c>
      <c r="K53" s="381">
        <f>SUM(K54:K55)</f>
        <v>0</v>
      </c>
      <c r="L53" s="381">
        <f>SUM(L54:L55)</f>
        <v>0</v>
      </c>
      <c r="M53" s="381">
        <f>SUM(M54:M55)</f>
        <v>0</v>
      </c>
      <c r="N53" s="172">
        <f>SUM(J53:M53)</f>
        <v>3056138.2470400003</v>
      </c>
      <c r="O53" s="381">
        <f t="shared" ref="O53:T53" si="29">SUM(O54:O55)</f>
        <v>1776922</v>
      </c>
      <c r="P53" s="381">
        <f t="shared" si="29"/>
        <v>0</v>
      </c>
      <c r="Q53" s="381">
        <f t="shared" si="29"/>
        <v>0</v>
      </c>
      <c r="R53" s="381">
        <f t="shared" si="29"/>
        <v>0</v>
      </c>
      <c r="S53" s="172">
        <f t="shared" si="29"/>
        <v>1776922</v>
      </c>
      <c r="T53" s="381">
        <f t="shared" si="29"/>
        <v>27683786</v>
      </c>
      <c r="U53" s="381">
        <v>0</v>
      </c>
      <c r="V53" s="381">
        <v>0</v>
      </c>
      <c r="W53" s="381">
        <v>0</v>
      </c>
      <c r="X53" s="172">
        <f>SUM(X54:X55)</f>
        <v>27683786</v>
      </c>
      <c r="Y53" s="381">
        <f t="shared" ref="Y53:AB53" si="30">SUM(Y54:Y55)</f>
        <v>40164311</v>
      </c>
      <c r="Z53" s="381">
        <f t="shared" si="30"/>
        <v>0</v>
      </c>
      <c r="AA53" s="381">
        <f t="shared" si="30"/>
        <v>0</v>
      </c>
      <c r="AB53" s="381">
        <f t="shared" si="30"/>
        <v>0</v>
      </c>
      <c r="AC53" s="172">
        <f>SUM(AC54:AC55)</f>
        <v>40164311</v>
      </c>
      <c r="AD53" s="381">
        <f t="shared" ref="AD53:AG53" si="31">SUM(AD54:AD55)</f>
        <v>36301135.5</v>
      </c>
      <c r="AE53" s="381">
        <f t="shared" si="31"/>
        <v>0</v>
      </c>
      <c r="AF53" s="381">
        <f t="shared" si="31"/>
        <v>0</v>
      </c>
      <c r="AG53" s="381">
        <f t="shared" si="31"/>
        <v>0</v>
      </c>
      <c r="AH53" s="172">
        <f>SUM(AH54:AH55)</f>
        <v>36301135.5</v>
      </c>
      <c r="AI53" s="459">
        <v>21240362.118999999</v>
      </c>
      <c r="AJ53" s="459">
        <v>0</v>
      </c>
      <c r="AK53" s="459">
        <v>0</v>
      </c>
      <c r="AL53" s="459">
        <v>0</v>
      </c>
      <c r="AM53" s="172">
        <f>SUM(AM54:AM55)</f>
        <v>21240362.118999999</v>
      </c>
      <c r="AN53" s="381">
        <f>SUM(AN54:AN55)</f>
        <v>3037190</v>
      </c>
      <c r="AO53" s="381">
        <f t="shared" ref="AO53:AQ53" si="32">SUM(AO54:AO55)</f>
        <v>0</v>
      </c>
      <c r="AP53" s="381">
        <f t="shared" si="32"/>
        <v>0</v>
      </c>
      <c r="AQ53" s="381">
        <f t="shared" si="32"/>
        <v>0</v>
      </c>
      <c r="AR53" s="460">
        <f>SUM(AR54:AR55)</f>
        <v>3037190</v>
      </c>
      <c r="AS53" s="381">
        <v>2472109</v>
      </c>
      <c r="AT53" s="381">
        <v>0</v>
      </c>
      <c r="AU53" s="381">
        <v>0</v>
      </c>
      <c r="AV53" s="381">
        <v>0</v>
      </c>
      <c r="AW53" s="460">
        <f>SUM(AW54:AW55)</f>
        <v>2472109</v>
      </c>
      <c r="AX53" s="381">
        <f>SUM(AX54:AX55)</f>
        <v>28582704.859000001</v>
      </c>
      <c r="AY53" s="381">
        <v>0</v>
      </c>
      <c r="AZ53" s="381">
        <v>0</v>
      </c>
      <c r="BA53" s="381">
        <v>0</v>
      </c>
      <c r="BB53" s="460">
        <f>SUM(BB54:BB55)</f>
        <v>28582704.859000001</v>
      </c>
      <c r="BC53" s="381">
        <f>SUM(BC54:BC55)</f>
        <v>43436874</v>
      </c>
      <c r="BD53" s="381">
        <v>0</v>
      </c>
      <c r="BE53" s="381">
        <v>0</v>
      </c>
      <c r="BF53" s="381">
        <v>0</v>
      </c>
      <c r="BG53" s="460">
        <f>SUM(BG54:BG55)</f>
        <v>43436874</v>
      </c>
      <c r="BH53" s="381">
        <v>0</v>
      </c>
      <c r="BI53" s="381">
        <v>0</v>
      </c>
      <c r="BJ53" s="381">
        <v>0</v>
      </c>
      <c r="BK53" s="381">
        <v>0</v>
      </c>
      <c r="BL53" s="460">
        <f>SUM(BL54:BL55)</f>
        <v>0</v>
      </c>
      <c r="BM53" s="381">
        <v>0</v>
      </c>
      <c r="BN53" s="381">
        <v>0</v>
      </c>
      <c r="BO53" s="381">
        <v>0</v>
      </c>
      <c r="BP53" s="381">
        <v>0</v>
      </c>
      <c r="BQ53" s="460">
        <f t="shared" ref="BQ53:BV53" si="33">SUM(BQ54:BQ55)</f>
        <v>0</v>
      </c>
      <c r="BR53" s="381">
        <f t="shared" si="33"/>
        <v>207751532.72503999</v>
      </c>
      <c r="BS53" s="381">
        <f t="shared" si="33"/>
        <v>0</v>
      </c>
      <c r="BT53" s="381">
        <f t="shared" si="33"/>
        <v>0</v>
      </c>
      <c r="BU53" s="381">
        <f t="shared" si="33"/>
        <v>0</v>
      </c>
      <c r="BV53" s="172">
        <f t="shared" si="33"/>
        <v>207751533.72503999</v>
      </c>
      <c r="BW53" s="144"/>
      <c r="BX53" s="435">
        <f t="shared" si="16"/>
        <v>77.498523594095587</v>
      </c>
      <c r="BZ53" s="440">
        <v>3056138</v>
      </c>
      <c r="CA53" s="440">
        <v>0</v>
      </c>
      <c r="CB53" s="440">
        <v>0</v>
      </c>
      <c r="CC53" s="443">
        <v>0</v>
      </c>
      <c r="CD53" s="443">
        <v>3056138</v>
      </c>
      <c r="CE53" s="317">
        <f t="shared" si="27"/>
        <v>-0.2470400002785027</v>
      </c>
      <c r="CF53" s="317">
        <f t="shared" si="27"/>
        <v>0</v>
      </c>
      <c r="CG53" s="317">
        <f t="shared" si="27"/>
        <v>0</v>
      </c>
      <c r="CH53" s="136">
        <f t="shared" si="28"/>
        <v>0</v>
      </c>
      <c r="CI53" s="444">
        <f t="shared" si="28"/>
        <v>-0.2470400002785027</v>
      </c>
    </row>
    <row r="54" spans="1:87" s="68" customFormat="1" x14ac:dyDescent="0.3">
      <c r="A54" s="367" t="s">
        <v>134</v>
      </c>
      <c r="D54" s="366"/>
      <c r="E54" s="371">
        <v>267948122</v>
      </c>
      <c r="F54" s="371">
        <v>0</v>
      </c>
      <c r="G54" s="371">
        <v>0</v>
      </c>
      <c r="H54" s="371">
        <v>0</v>
      </c>
      <c r="I54" s="198">
        <f>SUM(E54:H54)</f>
        <v>267948122</v>
      </c>
      <c r="J54" s="377">
        <f>3055683914.04/1000</f>
        <v>3055683.9140400002</v>
      </c>
      <c r="K54" s="371">
        <v>0</v>
      </c>
      <c r="L54" s="371">
        <v>0</v>
      </c>
      <c r="M54" s="371">
        <v>0</v>
      </c>
      <c r="N54" s="198">
        <f t="shared" ref="N54:N68" si="34">SUM(J54:M54)</f>
        <v>3055683.9140400002</v>
      </c>
      <c r="O54" s="371">
        <v>1776497</v>
      </c>
      <c r="P54" s="371">
        <v>0</v>
      </c>
      <c r="Q54" s="371">
        <v>0</v>
      </c>
      <c r="R54" s="371">
        <v>0</v>
      </c>
      <c r="S54" s="198">
        <f t="shared" ref="S54:S59" si="35">SUM(O54:R54)</f>
        <v>1776497</v>
      </c>
      <c r="T54" s="371">
        <v>27649749</v>
      </c>
      <c r="U54" s="371">
        <v>0</v>
      </c>
      <c r="V54" s="371">
        <v>0</v>
      </c>
      <c r="W54" s="371">
        <v>0</v>
      </c>
      <c r="X54" s="198">
        <f t="shared" ref="X54:X68" si="36">SUM(T54:W54)</f>
        <v>27649749</v>
      </c>
      <c r="Y54" s="371">
        <f>40158497</f>
        <v>40158497</v>
      </c>
      <c r="Z54" s="371">
        <v>0</v>
      </c>
      <c r="AA54" s="371">
        <v>0</v>
      </c>
      <c r="AB54" s="371">
        <v>0</v>
      </c>
      <c r="AC54" s="198">
        <f t="shared" ref="AC54:AC68" si="37">SUM(Y54:AB54)</f>
        <v>40158497</v>
      </c>
      <c r="AD54" s="371">
        <v>36300924.25</v>
      </c>
      <c r="AE54" s="371">
        <v>0</v>
      </c>
      <c r="AF54" s="371">
        <v>0</v>
      </c>
      <c r="AG54" s="371">
        <v>0</v>
      </c>
      <c r="AH54" s="198">
        <f t="shared" ref="AH54:AH59" si="38">SUM(AD54:AG54)</f>
        <v>36300924.25</v>
      </c>
      <c r="AI54" s="461">
        <v>21236728.276000001</v>
      </c>
      <c r="AJ54" s="461">
        <v>0</v>
      </c>
      <c r="AK54" s="461">
        <v>0</v>
      </c>
      <c r="AL54" s="461">
        <v>0</v>
      </c>
      <c r="AM54" s="198">
        <f t="shared" ref="AM54:AM68" si="39">SUM(AI54:AL54)</f>
        <v>21236728.276000001</v>
      </c>
      <c r="AN54" s="371">
        <v>3037141</v>
      </c>
      <c r="AO54" s="371">
        <v>0</v>
      </c>
      <c r="AP54" s="371">
        <v>0</v>
      </c>
      <c r="AQ54" s="371">
        <v>0</v>
      </c>
      <c r="AR54" s="198">
        <f t="shared" ref="AR54:AR74" si="40">SUM(AN54:AQ54)</f>
        <v>3037141</v>
      </c>
      <c r="AS54" s="371">
        <v>2432790</v>
      </c>
      <c r="AT54" s="371">
        <v>0</v>
      </c>
      <c r="AU54" s="371">
        <v>0</v>
      </c>
      <c r="AV54" s="371">
        <v>0</v>
      </c>
      <c r="AW54" s="198">
        <f t="shared" ref="AW54:AW68" si="41">SUM(AS54:AV54)</f>
        <v>2432790</v>
      </c>
      <c r="AX54" s="371">
        <v>28582504.416000001</v>
      </c>
      <c r="AY54" s="371">
        <v>0</v>
      </c>
      <c r="AZ54" s="371">
        <v>0</v>
      </c>
      <c r="BA54" s="371">
        <v>0</v>
      </c>
      <c r="BB54" s="198">
        <f t="shared" ref="BB54:BB68" si="42">SUM(AX54:BA54)</f>
        <v>28582504.416000001</v>
      </c>
      <c r="BC54" s="371">
        <v>43436820</v>
      </c>
      <c r="BD54" s="371">
        <v>0</v>
      </c>
      <c r="BE54" s="371">
        <v>0</v>
      </c>
      <c r="BF54" s="371">
        <v>0</v>
      </c>
      <c r="BG54" s="198">
        <f t="shared" ref="BG54:BG68" si="43">SUM(BC54:BF54)</f>
        <v>43436820</v>
      </c>
      <c r="BH54" s="371">
        <v>0</v>
      </c>
      <c r="BI54" s="371">
        <v>0</v>
      </c>
      <c r="BJ54" s="371">
        <v>0</v>
      </c>
      <c r="BK54" s="371">
        <v>0</v>
      </c>
      <c r="BL54" s="198">
        <f t="shared" ref="BL54:BL68" si="44">SUM(BH54:BK54)</f>
        <v>0</v>
      </c>
      <c r="BM54" s="371">
        <v>0</v>
      </c>
      <c r="BN54" s="371">
        <v>0</v>
      </c>
      <c r="BO54" s="371">
        <v>0</v>
      </c>
      <c r="BP54" s="371">
        <v>0</v>
      </c>
      <c r="BQ54" s="198">
        <f t="shared" ref="BQ54:BQ59" si="45">SUM(BM54:BP54)</f>
        <v>0</v>
      </c>
      <c r="BR54" s="371">
        <f t="shared" ref="BR54:BU68" si="46">+J54+O54+T54+Y54+AD54+AI54+AN54+AS54+AX54+BC54+BH54+BM54</f>
        <v>207667334.85604</v>
      </c>
      <c r="BS54" s="371">
        <f t="shared" si="46"/>
        <v>0</v>
      </c>
      <c r="BT54" s="371">
        <f t="shared" si="46"/>
        <v>0</v>
      </c>
      <c r="BU54" s="371">
        <f t="shared" si="46"/>
        <v>0</v>
      </c>
      <c r="BV54" s="198">
        <f>SUM(BR54:BU54)</f>
        <v>207667334.85604</v>
      </c>
      <c r="BW54" s="164"/>
      <c r="BX54" s="462">
        <f t="shared" si="16"/>
        <v>77.502814091766609</v>
      </c>
      <c r="BZ54" s="463">
        <v>0</v>
      </c>
      <c r="CA54" s="463">
        <v>0</v>
      </c>
      <c r="CB54" s="463">
        <v>0</v>
      </c>
      <c r="CC54" s="464">
        <v>0</v>
      </c>
      <c r="CD54" s="464">
        <v>0</v>
      </c>
      <c r="CE54" s="374">
        <v>0</v>
      </c>
      <c r="CF54" s="374">
        <f t="shared" si="27"/>
        <v>0</v>
      </c>
      <c r="CG54" s="374">
        <f t="shared" si="27"/>
        <v>0</v>
      </c>
      <c r="CH54" s="159">
        <f t="shared" si="28"/>
        <v>0</v>
      </c>
      <c r="CI54" s="465">
        <v>0</v>
      </c>
    </row>
    <row r="55" spans="1:87" s="68" customFormat="1" x14ac:dyDescent="0.3">
      <c r="A55" s="367" t="s">
        <v>253</v>
      </c>
      <c r="D55" s="366"/>
      <c r="E55" s="371">
        <f>120536+2944</f>
        <v>123480</v>
      </c>
      <c r="F55" s="371">
        <v>0</v>
      </c>
      <c r="G55" s="371">
        <v>0</v>
      </c>
      <c r="H55" s="371">
        <v>0</v>
      </c>
      <c r="I55" s="198">
        <f>SUM(E55:H55)</f>
        <v>123480</v>
      </c>
      <c r="J55" s="377">
        <f>SUM(224333+230000)/1000</f>
        <v>454.33300000000003</v>
      </c>
      <c r="K55" s="371">
        <v>0</v>
      </c>
      <c r="L55" s="371">
        <v>0</v>
      </c>
      <c r="M55" s="371">
        <v>0</v>
      </c>
      <c r="N55" s="198">
        <f t="shared" si="34"/>
        <v>454.33300000000003</v>
      </c>
      <c r="O55" s="371">
        <v>425</v>
      </c>
      <c r="P55" s="371">
        <v>0</v>
      </c>
      <c r="Q55" s="371">
        <v>0</v>
      </c>
      <c r="R55" s="371">
        <v>0</v>
      </c>
      <c r="S55" s="198">
        <f t="shared" si="35"/>
        <v>425</v>
      </c>
      <c r="T55" s="371">
        <v>34037</v>
      </c>
      <c r="U55" s="371">
        <v>0</v>
      </c>
      <c r="V55" s="371">
        <v>0</v>
      </c>
      <c r="W55" s="371">
        <v>0</v>
      </c>
      <c r="X55" s="198">
        <f t="shared" si="36"/>
        <v>34037</v>
      </c>
      <c r="Y55" s="371">
        <f>5814</f>
        <v>5814</v>
      </c>
      <c r="Z55" s="371">
        <v>0</v>
      </c>
      <c r="AA55" s="371">
        <v>0</v>
      </c>
      <c r="AB55" s="371">
        <v>0</v>
      </c>
      <c r="AC55" s="198">
        <f t="shared" si="37"/>
        <v>5814</v>
      </c>
      <c r="AD55" s="371">
        <v>211.25</v>
      </c>
      <c r="AE55" s="371">
        <v>0</v>
      </c>
      <c r="AF55" s="371">
        <v>0</v>
      </c>
      <c r="AG55" s="371">
        <v>0</v>
      </c>
      <c r="AH55" s="198">
        <f t="shared" si="38"/>
        <v>211.25</v>
      </c>
      <c r="AI55" s="461">
        <v>3633.8429999999998</v>
      </c>
      <c r="AJ55" s="461">
        <v>0</v>
      </c>
      <c r="AK55" s="461">
        <v>0</v>
      </c>
      <c r="AL55" s="461">
        <v>0</v>
      </c>
      <c r="AM55" s="198">
        <f t="shared" si="39"/>
        <v>3633.8429999999998</v>
      </c>
      <c r="AN55" s="371">
        <v>49</v>
      </c>
      <c r="AO55" s="371">
        <v>0</v>
      </c>
      <c r="AP55" s="371">
        <v>0</v>
      </c>
      <c r="AQ55" s="371">
        <v>0</v>
      </c>
      <c r="AR55" s="198">
        <f t="shared" si="40"/>
        <v>49</v>
      </c>
      <c r="AS55" s="371">
        <v>39319</v>
      </c>
      <c r="AT55" s="371">
        <v>0</v>
      </c>
      <c r="AU55" s="371">
        <v>0</v>
      </c>
      <c r="AV55" s="371">
        <v>0</v>
      </c>
      <c r="AW55" s="198">
        <f t="shared" si="41"/>
        <v>39319</v>
      </c>
      <c r="AX55" s="371">
        <v>200.44300000000001</v>
      </c>
      <c r="AY55" s="371">
        <v>0</v>
      </c>
      <c r="AZ55" s="371">
        <v>0</v>
      </c>
      <c r="BA55" s="371">
        <v>0</v>
      </c>
      <c r="BB55" s="198">
        <f t="shared" si="42"/>
        <v>200.44300000000001</v>
      </c>
      <c r="BC55" s="371">
        <v>54</v>
      </c>
      <c r="BD55" s="371">
        <v>0</v>
      </c>
      <c r="BE55" s="371">
        <v>0</v>
      </c>
      <c r="BF55" s="371">
        <v>0</v>
      </c>
      <c r="BG55" s="198">
        <f t="shared" si="43"/>
        <v>54</v>
      </c>
      <c r="BH55" s="371">
        <v>0</v>
      </c>
      <c r="BI55" s="371">
        <v>0</v>
      </c>
      <c r="BJ55" s="371">
        <v>0</v>
      </c>
      <c r="BK55" s="371">
        <v>0</v>
      </c>
      <c r="BL55" s="198">
        <f t="shared" si="44"/>
        <v>0</v>
      </c>
      <c r="BM55" s="371">
        <v>0</v>
      </c>
      <c r="BN55" s="371">
        <v>0</v>
      </c>
      <c r="BO55" s="371">
        <v>0</v>
      </c>
      <c r="BP55" s="371">
        <v>0</v>
      </c>
      <c r="BQ55" s="198">
        <f t="shared" si="45"/>
        <v>0</v>
      </c>
      <c r="BR55" s="371">
        <f t="shared" si="46"/>
        <v>84197.869000000006</v>
      </c>
      <c r="BS55" s="371">
        <f t="shared" si="46"/>
        <v>0</v>
      </c>
      <c r="BT55" s="371">
        <f t="shared" si="46"/>
        <v>0</v>
      </c>
      <c r="BU55" s="371">
        <f t="shared" si="46"/>
        <v>0</v>
      </c>
      <c r="BV55" s="198">
        <f>SUM(BR55:BU55)+1</f>
        <v>84198.869000000006</v>
      </c>
      <c r="BW55" s="164"/>
      <c r="BX55" s="462"/>
      <c r="BZ55" s="463">
        <v>0</v>
      </c>
      <c r="CA55" s="463">
        <v>0</v>
      </c>
      <c r="CB55" s="463">
        <v>0</v>
      </c>
      <c r="CC55" s="464">
        <v>0</v>
      </c>
      <c r="CD55" s="464">
        <v>0</v>
      </c>
      <c r="CE55" s="374">
        <v>0</v>
      </c>
      <c r="CF55" s="374">
        <f t="shared" si="27"/>
        <v>0</v>
      </c>
      <c r="CG55" s="374">
        <f t="shared" si="27"/>
        <v>0</v>
      </c>
      <c r="CH55" s="159">
        <f t="shared" si="28"/>
        <v>0</v>
      </c>
      <c r="CI55" s="465">
        <v>0</v>
      </c>
    </row>
    <row r="56" spans="1:87" x14ac:dyDescent="0.3">
      <c r="A56" s="308" t="s">
        <v>254</v>
      </c>
      <c r="B56" s="364"/>
      <c r="D56" s="359"/>
      <c r="E56" s="381">
        <v>0</v>
      </c>
      <c r="F56" s="381">
        <v>544834911</v>
      </c>
      <c r="G56" s="381">
        <v>0</v>
      </c>
      <c r="H56" s="381">
        <v>0</v>
      </c>
      <c r="I56" s="172">
        <f t="shared" si="25"/>
        <v>544834911</v>
      </c>
      <c r="J56" s="380">
        <v>0</v>
      </c>
      <c r="K56" s="381">
        <v>43640529</v>
      </c>
      <c r="L56" s="381">
        <v>0</v>
      </c>
      <c r="M56" s="381">
        <v>0</v>
      </c>
      <c r="N56" s="172">
        <f t="shared" si="34"/>
        <v>43640529</v>
      </c>
      <c r="O56" s="381">
        <v>0</v>
      </c>
      <c r="P56" s="381">
        <v>43640529</v>
      </c>
      <c r="Q56" s="381">
        <v>0</v>
      </c>
      <c r="R56" s="381">
        <v>0</v>
      </c>
      <c r="S56" s="172">
        <f t="shared" si="35"/>
        <v>43640529</v>
      </c>
      <c r="T56" s="381">
        <v>0</v>
      </c>
      <c r="U56" s="381">
        <v>43640529</v>
      </c>
      <c r="V56" s="381">
        <v>0</v>
      </c>
      <c r="W56" s="381">
        <v>0</v>
      </c>
      <c r="X56" s="172">
        <f t="shared" si="36"/>
        <v>43640529</v>
      </c>
      <c r="Y56" s="381">
        <v>0</v>
      </c>
      <c r="Z56" s="381">
        <v>43640529</v>
      </c>
      <c r="AA56" s="381">
        <v>0</v>
      </c>
      <c r="AB56" s="381">
        <v>0</v>
      </c>
      <c r="AC56" s="172">
        <f t="shared" si="37"/>
        <v>43640529</v>
      </c>
      <c r="AD56" s="381">
        <v>0</v>
      </c>
      <c r="AE56" s="381">
        <v>43640529</v>
      </c>
      <c r="AF56" s="381">
        <v>0</v>
      </c>
      <c r="AG56" s="381">
        <v>0</v>
      </c>
      <c r="AH56" s="172">
        <f t="shared" si="38"/>
        <v>43640529</v>
      </c>
      <c r="AI56" s="459">
        <v>0</v>
      </c>
      <c r="AJ56" s="459">
        <v>50993065</v>
      </c>
      <c r="AK56" s="459">
        <v>0</v>
      </c>
      <c r="AL56" s="459">
        <v>0</v>
      </c>
      <c r="AM56" s="172">
        <f t="shared" si="39"/>
        <v>50993065</v>
      </c>
      <c r="AN56" s="381">
        <v>0</v>
      </c>
      <c r="AO56" s="381">
        <v>43640529</v>
      </c>
      <c r="AP56" s="381">
        <v>0</v>
      </c>
      <c r="AQ56" s="381">
        <v>0</v>
      </c>
      <c r="AR56" s="172">
        <f t="shared" si="40"/>
        <v>43640529</v>
      </c>
      <c r="AS56" s="381">
        <v>0</v>
      </c>
      <c r="AT56" s="381">
        <v>43640529</v>
      </c>
      <c r="AU56" s="381">
        <v>0</v>
      </c>
      <c r="AV56" s="381">
        <v>0</v>
      </c>
      <c r="AW56" s="172">
        <f t="shared" si="41"/>
        <v>43640529</v>
      </c>
      <c r="AX56" s="381">
        <v>0</v>
      </c>
      <c r="AY56" s="381">
        <v>43640529</v>
      </c>
      <c r="AZ56" s="381">
        <v>0</v>
      </c>
      <c r="BA56" s="381">
        <v>0</v>
      </c>
      <c r="BB56" s="172">
        <f t="shared" si="42"/>
        <v>43640529</v>
      </c>
      <c r="BC56" s="381">
        <v>0</v>
      </c>
      <c r="BD56" s="381">
        <v>43640530</v>
      </c>
      <c r="BE56" s="381">
        <v>0</v>
      </c>
      <c r="BF56" s="381">
        <v>0</v>
      </c>
      <c r="BG56" s="172">
        <f t="shared" si="43"/>
        <v>43640530</v>
      </c>
      <c r="BH56" s="381">
        <v>0</v>
      </c>
      <c r="BI56" s="381">
        <v>0</v>
      </c>
      <c r="BJ56" s="381">
        <v>0</v>
      </c>
      <c r="BK56" s="381">
        <v>0</v>
      </c>
      <c r="BL56" s="172">
        <f t="shared" si="44"/>
        <v>0</v>
      </c>
      <c r="BM56" s="381">
        <v>0</v>
      </c>
      <c r="BN56" s="381">
        <v>0</v>
      </c>
      <c r="BO56" s="381">
        <v>0</v>
      </c>
      <c r="BP56" s="381">
        <v>0</v>
      </c>
      <c r="BQ56" s="172">
        <f t="shared" si="45"/>
        <v>0</v>
      </c>
      <c r="BR56" s="381">
        <f t="shared" si="46"/>
        <v>0</v>
      </c>
      <c r="BS56" s="381">
        <f t="shared" si="46"/>
        <v>443757827</v>
      </c>
      <c r="BT56" s="381">
        <f t="shared" si="46"/>
        <v>0</v>
      </c>
      <c r="BU56" s="381">
        <f t="shared" si="46"/>
        <v>0</v>
      </c>
      <c r="BV56" s="172">
        <f>SUM(BR56:BU56)</f>
        <v>443757827</v>
      </c>
      <c r="BW56" s="144"/>
      <c r="BX56" s="435">
        <f t="shared" si="16"/>
        <v>81.448126403192262</v>
      </c>
      <c r="BZ56" s="440">
        <v>0</v>
      </c>
      <c r="CA56" s="440">
        <v>43640529</v>
      </c>
      <c r="CB56" s="440">
        <v>0</v>
      </c>
      <c r="CC56" s="443">
        <v>0</v>
      </c>
      <c r="CD56" s="443">
        <v>43640529</v>
      </c>
      <c r="CE56" s="317">
        <f t="shared" si="27"/>
        <v>0</v>
      </c>
      <c r="CF56" s="317">
        <f t="shared" si="27"/>
        <v>0</v>
      </c>
      <c r="CG56" s="317">
        <f t="shared" si="27"/>
        <v>0</v>
      </c>
      <c r="CH56" s="136">
        <f t="shared" si="28"/>
        <v>0</v>
      </c>
      <c r="CI56" s="444">
        <f t="shared" si="28"/>
        <v>0</v>
      </c>
    </row>
    <row r="57" spans="1:87" ht="13.5" customHeight="1" x14ac:dyDescent="0.3">
      <c r="A57" s="308" t="s">
        <v>255</v>
      </c>
      <c r="B57" s="364"/>
      <c r="D57" s="361"/>
      <c r="E57" s="381">
        <v>0</v>
      </c>
      <c r="F57" s="381">
        <v>14617279</v>
      </c>
      <c r="G57" s="381">
        <v>0</v>
      </c>
      <c r="H57" s="381">
        <v>0</v>
      </c>
      <c r="I57" s="172">
        <f t="shared" si="25"/>
        <v>14617279</v>
      </c>
      <c r="J57" s="380">
        <v>0</v>
      </c>
      <c r="K57" s="381">
        <v>0</v>
      </c>
      <c r="L57" s="381">
        <v>0</v>
      </c>
      <c r="M57" s="381">
        <v>0</v>
      </c>
      <c r="N57" s="172">
        <f t="shared" si="34"/>
        <v>0</v>
      </c>
      <c r="O57" s="381">
        <v>0</v>
      </c>
      <c r="P57" s="381">
        <v>0</v>
      </c>
      <c r="Q57" s="381">
        <v>0</v>
      </c>
      <c r="R57" s="381">
        <v>0</v>
      </c>
      <c r="S57" s="172">
        <f t="shared" si="35"/>
        <v>0</v>
      </c>
      <c r="T57" s="381">
        <v>0</v>
      </c>
      <c r="U57" s="381">
        <v>0</v>
      </c>
      <c r="V57" s="381">
        <v>0</v>
      </c>
      <c r="W57" s="381">
        <v>0</v>
      </c>
      <c r="X57" s="172">
        <f t="shared" si="36"/>
        <v>0</v>
      </c>
      <c r="Y57" s="381">
        <v>0</v>
      </c>
      <c r="Z57" s="381">
        <v>0</v>
      </c>
      <c r="AA57" s="381">
        <v>0</v>
      </c>
      <c r="AB57" s="381">
        <v>0</v>
      </c>
      <c r="AC57" s="172">
        <f t="shared" si="37"/>
        <v>0</v>
      </c>
      <c r="AD57" s="381">
        <v>0</v>
      </c>
      <c r="AE57" s="381">
        <v>4872427</v>
      </c>
      <c r="AF57" s="381">
        <v>0</v>
      </c>
      <c r="AG57" s="381">
        <v>0</v>
      </c>
      <c r="AH57" s="172">
        <f t="shared" si="38"/>
        <v>4872427</v>
      </c>
      <c r="AI57" s="459">
        <v>0</v>
      </c>
      <c r="AJ57" s="459">
        <v>0</v>
      </c>
      <c r="AK57" s="459">
        <v>0</v>
      </c>
      <c r="AL57" s="459">
        <v>0</v>
      </c>
      <c r="AM57" s="172">
        <f t="shared" si="39"/>
        <v>0</v>
      </c>
      <c r="AN57" s="381">
        <v>0</v>
      </c>
      <c r="AO57" s="381">
        <v>0</v>
      </c>
      <c r="AP57" s="381">
        <v>0</v>
      </c>
      <c r="AQ57" s="381">
        <v>0</v>
      </c>
      <c r="AR57" s="172">
        <f t="shared" si="40"/>
        <v>0</v>
      </c>
      <c r="AS57" s="381">
        <v>0</v>
      </c>
      <c r="AT57" s="381">
        <v>0</v>
      </c>
      <c r="AU57" s="381">
        <v>0</v>
      </c>
      <c r="AV57" s="381">
        <v>0</v>
      </c>
      <c r="AW57" s="172">
        <f t="shared" si="41"/>
        <v>0</v>
      </c>
      <c r="AX57" s="381">
        <v>0</v>
      </c>
      <c r="AY57" s="381">
        <v>4872427</v>
      </c>
      <c r="AZ57" s="381">
        <v>0</v>
      </c>
      <c r="BA57" s="381">
        <v>0</v>
      </c>
      <c r="BB57" s="172">
        <f t="shared" si="42"/>
        <v>4872427</v>
      </c>
      <c r="BC57" s="381">
        <v>0</v>
      </c>
      <c r="BD57" s="381">
        <v>0</v>
      </c>
      <c r="BE57" s="381">
        <v>0</v>
      </c>
      <c r="BF57" s="381">
        <v>0</v>
      </c>
      <c r="BG57" s="172">
        <f t="shared" si="43"/>
        <v>0</v>
      </c>
      <c r="BH57" s="381">
        <v>0</v>
      </c>
      <c r="BI57" s="381">
        <v>0</v>
      </c>
      <c r="BJ57" s="381">
        <v>0</v>
      </c>
      <c r="BK57" s="381">
        <v>0</v>
      </c>
      <c r="BL57" s="172">
        <f t="shared" si="44"/>
        <v>0</v>
      </c>
      <c r="BM57" s="381">
        <v>0</v>
      </c>
      <c r="BN57" s="381">
        <v>0</v>
      </c>
      <c r="BO57" s="381">
        <v>0</v>
      </c>
      <c r="BP57" s="381">
        <v>0</v>
      </c>
      <c r="BQ57" s="172">
        <f t="shared" si="45"/>
        <v>0</v>
      </c>
      <c r="BR57" s="381">
        <f t="shared" si="46"/>
        <v>0</v>
      </c>
      <c r="BS57" s="381">
        <f t="shared" si="46"/>
        <v>9744854</v>
      </c>
      <c r="BT57" s="381">
        <f t="shared" si="46"/>
        <v>0</v>
      </c>
      <c r="BU57" s="381">
        <f t="shared" si="46"/>
        <v>0</v>
      </c>
      <c r="BV57" s="172">
        <f>SUM(BR57:BU57)</f>
        <v>9744854</v>
      </c>
      <c r="BW57" s="144"/>
      <c r="BX57" s="435">
        <f t="shared" si="16"/>
        <v>66.666675788291371</v>
      </c>
      <c r="BZ57" s="440">
        <v>0</v>
      </c>
      <c r="CA57" s="440">
        <v>0</v>
      </c>
      <c r="CB57" s="440">
        <v>0</v>
      </c>
      <c r="CC57" s="443">
        <v>0</v>
      </c>
      <c r="CD57" s="443">
        <v>0</v>
      </c>
      <c r="CE57" s="317">
        <f t="shared" si="27"/>
        <v>0</v>
      </c>
      <c r="CF57" s="317">
        <f t="shared" si="27"/>
        <v>0</v>
      </c>
      <c r="CG57" s="317">
        <f t="shared" si="27"/>
        <v>0</v>
      </c>
      <c r="CH57" s="136">
        <f t="shared" si="28"/>
        <v>0</v>
      </c>
      <c r="CI57" s="444">
        <f t="shared" si="28"/>
        <v>0</v>
      </c>
    </row>
    <row r="58" spans="1:87" ht="12.75" customHeight="1" x14ac:dyDescent="0.3">
      <c r="A58" s="308" t="s">
        <v>256</v>
      </c>
      <c r="B58" s="364"/>
      <c r="D58" s="359" t="s">
        <v>87</v>
      </c>
      <c r="E58" s="381">
        <v>0</v>
      </c>
      <c r="F58" s="381">
        <v>0</v>
      </c>
      <c r="G58" s="381">
        <v>0</v>
      </c>
      <c r="H58" s="381">
        <f>-[50]original!$T$40</f>
        <v>2173438</v>
      </c>
      <c r="I58" s="172">
        <f>SUM(E58:H58)</f>
        <v>2173438</v>
      </c>
      <c r="J58" s="380">
        <v>0</v>
      </c>
      <c r="K58" s="381">
        <v>0</v>
      </c>
      <c r="L58" s="381">
        <v>0</v>
      </c>
      <c r="M58" s="381">
        <f>-[54]original!$G$40</f>
        <v>568183</v>
      </c>
      <c r="N58" s="172">
        <f t="shared" si="34"/>
        <v>568183</v>
      </c>
      <c r="O58" s="381">
        <v>0</v>
      </c>
      <c r="P58" s="381">
        <v>0</v>
      </c>
      <c r="Q58" s="381">
        <v>0</v>
      </c>
      <c r="R58" s="381">
        <f>-[46]original!$V$40</f>
        <v>167688</v>
      </c>
      <c r="S58" s="172">
        <f t="shared" si="35"/>
        <v>167688</v>
      </c>
      <c r="T58" s="381">
        <v>0</v>
      </c>
      <c r="U58" s="381">
        <v>0</v>
      </c>
      <c r="V58" s="381">
        <v>0</v>
      </c>
      <c r="W58" s="381">
        <v>321726</v>
      </c>
      <c r="X58" s="172">
        <f t="shared" si="36"/>
        <v>321726</v>
      </c>
      <c r="Y58" s="381">
        <v>0</v>
      </c>
      <c r="Z58" s="381">
        <v>0</v>
      </c>
      <c r="AA58" s="381">
        <v>0</v>
      </c>
      <c r="AB58" s="381">
        <f>-[57]original!$J$40</f>
        <v>123151</v>
      </c>
      <c r="AC58" s="172">
        <f t="shared" si="37"/>
        <v>123151</v>
      </c>
      <c r="AD58" s="381">
        <v>0</v>
      </c>
      <c r="AE58" s="381">
        <v>0</v>
      </c>
      <c r="AF58" s="381">
        <v>0</v>
      </c>
      <c r="AG58" s="386">
        <f>-[58]original!$K$40</f>
        <v>177148</v>
      </c>
      <c r="AH58" s="172">
        <f t="shared" si="38"/>
        <v>177148</v>
      </c>
      <c r="AI58" s="459">
        <v>0</v>
      </c>
      <c r="AJ58" s="459">
        <v>0</v>
      </c>
      <c r="AK58" s="459">
        <v>0</v>
      </c>
      <c r="AL58" s="459">
        <v>92657</v>
      </c>
      <c r="AM58" s="172">
        <f>SUM(AI58:AL58)</f>
        <v>92657</v>
      </c>
      <c r="AN58" s="381">
        <v>0</v>
      </c>
      <c r="AO58" s="381">
        <v>0</v>
      </c>
      <c r="AP58" s="381">
        <v>0</v>
      </c>
      <c r="AQ58" s="381">
        <f>-[65]original!$AA$40</f>
        <v>146127</v>
      </c>
      <c r="AR58" s="172">
        <f t="shared" si="40"/>
        <v>146127</v>
      </c>
      <c r="AS58" s="381">
        <v>0</v>
      </c>
      <c r="AT58" s="381">
        <v>0</v>
      </c>
      <c r="AU58" s="381">
        <v>0</v>
      </c>
      <c r="AV58" s="381">
        <f>-[51]original!$AB$40</f>
        <v>103506</v>
      </c>
      <c r="AW58" s="172">
        <f t="shared" si="41"/>
        <v>103506</v>
      </c>
      <c r="AX58" s="381">
        <v>0</v>
      </c>
      <c r="AY58" s="381">
        <v>0</v>
      </c>
      <c r="AZ58" s="381">
        <v>0</v>
      </c>
      <c r="BA58" s="381">
        <v>110277</v>
      </c>
      <c r="BB58" s="172">
        <f>SUM(AX58:BA58)</f>
        <v>110277</v>
      </c>
      <c r="BC58" s="381">
        <v>0</v>
      </c>
      <c r="BD58" s="381">
        <v>0</v>
      </c>
      <c r="BE58" s="381">
        <v>0</v>
      </c>
      <c r="BF58" s="381">
        <f>-[62]original!$P$40</f>
        <v>66014</v>
      </c>
      <c r="BG58" s="172">
        <f t="shared" si="43"/>
        <v>66014</v>
      </c>
      <c r="BH58" s="381">
        <v>0</v>
      </c>
      <c r="BI58" s="381">
        <v>0</v>
      </c>
      <c r="BJ58" s="381">
        <v>0</v>
      </c>
      <c r="BK58" s="381">
        <v>0</v>
      </c>
      <c r="BL58" s="172">
        <f t="shared" si="44"/>
        <v>0</v>
      </c>
      <c r="BM58" s="381">
        <v>0</v>
      </c>
      <c r="BN58" s="381">
        <v>0</v>
      </c>
      <c r="BO58" s="381">
        <v>0</v>
      </c>
      <c r="BP58" s="381">
        <v>0</v>
      </c>
      <c r="BQ58" s="172">
        <f t="shared" si="45"/>
        <v>0</v>
      </c>
      <c r="BR58" s="381">
        <f t="shared" si="46"/>
        <v>0</v>
      </c>
      <c r="BS58" s="381">
        <f>+K58+P58+U58+Z58+AE58+AJ58+AO58+AT58+AY58+BD58+BI58+BN58</f>
        <v>0</v>
      </c>
      <c r="BT58" s="381">
        <f t="shared" si="46"/>
        <v>0</v>
      </c>
      <c r="BU58" s="381">
        <f t="shared" si="46"/>
        <v>1876477</v>
      </c>
      <c r="BV58" s="172">
        <f t="shared" ref="BV58:BV64" si="47">SUM(BR58:BU58)</f>
        <v>1876477</v>
      </c>
      <c r="BW58" s="144"/>
      <c r="BX58" s="435">
        <f>(BV58/I58)*100</f>
        <v>86.336808319353935</v>
      </c>
      <c r="BZ58" s="440">
        <v>0</v>
      </c>
      <c r="CA58" s="440">
        <v>568182</v>
      </c>
      <c r="CB58" s="440">
        <v>0</v>
      </c>
      <c r="CC58" s="443">
        <v>0</v>
      </c>
      <c r="CD58" s="443">
        <v>568182</v>
      </c>
      <c r="CE58" s="317">
        <f t="shared" si="27"/>
        <v>0</v>
      </c>
      <c r="CF58" s="466">
        <f>+CA58-K58</f>
        <v>568182</v>
      </c>
      <c r="CG58" s="317">
        <f t="shared" si="27"/>
        <v>0</v>
      </c>
      <c r="CH58" s="136">
        <f t="shared" si="28"/>
        <v>-568183</v>
      </c>
      <c r="CI58" s="444">
        <f t="shared" si="28"/>
        <v>-1</v>
      </c>
    </row>
    <row r="59" spans="1:87" x14ac:dyDescent="0.3">
      <c r="A59" s="308" t="s">
        <v>257</v>
      </c>
      <c r="B59" s="364"/>
      <c r="D59" s="359"/>
      <c r="E59" s="381">
        <v>0</v>
      </c>
      <c r="F59" s="381">
        <v>140049</v>
      </c>
      <c r="G59" s="381">
        <v>0</v>
      </c>
      <c r="H59" s="381">
        <v>0</v>
      </c>
      <c r="I59" s="172">
        <f>SUM(E59:H59)</f>
        <v>140049</v>
      </c>
      <c r="J59" s="380">
        <v>0</v>
      </c>
      <c r="K59" s="381">
        <v>0</v>
      </c>
      <c r="L59" s="381">
        <v>0</v>
      </c>
      <c r="M59" s="381">
        <v>0</v>
      </c>
      <c r="N59" s="172">
        <f t="shared" si="34"/>
        <v>0</v>
      </c>
      <c r="O59" s="381">
        <v>0</v>
      </c>
      <c r="P59" s="381">
        <v>40000</v>
      </c>
      <c r="Q59" s="381">
        <v>0</v>
      </c>
      <c r="R59" s="381">
        <v>0</v>
      </c>
      <c r="S59" s="172">
        <f t="shared" si="35"/>
        <v>40000</v>
      </c>
      <c r="T59" s="381">
        <v>0</v>
      </c>
      <c r="U59" s="381">
        <v>0</v>
      </c>
      <c r="V59" s="381">
        <v>0</v>
      </c>
      <c r="W59" s="381">
        <v>0</v>
      </c>
      <c r="X59" s="172">
        <f t="shared" si="36"/>
        <v>0</v>
      </c>
      <c r="Y59" s="433">
        <v>0</v>
      </c>
      <c r="Z59" s="381">
        <v>0</v>
      </c>
      <c r="AA59" s="381">
        <v>0</v>
      </c>
      <c r="AB59" s="381">
        <v>0</v>
      </c>
      <c r="AC59" s="172">
        <f t="shared" si="37"/>
        <v>0</v>
      </c>
      <c r="AD59" s="381">
        <v>0</v>
      </c>
      <c r="AE59" s="381">
        <v>0</v>
      </c>
      <c r="AF59" s="381">
        <v>0</v>
      </c>
      <c r="AG59" s="381">
        <v>0</v>
      </c>
      <c r="AH59" s="172">
        <f t="shared" si="38"/>
        <v>0</v>
      </c>
      <c r="AI59" s="459">
        <v>0</v>
      </c>
      <c r="AJ59" s="459">
        <v>30049</v>
      </c>
      <c r="AK59" s="459">
        <v>0</v>
      </c>
      <c r="AL59" s="459">
        <v>0</v>
      </c>
      <c r="AM59" s="172">
        <f t="shared" si="39"/>
        <v>30049</v>
      </c>
      <c r="AN59" s="381">
        <v>0</v>
      </c>
      <c r="AO59" s="381">
        <v>0</v>
      </c>
      <c r="AP59" s="381">
        <v>0</v>
      </c>
      <c r="AQ59" s="381">
        <v>0</v>
      </c>
      <c r="AR59" s="172">
        <f t="shared" si="40"/>
        <v>0</v>
      </c>
      <c r="AS59" s="381">
        <v>0</v>
      </c>
      <c r="AT59" s="381">
        <v>0</v>
      </c>
      <c r="AU59" s="381">
        <v>0</v>
      </c>
      <c r="AV59" s="381">
        <v>0</v>
      </c>
      <c r="AW59" s="172">
        <f t="shared" si="41"/>
        <v>0</v>
      </c>
      <c r="AX59" s="381">
        <v>0</v>
      </c>
      <c r="AY59" s="381">
        <v>0</v>
      </c>
      <c r="AZ59" s="381">
        <v>0</v>
      </c>
      <c r="BA59" s="381">
        <v>0</v>
      </c>
      <c r="BB59" s="172">
        <f t="shared" si="42"/>
        <v>0</v>
      </c>
      <c r="BC59" s="381">
        <v>0</v>
      </c>
      <c r="BD59" s="381">
        <v>0</v>
      </c>
      <c r="BE59" s="381">
        <v>0</v>
      </c>
      <c r="BF59" s="381">
        <v>0</v>
      </c>
      <c r="BG59" s="172">
        <f t="shared" si="43"/>
        <v>0</v>
      </c>
      <c r="BH59" s="381">
        <v>0</v>
      </c>
      <c r="BI59" s="381">
        <v>0</v>
      </c>
      <c r="BJ59" s="381">
        <v>0</v>
      </c>
      <c r="BK59" s="381">
        <v>0</v>
      </c>
      <c r="BL59" s="172">
        <f>SUM(BH59:BK59)</f>
        <v>0</v>
      </c>
      <c r="BM59" s="381">
        <v>0</v>
      </c>
      <c r="BN59" s="381">
        <v>0</v>
      </c>
      <c r="BO59" s="381">
        <v>0</v>
      </c>
      <c r="BP59" s="381">
        <v>0</v>
      </c>
      <c r="BQ59" s="172">
        <f t="shared" si="45"/>
        <v>0</v>
      </c>
      <c r="BR59" s="381">
        <f t="shared" si="46"/>
        <v>0</v>
      </c>
      <c r="BS59" s="381">
        <f t="shared" si="46"/>
        <v>70049</v>
      </c>
      <c r="BT59" s="381">
        <f t="shared" si="46"/>
        <v>0</v>
      </c>
      <c r="BU59" s="381">
        <f t="shared" si="46"/>
        <v>0</v>
      </c>
      <c r="BV59" s="172">
        <f t="shared" si="47"/>
        <v>70049</v>
      </c>
      <c r="BW59" s="144"/>
      <c r="BX59" s="435">
        <f t="shared" si="16"/>
        <v>50.017493877143004</v>
      </c>
      <c r="BZ59" s="440">
        <v>0</v>
      </c>
      <c r="CA59" s="440">
        <v>0</v>
      </c>
      <c r="CB59" s="440">
        <v>0</v>
      </c>
      <c r="CC59" s="440">
        <v>0</v>
      </c>
      <c r="CD59" s="467">
        <v>0</v>
      </c>
      <c r="CE59" s="317">
        <f t="shared" si="27"/>
        <v>0</v>
      </c>
      <c r="CF59" s="317">
        <f t="shared" si="27"/>
        <v>0</v>
      </c>
      <c r="CG59" s="317">
        <f t="shared" si="27"/>
        <v>0</v>
      </c>
      <c r="CH59" s="136">
        <f t="shared" si="28"/>
        <v>0</v>
      </c>
      <c r="CI59" s="444">
        <f t="shared" si="28"/>
        <v>0</v>
      </c>
    </row>
    <row r="60" spans="1:87" x14ac:dyDescent="0.3">
      <c r="A60" s="308" t="s">
        <v>281</v>
      </c>
      <c r="B60" s="364"/>
      <c r="D60" s="359"/>
      <c r="E60" s="381"/>
      <c r="F60" s="381"/>
      <c r="G60" s="381"/>
      <c r="H60" s="381"/>
      <c r="I60" s="172"/>
      <c r="J60" s="380"/>
      <c r="K60" s="381"/>
      <c r="L60" s="381"/>
      <c r="M60" s="381"/>
      <c r="N60" s="172"/>
      <c r="O60" s="381"/>
      <c r="P60" s="381"/>
      <c r="Q60" s="381"/>
      <c r="R60" s="381"/>
      <c r="S60" s="172"/>
      <c r="T60" s="381">
        <v>0</v>
      </c>
      <c r="U60" s="381">
        <v>0</v>
      </c>
      <c r="V60" s="381">
        <v>0</v>
      </c>
      <c r="W60" s="381">
        <v>0</v>
      </c>
      <c r="X60" s="172"/>
      <c r="Y60" s="433">
        <v>0</v>
      </c>
      <c r="Z60" s="381">
        <v>0</v>
      </c>
      <c r="AA60" s="381">
        <v>0</v>
      </c>
      <c r="AB60" s="381">
        <v>0</v>
      </c>
      <c r="AC60" s="460"/>
      <c r="AD60" s="381"/>
      <c r="AE60" s="381"/>
      <c r="AF60" s="381"/>
      <c r="AG60" s="381"/>
      <c r="AH60" s="172"/>
      <c r="AI60" s="459"/>
      <c r="AJ60" s="459"/>
      <c r="AK60" s="459"/>
      <c r="AL60" s="459"/>
      <c r="AM60" s="172"/>
      <c r="AN60" s="381">
        <v>0</v>
      </c>
      <c r="AO60" s="381">
        <v>0</v>
      </c>
      <c r="AP60" s="381">
        <v>0</v>
      </c>
      <c r="AQ60" s="381">
        <v>0</v>
      </c>
      <c r="AR60" s="172"/>
      <c r="AS60" s="381"/>
      <c r="AT60" s="381"/>
      <c r="AU60" s="381"/>
      <c r="AV60" s="381"/>
      <c r="AW60" s="172"/>
      <c r="AX60" s="381"/>
      <c r="AY60" s="381"/>
      <c r="AZ60" s="381"/>
      <c r="BA60" s="381"/>
      <c r="BB60" s="172"/>
      <c r="BC60" s="381"/>
      <c r="BD60" s="381"/>
      <c r="BE60" s="381"/>
      <c r="BF60" s="381"/>
      <c r="BG60" s="172"/>
      <c r="BH60" s="381"/>
      <c r="BI60" s="381"/>
      <c r="BJ60" s="381"/>
      <c r="BK60" s="381"/>
      <c r="BL60" s="172"/>
      <c r="BM60" s="381">
        <v>0</v>
      </c>
      <c r="BN60" s="381">
        <v>0</v>
      </c>
      <c r="BO60" s="381">
        <v>0</v>
      </c>
      <c r="BP60" s="381">
        <v>0</v>
      </c>
      <c r="BQ60" s="172"/>
      <c r="BR60" s="381"/>
      <c r="BS60" s="381"/>
      <c r="BT60" s="381"/>
      <c r="BU60" s="381"/>
      <c r="BV60" s="172"/>
      <c r="BW60" s="144"/>
      <c r="BX60" s="435"/>
      <c r="CE60" s="317">
        <f t="shared" si="27"/>
        <v>0</v>
      </c>
      <c r="CF60" s="317">
        <f t="shared" si="27"/>
        <v>0</v>
      </c>
      <c r="CG60" s="317">
        <f t="shared" si="27"/>
        <v>0</v>
      </c>
      <c r="CH60" s="136">
        <f t="shared" si="28"/>
        <v>0</v>
      </c>
      <c r="CI60" s="444">
        <f t="shared" si="28"/>
        <v>0</v>
      </c>
    </row>
    <row r="61" spans="1:87" x14ac:dyDescent="0.3">
      <c r="A61" s="468" t="s">
        <v>258</v>
      </c>
      <c r="B61" s="364"/>
      <c r="D61" s="359"/>
      <c r="E61" s="381">
        <v>0</v>
      </c>
      <c r="F61" s="371">
        <v>0</v>
      </c>
      <c r="G61" s="381">
        <v>0</v>
      </c>
      <c r="H61" s="381">
        <v>3030886</v>
      </c>
      <c r="I61" s="172">
        <f t="shared" ref="I61:S61" si="48">SUM(I62:I64)</f>
        <v>3030886</v>
      </c>
      <c r="J61" s="380">
        <f t="shared" si="48"/>
        <v>0</v>
      </c>
      <c r="K61" s="381">
        <f t="shared" si="48"/>
        <v>0</v>
      </c>
      <c r="L61" s="381">
        <f t="shared" si="48"/>
        <v>0</v>
      </c>
      <c r="M61" s="469">
        <f t="shared" si="48"/>
        <v>0</v>
      </c>
      <c r="N61" s="460">
        <f t="shared" si="48"/>
        <v>0</v>
      </c>
      <c r="O61" s="381">
        <f t="shared" si="48"/>
        <v>0</v>
      </c>
      <c r="P61" s="381">
        <f t="shared" si="48"/>
        <v>0</v>
      </c>
      <c r="Q61" s="381">
        <f t="shared" si="48"/>
        <v>0</v>
      </c>
      <c r="R61" s="381">
        <f t="shared" si="48"/>
        <v>0</v>
      </c>
      <c r="S61" s="460">
        <f t="shared" si="48"/>
        <v>0</v>
      </c>
      <c r="T61" s="381">
        <v>0</v>
      </c>
      <c r="U61" s="381">
        <v>0</v>
      </c>
      <c r="V61" s="381">
        <v>0</v>
      </c>
      <c r="W61" s="381">
        <v>0</v>
      </c>
      <c r="X61" s="460">
        <f>SUM(X62:X64)</f>
        <v>45000</v>
      </c>
      <c r="Y61" s="433">
        <v>0</v>
      </c>
      <c r="Z61" s="381">
        <v>0</v>
      </c>
      <c r="AA61" s="381">
        <v>0</v>
      </c>
      <c r="AB61" s="381">
        <v>0</v>
      </c>
      <c r="AC61" s="198">
        <f>SUM(AC62:AC64)</f>
        <v>0</v>
      </c>
      <c r="AD61" s="381">
        <f t="shared" ref="AD61:AG61" si="49">SUM(AD62:AD64)</f>
        <v>0</v>
      </c>
      <c r="AE61" s="381">
        <f t="shared" si="49"/>
        <v>0</v>
      </c>
      <c r="AF61" s="381">
        <f t="shared" si="49"/>
        <v>0</v>
      </c>
      <c r="AG61" s="381">
        <f t="shared" si="49"/>
        <v>50779</v>
      </c>
      <c r="AH61" s="460">
        <f>SUM(AH62:AH64)</f>
        <v>50779</v>
      </c>
      <c r="AI61" s="459">
        <v>0</v>
      </c>
      <c r="AJ61" s="459">
        <v>0</v>
      </c>
      <c r="AK61" s="459">
        <v>0</v>
      </c>
      <c r="AL61" s="459">
        <v>2629855</v>
      </c>
      <c r="AM61" s="172">
        <f t="shared" si="39"/>
        <v>2629855</v>
      </c>
      <c r="AN61" s="381">
        <v>0</v>
      </c>
      <c r="AO61" s="381">
        <v>0</v>
      </c>
      <c r="AP61" s="381">
        <v>0</v>
      </c>
      <c r="AQ61" s="381">
        <v>0</v>
      </c>
      <c r="AR61" s="460">
        <f>SUM(AR62:AR64)</f>
        <v>0</v>
      </c>
      <c r="AS61" s="381">
        <f>SUM(AS62:AS64)</f>
        <v>0</v>
      </c>
      <c r="AT61" s="381">
        <f>SUM(AT62:AT64)</f>
        <v>0</v>
      </c>
      <c r="AU61" s="381">
        <f>SUM(AU62:AU64)</f>
        <v>0</v>
      </c>
      <c r="AV61" s="381">
        <f>SUM(AV62:AV64)</f>
        <v>0</v>
      </c>
      <c r="AW61" s="172">
        <f t="shared" si="41"/>
        <v>0</v>
      </c>
      <c r="AX61" s="381">
        <f t="shared" ref="AX61:BL61" si="50">SUM(AX62:AX64)</f>
        <v>0</v>
      </c>
      <c r="AY61" s="381">
        <f t="shared" si="50"/>
        <v>0</v>
      </c>
      <c r="AZ61" s="381">
        <f t="shared" si="50"/>
        <v>0</v>
      </c>
      <c r="BA61" s="381">
        <f t="shared" si="50"/>
        <v>191295</v>
      </c>
      <c r="BB61" s="460">
        <f t="shared" si="50"/>
        <v>191295</v>
      </c>
      <c r="BC61" s="381">
        <f t="shared" si="50"/>
        <v>0</v>
      </c>
      <c r="BD61" s="381">
        <f t="shared" si="50"/>
        <v>0</v>
      </c>
      <c r="BE61" s="381">
        <f t="shared" si="50"/>
        <v>0</v>
      </c>
      <c r="BF61" s="381">
        <f t="shared" si="50"/>
        <v>688</v>
      </c>
      <c r="BG61" s="460">
        <f t="shared" si="50"/>
        <v>688</v>
      </c>
      <c r="BH61" s="381">
        <f t="shared" si="50"/>
        <v>0</v>
      </c>
      <c r="BI61" s="381">
        <f t="shared" si="50"/>
        <v>0</v>
      </c>
      <c r="BJ61" s="381">
        <f t="shared" si="50"/>
        <v>0</v>
      </c>
      <c r="BK61" s="381">
        <f t="shared" si="50"/>
        <v>0</v>
      </c>
      <c r="BL61" s="460">
        <f t="shared" si="50"/>
        <v>0</v>
      </c>
      <c r="BM61" s="381">
        <v>0</v>
      </c>
      <c r="BN61" s="381">
        <v>0</v>
      </c>
      <c r="BO61" s="381">
        <v>0</v>
      </c>
      <c r="BP61" s="381">
        <v>0</v>
      </c>
      <c r="BQ61" s="460">
        <f>SUM(BQ62:BQ64)</f>
        <v>0</v>
      </c>
      <c r="BR61" s="381">
        <f>SUM(BR62:BR64)</f>
        <v>0</v>
      </c>
      <c r="BS61" s="381">
        <f>SUM(BS62:BS64)</f>
        <v>0</v>
      </c>
      <c r="BT61" s="381">
        <f>SUM(BT62:BT64)</f>
        <v>0</v>
      </c>
      <c r="BU61" s="381">
        <f>SUM(BU62:BU64)</f>
        <v>2917617</v>
      </c>
      <c r="BV61" s="172">
        <f>SUM(BR61:BU61)</f>
        <v>2917617</v>
      </c>
      <c r="BW61" s="144"/>
      <c r="BX61" s="435"/>
      <c r="CE61" s="317">
        <f t="shared" si="27"/>
        <v>0</v>
      </c>
      <c r="CF61" s="317">
        <f t="shared" si="27"/>
        <v>0</v>
      </c>
      <c r="CG61" s="317">
        <f t="shared" si="27"/>
        <v>0</v>
      </c>
      <c r="CH61" s="136">
        <f t="shared" si="28"/>
        <v>0</v>
      </c>
      <c r="CI61" s="444">
        <f t="shared" si="28"/>
        <v>0</v>
      </c>
    </row>
    <row r="62" spans="1:87" s="68" customFormat="1" hidden="1" x14ac:dyDescent="0.3">
      <c r="A62" s="85"/>
      <c r="B62" s="470" t="s">
        <v>282</v>
      </c>
      <c r="D62" s="359" t="s">
        <v>89</v>
      </c>
      <c r="E62" s="371">
        <v>0</v>
      </c>
      <c r="F62" s="371">
        <v>0</v>
      </c>
      <c r="G62" s="371">
        <v>0</v>
      </c>
      <c r="H62" s="371">
        <v>0</v>
      </c>
      <c r="I62" s="198">
        <f>SUM(E62:H62)</f>
        <v>0</v>
      </c>
      <c r="J62" s="377">
        <v>0</v>
      </c>
      <c r="K62" s="371">
        <v>0</v>
      </c>
      <c r="L62" s="371">
        <v>0</v>
      </c>
      <c r="M62" s="371">
        <v>0</v>
      </c>
      <c r="N62" s="198">
        <f>SUM(J62:M62)</f>
        <v>0</v>
      </c>
      <c r="O62" s="371">
        <v>0</v>
      </c>
      <c r="P62" s="371">
        <v>0</v>
      </c>
      <c r="Q62" s="371">
        <v>0</v>
      </c>
      <c r="R62" s="371">
        <v>0</v>
      </c>
      <c r="S62" s="198">
        <f>SUM(O62:R62)</f>
        <v>0</v>
      </c>
      <c r="T62" s="381">
        <v>0</v>
      </c>
      <c r="U62" s="381">
        <v>0</v>
      </c>
      <c r="V62" s="381">
        <v>0</v>
      </c>
      <c r="W62" s="371">
        <v>45000</v>
      </c>
      <c r="X62" s="198">
        <f>SUM(T62:W62)</f>
        <v>45000</v>
      </c>
      <c r="Y62" s="433">
        <v>0</v>
      </c>
      <c r="Z62" s="381">
        <v>0</v>
      </c>
      <c r="AA62" s="381">
        <v>0</v>
      </c>
      <c r="AB62" s="381">
        <v>0</v>
      </c>
      <c r="AC62" s="198">
        <f>SUM(Y62:AB62)</f>
        <v>0</v>
      </c>
      <c r="AD62" s="371">
        <v>0</v>
      </c>
      <c r="AE62" s="371">
        <v>0</v>
      </c>
      <c r="AF62" s="371">
        <v>0</v>
      </c>
      <c r="AG62" s="371">
        <v>0</v>
      </c>
      <c r="AH62" s="198">
        <f>SUM(AD62:AG62)</f>
        <v>0</v>
      </c>
      <c r="AI62" s="461">
        <v>0</v>
      </c>
      <c r="AJ62" s="461">
        <v>0</v>
      </c>
      <c r="AK62" s="461">
        <v>0</v>
      </c>
      <c r="AL62" s="461">
        <v>-45000</v>
      </c>
      <c r="AM62" s="198">
        <f t="shared" si="39"/>
        <v>-45000</v>
      </c>
      <c r="AN62" s="381">
        <v>0</v>
      </c>
      <c r="AO62" s="381">
        <v>0</v>
      </c>
      <c r="AP62" s="381">
        <v>0</v>
      </c>
      <c r="AQ62" s="381">
        <v>0</v>
      </c>
      <c r="AR62" s="198">
        <v>0</v>
      </c>
      <c r="AS62" s="371">
        <v>0</v>
      </c>
      <c r="AT62" s="371">
        <v>0</v>
      </c>
      <c r="AU62" s="371">
        <v>0</v>
      </c>
      <c r="AV62" s="371">
        <v>0</v>
      </c>
      <c r="AW62" s="198">
        <f t="shared" si="41"/>
        <v>0</v>
      </c>
      <c r="AX62" s="371">
        <v>0</v>
      </c>
      <c r="AY62" s="371">
        <v>0</v>
      </c>
      <c r="AZ62" s="371">
        <v>0</v>
      </c>
      <c r="BA62" s="371">
        <v>0</v>
      </c>
      <c r="BB62" s="198">
        <v>0</v>
      </c>
      <c r="BC62" s="371">
        <v>0</v>
      </c>
      <c r="BD62" s="371">
        <v>0</v>
      </c>
      <c r="BE62" s="371">
        <v>0</v>
      </c>
      <c r="BF62" s="371">
        <v>0</v>
      </c>
      <c r="BG62" s="198">
        <v>0</v>
      </c>
      <c r="BH62" s="371">
        <v>0</v>
      </c>
      <c r="BI62" s="371">
        <v>0</v>
      </c>
      <c r="BJ62" s="371">
        <v>0</v>
      </c>
      <c r="BK62" s="371">
        <v>0</v>
      </c>
      <c r="BL62" s="198">
        <f t="shared" si="44"/>
        <v>0</v>
      </c>
      <c r="BM62" s="381">
        <v>0</v>
      </c>
      <c r="BN62" s="381">
        <v>0</v>
      </c>
      <c r="BO62" s="381">
        <v>0</v>
      </c>
      <c r="BP62" s="381">
        <v>0</v>
      </c>
      <c r="BQ62" s="198">
        <v>0</v>
      </c>
      <c r="BR62" s="371">
        <f t="shared" si="46"/>
        <v>0</v>
      </c>
      <c r="BS62" s="371">
        <f t="shared" si="46"/>
        <v>0</v>
      </c>
      <c r="BT62" s="371">
        <f t="shared" si="46"/>
        <v>0</v>
      </c>
      <c r="BU62" s="371">
        <f>+M62+R62+W62+AB62+AG62+AL62+AQ62+AV62+BA62+BF62+BK62+BP62</f>
        <v>0</v>
      </c>
      <c r="BV62" s="198">
        <f t="shared" si="47"/>
        <v>0</v>
      </c>
      <c r="BW62" s="164"/>
      <c r="BX62" s="462"/>
      <c r="CE62" s="374">
        <f t="shared" si="27"/>
        <v>0</v>
      </c>
      <c r="CF62" s="374">
        <f t="shared" si="27"/>
        <v>0</v>
      </c>
      <c r="CG62" s="374">
        <f t="shared" si="27"/>
        <v>0</v>
      </c>
      <c r="CH62" s="159">
        <f t="shared" si="28"/>
        <v>0</v>
      </c>
      <c r="CI62" s="465">
        <f t="shared" si="28"/>
        <v>0</v>
      </c>
    </row>
    <row r="63" spans="1:87" s="68" customFormat="1" x14ac:dyDescent="0.3">
      <c r="A63" s="85"/>
      <c r="B63" s="470" t="s">
        <v>283</v>
      </c>
      <c r="D63" s="359"/>
      <c r="E63" s="371">
        <v>0</v>
      </c>
      <c r="F63" s="371">
        <v>0</v>
      </c>
      <c r="G63" s="371">
        <v>0</v>
      </c>
      <c r="H63" s="371">
        <v>3030886</v>
      </c>
      <c r="I63" s="198">
        <f>SUM(E63:H63)</f>
        <v>3030886</v>
      </c>
      <c r="J63" s="377">
        <v>0</v>
      </c>
      <c r="K63" s="371">
        <v>0</v>
      </c>
      <c r="L63" s="371">
        <v>0</v>
      </c>
      <c r="M63" s="371">
        <v>0</v>
      </c>
      <c r="N63" s="198">
        <v>0</v>
      </c>
      <c r="O63" s="371">
        <v>0</v>
      </c>
      <c r="P63" s="371">
        <v>0</v>
      </c>
      <c r="Q63" s="371">
        <v>0</v>
      </c>
      <c r="R63" s="371">
        <v>0</v>
      </c>
      <c r="S63" s="198">
        <v>0</v>
      </c>
      <c r="T63" s="381">
        <v>0</v>
      </c>
      <c r="U63" s="381">
        <v>0</v>
      </c>
      <c r="V63" s="381">
        <v>0</v>
      </c>
      <c r="W63" s="381">
        <v>0</v>
      </c>
      <c r="X63" s="198">
        <v>0</v>
      </c>
      <c r="Y63" s="433">
        <v>0</v>
      </c>
      <c r="Z63" s="381">
        <v>0</v>
      </c>
      <c r="AA63" s="381">
        <v>0</v>
      </c>
      <c r="AB63" s="381">
        <v>0</v>
      </c>
      <c r="AC63" s="198">
        <v>0</v>
      </c>
      <c r="AD63" s="371">
        <v>0</v>
      </c>
      <c r="AE63" s="371">
        <v>0</v>
      </c>
      <c r="AF63" s="371">
        <v>0</v>
      </c>
      <c r="AG63" s="371">
        <v>50779</v>
      </c>
      <c r="AH63" s="198">
        <f>SUM(AD63:AG63)</f>
        <v>50779</v>
      </c>
      <c r="AI63" s="461">
        <v>0</v>
      </c>
      <c r="AJ63" s="461">
        <v>0</v>
      </c>
      <c r="AK63" s="461">
        <v>0</v>
      </c>
      <c r="AL63" s="461">
        <v>2674855</v>
      </c>
      <c r="AM63" s="198">
        <f t="shared" si="39"/>
        <v>2674855</v>
      </c>
      <c r="AN63" s="381">
        <v>0</v>
      </c>
      <c r="AO63" s="381">
        <v>0</v>
      </c>
      <c r="AP63" s="381">
        <v>0</v>
      </c>
      <c r="AQ63" s="381">
        <v>0</v>
      </c>
      <c r="AR63" s="198">
        <v>0</v>
      </c>
      <c r="AS63" s="371">
        <v>0</v>
      </c>
      <c r="AT63" s="371">
        <v>0</v>
      </c>
      <c r="AU63" s="371">
        <v>0</v>
      </c>
      <c r="AV63" s="371">
        <v>0</v>
      </c>
      <c r="AW63" s="198">
        <v>0</v>
      </c>
      <c r="AX63" s="371">
        <v>0</v>
      </c>
      <c r="AY63" s="371">
        <v>0</v>
      </c>
      <c r="AZ63" s="371">
        <v>0</v>
      </c>
      <c r="BA63" s="371">
        <v>191295</v>
      </c>
      <c r="BB63" s="198">
        <f t="shared" si="42"/>
        <v>191295</v>
      </c>
      <c r="BC63" s="371">
        <v>0</v>
      </c>
      <c r="BD63" s="371">
        <v>0</v>
      </c>
      <c r="BE63" s="371">
        <v>0</v>
      </c>
      <c r="BF63" s="371">
        <v>688</v>
      </c>
      <c r="BG63" s="198">
        <f t="shared" si="43"/>
        <v>688</v>
      </c>
      <c r="BH63" s="371">
        <v>0</v>
      </c>
      <c r="BI63" s="371">
        <v>0</v>
      </c>
      <c r="BJ63" s="371">
        <v>0</v>
      </c>
      <c r="BK63" s="371">
        <v>0</v>
      </c>
      <c r="BL63" s="198">
        <f>SUM(BH63:BK63)</f>
        <v>0</v>
      </c>
      <c r="BM63" s="381">
        <v>0</v>
      </c>
      <c r="BN63" s="381">
        <v>0</v>
      </c>
      <c r="BO63" s="381">
        <v>0</v>
      </c>
      <c r="BP63" s="381">
        <v>0</v>
      </c>
      <c r="BQ63" s="198">
        <f>SUM(BM63:BP63)</f>
        <v>0</v>
      </c>
      <c r="BR63" s="371">
        <f t="shared" si="46"/>
        <v>0</v>
      </c>
      <c r="BS63" s="371">
        <f t="shared" si="46"/>
        <v>0</v>
      </c>
      <c r="BT63" s="371">
        <f t="shared" si="46"/>
        <v>0</v>
      </c>
      <c r="BU63" s="471">
        <f>+M63+R63+W63+AB63+AG63+AL63+AQ63+AV63+BA63+BF63+BK63+BP63</f>
        <v>2917617</v>
      </c>
      <c r="BV63" s="145">
        <f t="shared" si="47"/>
        <v>2917617</v>
      </c>
      <c r="BW63" s="164"/>
      <c r="BX63" s="462"/>
      <c r="CE63" s="374">
        <f t="shared" si="27"/>
        <v>0</v>
      </c>
      <c r="CF63" s="374">
        <f t="shared" si="27"/>
        <v>0</v>
      </c>
      <c r="CG63" s="374">
        <f t="shared" si="27"/>
        <v>0</v>
      </c>
      <c r="CH63" s="159"/>
      <c r="CI63" s="465"/>
    </row>
    <row r="64" spans="1:87" hidden="1" x14ac:dyDescent="0.3">
      <c r="A64" s="308"/>
      <c r="B64" s="17" t="s">
        <v>284</v>
      </c>
      <c r="D64" s="359"/>
      <c r="E64" s="381">
        <v>0</v>
      </c>
      <c r="F64" s="371">
        <v>0</v>
      </c>
      <c r="G64" s="371">
        <v>0</v>
      </c>
      <c r="H64" s="381">
        <v>0</v>
      </c>
      <c r="I64" s="198">
        <f>SUM(E64:H64)</f>
        <v>0</v>
      </c>
      <c r="J64" s="380">
        <v>0</v>
      </c>
      <c r="K64" s="381">
        <v>0</v>
      </c>
      <c r="L64" s="371">
        <v>0</v>
      </c>
      <c r="M64" s="371">
        <v>0</v>
      </c>
      <c r="N64" s="198">
        <v>0</v>
      </c>
      <c r="O64" s="371">
        <v>0</v>
      </c>
      <c r="P64" s="371">
        <v>0</v>
      </c>
      <c r="Q64" s="371">
        <v>0</v>
      </c>
      <c r="R64" s="371">
        <v>0</v>
      </c>
      <c r="S64" s="198">
        <v>0</v>
      </c>
      <c r="T64" s="381">
        <v>0</v>
      </c>
      <c r="U64" s="381">
        <v>0</v>
      </c>
      <c r="V64" s="381">
        <v>0</v>
      </c>
      <c r="W64" s="381">
        <v>0</v>
      </c>
      <c r="X64" s="198">
        <v>0</v>
      </c>
      <c r="Y64" s="433">
        <v>0</v>
      </c>
      <c r="Z64" s="381">
        <v>0</v>
      </c>
      <c r="AA64" s="381">
        <v>0</v>
      </c>
      <c r="AB64" s="381">
        <v>0</v>
      </c>
      <c r="AC64" s="460">
        <v>0</v>
      </c>
      <c r="AD64" s="371">
        <v>0</v>
      </c>
      <c r="AE64" s="371">
        <v>0</v>
      </c>
      <c r="AF64" s="371">
        <v>0</v>
      </c>
      <c r="AG64" s="371">
        <v>0</v>
      </c>
      <c r="AH64" s="198">
        <v>0</v>
      </c>
      <c r="AI64" s="461">
        <v>0</v>
      </c>
      <c r="AJ64" s="461">
        <v>0</v>
      </c>
      <c r="AK64" s="461">
        <v>0</v>
      </c>
      <c r="AL64" s="461">
        <v>0</v>
      </c>
      <c r="AM64" s="198">
        <f>SUM(AI64:AL64)</f>
        <v>0</v>
      </c>
      <c r="AN64" s="381">
        <v>0</v>
      </c>
      <c r="AO64" s="381">
        <v>0</v>
      </c>
      <c r="AP64" s="381">
        <v>0</v>
      </c>
      <c r="AQ64" s="381">
        <v>0</v>
      </c>
      <c r="AR64" s="198">
        <v>0</v>
      </c>
      <c r="AS64" s="371">
        <v>0</v>
      </c>
      <c r="AT64" s="371">
        <v>0</v>
      </c>
      <c r="AU64" s="371">
        <v>0</v>
      </c>
      <c r="AV64" s="371">
        <v>0</v>
      </c>
      <c r="AW64" s="198">
        <f t="shared" si="41"/>
        <v>0</v>
      </c>
      <c r="AX64" s="371">
        <v>0</v>
      </c>
      <c r="AY64" s="371">
        <v>0</v>
      </c>
      <c r="AZ64" s="371">
        <v>0</v>
      </c>
      <c r="BA64" s="371">
        <v>0</v>
      </c>
      <c r="BB64" s="198">
        <v>0</v>
      </c>
      <c r="BC64" s="371">
        <v>0</v>
      </c>
      <c r="BD64" s="371">
        <v>0</v>
      </c>
      <c r="BE64" s="371">
        <v>0</v>
      </c>
      <c r="BF64" s="371">
        <v>0</v>
      </c>
      <c r="BG64" s="198">
        <v>0</v>
      </c>
      <c r="BH64" s="371">
        <v>0</v>
      </c>
      <c r="BI64" s="371">
        <v>0</v>
      </c>
      <c r="BJ64" s="371">
        <v>0</v>
      </c>
      <c r="BK64" s="371">
        <v>0</v>
      </c>
      <c r="BL64" s="172">
        <f t="shared" si="44"/>
        <v>0</v>
      </c>
      <c r="BM64" s="381">
        <v>0</v>
      </c>
      <c r="BN64" s="381">
        <v>0</v>
      </c>
      <c r="BO64" s="381">
        <v>0</v>
      </c>
      <c r="BP64" s="381">
        <v>0</v>
      </c>
      <c r="BQ64" s="172">
        <v>0</v>
      </c>
      <c r="BR64" s="371">
        <f t="shared" si="46"/>
        <v>0</v>
      </c>
      <c r="BS64" s="371">
        <f t="shared" si="46"/>
        <v>0</v>
      </c>
      <c r="BT64" s="371">
        <f t="shared" si="46"/>
        <v>0</v>
      </c>
      <c r="BU64" s="471">
        <f t="shared" si="46"/>
        <v>0</v>
      </c>
      <c r="BV64" s="165">
        <f t="shared" si="47"/>
        <v>0</v>
      </c>
      <c r="BW64" s="144"/>
      <c r="BX64" s="435"/>
      <c r="CE64" s="317">
        <f t="shared" si="27"/>
        <v>0</v>
      </c>
      <c r="CF64" s="317">
        <f t="shared" si="27"/>
        <v>0</v>
      </c>
      <c r="CG64" s="317">
        <f t="shared" si="27"/>
        <v>0</v>
      </c>
      <c r="CH64" s="136">
        <f t="shared" si="28"/>
        <v>0</v>
      </c>
      <c r="CI64" s="444">
        <f t="shared" si="28"/>
        <v>0</v>
      </c>
    </row>
    <row r="65" spans="1:87" x14ac:dyDescent="0.3">
      <c r="A65" s="308" t="s">
        <v>261</v>
      </c>
      <c r="B65" s="364"/>
      <c r="C65" s="364"/>
      <c r="D65" s="361"/>
      <c r="E65" s="381">
        <v>0</v>
      </c>
      <c r="F65" s="381">
        <v>19011610</v>
      </c>
      <c r="G65" s="381">
        <v>0</v>
      </c>
      <c r="H65" s="381">
        <v>0</v>
      </c>
      <c r="I65" s="172">
        <f t="shared" ref="I65:I68" si="51">SUM(E65:H65)</f>
        <v>19011610</v>
      </c>
      <c r="J65" s="380">
        <v>0</v>
      </c>
      <c r="K65" s="381">
        <v>1616206</v>
      </c>
      <c r="L65" s="381">
        <v>0</v>
      </c>
      <c r="M65" s="381">
        <v>0</v>
      </c>
      <c r="N65" s="172">
        <f t="shared" si="34"/>
        <v>1616206</v>
      </c>
      <c r="O65" s="371">
        <v>0</v>
      </c>
      <c r="P65" s="371">
        <v>1478092</v>
      </c>
      <c r="Q65" s="371">
        <v>0</v>
      </c>
      <c r="R65" s="371">
        <v>0</v>
      </c>
      <c r="S65" s="172">
        <f>SUM(O65:R65)</f>
        <v>1478092</v>
      </c>
      <c r="T65" s="381">
        <v>0</v>
      </c>
      <c r="U65" s="381">
        <v>1397748</v>
      </c>
      <c r="V65" s="381">
        <v>0</v>
      </c>
      <c r="W65" s="381">
        <v>0</v>
      </c>
      <c r="X65" s="172">
        <f t="shared" si="36"/>
        <v>1397748</v>
      </c>
      <c r="Y65" s="381">
        <v>0</v>
      </c>
      <c r="Z65" s="381">
        <v>1581888</v>
      </c>
      <c r="AA65" s="381">
        <v>0</v>
      </c>
      <c r="AB65" s="381">
        <v>0</v>
      </c>
      <c r="AC65" s="172">
        <f t="shared" si="37"/>
        <v>1581888</v>
      </c>
      <c r="AD65" s="381">
        <v>0</v>
      </c>
      <c r="AE65" s="381">
        <v>1637272</v>
      </c>
      <c r="AF65" s="381">
        <v>0</v>
      </c>
      <c r="AG65" s="381">
        <v>0</v>
      </c>
      <c r="AH65" s="172">
        <f>SUM(AD65:AG65)</f>
        <v>1637272</v>
      </c>
      <c r="AI65" s="459">
        <v>0</v>
      </c>
      <c r="AJ65" s="459">
        <v>1522217</v>
      </c>
      <c r="AK65" s="459">
        <v>0</v>
      </c>
      <c r="AL65" s="459">
        <v>0</v>
      </c>
      <c r="AM65" s="172">
        <f t="shared" si="39"/>
        <v>1522217</v>
      </c>
      <c r="AN65" s="381">
        <v>0</v>
      </c>
      <c r="AO65" s="381">
        <v>1566096</v>
      </c>
      <c r="AP65" s="381">
        <v>0</v>
      </c>
      <c r="AQ65" s="381">
        <v>0</v>
      </c>
      <c r="AR65" s="172">
        <f t="shared" si="40"/>
        <v>1566096</v>
      </c>
      <c r="AS65" s="371">
        <v>0</v>
      </c>
      <c r="AT65" s="371">
        <v>1556272</v>
      </c>
      <c r="AU65" s="371">
        <v>0</v>
      </c>
      <c r="AV65" s="371">
        <v>0</v>
      </c>
      <c r="AW65" s="172">
        <f t="shared" si="41"/>
        <v>1556272</v>
      </c>
      <c r="AX65" s="371">
        <v>0</v>
      </c>
      <c r="AY65" s="371">
        <v>1569645</v>
      </c>
      <c r="AZ65" s="371">
        <v>0</v>
      </c>
      <c r="BA65" s="371">
        <v>0</v>
      </c>
      <c r="BB65" s="172">
        <f t="shared" si="42"/>
        <v>1569645</v>
      </c>
      <c r="BC65" s="381">
        <v>0</v>
      </c>
      <c r="BD65" s="381">
        <v>1779977</v>
      </c>
      <c r="BE65" s="381">
        <v>0</v>
      </c>
      <c r="BF65" s="381">
        <v>0</v>
      </c>
      <c r="BG65" s="172">
        <f t="shared" si="43"/>
        <v>1779977</v>
      </c>
      <c r="BH65" s="371">
        <v>0</v>
      </c>
      <c r="BI65" s="371">
        <v>0</v>
      </c>
      <c r="BJ65" s="371">
        <v>0</v>
      </c>
      <c r="BK65" s="371">
        <v>0</v>
      </c>
      <c r="BL65" s="172">
        <f t="shared" si="44"/>
        <v>0</v>
      </c>
      <c r="BM65" s="381">
        <v>0</v>
      </c>
      <c r="BN65" s="381">
        <v>0</v>
      </c>
      <c r="BO65" s="381">
        <v>0</v>
      </c>
      <c r="BP65" s="381">
        <v>0</v>
      </c>
      <c r="BQ65" s="172">
        <f>SUM(BM65:BP65)</f>
        <v>0</v>
      </c>
      <c r="BR65" s="381">
        <f t="shared" si="46"/>
        <v>0</v>
      </c>
      <c r="BS65" s="381">
        <f t="shared" si="46"/>
        <v>15705413</v>
      </c>
      <c r="BT65" s="381">
        <f t="shared" si="46"/>
        <v>0</v>
      </c>
      <c r="BU65" s="471">
        <f t="shared" si="46"/>
        <v>0</v>
      </c>
      <c r="BV65" s="165">
        <f>SUM(BR65:BU65)</f>
        <v>15705413</v>
      </c>
      <c r="BW65" s="144"/>
      <c r="BX65" s="435">
        <f t="shared" si="16"/>
        <v>82.60958961392538</v>
      </c>
      <c r="BZ65" s="440">
        <v>0</v>
      </c>
      <c r="CA65" s="440">
        <v>1616206.2643800001</v>
      </c>
      <c r="CB65" s="440">
        <v>0</v>
      </c>
      <c r="CC65" s="443">
        <v>0</v>
      </c>
      <c r="CD65" s="443">
        <v>1616206.2643800001</v>
      </c>
      <c r="CE65" s="317">
        <f t="shared" si="27"/>
        <v>0</v>
      </c>
      <c r="CF65" s="317">
        <f t="shared" si="27"/>
        <v>0.26438000006601214</v>
      </c>
      <c r="CG65" s="317">
        <f t="shared" si="27"/>
        <v>0</v>
      </c>
      <c r="CH65" s="136">
        <f t="shared" si="28"/>
        <v>0</v>
      </c>
      <c r="CI65" s="444">
        <f t="shared" si="28"/>
        <v>0.26438000006601214</v>
      </c>
    </row>
    <row r="66" spans="1:87" x14ac:dyDescent="0.3">
      <c r="A66" s="308" t="s">
        <v>262</v>
      </c>
      <c r="B66" s="364"/>
      <c r="D66" s="361"/>
      <c r="E66" s="381">
        <v>2132400</v>
      </c>
      <c r="F66" s="381">
        <v>42111</v>
      </c>
      <c r="G66" s="381">
        <v>0</v>
      </c>
      <c r="H66" s="381">
        <v>0</v>
      </c>
      <c r="I66" s="172">
        <f t="shared" si="51"/>
        <v>2174511</v>
      </c>
      <c r="J66" s="380">
        <v>176905</v>
      </c>
      <c r="K66" s="381">
        <v>4906</v>
      </c>
      <c r="L66" s="381">
        <v>0</v>
      </c>
      <c r="M66" s="381">
        <v>0</v>
      </c>
      <c r="N66" s="172">
        <f t="shared" si="34"/>
        <v>181811</v>
      </c>
      <c r="O66" s="381">
        <v>182574</v>
      </c>
      <c r="P66" s="381">
        <v>2843</v>
      </c>
      <c r="Q66" s="381">
        <v>0</v>
      </c>
      <c r="R66" s="381">
        <v>0</v>
      </c>
      <c r="S66" s="172">
        <f>SUM(O66:R66)</f>
        <v>185417</v>
      </c>
      <c r="T66" s="381">
        <v>177726</v>
      </c>
      <c r="U66" s="381">
        <v>1544</v>
      </c>
      <c r="V66" s="381">
        <v>0</v>
      </c>
      <c r="W66" s="381">
        <v>0</v>
      </c>
      <c r="X66" s="172">
        <f t="shared" si="36"/>
        <v>179270</v>
      </c>
      <c r="Y66" s="381">
        <v>173933</v>
      </c>
      <c r="Z66" s="433">
        <v>3444</v>
      </c>
      <c r="AA66" s="381">
        <v>0</v>
      </c>
      <c r="AB66" s="381">
        <v>0</v>
      </c>
      <c r="AC66" s="172">
        <f t="shared" si="37"/>
        <v>177377</v>
      </c>
      <c r="AD66" s="381">
        <v>175608</v>
      </c>
      <c r="AE66" s="381">
        <v>2221</v>
      </c>
      <c r="AF66" s="381">
        <v>0</v>
      </c>
      <c r="AG66" s="381">
        <v>0</v>
      </c>
      <c r="AH66" s="172">
        <f>SUM(AD66:AG66)</f>
        <v>177829</v>
      </c>
      <c r="AI66" s="459">
        <v>172630</v>
      </c>
      <c r="AJ66" s="459">
        <v>2433</v>
      </c>
      <c r="AK66" s="459">
        <v>0</v>
      </c>
      <c r="AL66" s="459">
        <v>0</v>
      </c>
      <c r="AM66" s="172">
        <f t="shared" si="39"/>
        <v>175063</v>
      </c>
      <c r="AN66" s="381">
        <v>180854</v>
      </c>
      <c r="AO66" s="381">
        <v>3428</v>
      </c>
      <c r="AP66" s="381">
        <v>0</v>
      </c>
      <c r="AQ66" s="381">
        <v>0</v>
      </c>
      <c r="AR66" s="172">
        <f t="shared" si="40"/>
        <v>184282</v>
      </c>
      <c r="AS66" s="371">
        <v>180638</v>
      </c>
      <c r="AT66" s="371">
        <v>4006</v>
      </c>
      <c r="AU66" s="371">
        <v>0</v>
      </c>
      <c r="AV66" s="371">
        <v>0</v>
      </c>
      <c r="AW66" s="172">
        <f t="shared" si="41"/>
        <v>184644</v>
      </c>
      <c r="AX66" s="371">
        <v>177492</v>
      </c>
      <c r="AY66" s="371">
        <v>1193</v>
      </c>
      <c r="AZ66" s="371">
        <v>0</v>
      </c>
      <c r="BA66" s="371">
        <v>0</v>
      </c>
      <c r="BB66" s="172">
        <f t="shared" si="42"/>
        <v>178685</v>
      </c>
      <c r="BC66" s="381">
        <v>177099</v>
      </c>
      <c r="BD66" s="381">
        <v>5879</v>
      </c>
      <c r="BE66" s="381">
        <v>0</v>
      </c>
      <c r="BF66" s="381">
        <v>0</v>
      </c>
      <c r="BG66" s="172">
        <f t="shared" si="43"/>
        <v>182978</v>
      </c>
      <c r="BH66" s="371">
        <v>0</v>
      </c>
      <c r="BI66" s="371">
        <v>0</v>
      </c>
      <c r="BJ66" s="371">
        <v>0</v>
      </c>
      <c r="BK66" s="371">
        <v>0</v>
      </c>
      <c r="BL66" s="172">
        <f t="shared" si="44"/>
        <v>0</v>
      </c>
      <c r="BM66" s="381">
        <v>0</v>
      </c>
      <c r="BN66" s="381">
        <v>0</v>
      </c>
      <c r="BO66" s="381">
        <v>0</v>
      </c>
      <c r="BP66" s="381">
        <v>0</v>
      </c>
      <c r="BQ66" s="172">
        <f>SUM(BM66:BP66)</f>
        <v>0</v>
      </c>
      <c r="BR66" s="381">
        <f t="shared" si="46"/>
        <v>1775459</v>
      </c>
      <c r="BS66" s="381">
        <f t="shared" si="46"/>
        <v>31897</v>
      </c>
      <c r="BT66" s="381">
        <f t="shared" si="46"/>
        <v>0</v>
      </c>
      <c r="BU66" s="471">
        <f t="shared" si="46"/>
        <v>0</v>
      </c>
      <c r="BV66" s="172">
        <f>SUM(BR66:BU66)</f>
        <v>1807356</v>
      </c>
      <c r="BW66" s="144"/>
      <c r="BX66" s="435">
        <f t="shared" si="16"/>
        <v>83.115514246651315</v>
      </c>
      <c r="BZ66" s="440">
        <v>176904.84682999999</v>
      </c>
      <c r="CA66" s="440">
        <v>4906.2536</v>
      </c>
      <c r="CB66" s="440">
        <v>0</v>
      </c>
      <c r="CC66" s="443">
        <v>0</v>
      </c>
      <c r="CD66" s="443">
        <v>181811.10042999999</v>
      </c>
      <c r="CE66" s="317">
        <f t="shared" si="27"/>
        <v>-0.15317000000504777</v>
      </c>
      <c r="CF66" s="317">
        <f t="shared" si="27"/>
        <v>0.25360000000000582</v>
      </c>
      <c r="CG66" s="317">
        <f t="shared" si="27"/>
        <v>0</v>
      </c>
      <c r="CH66" s="136">
        <f t="shared" si="28"/>
        <v>0</v>
      </c>
      <c r="CI66" s="444">
        <f t="shared" si="28"/>
        <v>0.10042999999132007</v>
      </c>
    </row>
    <row r="67" spans="1:87" x14ac:dyDescent="0.3">
      <c r="A67" s="320" t="s">
        <v>263</v>
      </c>
      <c r="B67" s="383"/>
      <c r="D67" s="361"/>
      <c r="E67" s="381">
        <v>994022</v>
      </c>
      <c r="F67" s="381">
        <v>69320</v>
      </c>
      <c r="G67" s="381">
        <v>0</v>
      </c>
      <c r="H67" s="381">
        <v>0</v>
      </c>
      <c r="I67" s="172">
        <f t="shared" si="51"/>
        <v>1063342</v>
      </c>
      <c r="J67" s="380">
        <v>78408</v>
      </c>
      <c r="K67" s="381">
        <v>5289</v>
      </c>
      <c r="L67" s="381">
        <v>0</v>
      </c>
      <c r="M67" s="381">
        <v>0</v>
      </c>
      <c r="N67" s="172">
        <f t="shared" si="34"/>
        <v>83697</v>
      </c>
      <c r="O67" s="381">
        <v>84914</v>
      </c>
      <c r="P67" s="381">
        <v>280</v>
      </c>
      <c r="Q67" s="381">
        <v>0</v>
      </c>
      <c r="R67" s="381">
        <v>0</v>
      </c>
      <c r="S67" s="172">
        <f>SUM(O67:R67)</f>
        <v>85194</v>
      </c>
      <c r="T67" s="381">
        <v>80677</v>
      </c>
      <c r="U67" s="381">
        <v>273</v>
      </c>
      <c r="V67" s="381">
        <v>0</v>
      </c>
      <c r="W67" s="381">
        <v>0</v>
      </c>
      <c r="X67" s="172">
        <f t="shared" si="36"/>
        <v>80950</v>
      </c>
      <c r="Y67" s="381">
        <v>78864</v>
      </c>
      <c r="Z67" s="433">
        <v>8764</v>
      </c>
      <c r="AA67" s="381">
        <v>0</v>
      </c>
      <c r="AB67" s="381">
        <v>0</v>
      </c>
      <c r="AC67" s="172">
        <f t="shared" si="37"/>
        <v>87628</v>
      </c>
      <c r="AD67" s="381">
        <v>84729</v>
      </c>
      <c r="AE67" s="381">
        <v>10828</v>
      </c>
      <c r="AF67" s="381">
        <v>0</v>
      </c>
      <c r="AG67" s="381">
        <v>0</v>
      </c>
      <c r="AH67" s="172">
        <f>SUM(AD67:AG67)</f>
        <v>95557</v>
      </c>
      <c r="AI67" s="459">
        <v>81415</v>
      </c>
      <c r="AJ67" s="459">
        <v>271</v>
      </c>
      <c r="AK67" s="459">
        <v>0</v>
      </c>
      <c r="AL67" s="459">
        <v>0</v>
      </c>
      <c r="AM67" s="172">
        <f t="shared" si="39"/>
        <v>81686</v>
      </c>
      <c r="AN67" s="381">
        <v>81167</v>
      </c>
      <c r="AO67" s="381">
        <v>4024</v>
      </c>
      <c r="AP67" s="381">
        <v>0</v>
      </c>
      <c r="AQ67" s="381">
        <v>0</v>
      </c>
      <c r="AR67" s="172">
        <f t="shared" si="40"/>
        <v>85191</v>
      </c>
      <c r="AS67" s="371">
        <v>86971</v>
      </c>
      <c r="AT67" s="371">
        <v>4161</v>
      </c>
      <c r="AU67" s="371">
        <v>0</v>
      </c>
      <c r="AV67" s="371">
        <v>0</v>
      </c>
      <c r="AW67" s="172">
        <f t="shared" si="41"/>
        <v>91132</v>
      </c>
      <c r="AX67" s="371">
        <v>79964</v>
      </c>
      <c r="AY67" s="371">
        <v>18144</v>
      </c>
      <c r="AZ67" s="371">
        <v>0</v>
      </c>
      <c r="BA67" s="371">
        <v>0</v>
      </c>
      <c r="BB67" s="172">
        <f t="shared" si="42"/>
        <v>98108</v>
      </c>
      <c r="BC67" s="381">
        <v>81490</v>
      </c>
      <c r="BD67" s="381">
        <v>4047</v>
      </c>
      <c r="BE67" s="381">
        <v>0</v>
      </c>
      <c r="BF67" s="381">
        <v>0</v>
      </c>
      <c r="BG67" s="172">
        <f t="shared" si="43"/>
        <v>85537</v>
      </c>
      <c r="BH67" s="371">
        <v>0</v>
      </c>
      <c r="BI67" s="371">
        <v>0</v>
      </c>
      <c r="BJ67" s="371">
        <v>0</v>
      </c>
      <c r="BK67" s="371">
        <v>0</v>
      </c>
      <c r="BL67" s="172">
        <f t="shared" si="44"/>
        <v>0</v>
      </c>
      <c r="BM67" s="381">
        <v>0</v>
      </c>
      <c r="BN67" s="381">
        <v>0</v>
      </c>
      <c r="BO67" s="381">
        <v>0</v>
      </c>
      <c r="BP67" s="381">
        <v>0</v>
      </c>
      <c r="BQ67" s="172">
        <f>SUM(BM67:BP67)</f>
        <v>0</v>
      </c>
      <c r="BR67" s="381">
        <f t="shared" si="46"/>
        <v>818599</v>
      </c>
      <c r="BS67" s="381">
        <f t="shared" si="46"/>
        <v>56081</v>
      </c>
      <c r="BT67" s="381">
        <f t="shared" si="46"/>
        <v>0</v>
      </c>
      <c r="BU67" s="471">
        <f t="shared" si="46"/>
        <v>0</v>
      </c>
      <c r="BV67" s="172">
        <f>SUM(BR67:BU67)</f>
        <v>874680</v>
      </c>
      <c r="BW67" s="144"/>
      <c r="BX67" s="435">
        <f t="shared" si="16"/>
        <v>82.257636771612525</v>
      </c>
      <c r="BZ67" s="440">
        <v>78408.169949999996</v>
      </c>
      <c r="CA67" s="440">
        <v>5289.0129100000004</v>
      </c>
      <c r="CB67" s="440">
        <v>0</v>
      </c>
      <c r="CC67" s="443">
        <v>0</v>
      </c>
      <c r="CD67" s="443">
        <v>83697.182860000001</v>
      </c>
      <c r="CE67" s="317">
        <f t="shared" si="27"/>
        <v>0.1699499999958789</v>
      </c>
      <c r="CF67" s="317">
        <f t="shared" si="27"/>
        <v>1.2910000000374566E-2</v>
      </c>
      <c r="CG67" s="317">
        <f t="shared" si="27"/>
        <v>0</v>
      </c>
      <c r="CH67" s="136">
        <f t="shared" si="28"/>
        <v>0</v>
      </c>
      <c r="CI67" s="444">
        <f t="shared" si="28"/>
        <v>0.18286000000080094</v>
      </c>
    </row>
    <row r="68" spans="1:87" x14ac:dyDescent="0.3">
      <c r="A68" s="472" t="s">
        <v>264</v>
      </c>
      <c r="B68" s="473"/>
      <c r="C68" s="342"/>
      <c r="D68" s="343"/>
      <c r="E68" s="381">
        <v>0</v>
      </c>
      <c r="F68" s="381">
        <v>3372</v>
      </c>
      <c r="G68" s="381">
        <v>0</v>
      </c>
      <c r="H68" s="381">
        <v>0</v>
      </c>
      <c r="I68" s="172">
        <f t="shared" si="51"/>
        <v>3372</v>
      </c>
      <c r="J68" s="380">
        <v>0</v>
      </c>
      <c r="K68" s="381">
        <v>0</v>
      </c>
      <c r="L68" s="381">
        <v>0</v>
      </c>
      <c r="M68" s="381">
        <v>0</v>
      </c>
      <c r="N68" s="172">
        <f t="shared" si="34"/>
        <v>0</v>
      </c>
      <c r="O68" s="381">
        <v>0</v>
      </c>
      <c r="P68" s="381">
        <v>0</v>
      </c>
      <c r="Q68" s="381">
        <v>0</v>
      </c>
      <c r="R68" s="381">
        <v>0</v>
      </c>
      <c r="S68" s="172">
        <f>SUM(O68:R68)</f>
        <v>0</v>
      </c>
      <c r="T68" s="381">
        <v>0</v>
      </c>
      <c r="U68" s="381">
        <v>0</v>
      </c>
      <c r="V68" s="381">
        <v>0</v>
      </c>
      <c r="W68" s="381">
        <v>0</v>
      </c>
      <c r="X68" s="172">
        <f t="shared" si="36"/>
        <v>0</v>
      </c>
      <c r="Y68" s="381">
        <v>0</v>
      </c>
      <c r="Z68" s="381">
        <v>0</v>
      </c>
      <c r="AA68" s="381">
        <v>0</v>
      </c>
      <c r="AB68" s="381">
        <v>0</v>
      </c>
      <c r="AC68" s="172">
        <f t="shared" si="37"/>
        <v>0</v>
      </c>
      <c r="AD68" s="381">
        <v>0</v>
      </c>
      <c r="AE68" s="381">
        <v>0</v>
      </c>
      <c r="AF68" s="381">
        <v>0</v>
      </c>
      <c r="AG68" s="381">
        <v>0</v>
      </c>
      <c r="AH68" s="172">
        <f>SUM(AD68:AG68)</f>
        <v>0</v>
      </c>
      <c r="AI68" s="459">
        <v>0</v>
      </c>
      <c r="AJ68" s="459">
        <v>0</v>
      </c>
      <c r="AK68" s="459">
        <v>0</v>
      </c>
      <c r="AL68" s="459">
        <v>0</v>
      </c>
      <c r="AM68" s="172">
        <f t="shared" si="39"/>
        <v>0</v>
      </c>
      <c r="AN68" s="381">
        <v>0</v>
      </c>
      <c r="AO68" s="381">
        <v>0</v>
      </c>
      <c r="AP68" s="381">
        <v>0</v>
      </c>
      <c r="AQ68" s="381">
        <v>0</v>
      </c>
      <c r="AR68" s="172">
        <f t="shared" si="40"/>
        <v>0</v>
      </c>
      <c r="AS68" s="381">
        <v>0</v>
      </c>
      <c r="AT68" s="381">
        <v>0</v>
      </c>
      <c r="AU68" s="381">
        <v>0</v>
      </c>
      <c r="AV68" s="381">
        <v>0</v>
      </c>
      <c r="AW68" s="172">
        <f t="shared" si="41"/>
        <v>0</v>
      </c>
      <c r="AX68" s="381">
        <v>0</v>
      </c>
      <c r="AY68" s="381">
        <v>0</v>
      </c>
      <c r="AZ68" s="381">
        <v>0</v>
      </c>
      <c r="BA68" s="381">
        <v>0</v>
      </c>
      <c r="BB68" s="172">
        <f t="shared" si="42"/>
        <v>0</v>
      </c>
      <c r="BC68" s="381">
        <v>0</v>
      </c>
      <c r="BD68" s="381">
        <v>0</v>
      </c>
      <c r="BE68" s="381">
        <v>0</v>
      </c>
      <c r="BF68" s="381">
        <v>0</v>
      </c>
      <c r="BG68" s="172">
        <f t="shared" si="43"/>
        <v>0</v>
      </c>
      <c r="BH68" s="371">
        <v>0</v>
      </c>
      <c r="BI68" s="371">
        <v>0</v>
      </c>
      <c r="BJ68" s="371">
        <v>0</v>
      </c>
      <c r="BK68" s="371">
        <v>0</v>
      </c>
      <c r="BL68" s="172">
        <f t="shared" si="44"/>
        <v>0</v>
      </c>
      <c r="BM68" s="381">
        <v>0</v>
      </c>
      <c r="BN68" s="381">
        <v>0</v>
      </c>
      <c r="BO68" s="381">
        <v>0</v>
      </c>
      <c r="BP68" s="381">
        <v>0</v>
      </c>
      <c r="BQ68" s="172">
        <f>SUM(BM68:BP68)</f>
        <v>0</v>
      </c>
      <c r="BR68" s="381">
        <f t="shared" si="46"/>
        <v>0</v>
      </c>
      <c r="BS68" s="381">
        <f t="shared" si="46"/>
        <v>0</v>
      </c>
      <c r="BT68" s="381">
        <f t="shared" si="46"/>
        <v>0</v>
      </c>
      <c r="BU68" s="471">
        <f t="shared" si="46"/>
        <v>0</v>
      </c>
      <c r="BV68" s="172">
        <f>SUM(BR68:BU68)</f>
        <v>0</v>
      </c>
      <c r="BW68" s="144"/>
      <c r="BX68" s="435">
        <f t="shared" si="16"/>
        <v>0</v>
      </c>
      <c r="BZ68" s="440">
        <v>0</v>
      </c>
      <c r="CA68" s="440">
        <v>0</v>
      </c>
      <c r="CB68" s="440">
        <v>0</v>
      </c>
      <c r="CC68" s="443">
        <v>0</v>
      </c>
      <c r="CD68" s="443">
        <v>0</v>
      </c>
      <c r="CE68" s="317">
        <f t="shared" si="27"/>
        <v>0</v>
      </c>
      <c r="CF68" s="317">
        <f t="shared" si="27"/>
        <v>0</v>
      </c>
      <c r="CG68" s="317">
        <f t="shared" si="27"/>
        <v>0</v>
      </c>
      <c r="CH68" s="136">
        <f t="shared" si="28"/>
        <v>0</v>
      </c>
      <c r="CI68" s="444">
        <f t="shared" si="28"/>
        <v>0</v>
      </c>
    </row>
    <row r="69" spans="1:87" x14ac:dyDescent="0.3">
      <c r="A69" s="302" t="s">
        <v>265</v>
      </c>
      <c r="B69" s="309"/>
      <c r="D69" s="361"/>
      <c r="E69" s="474">
        <f t="shared" ref="E69:AJ69" si="52">SUM(E51:E68)-E53-E61</f>
        <v>271705610</v>
      </c>
      <c r="F69" s="148">
        <f t="shared" si="52"/>
        <v>578718652</v>
      </c>
      <c r="G69" s="148">
        <f t="shared" si="52"/>
        <v>0</v>
      </c>
      <c r="H69" s="148">
        <f t="shared" si="52"/>
        <v>5204324</v>
      </c>
      <c r="I69" s="352">
        <f t="shared" si="52"/>
        <v>855628586</v>
      </c>
      <c r="J69" s="353">
        <f t="shared" si="52"/>
        <v>3351235.2470400003</v>
      </c>
      <c r="K69" s="354">
        <f t="shared" si="52"/>
        <v>45266930</v>
      </c>
      <c r="L69" s="354">
        <f t="shared" si="52"/>
        <v>0</v>
      </c>
      <c r="M69" s="354">
        <f t="shared" si="52"/>
        <v>568183</v>
      </c>
      <c r="N69" s="352">
        <f t="shared" si="52"/>
        <v>49186348.247039996</v>
      </c>
      <c r="O69" s="354">
        <f t="shared" si="52"/>
        <v>2084194</v>
      </c>
      <c r="P69" s="354">
        <f t="shared" si="52"/>
        <v>45161744</v>
      </c>
      <c r="Q69" s="354">
        <f t="shared" si="52"/>
        <v>0</v>
      </c>
      <c r="R69" s="354">
        <f t="shared" si="52"/>
        <v>167688</v>
      </c>
      <c r="S69" s="352">
        <f t="shared" si="52"/>
        <v>47413626</v>
      </c>
      <c r="T69" s="353">
        <f t="shared" si="52"/>
        <v>27981973</v>
      </c>
      <c r="U69" s="354">
        <f t="shared" si="52"/>
        <v>45040094</v>
      </c>
      <c r="V69" s="354">
        <f t="shared" si="52"/>
        <v>0</v>
      </c>
      <c r="W69" s="354">
        <f t="shared" si="52"/>
        <v>366726</v>
      </c>
      <c r="X69" s="352">
        <f t="shared" si="52"/>
        <v>73388793</v>
      </c>
      <c r="Y69" s="353">
        <f t="shared" si="52"/>
        <v>40456892</v>
      </c>
      <c r="Z69" s="354">
        <f t="shared" si="52"/>
        <v>45234625</v>
      </c>
      <c r="AA69" s="354">
        <f t="shared" si="52"/>
        <v>0</v>
      </c>
      <c r="AB69" s="354">
        <f t="shared" si="52"/>
        <v>123151</v>
      </c>
      <c r="AC69" s="352">
        <f t="shared" si="52"/>
        <v>85814668</v>
      </c>
      <c r="AD69" s="353">
        <f t="shared" si="52"/>
        <v>36601256.5</v>
      </c>
      <c r="AE69" s="354">
        <f t="shared" si="52"/>
        <v>50163277</v>
      </c>
      <c r="AF69" s="354">
        <f t="shared" si="52"/>
        <v>0</v>
      </c>
      <c r="AG69" s="354">
        <f t="shared" si="52"/>
        <v>227927</v>
      </c>
      <c r="AH69" s="353">
        <f t="shared" si="52"/>
        <v>86992460.5</v>
      </c>
      <c r="AI69" s="353">
        <f t="shared" si="52"/>
        <v>21534191.118999999</v>
      </c>
      <c r="AJ69" s="354">
        <f t="shared" si="52"/>
        <v>52548035</v>
      </c>
      <c r="AK69" s="354">
        <f t="shared" ref="AK69:BF69" si="53">SUM(AK51:AK68)-AK53-AK61</f>
        <v>0</v>
      </c>
      <c r="AL69" s="354">
        <f t="shared" si="53"/>
        <v>2722512</v>
      </c>
      <c r="AM69" s="353">
        <f t="shared" si="53"/>
        <v>76804738.119000003</v>
      </c>
      <c r="AN69" s="353">
        <f t="shared" si="53"/>
        <v>3338995</v>
      </c>
      <c r="AO69" s="354">
        <f t="shared" si="53"/>
        <v>45214077</v>
      </c>
      <c r="AP69" s="354">
        <f t="shared" si="53"/>
        <v>0</v>
      </c>
      <c r="AQ69" s="401">
        <f t="shared" si="53"/>
        <v>146127</v>
      </c>
      <c r="AR69" s="352">
        <f t="shared" si="53"/>
        <v>48699199</v>
      </c>
      <c r="AS69" s="354">
        <f t="shared" si="53"/>
        <v>2779506</v>
      </c>
      <c r="AT69" s="354">
        <f t="shared" si="53"/>
        <v>45204968</v>
      </c>
      <c r="AU69" s="354">
        <f t="shared" si="53"/>
        <v>0</v>
      </c>
      <c r="AV69" s="354">
        <f t="shared" si="53"/>
        <v>103506</v>
      </c>
      <c r="AW69" s="352">
        <f t="shared" si="53"/>
        <v>48087980</v>
      </c>
      <c r="AX69" s="354">
        <f t="shared" si="53"/>
        <v>28879946.859000009</v>
      </c>
      <c r="AY69" s="354">
        <f t="shared" si="53"/>
        <v>50101938</v>
      </c>
      <c r="AZ69" s="354">
        <f t="shared" si="53"/>
        <v>0</v>
      </c>
      <c r="BA69" s="354">
        <f t="shared" si="53"/>
        <v>301572</v>
      </c>
      <c r="BB69" s="352">
        <f t="shared" si="53"/>
        <v>79283456.859000012</v>
      </c>
      <c r="BC69" s="354">
        <f t="shared" si="53"/>
        <v>43735247</v>
      </c>
      <c r="BD69" s="354">
        <f t="shared" si="53"/>
        <v>45430433</v>
      </c>
      <c r="BE69" s="354">
        <f t="shared" si="53"/>
        <v>0</v>
      </c>
      <c r="BF69" s="354">
        <f t="shared" si="53"/>
        <v>66702</v>
      </c>
      <c r="BG69" s="352">
        <f t="shared" ref="BG69:BL69" si="54">SUM(BG51:BG68)-BG53-BG61</f>
        <v>89232382</v>
      </c>
      <c r="BH69" s="354">
        <f t="shared" si="54"/>
        <v>0</v>
      </c>
      <c r="BI69" s="354">
        <f t="shared" si="54"/>
        <v>0</v>
      </c>
      <c r="BJ69" s="354">
        <f t="shared" si="54"/>
        <v>0</v>
      </c>
      <c r="BK69" s="354">
        <f t="shared" si="54"/>
        <v>0</v>
      </c>
      <c r="BL69" s="352">
        <f t="shared" si="54"/>
        <v>0</v>
      </c>
      <c r="BM69" s="354" t="e">
        <f>SUM(BM51:BM68)-BM53-BM61-#REF!-#REF!</f>
        <v>#REF!</v>
      </c>
      <c r="BN69" s="354" t="e">
        <f>SUM(BN51:BN68)-BN53-BN61-#REF!-#REF!</f>
        <v>#REF!</v>
      </c>
      <c r="BO69" s="354" t="e">
        <f>SUM(BO51:BO68)-BO53-BO61-#REF!-#REF!</f>
        <v>#REF!</v>
      </c>
      <c r="BP69" s="354" t="e">
        <f>SUM(BP51:BP68)-BP53-BP61-#REF!-#REF!</f>
        <v>#REF!</v>
      </c>
      <c r="BQ69" s="352" t="e">
        <f>SUM(BQ51:BQ68)-BQ53-BQ61-#REF!-#REF!</f>
        <v>#REF!</v>
      </c>
      <c r="BR69" s="353">
        <f>SUM(BR51:BR68)-BR53-BR61</f>
        <v>210743436.72503999</v>
      </c>
      <c r="BS69" s="354">
        <f>SUM(BS51:BS68)-BS53-BS61</f>
        <v>469366121</v>
      </c>
      <c r="BT69" s="354">
        <f>SUM(BT51:BT68)-BT53-BT61</f>
        <v>0</v>
      </c>
      <c r="BU69" s="354">
        <f>SUM(BU51:BU68)-BU53-BU61</f>
        <v>4794094</v>
      </c>
      <c r="BV69" s="355">
        <f>SUM(BV51:BV68)-BV53-BV61</f>
        <v>684903652.72503996</v>
      </c>
      <c r="BW69" s="144"/>
      <c r="BX69" s="435">
        <f t="shared" si="16"/>
        <v>80.046840876005973</v>
      </c>
      <c r="BZ69" s="475">
        <f t="shared" ref="BZ69:CI69" si="55">SUM(BZ51:BZ68)</f>
        <v>3351235.0435100002</v>
      </c>
      <c r="CA69" s="475">
        <f t="shared" si="55"/>
        <v>45835112.530890003</v>
      </c>
      <c r="CB69" s="475">
        <f t="shared" si="55"/>
        <v>0</v>
      </c>
      <c r="CC69" s="475">
        <f t="shared" si="55"/>
        <v>0</v>
      </c>
      <c r="CD69" s="475">
        <f t="shared" si="55"/>
        <v>49186347.5744</v>
      </c>
      <c r="CE69" s="476">
        <f t="shared" si="55"/>
        <v>-0.2035300002876852</v>
      </c>
      <c r="CF69" s="476">
        <f t="shared" si="55"/>
        <v>568182.53089000017</v>
      </c>
      <c r="CG69" s="476">
        <f t="shared" si="55"/>
        <v>0</v>
      </c>
      <c r="CH69" s="476">
        <f t="shared" si="55"/>
        <v>-568183</v>
      </c>
      <c r="CI69" s="477">
        <f t="shared" si="55"/>
        <v>-0.67264000022038317</v>
      </c>
    </row>
    <row r="70" spans="1:87" x14ac:dyDescent="0.3">
      <c r="A70" s="412" t="s">
        <v>201</v>
      </c>
      <c r="B70" s="413"/>
      <c r="C70" s="414"/>
      <c r="D70" s="478"/>
      <c r="E70" s="416">
        <f t="shared" ref="E70:AQ70" si="56">+E48+E69</f>
        <v>527872088</v>
      </c>
      <c r="F70" s="416">
        <f t="shared" si="56"/>
        <v>1271446166</v>
      </c>
      <c r="G70" s="416">
        <f t="shared" si="56"/>
        <v>14232272</v>
      </c>
      <c r="H70" s="416">
        <f t="shared" si="56"/>
        <v>73900701</v>
      </c>
      <c r="I70" s="479">
        <f t="shared" si="56"/>
        <v>1887451227</v>
      </c>
      <c r="J70" s="480">
        <f t="shared" si="56"/>
        <v>21801487.24704</v>
      </c>
      <c r="K70" s="480">
        <f t="shared" si="56"/>
        <v>125960589</v>
      </c>
      <c r="L70" s="480">
        <f t="shared" si="56"/>
        <v>360637</v>
      </c>
      <c r="M70" s="480">
        <f t="shared" si="56"/>
        <v>17761706</v>
      </c>
      <c r="N70" s="407">
        <f t="shared" si="56"/>
        <v>165884419.24704</v>
      </c>
      <c r="O70" s="416">
        <f t="shared" si="56"/>
        <v>20424610</v>
      </c>
      <c r="P70" s="416">
        <f t="shared" si="56"/>
        <v>80153247</v>
      </c>
      <c r="Q70" s="416">
        <f t="shared" si="56"/>
        <v>435812</v>
      </c>
      <c r="R70" s="416">
        <f t="shared" si="56"/>
        <v>176580</v>
      </c>
      <c r="S70" s="407">
        <f t="shared" si="56"/>
        <v>101190249</v>
      </c>
      <c r="T70" s="416">
        <f t="shared" si="56"/>
        <v>48980632</v>
      </c>
      <c r="U70" s="416">
        <f t="shared" si="56"/>
        <v>88075897</v>
      </c>
      <c r="V70" s="416">
        <f t="shared" si="56"/>
        <v>439753</v>
      </c>
      <c r="W70" s="416">
        <f t="shared" si="56"/>
        <v>3628411</v>
      </c>
      <c r="X70" s="407">
        <f t="shared" si="56"/>
        <v>141124693</v>
      </c>
      <c r="Y70" s="480">
        <f t="shared" si="56"/>
        <v>59687603</v>
      </c>
      <c r="Z70" s="480">
        <f t="shared" si="56"/>
        <v>136622525</v>
      </c>
      <c r="AA70" s="480">
        <f t="shared" si="56"/>
        <v>804166</v>
      </c>
      <c r="AB70" s="480">
        <f t="shared" si="56"/>
        <v>15900155</v>
      </c>
      <c r="AC70" s="407">
        <f t="shared" si="56"/>
        <v>213014449</v>
      </c>
      <c r="AD70" s="480">
        <f t="shared" si="56"/>
        <v>56070353.5</v>
      </c>
      <c r="AE70" s="480">
        <f t="shared" si="56"/>
        <v>105177163</v>
      </c>
      <c r="AF70" s="480">
        <f t="shared" si="56"/>
        <v>911771</v>
      </c>
      <c r="AG70" s="480">
        <f t="shared" si="56"/>
        <v>235260</v>
      </c>
      <c r="AH70" s="407">
        <f t="shared" si="56"/>
        <v>162394547.5</v>
      </c>
      <c r="AI70" s="480">
        <f t="shared" si="56"/>
        <v>45394603.119000003</v>
      </c>
      <c r="AJ70" s="480">
        <f t="shared" si="56"/>
        <v>91376306</v>
      </c>
      <c r="AK70" s="480">
        <f t="shared" si="56"/>
        <v>859986</v>
      </c>
      <c r="AL70" s="480">
        <f t="shared" si="56"/>
        <v>2730389</v>
      </c>
      <c r="AM70" s="479">
        <f t="shared" si="56"/>
        <v>140361284.11900002</v>
      </c>
      <c r="AN70" s="480">
        <f t="shared" si="56"/>
        <v>24739349</v>
      </c>
      <c r="AO70" s="480">
        <f t="shared" si="56"/>
        <v>109830051</v>
      </c>
      <c r="AP70" s="480">
        <f t="shared" si="56"/>
        <v>1259318</v>
      </c>
      <c r="AQ70" s="480">
        <f t="shared" si="56"/>
        <v>160432</v>
      </c>
      <c r="AR70" s="479">
        <f>SUM(AN70:AQ70)</f>
        <v>135989150</v>
      </c>
      <c r="AS70" s="480">
        <f t="shared" ref="AS70:BV70" si="57">+AS48+AS69</f>
        <v>24555500</v>
      </c>
      <c r="AT70" s="480">
        <f t="shared" si="57"/>
        <v>102655660</v>
      </c>
      <c r="AU70" s="480">
        <f t="shared" si="57"/>
        <v>860663</v>
      </c>
      <c r="AV70" s="480">
        <f t="shared" si="57"/>
        <v>146001</v>
      </c>
      <c r="AW70" s="479">
        <f t="shared" si="57"/>
        <v>128217824</v>
      </c>
      <c r="AX70" s="480">
        <f t="shared" si="57"/>
        <v>50212784.859000012</v>
      </c>
      <c r="AY70" s="480">
        <f t="shared" si="57"/>
        <v>113166700</v>
      </c>
      <c r="AZ70" s="480">
        <f t="shared" si="57"/>
        <v>1068705</v>
      </c>
      <c r="BA70" s="480">
        <f t="shared" si="57"/>
        <v>5602857</v>
      </c>
      <c r="BB70" s="407">
        <f t="shared" si="57"/>
        <v>170051046.85900003</v>
      </c>
      <c r="BC70" s="480">
        <f t="shared" si="57"/>
        <v>64343002</v>
      </c>
      <c r="BD70" s="480">
        <f t="shared" si="57"/>
        <v>103689698</v>
      </c>
      <c r="BE70" s="480">
        <f t="shared" si="57"/>
        <v>946422</v>
      </c>
      <c r="BF70" s="480">
        <f t="shared" si="57"/>
        <v>4001127</v>
      </c>
      <c r="BG70" s="407">
        <f t="shared" si="57"/>
        <v>172980249</v>
      </c>
      <c r="BH70" s="480">
        <f t="shared" si="57"/>
        <v>0</v>
      </c>
      <c r="BI70" s="480">
        <f t="shared" si="57"/>
        <v>0</v>
      </c>
      <c r="BJ70" s="480">
        <f t="shared" si="57"/>
        <v>0</v>
      </c>
      <c r="BK70" s="480">
        <f t="shared" si="57"/>
        <v>0</v>
      </c>
      <c r="BL70" s="407">
        <f t="shared" si="57"/>
        <v>0</v>
      </c>
      <c r="BM70" s="480" t="e">
        <f t="shared" si="57"/>
        <v>#REF!</v>
      </c>
      <c r="BN70" s="480" t="e">
        <f t="shared" si="57"/>
        <v>#REF!</v>
      </c>
      <c r="BO70" s="480" t="e">
        <f t="shared" si="57"/>
        <v>#REF!</v>
      </c>
      <c r="BP70" s="480" t="e">
        <f t="shared" si="57"/>
        <v>#REF!</v>
      </c>
      <c r="BQ70" s="407" t="e">
        <f t="shared" si="57"/>
        <v>#REF!</v>
      </c>
      <c r="BR70" s="480">
        <f t="shared" si="57"/>
        <v>416209924.72503996</v>
      </c>
      <c r="BS70" s="480">
        <f t="shared" si="57"/>
        <v>1056707836</v>
      </c>
      <c r="BT70" s="480">
        <f t="shared" si="57"/>
        <v>7947233</v>
      </c>
      <c r="BU70" s="480">
        <f t="shared" si="57"/>
        <v>50342918</v>
      </c>
      <c r="BV70" s="481">
        <f t="shared" si="57"/>
        <v>1531207912.72504</v>
      </c>
      <c r="BW70" s="144"/>
      <c r="BX70" s="435">
        <f>(BV70/I70)*100</f>
        <v>81.125694313108738</v>
      </c>
    </row>
    <row r="71" spans="1:87" hidden="1" x14ac:dyDescent="0.3">
      <c r="A71" s="482" t="s">
        <v>270</v>
      </c>
      <c r="B71" s="309"/>
      <c r="D71" s="359"/>
      <c r="E71" s="166">
        <v>0</v>
      </c>
      <c r="F71" s="166">
        <v>0</v>
      </c>
      <c r="G71" s="166">
        <v>0</v>
      </c>
      <c r="H71" s="166">
        <v>0</v>
      </c>
      <c r="I71" s="172">
        <f>SUM(E71:H71)</f>
        <v>0</v>
      </c>
      <c r="J71" s="166">
        <v>0</v>
      </c>
      <c r="K71" s="166">
        <v>0</v>
      </c>
      <c r="L71" s="166">
        <v>0</v>
      </c>
      <c r="M71" s="166">
        <v>0</v>
      </c>
      <c r="N71" s="172">
        <f>SUM(J71:M71)</f>
        <v>0</v>
      </c>
      <c r="O71" s="166">
        <v>0</v>
      </c>
      <c r="P71" s="166">
        <v>0</v>
      </c>
      <c r="Q71" s="166">
        <v>0</v>
      </c>
      <c r="R71" s="166">
        <v>0</v>
      </c>
      <c r="S71" s="172">
        <f>SUM(O71:R71)</f>
        <v>0</v>
      </c>
      <c r="T71" s="166">
        <v>0</v>
      </c>
      <c r="U71" s="166">
        <v>0</v>
      </c>
      <c r="V71" s="166">
        <v>0</v>
      </c>
      <c r="W71" s="166">
        <v>0</v>
      </c>
      <c r="X71" s="172">
        <f>SUM(T71:W71)</f>
        <v>0</v>
      </c>
      <c r="Y71" s="166">
        <v>0</v>
      </c>
      <c r="Z71" s="166">
        <v>0</v>
      </c>
      <c r="AA71" s="166">
        <v>0</v>
      </c>
      <c r="AB71" s="166">
        <v>0</v>
      </c>
      <c r="AC71" s="172">
        <f>SUM(Y71:AB71)</f>
        <v>0</v>
      </c>
      <c r="AD71" s="166">
        <v>0</v>
      </c>
      <c r="AE71" s="166">
        <v>0</v>
      </c>
      <c r="AF71" s="166">
        <v>0</v>
      </c>
      <c r="AG71" s="166">
        <v>0</v>
      </c>
      <c r="AH71" s="172">
        <f>SUM(AD71:AG71)</f>
        <v>0</v>
      </c>
      <c r="AI71" s="166">
        <v>0</v>
      </c>
      <c r="AJ71" s="166">
        <v>0</v>
      </c>
      <c r="AK71" s="166">
        <v>0</v>
      </c>
      <c r="AL71" s="166">
        <v>0</v>
      </c>
      <c r="AM71" s="172">
        <f>SUM(AI71:AL71)</f>
        <v>0</v>
      </c>
      <c r="AN71" s="166">
        <v>0</v>
      </c>
      <c r="AO71" s="166">
        <v>0</v>
      </c>
      <c r="AP71" s="166">
        <v>0</v>
      </c>
      <c r="AQ71" s="166">
        <v>0</v>
      </c>
      <c r="AR71" s="172">
        <f t="shared" si="40"/>
        <v>0</v>
      </c>
      <c r="AS71" s="166">
        <v>0</v>
      </c>
      <c r="AT71" s="166">
        <v>0</v>
      </c>
      <c r="AU71" s="166">
        <v>0</v>
      </c>
      <c r="AV71" s="166">
        <v>0</v>
      </c>
      <c r="AW71" s="172">
        <f>SUM(AS71:AV71)</f>
        <v>0</v>
      </c>
      <c r="AX71" s="166">
        <v>0</v>
      </c>
      <c r="AY71" s="166">
        <v>0</v>
      </c>
      <c r="AZ71" s="166">
        <v>0</v>
      </c>
      <c r="BA71" s="166">
        <v>0</v>
      </c>
      <c r="BB71" s="172">
        <f>SUM(AX71:BA71)</f>
        <v>0</v>
      </c>
      <c r="BC71" s="166">
        <v>0</v>
      </c>
      <c r="BD71" s="166">
        <v>0</v>
      </c>
      <c r="BE71" s="166">
        <v>0</v>
      </c>
      <c r="BF71" s="166">
        <v>0</v>
      </c>
      <c r="BG71" s="172">
        <f>SUM(BC71:BF71)</f>
        <v>0</v>
      </c>
      <c r="BH71" s="166">
        <v>0</v>
      </c>
      <c r="BI71" s="166">
        <v>0</v>
      </c>
      <c r="BJ71" s="166">
        <v>0</v>
      </c>
      <c r="BK71" s="166">
        <v>0</v>
      </c>
      <c r="BL71" s="172">
        <f>SUM(BH71:BK71)</f>
        <v>0</v>
      </c>
      <c r="BM71" s="166">
        <v>0</v>
      </c>
      <c r="BN71" s="166">
        <v>0</v>
      </c>
      <c r="BO71" s="166">
        <v>0</v>
      </c>
      <c r="BP71" s="166">
        <v>0</v>
      </c>
      <c r="BQ71" s="172">
        <f>SUM(BM71:BP71)</f>
        <v>0</v>
      </c>
      <c r="BR71" s="166">
        <v>0</v>
      </c>
      <c r="BS71" s="166">
        <v>0</v>
      </c>
      <c r="BT71" s="166">
        <v>0</v>
      </c>
      <c r="BU71" s="166">
        <v>0</v>
      </c>
      <c r="BV71" s="273">
        <f>SUM(BR71:BU71)</f>
        <v>0</v>
      </c>
      <c r="BW71" s="144"/>
      <c r="BX71" s="435"/>
    </row>
    <row r="72" spans="1:87" hidden="1" x14ac:dyDescent="0.3">
      <c r="A72" s="482" t="s">
        <v>271</v>
      </c>
      <c r="B72" s="309"/>
      <c r="D72" s="359"/>
      <c r="E72" s="166">
        <v>0</v>
      </c>
      <c r="F72" s="166">
        <v>0</v>
      </c>
      <c r="G72" s="166">
        <v>0</v>
      </c>
      <c r="H72" s="166">
        <v>0</v>
      </c>
      <c r="I72" s="172">
        <f>SUM(E72:H72)</f>
        <v>0</v>
      </c>
      <c r="J72" s="166">
        <v>0</v>
      </c>
      <c r="K72" s="166">
        <v>0</v>
      </c>
      <c r="L72" s="166">
        <v>0</v>
      </c>
      <c r="M72" s="166">
        <v>0</v>
      </c>
      <c r="N72" s="172">
        <f>SUM(J72:M72)</f>
        <v>0</v>
      </c>
      <c r="O72" s="166">
        <v>0</v>
      </c>
      <c r="P72" s="166">
        <v>0</v>
      </c>
      <c r="Q72" s="166">
        <v>0</v>
      </c>
      <c r="R72" s="166">
        <v>0</v>
      </c>
      <c r="S72" s="172">
        <f>SUM(O72:R72)</f>
        <v>0</v>
      </c>
      <c r="T72" s="166">
        <v>0</v>
      </c>
      <c r="U72" s="166">
        <v>0</v>
      </c>
      <c r="V72" s="166">
        <v>0</v>
      </c>
      <c r="W72" s="166">
        <v>0</v>
      </c>
      <c r="X72" s="172">
        <f>SUM(T72:W72)</f>
        <v>0</v>
      </c>
      <c r="Y72" s="166">
        <v>0</v>
      </c>
      <c r="Z72" s="166">
        <v>0</v>
      </c>
      <c r="AA72" s="166">
        <v>0</v>
      </c>
      <c r="AB72" s="166">
        <v>0</v>
      </c>
      <c r="AC72" s="172">
        <f>SUM(Y72:AB72)</f>
        <v>0</v>
      </c>
      <c r="AD72" s="166">
        <v>0</v>
      </c>
      <c r="AE72" s="166">
        <v>0</v>
      </c>
      <c r="AF72" s="166">
        <v>0</v>
      </c>
      <c r="AG72" s="166">
        <v>0</v>
      </c>
      <c r="AH72" s="172">
        <f>SUM(AD72:AG72)</f>
        <v>0</v>
      </c>
      <c r="AI72" s="166">
        <v>0</v>
      </c>
      <c r="AJ72" s="166">
        <v>0</v>
      </c>
      <c r="AK72" s="166">
        <v>0</v>
      </c>
      <c r="AL72" s="166">
        <v>0</v>
      </c>
      <c r="AM72" s="172">
        <f>SUM(AI72:AL72)</f>
        <v>0</v>
      </c>
      <c r="AN72" s="166">
        <v>0</v>
      </c>
      <c r="AO72" s="166">
        <v>0</v>
      </c>
      <c r="AP72" s="166">
        <v>0</v>
      </c>
      <c r="AQ72" s="166">
        <v>0</v>
      </c>
      <c r="AR72" s="172">
        <f t="shared" si="40"/>
        <v>0</v>
      </c>
      <c r="AS72" s="166">
        <v>0</v>
      </c>
      <c r="AT72" s="166">
        <v>0</v>
      </c>
      <c r="AU72" s="166">
        <v>0</v>
      </c>
      <c r="AV72" s="166">
        <v>0</v>
      </c>
      <c r="AW72" s="172">
        <f>SUM(AS72:AV72)</f>
        <v>0</v>
      </c>
      <c r="AX72" s="166">
        <v>0</v>
      </c>
      <c r="AY72" s="166">
        <v>0</v>
      </c>
      <c r="AZ72" s="166">
        <v>0</v>
      </c>
      <c r="BA72" s="166">
        <v>0</v>
      </c>
      <c r="BB72" s="172">
        <f>SUM(AX72:BA72)</f>
        <v>0</v>
      </c>
      <c r="BC72" s="166">
        <v>0</v>
      </c>
      <c r="BD72" s="166">
        <v>0</v>
      </c>
      <c r="BE72" s="166">
        <v>0</v>
      </c>
      <c r="BF72" s="166">
        <v>0</v>
      </c>
      <c r="BG72" s="172">
        <f>SUM(BC72:BF72)</f>
        <v>0</v>
      </c>
      <c r="BH72" s="166">
        <v>0</v>
      </c>
      <c r="BI72" s="166">
        <v>0</v>
      </c>
      <c r="BJ72" s="166">
        <v>0</v>
      </c>
      <c r="BK72" s="166">
        <v>0</v>
      </c>
      <c r="BL72" s="172">
        <f>SUM(BH72:BK72)</f>
        <v>0</v>
      </c>
      <c r="BM72" s="166">
        <v>0</v>
      </c>
      <c r="BN72" s="166">
        <v>0</v>
      </c>
      <c r="BO72" s="166">
        <v>0</v>
      </c>
      <c r="BP72" s="166">
        <v>0</v>
      </c>
      <c r="BQ72" s="172">
        <f>SUM(BM72:BP72)</f>
        <v>0</v>
      </c>
      <c r="BR72" s="166">
        <v>0</v>
      </c>
      <c r="BS72" s="166">
        <v>0</v>
      </c>
      <c r="BT72" s="166">
        <v>0</v>
      </c>
      <c r="BU72" s="166">
        <v>0</v>
      </c>
      <c r="BV72" s="273">
        <f>SUM(BR72:BU72)</f>
        <v>0</v>
      </c>
      <c r="BW72" s="144"/>
      <c r="BX72" s="435"/>
    </row>
    <row r="73" spans="1:87" hidden="1" x14ac:dyDescent="0.3">
      <c r="A73" s="412" t="s">
        <v>201</v>
      </c>
      <c r="B73" s="413"/>
      <c r="C73" s="414"/>
      <c r="D73" s="478"/>
      <c r="E73" s="416">
        <f t="shared" ref="E73:BP73" si="58">SUM(E70:E72)</f>
        <v>527872088</v>
      </c>
      <c r="F73" s="416">
        <f t="shared" si="58"/>
        <v>1271446166</v>
      </c>
      <c r="G73" s="416">
        <f t="shared" si="58"/>
        <v>14232272</v>
      </c>
      <c r="H73" s="416">
        <f t="shared" si="58"/>
        <v>73900701</v>
      </c>
      <c r="I73" s="407">
        <f t="shared" si="58"/>
        <v>1887451227</v>
      </c>
      <c r="J73" s="417">
        <f t="shared" si="58"/>
        <v>21801487.24704</v>
      </c>
      <c r="K73" s="416">
        <f t="shared" si="58"/>
        <v>125960589</v>
      </c>
      <c r="L73" s="416">
        <f t="shared" si="58"/>
        <v>360637</v>
      </c>
      <c r="M73" s="418">
        <f t="shared" si="58"/>
        <v>17761706</v>
      </c>
      <c r="N73" s="407">
        <f t="shared" si="58"/>
        <v>165884419.24704</v>
      </c>
      <c r="O73" s="416">
        <f t="shared" si="58"/>
        <v>20424610</v>
      </c>
      <c r="P73" s="416">
        <f t="shared" si="58"/>
        <v>80153247</v>
      </c>
      <c r="Q73" s="416">
        <f t="shared" si="58"/>
        <v>435812</v>
      </c>
      <c r="R73" s="416">
        <f t="shared" si="58"/>
        <v>176580</v>
      </c>
      <c r="S73" s="407">
        <f t="shared" si="58"/>
        <v>101190249</v>
      </c>
      <c r="T73" s="416">
        <f t="shared" si="58"/>
        <v>48980632</v>
      </c>
      <c r="U73" s="416">
        <f t="shared" si="58"/>
        <v>88075897</v>
      </c>
      <c r="V73" s="416">
        <f t="shared" si="58"/>
        <v>439753</v>
      </c>
      <c r="W73" s="416">
        <f t="shared" si="58"/>
        <v>3628411</v>
      </c>
      <c r="X73" s="407">
        <f t="shared" si="58"/>
        <v>141124693</v>
      </c>
      <c r="Y73" s="417">
        <f t="shared" si="58"/>
        <v>59687603</v>
      </c>
      <c r="Z73" s="416">
        <f t="shared" si="58"/>
        <v>136622525</v>
      </c>
      <c r="AA73" s="416">
        <f t="shared" si="58"/>
        <v>804166</v>
      </c>
      <c r="AB73" s="418">
        <f t="shared" si="58"/>
        <v>15900155</v>
      </c>
      <c r="AC73" s="407">
        <f t="shared" si="58"/>
        <v>213014449</v>
      </c>
      <c r="AD73" s="417">
        <f t="shared" si="58"/>
        <v>56070353.5</v>
      </c>
      <c r="AE73" s="416">
        <f t="shared" si="58"/>
        <v>105177163</v>
      </c>
      <c r="AF73" s="416">
        <f t="shared" si="58"/>
        <v>911771</v>
      </c>
      <c r="AG73" s="418">
        <f t="shared" si="58"/>
        <v>235260</v>
      </c>
      <c r="AH73" s="407">
        <f t="shared" si="58"/>
        <v>162394547.5</v>
      </c>
      <c r="AI73" s="417">
        <f t="shared" si="58"/>
        <v>45394603.119000003</v>
      </c>
      <c r="AJ73" s="416">
        <f t="shared" si="58"/>
        <v>91376306</v>
      </c>
      <c r="AK73" s="416">
        <f t="shared" si="58"/>
        <v>859986</v>
      </c>
      <c r="AL73" s="416">
        <f t="shared" si="58"/>
        <v>2730389</v>
      </c>
      <c r="AM73" s="407">
        <f t="shared" si="58"/>
        <v>140361284.11900002</v>
      </c>
      <c r="AN73" s="416">
        <f t="shared" si="58"/>
        <v>24739349</v>
      </c>
      <c r="AO73" s="416">
        <f t="shared" si="58"/>
        <v>109830051</v>
      </c>
      <c r="AP73" s="416">
        <f t="shared" si="58"/>
        <v>1259318</v>
      </c>
      <c r="AQ73" s="416">
        <f t="shared" si="58"/>
        <v>160432</v>
      </c>
      <c r="AR73" s="407">
        <f t="shared" si="58"/>
        <v>135989150</v>
      </c>
      <c r="AS73" s="416">
        <f t="shared" si="58"/>
        <v>24555500</v>
      </c>
      <c r="AT73" s="416">
        <f t="shared" si="58"/>
        <v>102655660</v>
      </c>
      <c r="AU73" s="416">
        <f t="shared" si="58"/>
        <v>860663</v>
      </c>
      <c r="AV73" s="416">
        <f t="shared" si="58"/>
        <v>146001</v>
      </c>
      <c r="AW73" s="407">
        <f t="shared" si="58"/>
        <v>128217824</v>
      </c>
      <c r="AX73" s="416">
        <f t="shared" si="58"/>
        <v>50212784.859000012</v>
      </c>
      <c r="AY73" s="416">
        <f t="shared" si="58"/>
        <v>113166700</v>
      </c>
      <c r="AZ73" s="416">
        <f t="shared" si="58"/>
        <v>1068705</v>
      </c>
      <c r="BA73" s="416">
        <f t="shared" si="58"/>
        <v>5602857</v>
      </c>
      <c r="BB73" s="407">
        <f t="shared" si="58"/>
        <v>170051046.85900003</v>
      </c>
      <c r="BC73" s="416">
        <f t="shared" si="58"/>
        <v>64343002</v>
      </c>
      <c r="BD73" s="416">
        <f t="shared" si="58"/>
        <v>103689698</v>
      </c>
      <c r="BE73" s="416">
        <f t="shared" si="58"/>
        <v>946422</v>
      </c>
      <c r="BF73" s="416">
        <f t="shared" si="58"/>
        <v>4001127</v>
      </c>
      <c r="BG73" s="407">
        <f t="shared" si="58"/>
        <v>172980249</v>
      </c>
      <c r="BH73" s="416">
        <f t="shared" si="58"/>
        <v>0</v>
      </c>
      <c r="BI73" s="416">
        <f t="shared" si="58"/>
        <v>0</v>
      </c>
      <c r="BJ73" s="416">
        <f t="shared" si="58"/>
        <v>0</v>
      </c>
      <c r="BK73" s="416">
        <f t="shared" si="58"/>
        <v>0</v>
      </c>
      <c r="BL73" s="407">
        <f t="shared" si="58"/>
        <v>0</v>
      </c>
      <c r="BM73" s="416" t="e">
        <f t="shared" si="58"/>
        <v>#REF!</v>
      </c>
      <c r="BN73" s="416" t="e">
        <f t="shared" si="58"/>
        <v>#REF!</v>
      </c>
      <c r="BO73" s="416" t="e">
        <f t="shared" si="58"/>
        <v>#REF!</v>
      </c>
      <c r="BP73" s="416" t="e">
        <f t="shared" si="58"/>
        <v>#REF!</v>
      </c>
      <c r="BQ73" s="407" t="e">
        <f t="shared" ref="BQ73:BV73" si="59">SUM(BQ70:BQ72)</f>
        <v>#REF!</v>
      </c>
      <c r="BR73" s="416">
        <f t="shared" si="59"/>
        <v>416209924.72503996</v>
      </c>
      <c r="BS73" s="416">
        <f t="shared" si="59"/>
        <v>1056707836</v>
      </c>
      <c r="BT73" s="416">
        <f t="shared" si="59"/>
        <v>7947233</v>
      </c>
      <c r="BU73" s="416">
        <f t="shared" si="59"/>
        <v>50342918</v>
      </c>
      <c r="BV73" s="419">
        <f t="shared" si="59"/>
        <v>1531207912.72504</v>
      </c>
      <c r="BW73" s="144"/>
      <c r="BX73" s="435"/>
    </row>
    <row r="74" spans="1:87" x14ac:dyDescent="0.3">
      <c r="A74" s="358" t="s">
        <v>269</v>
      </c>
      <c r="B74" s="309"/>
      <c r="D74" s="361"/>
      <c r="E74" s="166">
        <v>0</v>
      </c>
      <c r="F74" s="166">
        <v>0</v>
      </c>
      <c r="G74" s="166">
        <v>0</v>
      </c>
      <c r="H74" s="166">
        <v>0</v>
      </c>
      <c r="I74" s="172">
        <f>SUM(E74:H74)</f>
        <v>0</v>
      </c>
      <c r="J74" s="166">
        <v>0</v>
      </c>
      <c r="K74" s="166">
        <v>0</v>
      </c>
      <c r="L74" s="166">
        <v>0</v>
      </c>
      <c r="M74" s="166">
        <v>0</v>
      </c>
      <c r="N74" s="172">
        <f>SUM(J74:M74)</f>
        <v>0</v>
      </c>
      <c r="O74" s="166">
        <v>0</v>
      </c>
      <c r="P74" s="166">
        <v>0</v>
      </c>
      <c r="Q74" s="166">
        <v>0</v>
      </c>
      <c r="R74" s="166">
        <v>0</v>
      </c>
      <c r="S74" s="172">
        <v>0</v>
      </c>
      <c r="T74" s="166">
        <v>0</v>
      </c>
      <c r="U74" s="166">
        <v>0</v>
      </c>
      <c r="V74" s="166">
        <v>0</v>
      </c>
      <c r="W74" s="166">
        <v>0</v>
      </c>
      <c r="X74" s="172">
        <v>0</v>
      </c>
      <c r="Y74" s="166">
        <v>0</v>
      </c>
      <c r="Z74" s="166">
        <v>0</v>
      </c>
      <c r="AA74" s="166">
        <v>0</v>
      </c>
      <c r="AB74" s="166">
        <v>0</v>
      </c>
      <c r="AC74" s="172">
        <v>0</v>
      </c>
      <c r="AD74" s="166">
        <v>0</v>
      </c>
      <c r="AE74" s="166">
        <v>0</v>
      </c>
      <c r="AF74" s="166">
        <v>0</v>
      </c>
      <c r="AG74" s="166">
        <v>0</v>
      </c>
      <c r="AH74" s="172">
        <v>0</v>
      </c>
      <c r="AI74" s="166">
        <v>0</v>
      </c>
      <c r="AJ74" s="166">
        <v>0</v>
      </c>
      <c r="AK74" s="166">
        <v>0</v>
      </c>
      <c r="AL74" s="166">
        <v>0</v>
      </c>
      <c r="AM74" s="172">
        <v>0</v>
      </c>
      <c r="AN74" s="166">
        <v>0</v>
      </c>
      <c r="AO74" s="166">
        <v>0</v>
      </c>
      <c r="AP74" s="166">
        <v>0</v>
      </c>
      <c r="AQ74" s="166">
        <v>0</v>
      </c>
      <c r="AR74" s="172">
        <f t="shared" si="40"/>
        <v>0</v>
      </c>
      <c r="AS74" s="166">
        <v>0</v>
      </c>
      <c r="AT74" s="166">
        <v>0</v>
      </c>
      <c r="AU74" s="166">
        <v>0</v>
      </c>
      <c r="AV74" s="166">
        <v>0</v>
      </c>
      <c r="AW74" s="172">
        <v>0</v>
      </c>
      <c r="AX74" s="166">
        <v>0</v>
      </c>
      <c r="AY74" s="166">
        <v>0</v>
      </c>
      <c r="AZ74" s="166">
        <v>0</v>
      </c>
      <c r="BA74" s="166">
        <v>0</v>
      </c>
      <c r="BB74" s="172">
        <v>0</v>
      </c>
      <c r="BC74" s="166">
        <v>0</v>
      </c>
      <c r="BD74" s="166">
        <v>0</v>
      </c>
      <c r="BE74" s="166">
        <v>0</v>
      </c>
      <c r="BF74" s="166">
        <v>0</v>
      </c>
      <c r="BG74" s="172">
        <v>0</v>
      </c>
      <c r="BH74" s="166">
        <v>0</v>
      </c>
      <c r="BI74" s="166">
        <v>0</v>
      </c>
      <c r="BJ74" s="166">
        <v>0</v>
      </c>
      <c r="BK74" s="166">
        <v>0</v>
      </c>
      <c r="BL74" s="172">
        <v>0</v>
      </c>
      <c r="BM74" s="166">
        <v>0</v>
      </c>
      <c r="BN74" s="166">
        <v>0</v>
      </c>
      <c r="BO74" s="166">
        <v>0</v>
      </c>
      <c r="BP74" s="166">
        <v>0</v>
      </c>
      <c r="BQ74" s="172">
        <v>0</v>
      </c>
      <c r="BR74" s="166">
        <f>+J74+O74+T74+Y74+AD74+AI74+AN74+AS74+AX74+BC74+BH74+BM74</f>
        <v>0</v>
      </c>
      <c r="BS74" s="166">
        <f>+K74+P74+U74+Z74+AE74+AJ74+AO74+AT74+AY74+BD74+BI74+BN74</f>
        <v>0</v>
      </c>
      <c r="BT74" s="166">
        <f>+L74+Q74+V74+AA74+AF74+AK74+AP74+AU74+AZ74+BE74+BJ74+BO74</f>
        <v>0</v>
      </c>
      <c r="BU74" s="166">
        <f>+M74+R74+W74+AB74+AG74+AL74+AQ74+AV74+BA74+BF74+BK74+BP74</f>
        <v>0</v>
      </c>
      <c r="BV74" s="273">
        <f>SUM(BR74:BU74)</f>
        <v>0</v>
      </c>
      <c r="BW74" s="144"/>
      <c r="BX74" s="435" t="e">
        <f t="shared" si="16"/>
        <v>#DIV/0!</v>
      </c>
    </row>
    <row r="75" spans="1:87" x14ac:dyDescent="0.3">
      <c r="A75" s="396" t="s">
        <v>272</v>
      </c>
      <c r="B75" s="405"/>
      <c r="C75" s="404"/>
      <c r="D75" s="445"/>
      <c r="E75" s="354">
        <f t="shared" ref="E75:BP75" si="60">SUM(E73:E74)</f>
        <v>527872088</v>
      </c>
      <c r="F75" s="354">
        <f t="shared" si="60"/>
        <v>1271446166</v>
      </c>
      <c r="G75" s="354">
        <f t="shared" si="60"/>
        <v>14232272</v>
      </c>
      <c r="H75" s="354">
        <f t="shared" si="60"/>
        <v>73900701</v>
      </c>
      <c r="I75" s="352">
        <f t="shared" si="60"/>
        <v>1887451227</v>
      </c>
      <c r="J75" s="354">
        <f t="shared" si="60"/>
        <v>21801487.24704</v>
      </c>
      <c r="K75" s="354">
        <f t="shared" si="60"/>
        <v>125960589</v>
      </c>
      <c r="L75" s="354">
        <f t="shared" si="60"/>
        <v>360637</v>
      </c>
      <c r="M75" s="354">
        <f t="shared" si="60"/>
        <v>17761706</v>
      </c>
      <c r="N75" s="352">
        <f t="shared" si="60"/>
        <v>165884419.24704</v>
      </c>
      <c r="O75" s="354">
        <f t="shared" si="60"/>
        <v>20424610</v>
      </c>
      <c r="P75" s="354">
        <f t="shared" si="60"/>
        <v>80153247</v>
      </c>
      <c r="Q75" s="354">
        <f t="shared" si="60"/>
        <v>435812</v>
      </c>
      <c r="R75" s="354">
        <f t="shared" si="60"/>
        <v>176580</v>
      </c>
      <c r="S75" s="352">
        <f t="shared" si="60"/>
        <v>101190249</v>
      </c>
      <c r="T75" s="354">
        <f t="shared" si="60"/>
        <v>48980632</v>
      </c>
      <c r="U75" s="354">
        <f t="shared" si="60"/>
        <v>88075897</v>
      </c>
      <c r="V75" s="354">
        <f t="shared" si="60"/>
        <v>439753</v>
      </c>
      <c r="W75" s="354">
        <f t="shared" si="60"/>
        <v>3628411</v>
      </c>
      <c r="X75" s="352">
        <f t="shared" si="60"/>
        <v>141124693</v>
      </c>
      <c r="Y75" s="354">
        <f t="shared" si="60"/>
        <v>59687603</v>
      </c>
      <c r="Z75" s="354">
        <f t="shared" si="60"/>
        <v>136622525</v>
      </c>
      <c r="AA75" s="354">
        <f t="shared" si="60"/>
        <v>804166</v>
      </c>
      <c r="AB75" s="354">
        <f t="shared" si="60"/>
        <v>15900155</v>
      </c>
      <c r="AC75" s="352">
        <f t="shared" si="60"/>
        <v>213014449</v>
      </c>
      <c r="AD75" s="354">
        <f t="shared" si="60"/>
        <v>56070353.5</v>
      </c>
      <c r="AE75" s="354">
        <f t="shared" si="60"/>
        <v>105177163</v>
      </c>
      <c r="AF75" s="354">
        <f t="shared" si="60"/>
        <v>911771</v>
      </c>
      <c r="AG75" s="354">
        <f t="shared" si="60"/>
        <v>235260</v>
      </c>
      <c r="AH75" s="352">
        <f t="shared" si="60"/>
        <v>162394547.5</v>
      </c>
      <c r="AI75" s="354">
        <f t="shared" si="60"/>
        <v>45394603.119000003</v>
      </c>
      <c r="AJ75" s="354">
        <f t="shared" si="60"/>
        <v>91376306</v>
      </c>
      <c r="AK75" s="354">
        <f t="shared" si="60"/>
        <v>859986</v>
      </c>
      <c r="AL75" s="354">
        <f t="shared" si="60"/>
        <v>2730389</v>
      </c>
      <c r="AM75" s="352">
        <f t="shared" si="60"/>
        <v>140361284.11900002</v>
      </c>
      <c r="AN75" s="354">
        <f t="shared" si="60"/>
        <v>24739349</v>
      </c>
      <c r="AO75" s="354">
        <f t="shared" si="60"/>
        <v>109830051</v>
      </c>
      <c r="AP75" s="354">
        <f t="shared" si="60"/>
        <v>1259318</v>
      </c>
      <c r="AQ75" s="354">
        <f t="shared" si="60"/>
        <v>160432</v>
      </c>
      <c r="AR75" s="352">
        <f t="shared" si="60"/>
        <v>135989150</v>
      </c>
      <c r="AS75" s="354">
        <f t="shared" si="60"/>
        <v>24555500</v>
      </c>
      <c r="AT75" s="354">
        <f t="shared" si="60"/>
        <v>102655660</v>
      </c>
      <c r="AU75" s="354">
        <f t="shared" si="60"/>
        <v>860663</v>
      </c>
      <c r="AV75" s="354">
        <f t="shared" si="60"/>
        <v>146001</v>
      </c>
      <c r="AW75" s="352">
        <f t="shared" si="60"/>
        <v>128217824</v>
      </c>
      <c r="AX75" s="354">
        <f t="shared" si="60"/>
        <v>50212784.859000012</v>
      </c>
      <c r="AY75" s="354">
        <f t="shared" si="60"/>
        <v>113166700</v>
      </c>
      <c r="AZ75" s="354">
        <f t="shared" si="60"/>
        <v>1068705</v>
      </c>
      <c r="BA75" s="354">
        <f t="shared" si="60"/>
        <v>5602857</v>
      </c>
      <c r="BB75" s="352">
        <f t="shared" si="60"/>
        <v>170051046.85900003</v>
      </c>
      <c r="BC75" s="354">
        <f t="shared" si="60"/>
        <v>64343002</v>
      </c>
      <c r="BD75" s="354">
        <f t="shared" si="60"/>
        <v>103689698</v>
      </c>
      <c r="BE75" s="354">
        <f t="shared" si="60"/>
        <v>946422</v>
      </c>
      <c r="BF75" s="354">
        <f t="shared" si="60"/>
        <v>4001127</v>
      </c>
      <c r="BG75" s="352">
        <f t="shared" si="60"/>
        <v>172980249</v>
      </c>
      <c r="BH75" s="354">
        <f t="shared" si="60"/>
        <v>0</v>
      </c>
      <c r="BI75" s="354">
        <f t="shared" si="60"/>
        <v>0</v>
      </c>
      <c r="BJ75" s="354">
        <f t="shared" si="60"/>
        <v>0</v>
      </c>
      <c r="BK75" s="354">
        <f t="shared" si="60"/>
        <v>0</v>
      </c>
      <c r="BL75" s="352">
        <f t="shared" si="60"/>
        <v>0</v>
      </c>
      <c r="BM75" s="416" t="e">
        <f t="shared" si="60"/>
        <v>#REF!</v>
      </c>
      <c r="BN75" s="416" t="e">
        <f t="shared" si="60"/>
        <v>#REF!</v>
      </c>
      <c r="BO75" s="416" t="e">
        <f t="shared" si="60"/>
        <v>#REF!</v>
      </c>
      <c r="BP75" s="416" t="e">
        <f t="shared" si="60"/>
        <v>#REF!</v>
      </c>
      <c r="BQ75" s="352" t="e">
        <f t="shared" ref="BQ75:BV75" si="61">SUM(BQ73:BQ74)</f>
        <v>#REF!</v>
      </c>
      <c r="BR75" s="354">
        <f t="shared" si="61"/>
        <v>416209924.72503996</v>
      </c>
      <c r="BS75" s="354">
        <f t="shared" si="61"/>
        <v>1056707836</v>
      </c>
      <c r="BT75" s="354">
        <f t="shared" si="61"/>
        <v>7947233</v>
      </c>
      <c r="BU75" s="354">
        <f t="shared" si="61"/>
        <v>50342918</v>
      </c>
      <c r="BV75" s="355">
        <f t="shared" si="61"/>
        <v>1531207912.72504</v>
      </c>
      <c r="BW75" s="144"/>
      <c r="BX75" s="435">
        <f>(BV75/I75)*100</f>
        <v>81.125694313108738</v>
      </c>
    </row>
    <row r="76" spans="1:87" x14ac:dyDescent="0.3">
      <c r="A76" s="68" t="s">
        <v>273</v>
      </c>
      <c r="B76" s="420"/>
      <c r="C76" s="420"/>
      <c r="D76" s="420"/>
      <c r="E76" s="420"/>
      <c r="F76" s="420"/>
      <c r="G76" s="420"/>
      <c r="H76" s="420"/>
      <c r="I76" s="191"/>
      <c r="J76" s="387"/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87"/>
      <c r="AV76" s="387"/>
      <c r="AW76" s="387"/>
      <c r="AX76" s="387"/>
      <c r="AY76" s="387"/>
      <c r="AZ76" s="387"/>
      <c r="BA76" s="387"/>
      <c r="BB76" s="387"/>
      <c r="BC76" s="387"/>
      <c r="BD76" s="387"/>
      <c r="BE76" s="387"/>
      <c r="BF76" s="387"/>
      <c r="BG76" s="387"/>
      <c r="BH76" s="387"/>
      <c r="BI76" s="387"/>
      <c r="BJ76" s="387"/>
      <c r="BK76" s="387"/>
      <c r="BL76" s="387"/>
      <c r="BM76" s="387"/>
      <c r="BN76" s="387"/>
      <c r="BO76" s="387"/>
      <c r="BP76" s="387"/>
      <c r="BQ76" s="387"/>
      <c r="BR76" s="387"/>
      <c r="BS76" s="387"/>
      <c r="BT76" s="387"/>
      <c r="BU76" s="387"/>
      <c r="BV76" s="387"/>
      <c r="BX76" s="435"/>
    </row>
    <row r="77" spans="1:87" x14ac:dyDescent="0.3">
      <c r="A77" s="68" t="s">
        <v>274</v>
      </c>
      <c r="B77" s="420"/>
      <c r="C77" s="420"/>
      <c r="D77" s="420"/>
      <c r="E77" s="420"/>
      <c r="F77" s="420"/>
      <c r="G77" s="420"/>
      <c r="H77" s="420"/>
      <c r="I77" s="191"/>
      <c r="J77" s="387"/>
      <c r="K77" s="387"/>
      <c r="L77" s="387"/>
      <c r="M77" s="387"/>
      <c r="N77" s="387"/>
      <c r="O77" s="387"/>
      <c r="P77" s="387"/>
      <c r="Q77" s="387"/>
      <c r="R77" s="387"/>
      <c r="S77" s="387"/>
      <c r="T77" s="387"/>
      <c r="U77" s="387"/>
      <c r="V77" s="387"/>
      <c r="W77" s="387"/>
      <c r="X77" s="387"/>
      <c r="Y77" s="387"/>
      <c r="Z77" s="387"/>
      <c r="AA77" s="387"/>
      <c r="AB77" s="387"/>
      <c r="AC77" s="387"/>
      <c r="AD77" s="387"/>
      <c r="AE77" s="387"/>
      <c r="AF77" s="387"/>
      <c r="AG77" s="387"/>
      <c r="AH77" s="387"/>
      <c r="AI77" s="387"/>
      <c r="AK77" s="387"/>
      <c r="AL77" s="387"/>
      <c r="AM77" s="387"/>
      <c r="AN77" s="387"/>
      <c r="AO77" s="387"/>
      <c r="AP77" s="387"/>
      <c r="AQ77" s="387"/>
      <c r="AR77" s="387"/>
      <c r="AS77" s="387"/>
      <c r="AT77" s="387"/>
      <c r="AU77" s="387"/>
      <c r="AV77" s="387"/>
      <c r="AW77" s="387"/>
      <c r="AX77" s="387"/>
      <c r="AY77" s="387"/>
      <c r="AZ77" s="387"/>
      <c r="BA77" s="387"/>
      <c r="BB77" s="387"/>
      <c r="BC77" s="387"/>
      <c r="BD77" s="387"/>
      <c r="BE77" s="387"/>
      <c r="BF77" s="387"/>
      <c r="BG77" s="387"/>
      <c r="BH77" s="387"/>
      <c r="BI77" s="387"/>
      <c r="BJ77" s="387"/>
      <c r="BK77" s="387"/>
      <c r="BL77" s="387"/>
      <c r="BM77" s="387"/>
      <c r="BN77" s="387"/>
      <c r="BO77" s="387"/>
      <c r="BP77" s="387"/>
      <c r="BQ77" s="387"/>
      <c r="BR77" s="387"/>
      <c r="BS77" s="387"/>
      <c r="BT77" s="387"/>
      <c r="BU77" s="387"/>
      <c r="BV77" s="387"/>
      <c r="BX77" s="435"/>
    </row>
    <row r="78" spans="1:87" x14ac:dyDescent="0.3">
      <c r="A78" s="68" t="s">
        <v>275</v>
      </c>
      <c r="B78" s="68"/>
      <c r="C78" s="68"/>
      <c r="D78" s="68"/>
      <c r="E78" s="420"/>
      <c r="F78" s="420"/>
      <c r="G78" s="420"/>
      <c r="H78" s="420"/>
      <c r="I78" s="136"/>
      <c r="J78" s="387"/>
      <c r="K78" s="387"/>
      <c r="L78" s="387"/>
      <c r="M78" s="387"/>
      <c r="N78" s="387"/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7"/>
      <c r="AF78" s="387"/>
      <c r="AG78" s="387"/>
      <c r="AH78" s="387"/>
      <c r="AI78" s="387"/>
      <c r="AJ78" s="387"/>
      <c r="AK78" s="387"/>
      <c r="AL78" s="387"/>
      <c r="AM78" s="387"/>
      <c r="AN78" s="387"/>
      <c r="AO78" s="387"/>
      <c r="AP78" s="387"/>
      <c r="AQ78" s="387"/>
      <c r="AR78" s="387"/>
      <c r="AS78" s="387"/>
      <c r="AT78" s="387"/>
      <c r="AU78" s="387"/>
      <c r="AV78" s="387"/>
      <c r="AW78" s="387"/>
      <c r="AX78" s="387"/>
      <c r="AY78" s="387"/>
      <c r="AZ78" s="387"/>
      <c r="BA78" s="387"/>
      <c r="BB78" s="387"/>
      <c r="BC78" s="387"/>
      <c r="BD78" s="387"/>
      <c r="BE78" s="387"/>
      <c r="BF78" s="387"/>
      <c r="BG78" s="387"/>
      <c r="BH78" s="387"/>
      <c r="BI78" s="387"/>
      <c r="BJ78" s="387"/>
      <c r="BK78" s="387"/>
      <c r="BL78" s="387"/>
      <c r="BM78" s="387"/>
      <c r="BN78" s="387"/>
      <c r="BO78" s="387"/>
      <c r="BP78" s="387"/>
      <c r="BQ78" s="387"/>
      <c r="BR78" s="387"/>
      <c r="BS78" s="387"/>
      <c r="BT78" s="387"/>
      <c r="BU78" s="387"/>
      <c r="BV78" s="387"/>
      <c r="BX78" s="435"/>
    </row>
    <row r="79" spans="1:87" x14ac:dyDescent="0.3">
      <c r="A79" s="68"/>
      <c r="B79" s="420"/>
      <c r="C79" s="420"/>
      <c r="D79" s="420"/>
      <c r="I79" s="191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87"/>
      <c r="AV79" s="387"/>
      <c r="AW79" s="387"/>
      <c r="BB79" s="387"/>
      <c r="BG79" s="387"/>
      <c r="BH79" s="387"/>
      <c r="BI79" s="387"/>
      <c r="BJ79" s="387"/>
      <c r="BK79" s="387"/>
      <c r="BL79" s="387"/>
      <c r="BM79" s="387"/>
      <c r="BN79" s="387"/>
      <c r="BO79" s="387"/>
      <c r="BP79" s="387"/>
      <c r="BQ79" s="387"/>
      <c r="BR79" s="387"/>
      <c r="BS79" s="387"/>
      <c r="BT79" s="387"/>
      <c r="BU79" s="387"/>
      <c r="BV79" s="387"/>
      <c r="BX79" s="435"/>
    </row>
    <row r="80" spans="1:87" x14ac:dyDescent="0.3">
      <c r="I80" s="47"/>
      <c r="AS80" s="136"/>
      <c r="BM80" s="387"/>
      <c r="BN80" s="387"/>
      <c r="BO80" s="387"/>
      <c r="BP80" s="387"/>
      <c r="BX80" s="435"/>
    </row>
    <row r="81" spans="2:76" x14ac:dyDescent="0.3">
      <c r="E81" s="421"/>
      <c r="F81" s="387"/>
      <c r="G81" s="387"/>
      <c r="H81" s="387"/>
      <c r="AX81" s="387"/>
      <c r="AY81" s="387"/>
      <c r="AZ81" s="387"/>
      <c r="BA81" s="387"/>
      <c r="BC81" s="387"/>
      <c r="BD81" s="387"/>
      <c r="BE81" s="387"/>
      <c r="BF81" s="387"/>
      <c r="BX81" s="435"/>
    </row>
    <row r="82" spans="2:76" x14ac:dyDescent="0.3">
      <c r="B82" s="325"/>
      <c r="C82" s="309"/>
      <c r="D82" s="309"/>
      <c r="E82" s="421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411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7"/>
      <c r="BH82" s="387"/>
      <c r="BI82" s="387"/>
      <c r="BJ82" s="387"/>
      <c r="BK82" s="387"/>
      <c r="BL82" s="387"/>
      <c r="BQ82" s="387"/>
      <c r="BR82" s="387"/>
      <c r="BS82" s="387"/>
      <c r="BT82" s="387"/>
      <c r="BU82" s="387"/>
      <c r="BV82" s="387"/>
      <c r="BX82" s="435"/>
    </row>
    <row r="83" spans="2:76" x14ac:dyDescent="0.3">
      <c r="B83" s="325"/>
      <c r="C83" s="309"/>
      <c r="D83" s="309"/>
      <c r="E83" s="421"/>
      <c r="F83" s="387"/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387"/>
      <c r="Z83" s="387"/>
      <c r="AA83" s="387"/>
      <c r="AB83" s="387"/>
      <c r="AC83" s="387"/>
      <c r="AD83" s="387"/>
      <c r="AE83" s="387"/>
      <c r="AF83" s="387"/>
      <c r="AG83" s="387"/>
      <c r="AH83" s="387"/>
      <c r="AI83" s="387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87"/>
      <c r="AV83" s="387"/>
      <c r="AW83" s="387"/>
      <c r="AX83" s="387"/>
      <c r="AY83" s="387"/>
      <c r="AZ83" s="387"/>
      <c r="BA83" s="387"/>
      <c r="BB83" s="387"/>
      <c r="BC83" s="387"/>
      <c r="BD83" s="387"/>
      <c r="BE83" s="387"/>
      <c r="BF83" s="387"/>
      <c r="BG83" s="387"/>
      <c r="BH83" s="387"/>
      <c r="BI83" s="387"/>
      <c r="BJ83" s="387"/>
      <c r="BK83" s="387"/>
      <c r="BL83" s="387"/>
      <c r="BM83" s="387"/>
      <c r="BN83" s="387"/>
      <c r="BO83" s="387"/>
      <c r="BP83" s="387"/>
      <c r="BQ83" s="387"/>
      <c r="BR83" s="387"/>
      <c r="BS83" s="387"/>
      <c r="BT83" s="387"/>
      <c r="BU83" s="387"/>
      <c r="BV83" s="387"/>
      <c r="BX83" s="435"/>
    </row>
    <row r="84" spans="2:76" x14ac:dyDescent="0.3">
      <c r="B84" s="325"/>
      <c r="C84" s="309"/>
      <c r="D84" s="309"/>
      <c r="E84" s="421"/>
      <c r="F84" s="387"/>
      <c r="G84" s="387"/>
      <c r="H84" s="387"/>
      <c r="I84" s="387"/>
      <c r="J84" s="387"/>
      <c r="K84" s="387"/>
      <c r="L84" s="387"/>
      <c r="M84" s="387"/>
      <c r="N84" s="387"/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7"/>
      <c r="AF84" s="387"/>
      <c r="AG84" s="387"/>
      <c r="AH84" s="387"/>
      <c r="AI84" s="387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7"/>
      <c r="BP84" s="387"/>
      <c r="BQ84" s="387"/>
      <c r="BR84" s="387"/>
      <c r="BS84" s="387"/>
      <c r="BT84" s="387"/>
      <c r="BU84" s="387"/>
      <c r="BV84" s="387"/>
      <c r="BX84" s="435"/>
    </row>
    <row r="85" spans="2:76" x14ac:dyDescent="0.3">
      <c r="B85" s="325"/>
      <c r="C85" s="309"/>
      <c r="D85" s="309"/>
      <c r="E85" s="421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87"/>
      <c r="U85" s="387"/>
      <c r="V85" s="387"/>
      <c r="W85" s="387"/>
      <c r="X85" s="387"/>
      <c r="Y85" s="387"/>
      <c r="Z85" s="387"/>
      <c r="AA85" s="387"/>
      <c r="AB85" s="387"/>
      <c r="AC85" s="387"/>
      <c r="AD85" s="387"/>
      <c r="AE85" s="387"/>
      <c r="AF85" s="387"/>
      <c r="AG85" s="387"/>
      <c r="AH85" s="387"/>
      <c r="AI85" s="387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87"/>
      <c r="AV85" s="387"/>
      <c r="AW85" s="387"/>
      <c r="AX85" s="387"/>
      <c r="AY85" s="387"/>
      <c r="AZ85" s="387"/>
      <c r="BA85" s="387"/>
      <c r="BB85" s="387"/>
      <c r="BC85" s="387"/>
      <c r="BD85" s="387"/>
      <c r="BE85" s="387"/>
      <c r="BF85" s="387"/>
      <c r="BG85" s="387"/>
      <c r="BH85" s="387"/>
      <c r="BI85" s="387"/>
      <c r="BJ85" s="387"/>
      <c r="BK85" s="387"/>
      <c r="BL85" s="387"/>
      <c r="BM85" s="387"/>
      <c r="BN85" s="387"/>
      <c r="BO85" s="387"/>
      <c r="BP85" s="387"/>
      <c r="BQ85" s="387"/>
      <c r="BR85" s="387"/>
      <c r="BS85" s="387"/>
      <c r="BT85" s="387"/>
      <c r="BU85" s="387"/>
      <c r="BV85" s="387"/>
      <c r="BX85" s="435"/>
    </row>
    <row r="86" spans="2:76" x14ac:dyDescent="0.3">
      <c r="B86" s="325"/>
      <c r="C86" s="309"/>
      <c r="D86" s="309"/>
      <c r="E86" s="421"/>
      <c r="F86" s="387"/>
      <c r="G86" s="387"/>
      <c r="H86" s="387"/>
      <c r="I86" s="387"/>
      <c r="J86" s="387"/>
      <c r="K86" s="387"/>
      <c r="L86" s="387"/>
      <c r="M86" s="387"/>
      <c r="N86" s="387"/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7"/>
      <c r="AF86" s="387"/>
      <c r="AG86" s="387"/>
      <c r="AH86" s="387"/>
      <c r="AI86" s="387"/>
      <c r="AJ86" s="387"/>
      <c r="AK86" s="387"/>
      <c r="AL86" s="387"/>
      <c r="AM86" s="387"/>
      <c r="AN86" s="387"/>
      <c r="AO86" s="387"/>
      <c r="AP86" s="387"/>
      <c r="AQ86" s="387"/>
      <c r="AR86" s="387"/>
      <c r="AS86" s="387"/>
      <c r="AT86" s="387"/>
      <c r="AU86" s="387"/>
      <c r="AV86" s="387"/>
      <c r="AW86" s="387"/>
      <c r="AX86" s="387"/>
      <c r="AY86" s="387"/>
      <c r="AZ86" s="387"/>
      <c r="BA86" s="387"/>
      <c r="BB86" s="387"/>
      <c r="BC86" s="387"/>
      <c r="BD86" s="387"/>
      <c r="BE86" s="387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X86" s="435"/>
    </row>
    <row r="87" spans="2:76" x14ac:dyDescent="0.3">
      <c r="B87" s="325"/>
      <c r="C87" s="309"/>
      <c r="D87" s="309"/>
      <c r="E87" s="421"/>
      <c r="F87" s="387"/>
      <c r="G87" s="387"/>
      <c r="H87" s="387"/>
      <c r="I87" s="387"/>
      <c r="J87" s="387"/>
      <c r="K87" s="387"/>
      <c r="L87" s="387"/>
      <c r="M87" s="387"/>
      <c r="N87" s="387"/>
      <c r="O87" s="387"/>
      <c r="P87" s="387"/>
      <c r="Q87" s="387"/>
      <c r="R87" s="387"/>
      <c r="S87" s="387"/>
      <c r="T87" s="387"/>
      <c r="U87" s="387"/>
      <c r="V87" s="387"/>
      <c r="W87" s="387"/>
      <c r="X87" s="387"/>
      <c r="Y87" s="387"/>
      <c r="Z87" s="387"/>
      <c r="AA87" s="387"/>
      <c r="AB87" s="387"/>
      <c r="AC87" s="387"/>
      <c r="AD87" s="387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87"/>
      <c r="AV87" s="387"/>
      <c r="AW87" s="387"/>
      <c r="AX87" s="387"/>
      <c r="AY87" s="387"/>
      <c r="AZ87" s="387"/>
      <c r="BA87" s="387"/>
      <c r="BB87" s="387"/>
      <c r="BC87" s="387"/>
      <c r="BD87" s="387"/>
      <c r="BE87" s="387"/>
      <c r="BF87" s="387"/>
      <c r="BG87" s="387"/>
      <c r="BH87" s="387"/>
      <c r="BI87" s="387"/>
      <c r="BJ87" s="387"/>
      <c r="BK87" s="387"/>
      <c r="BL87" s="387"/>
      <c r="BM87" s="387"/>
      <c r="BN87" s="387"/>
      <c r="BO87" s="387"/>
      <c r="BP87" s="387"/>
      <c r="BQ87" s="387"/>
      <c r="BR87" s="387"/>
      <c r="BS87" s="387"/>
      <c r="BT87" s="387"/>
      <c r="BU87" s="387"/>
      <c r="BV87" s="387"/>
      <c r="BX87" s="435"/>
    </row>
    <row r="88" spans="2:76" x14ac:dyDescent="0.3">
      <c r="B88" s="325"/>
      <c r="C88" s="309"/>
      <c r="D88" s="309"/>
      <c r="E88" s="421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387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87"/>
      <c r="AV88" s="387"/>
      <c r="AW88" s="387"/>
      <c r="AX88" s="387"/>
      <c r="AY88" s="387"/>
      <c r="AZ88" s="387"/>
      <c r="BA88" s="387"/>
      <c r="BB88" s="387"/>
      <c r="BC88" s="387"/>
      <c r="BD88" s="387"/>
      <c r="BE88" s="387"/>
      <c r="BF88" s="387"/>
      <c r="BG88" s="387"/>
      <c r="BH88" s="387"/>
      <c r="BI88" s="387"/>
      <c r="BJ88" s="387"/>
      <c r="BK88" s="387"/>
      <c r="BL88" s="387"/>
      <c r="BM88" s="387"/>
      <c r="BN88" s="387"/>
      <c r="BO88" s="387"/>
      <c r="BP88" s="387"/>
      <c r="BQ88" s="387"/>
      <c r="BR88" s="387"/>
      <c r="BS88" s="387"/>
      <c r="BT88" s="387"/>
      <c r="BU88" s="387"/>
      <c r="BV88" s="387"/>
      <c r="BX88" s="435"/>
    </row>
    <row r="89" spans="2:76" x14ac:dyDescent="0.3">
      <c r="B89" s="325"/>
      <c r="C89" s="309"/>
      <c r="D89" s="309"/>
      <c r="E89" s="421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87"/>
      <c r="U89" s="387"/>
      <c r="V89" s="387"/>
      <c r="W89" s="387"/>
      <c r="X89" s="387"/>
      <c r="Y89" s="387"/>
      <c r="Z89" s="387"/>
      <c r="AA89" s="387"/>
      <c r="AB89" s="387"/>
      <c r="AC89" s="387"/>
      <c r="AD89" s="387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87"/>
      <c r="AV89" s="387"/>
      <c r="AW89" s="387"/>
      <c r="AX89" s="387"/>
      <c r="AY89" s="387"/>
      <c r="AZ89" s="387"/>
      <c r="BA89" s="387"/>
      <c r="BB89" s="387"/>
      <c r="BC89" s="387"/>
      <c r="BD89" s="387"/>
      <c r="BE89" s="387"/>
      <c r="BF89" s="387"/>
      <c r="BG89" s="387"/>
      <c r="BH89" s="387"/>
      <c r="BI89" s="387"/>
      <c r="BJ89" s="387"/>
      <c r="BK89" s="387"/>
      <c r="BL89" s="387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X89" s="435"/>
    </row>
    <row r="90" spans="2:76" x14ac:dyDescent="0.3">
      <c r="B90" s="325"/>
      <c r="C90" s="309"/>
      <c r="D90" s="309"/>
      <c r="E90" s="421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7"/>
      <c r="Y90" s="387"/>
      <c r="Z90" s="411"/>
      <c r="AA90" s="387"/>
      <c r="AB90" s="387"/>
      <c r="AC90" s="387"/>
      <c r="AD90" s="387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87"/>
      <c r="AV90" s="387"/>
      <c r="AW90" s="387"/>
      <c r="AX90" s="387"/>
      <c r="AY90" s="387"/>
      <c r="AZ90" s="387"/>
      <c r="BA90" s="387"/>
      <c r="BB90" s="387"/>
      <c r="BC90" s="387"/>
      <c r="BD90" s="387"/>
      <c r="BE90" s="387"/>
      <c r="BF90" s="387"/>
      <c r="BG90" s="387"/>
      <c r="BH90" s="387"/>
      <c r="BI90" s="387"/>
      <c r="BJ90" s="387"/>
      <c r="BK90" s="387"/>
      <c r="BL90" s="387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X90" s="435"/>
    </row>
    <row r="91" spans="2:76" x14ac:dyDescent="0.3">
      <c r="B91" s="325"/>
      <c r="C91" s="309"/>
      <c r="D91" s="309"/>
      <c r="E91" s="421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411"/>
      <c r="AA91" s="387"/>
      <c r="AB91" s="387"/>
      <c r="AC91" s="387"/>
      <c r="AD91" s="387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87"/>
      <c r="AV91" s="387"/>
      <c r="AW91" s="387"/>
      <c r="AX91" s="387"/>
      <c r="AY91" s="387"/>
      <c r="AZ91" s="387"/>
      <c r="BA91" s="387"/>
      <c r="BB91" s="387"/>
      <c r="BC91" s="387"/>
      <c r="BD91" s="387"/>
      <c r="BE91" s="387"/>
      <c r="BF91" s="387"/>
      <c r="BG91" s="387"/>
      <c r="BH91" s="387"/>
      <c r="BI91" s="387"/>
      <c r="BJ91" s="387"/>
      <c r="BK91" s="387"/>
      <c r="BL91" s="387"/>
      <c r="BM91" s="387"/>
      <c r="BN91" s="387"/>
      <c r="BO91" s="387"/>
      <c r="BP91" s="387"/>
      <c r="BQ91" s="387"/>
      <c r="BR91" s="387"/>
      <c r="BS91" s="387"/>
      <c r="BT91" s="387"/>
      <c r="BU91" s="387"/>
      <c r="BV91" s="387"/>
      <c r="BX91" s="435"/>
    </row>
    <row r="92" spans="2:76" x14ac:dyDescent="0.3">
      <c r="B92" s="325"/>
      <c r="C92" s="309"/>
      <c r="D92" s="309"/>
      <c r="E92" s="421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411"/>
      <c r="AA92" s="387"/>
      <c r="AB92" s="387"/>
      <c r="AC92" s="387"/>
      <c r="AD92" s="387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87"/>
      <c r="AV92" s="387"/>
      <c r="AW92" s="387"/>
      <c r="AX92" s="387"/>
      <c r="AY92" s="387"/>
      <c r="AZ92" s="387"/>
      <c r="BA92" s="387"/>
      <c r="BB92" s="387"/>
      <c r="BC92" s="387"/>
      <c r="BD92" s="387"/>
      <c r="BE92" s="387"/>
      <c r="BF92" s="387"/>
      <c r="BG92" s="387"/>
      <c r="BH92" s="387"/>
      <c r="BI92" s="387"/>
      <c r="BJ92" s="387"/>
      <c r="BK92" s="387"/>
      <c r="BL92" s="387"/>
      <c r="BM92" s="387"/>
      <c r="BN92" s="387"/>
      <c r="BO92" s="387"/>
      <c r="BP92" s="387"/>
      <c r="BQ92" s="387"/>
      <c r="BR92" s="387"/>
      <c r="BS92" s="387"/>
      <c r="BT92" s="387"/>
      <c r="BU92" s="387"/>
      <c r="BV92" s="387"/>
      <c r="BX92" s="435"/>
    </row>
    <row r="93" spans="2:76" x14ac:dyDescent="0.3">
      <c r="B93" s="325"/>
      <c r="C93" s="309"/>
      <c r="D93" s="309"/>
      <c r="E93" s="421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411"/>
      <c r="AA93" s="387"/>
      <c r="AB93" s="387"/>
      <c r="AC93" s="387"/>
      <c r="AD93" s="387"/>
      <c r="AE93" s="387"/>
      <c r="AF93" s="387"/>
      <c r="AG93" s="387"/>
      <c r="AH93" s="387"/>
      <c r="AI93" s="387"/>
      <c r="AJ93" s="387"/>
      <c r="AK93" s="387"/>
      <c r="AL93" s="387"/>
      <c r="AM93" s="387"/>
      <c r="AN93" s="387"/>
      <c r="AO93" s="387"/>
      <c r="AP93" s="387"/>
      <c r="AQ93" s="387"/>
      <c r="AR93" s="387"/>
      <c r="AS93" s="387"/>
      <c r="AT93" s="387"/>
      <c r="AU93" s="387"/>
      <c r="AV93" s="387"/>
      <c r="AW93" s="387"/>
      <c r="AX93" s="387"/>
      <c r="AY93" s="387"/>
      <c r="AZ93" s="387"/>
      <c r="BA93" s="387"/>
      <c r="BB93" s="387"/>
      <c r="BC93" s="387"/>
      <c r="BD93" s="387"/>
      <c r="BE93" s="387"/>
      <c r="BF93" s="387"/>
      <c r="BG93" s="387"/>
      <c r="BH93" s="387"/>
      <c r="BI93" s="387"/>
      <c r="BJ93" s="387"/>
      <c r="BK93" s="387"/>
      <c r="BL93" s="387"/>
      <c r="BM93" s="387"/>
      <c r="BN93" s="387"/>
      <c r="BO93" s="387"/>
      <c r="BP93" s="387"/>
      <c r="BQ93" s="387"/>
      <c r="BR93" s="387"/>
      <c r="BS93" s="387"/>
      <c r="BT93" s="387"/>
      <c r="BU93" s="387"/>
      <c r="BV93" s="387"/>
      <c r="BX93" s="435"/>
    </row>
    <row r="94" spans="2:76" x14ac:dyDescent="0.3">
      <c r="B94" s="325"/>
      <c r="C94" s="309"/>
      <c r="D94" s="309"/>
      <c r="E94" s="421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87"/>
      <c r="AV94" s="387"/>
      <c r="AW94" s="387"/>
      <c r="AX94" s="387"/>
      <c r="AY94" s="387"/>
      <c r="AZ94" s="387"/>
      <c r="BA94" s="387"/>
      <c r="BB94" s="387"/>
      <c r="BC94" s="387"/>
      <c r="BD94" s="387"/>
      <c r="BE94" s="387"/>
      <c r="BF94" s="387"/>
      <c r="BG94" s="387"/>
      <c r="BH94" s="387"/>
      <c r="BI94" s="387"/>
      <c r="BJ94" s="387"/>
      <c r="BK94" s="387"/>
      <c r="BL94" s="387"/>
      <c r="BM94" s="387"/>
      <c r="BN94" s="387"/>
      <c r="BO94" s="387"/>
      <c r="BP94" s="387"/>
      <c r="BQ94" s="387"/>
      <c r="BR94" s="387"/>
      <c r="BS94" s="387"/>
      <c r="BT94" s="387"/>
      <c r="BU94" s="387"/>
      <c r="BV94" s="387"/>
      <c r="BX94" s="435"/>
    </row>
    <row r="95" spans="2:76" x14ac:dyDescent="0.3">
      <c r="B95" s="325"/>
      <c r="C95" s="309"/>
      <c r="D95" s="309"/>
      <c r="E95" s="421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411"/>
      <c r="AA95" s="387"/>
      <c r="AB95" s="387"/>
      <c r="AC95" s="387"/>
      <c r="AD95" s="387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87"/>
      <c r="AV95" s="387"/>
      <c r="AW95" s="387"/>
      <c r="AX95" s="387"/>
      <c r="AY95" s="387"/>
      <c r="AZ95" s="387"/>
      <c r="BA95" s="387"/>
      <c r="BB95" s="387"/>
      <c r="BC95" s="387"/>
      <c r="BD95" s="387"/>
      <c r="BE95" s="387"/>
      <c r="BF95" s="387"/>
      <c r="BG95" s="387"/>
      <c r="BH95" s="387"/>
      <c r="BI95" s="387"/>
      <c r="BJ95" s="387"/>
      <c r="BK95" s="387"/>
      <c r="BL95" s="387"/>
      <c r="BM95" s="387"/>
      <c r="BN95" s="387"/>
      <c r="BO95" s="387"/>
      <c r="BP95" s="387"/>
      <c r="BQ95" s="387"/>
      <c r="BR95" s="387"/>
      <c r="BS95" s="387"/>
      <c r="BT95" s="387"/>
      <c r="BU95" s="387"/>
      <c r="BV95" s="387"/>
      <c r="BX95" s="435"/>
    </row>
    <row r="96" spans="2:76" x14ac:dyDescent="0.3">
      <c r="B96" s="325"/>
      <c r="C96" s="309"/>
      <c r="D96" s="309"/>
      <c r="E96" s="421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87"/>
      <c r="AV96" s="387"/>
      <c r="AW96" s="387"/>
      <c r="AX96" s="387"/>
      <c r="AY96" s="387"/>
      <c r="AZ96" s="387"/>
      <c r="BA96" s="387"/>
      <c r="BB96" s="387"/>
      <c r="BC96" s="387"/>
      <c r="BD96" s="387"/>
      <c r="BE96" s="387"/>
      <c r="BF96" s="387"/>
      <c r="BG96" s="387"/>
      <c r="BH96" s="387"/>
      <c r="BI96" s="387"/>
      <c r="BJ96" s="387"/>
      <c r="BK96" s="387"/>
      <c r="BL96" s="387"/>
      <c r="BM96" s="387"/>
      <c r="BN96" s="387"/>
      <c r="BO96" s="387"/>
      <c r="BP96" s="387"/>
      <c r="BQ96" s="387"/>
      <c r="BR96" s="387"/>
      <c r="BS96" s="387"/>
      <c r="BT96" s="387"/>
      <c r="BU96" s="387"/>
      <c r="BV96" s="387"/>
      <c r="BX96" s="435"/>
    </row>
    <row r="97" spans="2:76" x14ac:dyDescent="0.3">
      <c r="B97" s="325"/>
      <c r="C97" s="309"/>
      <c r="D97" s="309"/>
      <c r="E97" s="421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X97" s="435"/>
    </row>
    <row r="98" spans="2:76" x14ac:dyDescent="0.3">
      <c r="B98" s="325"/>
      <c r="C98" s="309"/>
      <c r="D98" s="309"/>
      <c r="E98" s="421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387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87"/>
      <c r="AV98" s="387"/>
      <c r="AW98" s="387"/>
      <c r="AX98" s="387"/>
      <c r="AY98" s="387"/>
      <c r="AZ98" s="387"/>
      <c r="BA98" s="387"/>
      <c r="BB98" s="387"/>
      <c r="BC98" s="387"/>
      <c r="BD98" s="387"/>
      <c r="BE98" s="387"/>
      <c r="BF98" s="387"/>
      <c r="BG98" s="387"/>
      <c r="BH98" s="387"/>
      <c r="BI98" s="387"/>
      <c r="BJ98" s="387"/>
      <c r="BK98" s="387"/>
      <c r="BL98" s="387"/>
      <c r="BM98" s="387"/>
      <c r="BN98" s="387"/>
      <c r="BO98" s="387"/>
      <c r="BP98" s="387"/>
      <c r="BQ98" s="387"/>
      <c r="BR98" s="387"/>
      <c r="BS98" s="387"/>
      <c r="BT98" s="387"/>
      <c r="BU98" s="387"/>
      <c r="BV98" s="387"/>
      <c r="BX98" s="435"/>
    </row>
    <row r="99" spans="2:76" x14ac:dyDescent="0.3">
      <c r="B99" s="325"/>
      <c r="C99" s="309"/>
      <c r="D99" s="309"/>
      <c r="E99" s="421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7"/>
      <c r="X99" s="387"/>
      <c r="Y99" s="387"/>
      <c r="Z99" s="387"/>
      <c r="AA99" s="387"/>
      <c r="AB99" s="387"/>
      <c r="AC99" s="387"/>
      <c r="AD99" s="387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87"/>
      <c r="AV99" s="387"/>
      <c r="AW99" s="387"/>
      <c r="AX99" s="387"/>
      <c r="AY99" s="387"/>
      <c r="AZ99" s="387"/>
      <c r="BA99" s="387"/>
      <c r="BB99" s="387"/>
      <c r="BC99" s="387"/>
      <c r="BD99" s="387"/>
      <c r="BE99" s="387"/>
      <c r="BF99" s="387"/>
      <c r="BG99" s="387"/>
      <c r="BH99" s="387"/>
      <c r="BI99" s="387"/>
      <c r="BJ99" s="387"/>
      <c r="BK99" s="387"/>
      <c r="BL99" s="387"/>
      <c r="BM99" s="387"/>
      <c r="BN99" s="387"/>
      <c r="BO99" s="387"/>
      <c r="BP99" s="387"/>
      <c r="BQ99" s="387"/>
      <c r="BR99" s="387"/>
      <c r="BS99" s="387"/>
      <c r="BT99" s="387"/>
      <c r="BU99" s="387"/>
      <c r="BV99" s="387"/>
      <c r="BX99" s="435"/>
    </row>
    <row r="100" spans="2:76" x14ac:dyDescent="0.3">
      <c r="B100" s="325"/>
      <c r="C100" s="309"/>
      <c r="D100" s="309"/>
      <c r="E100" s="421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7"/>
      <c r="AX100" s="387"/>
      <c r="AY100" s="387"/>
      <c r="AZ100" s="387"/>
      <c r="BA100" s="387"/>
      <c r="BB100" s="387"/>
      <c r="BC100" s="387"/>
      <c r="BD100" s="387"/>
      <c r="BE100" s="387"/>
      <c r="BF100" s="387"/>
      <c r="BG100" s="387"/>
      <c r="BH100" s="387"/>
      <c r="BI100" s="387"/>
      <c r="BJ100" s="387"/>
      <c r="BK100" s="387"/>
      <c r="BL100" s="387"/>
      <c r="BM100" s="387"/>
      <c r="BN100" s="387"/>
      <c r="BO100" s="387"/>
      <c r="BP100" s="387"/>
      <c r="BQ100" s="387"/>
      <c r="BR100" s="387"/>
      <c r="BS100" s="387"/>
      <c r="BT100" s="387"/>
      <c r="BU100" s="387"/>
      <c r="BV100" s="387"/>
      <c r="BX100" s="435"/>
    </row>
    <row r="101" spans="2:76" x14ac:dyDescent="0.3">
      <c r="B101" s="325"/>
      <c r="C101" s="309"/>
      <c r="D101" s="309"/>
      <c r="E101" s="421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87"/>
      <c r="Z101" s="387"/>
      <c r="AA101" s="387"/>
      <c r="AB101" s="387"/>
      <c r="AC101" s="387"/>
      <c r="AD101" s="387"/>
      <c r="AE101" s="387"/>
      <c r="AF101" s="387"/>
      <c r="AG101" s="387"/>
      <c r="AH101" s="387"/>
      <c r="AI101" s="387"/>
      <c r="AJ101" s="387"/>
      <c r="AK101" s="387"/>
      <c r="AL101" s="387"/>
      <c r="AM101" s="387"/>
      <c r="AN101" s="387"/>
      <c r="AO101" s="387"/>
      <c r="AP101" s="387"/>
      <c r="AQ101" s="387"/>
      <c r="AR101" s="387"/>
      <c r="AS101" s="387"/>
      <c r="AT101" s="387"/>
      <c r="AU101" s="387"/>
      <c r="AV101" s="387"/>
      <c r="AW101" s="387"/>
      <c r="AX101" s="387"/>
      <c r="AY101" s="387"/>
      <c r="AZ101" s="387"/>
      <c r="BA101" s="387"/>
      <c r="BB101" s="387"/>
      <c r="BC101" s="387"/>
      <c r="BD101" s="387"/>
      <c r="BE101" s="387"/>
      <c r="BF101" s="387"/>
      <c r="BG101" s="387"/>
      <c r="BH101" s="387"/>
      <c r="BI101" s="387"/>
      <c r="BJ101" s="387"/>
      <c r="BK101" s="387"/>
      <c r="BL101" s="387"/>
      <c r="BM101" s="387"/>
      <c r="BN101" s="387"/>
      <c r="BO101" s="387"/>
      <c r="BP101" s="387"/>
      <c r="BQ101" s="387"/>
      <c r="BR101" s="387"/>
      <c r="BS101" s="387"/>
      <c r="BT101" s="387"/>
      <c r="BU101" s="387"/>
      <c r="BV101" s="387"/>
      <c r="BX101" s="435"/>
    </row>
    <row r="102" spans="2:76" x14ac:dyDescent="0.3">
      <c r="B102" s="325"/>
      <c r="C102" s="309"/>
      <c r="D102" s="309"/>
      <c r="E102" s="421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7"/>
      <c r="AL102" s="387"/>
      <c r="AM102" s="387"/>
      <c r="AN102" s="387"/>
      <c r="AO102" s="387"/>
      <c r="AP102" s="387"/>
      <c r="AQ102" s="387"/>
      <c r="AR102" s="387"/>
      <c r="AS102" s="387"/>
      <c r="AT102" s="387"/>
      <c r="AU102" s="387"/>
      <c r="AV102" s="387"/>
      <c r="AW102" s="387"/>
      <c r="AX102" s="387"/>
      <c r="AY102" s="387"/>
      <c r="AZ102" s="387"/>
      <c r="BA102" s="387"/>
      <c r="BB102" s="387"/>
      <c r="BC102" s="387"/>
      <c r="BD102" s="387"/>
      <c r="BE102" s="387"/>
      <c r="BF102" s="387"/>
      <c r="BG102" s="387"/>
      <c r="BH102" s="387"/>
      <c r="BI102" s="387"/>
      <c r="BJ102" s="387"/>
      <c r="BK102" s="387"/>
      <c r="BL102" s="387"/>
      <c r="BM102" s="387"/>
      <c r="BN102" s="387"/>
      <c r="BO102" s="387"/>
      <c r="BP102" s="387"/>
      <c r="BQ102" s="387"/>
      <c r="BR102" s="387"/>
      <c r="BS102" s="387"/>
      <c r="BT102" s="387"/>
      <c r="BU102" s="387"/>
      <c r="BV102" s="387"/>
      <c r="BX102" s="435"/>
    </row>
    <row r="103" spans="2:76" x14ac:dyDescent="0.3">
      <c r="B103" s="325"/>
      <c r="C103" s="309"/>
      <c r="D103" s="309"/>
      <c r="E103" s="421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87"/>
      <c r="AV103" s="387"/>
      <c r="AW103" s="387"/>
      <c r="AX103" s="387"/>
      <c r="AY103" s="387"/>
      <c r="AZ103" s="387"/>
      <c r="BA103" s="387"/>
      <c r="BB103" s="387"/>
      <c r="BC103" s="387"/>
      <c r="BD103" s="387"/>
      <c r="BE103" s="387"/>
      <c r="BF103" s="387"/>
      <c r="BG103" s="387"/>
      <c r="BH103" s="387"/>
      <c r="BI103" s="387"/>
      <c r="BJ103" s="387"/>
      <c r="BK103" s="387"/>
      <c r="BL103" s="387"/>
      <c r="BM103" s="387"/>
      <c r="BN103" s="387"/>
      <c r="BO103" s="387"/>
      <c r="BP103" s="387"/>
      <c r="BQ103" s="387"/>
      <c r="BR103" s="387"/>
      <c r="BS103" s="387"/>
      <c r="BT103" s="387"/>
      <c r="BU103" s="387"/>
      <c r="BV103" s="387"/>
      <c r="BX103" s="435"/>
    </row>
    <row r="104" spans="2:76" x14ac:dyDescent="0.3">
      <c r="B104" s="325"/>
      <c r="C104" s="309"/>
      <c r="D104" s="309"/>
      <c r="E104" s="421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  <c r="BA104" s="387"/>
      <c r="BB104" s="387"/>
      <c r="BC104" s="387"/>
      <c r="BD104" s="387"/>
      <c r="BE104" s="387"/>
      <c r="BF104" s="387"/>
      <c r="BG104" s="387"/>
      <c r="BH104" s="387"/>
      <c r="BI104" s="387"/>
      <c r="BJ104" s="387"/>
      <c r="BK104" s="387"/>
      <c r="BL104" s="387"/>
      <c r="BM104" s="387"/>
      <c r="BN104" s="387"/>
      <c r="BO104" s="387"/>
      <c r="BP104" s="387"/>
      <c r="BQ104" s="387"/>
      <c r="BR104" s="387"/>
      <c r="BS104" s="387"/>
      <c r="BT104" s="387"/>
      <c r="BU104" s="387"/>
      <c r="BV104" s="387"/>
      <c r="BX104" s="435"/>
    </row>
    <row r="105" spans="2:76" x14ac:dyDescent="0.3">
      <c r="B105" s="325"/>
      <c r="C105" s="309"/>
      <c r="D105" s="309"/>
      <c r="E105" s="421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387"/>
      <c r="Z105" s="387"/>
      <c r="AA105" s="387"/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87"/>
      <c r="AV105" s="387"/>
      <c r="AW105" s="387"/>
      <c r="AX105" s="387"/>
      <c r="AY105" s="387"/>
      <c r="AZ105" s="387"/>
      <c r="BA105" s="387"/>
      <c r="BB105" s="387"/>
      <c r="BC105" s="387"/>
      <c r="BD105" s="387"/>
      <c r="BE105" s="387"/>
      <c r="BF105" s="387"/>
      <c r="BG105" s="387"/>
      <c r="BH105" s="387"/>
      <c r="BI105" s="387"/>
      <c r="BJ105" s="387"/>
      <c r="BK105" s="387"/>
      <c r="BL105" s="387"/>
      <c r="BM105" s="387"/>
      <c r="BN105" s="387"/>
      <c r="BO105" s="387"/>
      <c r="BP105" s="387"/>
      <c r="BQ105" s="387"/>
      <c r="BR105" s="387"/>
      <c r="BS105" s="387"/>
      <c r="BT105" s="387"/>
      <c r="BU105" s="387"/>
      <c r="BV105" s="387"/>
      <c r="BX105" s="435"/>
    </row>
    <row r="106" spans="2:76" x14ac:dyDescent="0.3">
      <c r="B106" s="325"/>
      <c r="C106" s="309"/>
      <c r="D106" s="309"/>
      <c r="E106" s="421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387"/>
      <c r="Z106" s="387"/>
      <c r="AA106" s="387"/>
      <c r="AB106" s="387"/>
      <c r="AC106" s="387"/>
      <c r="AD106" s="387"/>
      <c r="AE106" s="387"/>
      <c r="AF106" s="387"/>
      <c r="AG106" s="387"/>
      <c r="AH106" s="387"/>
      <c r="AI106" s="387"/>
      <c r="AJ106" s="387"/>
      <c r="AK106" s="387"/>
      <c r="AL106" s="387"/>
      <c r="AM106" s="387"/>
      <c r="AN106" s="387"/>
      <c r="AO106" s="387"/>
      <c r="AP106" s="387"/>
      <c r="AQ106" s="387"/>
      <c r="AR106" s="387"/>
      <c r="AS106" s="387"/>
      <c r="AT106" s="387"/>
      <c r="AU106" s="387"/>
      <c r="AV106" s="387"/>
      <c r="AW106" s="387"/>
      <c r="AX106" s="387"/>
      <c r="AY106" s="387"/>
      <c r="AZ106" s="387"/>
      <c r="BA106" s="387"/>
      <c r="BB106" s="387"/>
      <c r="BC106" s="387"/>
      <c r="BD106" s="387"/>
      <c r="BE106" s="387"/>
      <c r="BF106" s="387"/>
      <c r="BG106" s="387"/>
      <c r="BH106" s="387"/>
      <c r="BI106" s="387"/>
      <c r="BJ106" s="387"/>
      <c r="BK106" s="387"/>
      <c r="BL106" s="387"/>
      <c r="BM106" s="387"/>
      <c r="BN106" s="387"/>
      <c r="BO106" s="387"/>
      <c r="BP106" s="387"/>
      <c r="BQ106" s="387"/>
      <c r="BR106" s="387"/>
      <c r="BS106" s="387"/>
      <c r="BT106" s="387"/>
      <c r="BU106" s="387"/>
      <c r="BV106" s="387"/>
      <c r="BX106" s="435"/>
    </row>
    <row r="107" spans="2:76" x14ac:dyDescent="0.3">
      <c r="B107" s="325"/>
      <c r="C107" s="309"/>
      <c r="D107" s="309"/>
      <c r="E107" s="136"/>
      <c r="F107" s="136"/>
      <c r="G107" s="136"/>
      <c r="H107" s="136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387"/>
      <c r="Z107" s="387"/>
      <c r="AA107" s="387"/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7"/>
      <c r="AL107" s="387"/>
      <c r="AM107" s="387"/>
      <c r="AN107" s="387"/>
      <c r="AO107" s="387"/>
      <c r="AP107" s="387"/>
      <c r="AQ107" s="387"/>
      <c r="AR107" s="387"/>
      <c r="AS107" s="387"/>
      <c r="AT107" s="387"/>
      <c r="AU107" s="387"/>
      <c r="AV107" s="387"/>
      <c r="AW107" s="387"/>
      <c r="AX107" s="136"/>
      <c r="AY107" s="136"/>
      <c r="AZ107" s="136"/>
      <c r="BA107" s="136"/>
      <c r="BB107" s="387"/>
      <c r="BC107" s="136"/>
      <c r="BD107" s="136"/>
      <c r="BE107" s="136"/>
      <c r="BF107" s="136"/>
      <c r="BG107" s="387"/>
      <c r="BH107" s="387"/>
      <c r="BI107" s="387"/>
      <c r="BJ107" s="387"/>
      <c r="BK107" s="387"/>
      <c r="BL107" s="387"/>
      <c r="BM107" s="387"/>
      <c r="BN107" s="387"/>
      <c r="BO107" s="387"/>
      <c r="BP107" s="387"/>
      <c r="BQ107" s="387"/>
      <c r="BR107" s="387"/>
      <c r="BS107" s="387"/>
      <c r="BT107" s="387"/>
      <c r="BU107" s="387"/>
      <c r="BV107" s="387"/>
      <c r="BX107" s="435"/>
    </row>
    <row r="108" spans="2:76" x14ac:dyDescent="0.3"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BB108" s="136"/>
      <c r="BG108" s="136"/>
      <c r="BH108" s="136"/>
      <c r="BI108" s="136"/>
      <c r="BJ108" s="136"/>
      <c r="BK108" s="136"/>
      <c r="BL108" s="136"/>
      <c r="BM108" s="387"/>
      <c r="BN108" s="387"/>
      <c r="BO108" s="387"/>
      <c r="BP108" s="387"/>
      <c r="BQ108" s="136"/>
      <c r="BR108" s="136"/>
      <c r="BS108" s="136"/>
      <c r="BT108" s="136"/>
      <c r="BU108" s="136"/>
      <c r="BV108" s="136"/>
      <c r="BX108" s="435"/>
    </row>
    <row r="109" spans="2:76" x14ac:dyDescent="0.3">
      <c r="BM109" s="136"/>
      <c r="BN109" s="136"/>
      <c r="BO109" s="136"/>
      <c r="BP109" s="136"/>
      <c r="BX109" s="435"/>
    </row>
    <row r="110" spans="2:76" x14ac:dyDescent="0.3">
      <c r="BX110" s="435"/>
    </row>
    <row r="111" spans="2:76" x14ac:dyDescent="0.3">
      <c r="BX111" s="435"/>
    </row>
    <row r="112" spans="2:76" x14ac:dyDescent="0.3">
      <c r="BX112" s="435"/>
    </row>
    <row r="113" spans="2:76" x14ac:dyDescent="0.3">
      <c r="BX113" s="435"/>
    </row>
    <row r="114" spans="2:76" x14ac:dyDescent="0.3">
      <c r="BX114" s="435"/>
    </row>
    <row r="115" spans="2:76" x14ac:dyDescent="0.3">
      <c r="BX115" s="435"/>
    </row>
    <row r="116" spans="2:76" x14ac:dyDescent="0.3">
      <c r="BX116" s="435"/>
    </row>
    <row r="117" spans="2:76" x14ac:dyDescent="0.3">
      <c r="BX117" s="435"/>
    </row>
    <row r="118" spans="2:76" x14ac:dyDescent="0.3">
      <c r="BX118" s="435"/>
    </row>
    <row r="119" spans="2:76" x14ac:dyDescent="0.3">
      <c r="BX119" s="435"/>
    </row>
    <row r="120" spans="2:76" x14ac:dyDescent="0.3">
      <c r="BX120" s="435"/>
    </row>
    <row r="121" spans="2:76" x14ac:dyDescent="0.3">
      <c r="E121" s="422"/>
      <c r="F121" s="422"/>
      <c r="G121" s="422"/>
      <c r="H121" s="422"/>
      <c r="AX121" s="422"/>
      <c r="AY121" s="422"/>
      <c r="AZ121" s="422"/>
      <c r="BA121" s="422"/>
      <c r="BC121" s="422"/>
      <c r="BD121" s="422"/>
      <c r="BE121" s="422"/>
      <c r="BF121" s="422"/>
      <c r="BX121" s="435"/>
    </row>
    <row r="122" spans="2:76" x14ac:dyDescent="0.3">
      <c r="E122" s="422"/>
      <c r="F122" s="422"/>
      <c r="G122" s="422"/>
      <c r="H122" s="422"/>
      <c r="I122" s="422"/>
      <c r="J122" s="422"/>
      <c r="K122" s="422"/>
      <c r="L122" s="422"/>
      <c r="M122" s="422"/>
      <c r="N122" s="422"/>
      <c r="O122" s="422"/>
      <c r="P122" s="422"/>
      <c r="Q122" s="422"/>
      <c r="R122" s="422"/>
      <c r="S122" s="422"/>
      <c r="T122" s="422"/>
      <c r="U122" s="422"/>
      <c r="V122" s="422"/>
      <c r="W122" s="422"/>
      <c r="X122" s="422"/>
      <c r="Y122" s="422"/>
      <c r="Z122" s="422"/>
      <c r="AA122" s="422"/>
      <c r="AB122" s="422"/>
      <c r="AC122" s="422"/>
      <c r="AD122" s="422"/>
      <c r="AE122" s="422"/>
      <c r="AF122" s="422"/>
      <c r="AG122" s="422"/>
      <c r="AH122" s="422"/>
      <c r="AI122" s="422"/>
      <c r="AJ122" s="422"/>
      <c r="AK122" s="422"/>
      <c r="AL122" s="422"/>
      <c r="AM122" s="422"/>
      <c r="AN122" s="422"/>
      <c r="AO122" s="422"/>
      <c r="AP122" s="422"/>
      <c r="AQ122" s="422"/>
      <c r="AR122" s="422"/>
      <c r="AS122" s="422"/>
      <c r="AT122" s="422"/>
      <c r="AU122" s="422"/>
      <c r="AV122" s="422"/>
      <c r="AW122" s="422"/>
      <c r="AX122" s="422"/>
      <c r="AY122" s="422"/>
      <c r="AZ122" s="422"/>
      <c r="BA122" s="422"/>
      <c r="BB122" s="422"/>
      <c r="BC122" s="422"/>
      <c r="BD122" s="422"/>
      <c r="BE122" s="422"/>
      <c r="BF122" s="422"/>
      <c r="BG122" s="422"/>
      <c r="BH122" s="422"/>
      <c r="BI122" s="422"/>
      <c r="BJ122" s="422"/>
      <c r="BK122" s="422"/>
      <c r="BL122" s="422"/>
      <c r="BQ122" s="422"/>
      <c r="BR122" s="422"/>
      <c r="BS122" s="422"/>
      <c r="BT122" s="422"/>
      <c r="BU122" s="422"/>
      <c r="BV122" s="422"/>
      <c r="BX122" s="435"/>
    </row>
    <row r="123" spans="2:76" x14ac:dyDescent="0.3">
      <c r="E123" s="421"/>
      <c r="F123" s="387"/>
      <c r="G123" s="387"/>
      <c r="H123" s="387"/>
      <c r="I123" s="422"/>
      <c r="J123" s="422"/>
      <c r="K123" s="422"/>
      <c r="L123" s="422"/>
      <c r="M123" s="422"/>
      <c r="N123" s="422"/>
      <c r="O123" s="422"/>
      <c r="P123" s="422"/>
      <c r="Q123" s="422"/>
      <c r="R123" s="422"/>
      <c r="S123" s="422"/>
      <c r="T123" s="422"/>
      <c r="U123" s="422"/>
      <c r="V123" s="422"/>
      <c r="W123" s="422"/>
      <c r="X123" s="422"/>
      <c r="Y123" s="422"/>
      <c r="Z123" s="422"/>
      <c r="AA123" s="422"/>
      <c r="AB123" s="422"/>
      <c r="AC123" s="422"/>
      <c r="AD123" s="422"/>
      <c r="AE123" s="422"/>
      <c r="AF123" s="422"/>
      <c r="AG123" s="422"/>
      <c r="AH123" s="422"/>
      <c r="AI123" s="422"/>
      <c r="AJ123" s="422"/>
      <c r="AK123" s="422"/>
      <c r="AL123" s="422"/>
      <c r="AM123" s="422"/>
      <c r="AN123" s="422"/>
      <c r="AO123" s="422"/>
      <c r="AP123" s="422"/>
      <c r="AQ123" s="422"/>
      <c r="AR123" s="422"/>
      <c r="AS123" s="422"/>
      <c r="AT123" s="422"/>
      <c r="AU123" s="422"/>
      <c r="AV123" s="422"/>
      <c r="AW123" s="422"/>
      <c r="AX123" s="387"/>
      <c r="AY123" s="387"/>
      <c r="AZ123" s="387"/>
      <c r="BA123" s="387"/>
      <c r="BB123" s="422"/>
      <c r="BC123" s="387"/>
      <c r="BD123" s="387"/>
      <c r="BE123" s="387"/>
      <c r="BF123" s="387"/>
      <c r="BG123" s="422"/>
      <c r="BH123" s="422"/>
      <c r="BI123" s="422"/>
      <c r="BJ123" s="422"/>
      <c r="BK123" s="422"/>
      <c r="BL123" s="422"/>
      <c r="BM123" s="422"/>
      <c r="BN123" s="422"/>
      <c r="BO123" s="422"/>
      <c r="BP123" s="422"/>
      <c r="BQ123" s="422"/>
      <c r="BR123" s="422"/>
      <c r="BS123" s="422"/>
      <c r="BT123" s="422"/>
      <c r="BU123" s="422"/>
      <c r="BV123" s="422"/>
      <c r="BX123" s="435"/>
    </row>
    <row r="124" spans="2:76" x14ac:dyDescent="0.3">
      <c r="B124" s="325"/>
      <c r="C124" s="309"/>
      <c r="D124" s="309"/>
      <c r="E124" s="421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  <c r="W124" s="387"/>
      <c r="X124" s="387"/>
      <c r="Y124" s="387"/>
      <c r="Z124" s="387"/>
      <c r="AA124" s="387"/>
      <c r="AB124" s="387"/>
      <c r="AC124" s="387"/>
      <c r="AD124" s="387"/>
      <c r="AE124" s="387"/>
      <c r="AF124" s="387"/>
      <c r="AG124" s="387"/>
      <c r="AH124" s="387"/>
      <c r="AI124" s="387"/>
      <c r="AJ124" s="387"/>
      <c r="AK124" s="387"/>
      <c r="AL124" s="387"/>
      <c r="AM124" s="387"/>
      <c r="AN124" s="387"/>
      <c r="AO124" s="387"/>
      <c r="AP124" s="387"/>
      <c r="AQ124" s="387"/>
      <c r="AR124" s="387"/>
      <c r="AS124" s="387"/>
      <c r="AT124" s="387"/>
      <c r="AU124" s="387"/>
      <c r="AV124" s="387"/>
      <c r="AW124" s="387"/>
      <c r="AX124" s="387"/>
      <c r="AY124" s="387"/>
      <c r="AZ124" s="387"/>
      <c r="BA124" s="387"/>
      <c r="BB124" s="387"/>
      <c r="BC124" s="387"/>
      <c r="BD124" s="387"/>
      <c r="BE124" s="387"/>
      <c r="BF124" s="387"/>
      <c r="BG124" s="387"/>
      <c r="BH124" s="387"/>
      <c r="BI124" s="387"/>
      <c r="BJ124" s="387"/>
      <c r="BK124" s="387"/>
      <c r="BL124" s="387"/>
      <c r="BM124" s="422"/>
      <c r="BN124" s="422"/>
      <c r="BO124" s="422"/>
      <c r="BP124" s="422"/>
      <c r="BQ124" s="387"/>
      <c r="BR124" s="387"/>
      <c r="BS124" s="387"/>
      <c r="BT124" s="387"/>
      <c r="BU124" s="387"/>
      <c r="BV124" s="387"/>
      <c r="BX124" s="435"/>
    </row>
    <row r="125" spans="2:76" x14ac:dyDescent="0.3">
      <c r="B125" s="325"/>
      <c r="C125" s="325"/>
      <c r="D125" s="325"/>
      <c r="E125" s="421"/>
      <c r="F125" s="387"/>
      <c r="G125" s="387"/>
      <c r="H125" s="387"/>
      <c r="I125" s="387"/>
      <c r="J125" s="387"/>
      <c r="K125" s="387"/>
      <c r="L125" s="387"/>
      <c r="M125" s="387"/>
      <c r="N125" s="387"/>
      <c r="O125" s="387"/>
      <c r="P125" s="387"/>
      <c r="Q125" s="387"/>
      <c r="R125" s="387"/>
      <c r="S125" s="387"/>
      <c r="T125" s="387"/>
      <c r="U125" s="387"/>
      <c r="V125" s="387"/>
      <c r="W125" s="387"/>
      <c r="X125" s="387"/>
      <c r="Y125" s="387"/>
      <c r="Z125" s="387"/>
      <c r="AA125" s="387"/>
      <c r="AB125" s="387"/>
      <c r="AC125" s="387"/>
      <c r="AD125" s="387"/>
      <c r="AE125" s="387"/>
      <c r="AF125" s="387"/>
      <c r="AG125" s="387"/>
      <c r="AH125" s="387"/>
      <c r="AI125" s="387"/>
      <c r="AJ125" s="387"/>
      <c r="AK125" s="387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87"/>
      <c r="AV125" s="387"/>
      <c r="AW125" s="387"/>
      <c r="AX125" s="387"/>
      <c r="AY125" s="387"/>
      <c r="AZ125" s="387"/>
      <c r="BA125" s="387"/>
      <c r="BB125" s="387"/>
      <c r="BC125" s="387"/>
      <c r="BD125" s="387"/>
      <c r="BE125" s="387"/>
      <c r="BF125" s="387"/>
      <c r="BG125" s="387"/>
      <c r="BH125" s="387"/>
      <c r="BI125" s="387"/>
      <c r="BJ125" s="387"/>
      <c r="BK125" s="387"/>
      <c r="BL125" s="387"/>
      <c r="BM125" s="387"/>
      <c r="BN125" s="387"/>
      <c r="BO125" s="387"/>
      <c r="BP125" s="387"/>
      <c r="BQ125" s="387"/>
      <c r="BR125" s="387"/>
      <c r="BS125" s="387"/>
      <c r="BT125" s="387"/>
      <c r="BU125" s="387"/>
      <c r="BV125" s="387"/>
      <c r="BX125" s="435"/>
    </row>
    <row r="126" spans="2:76" x14ac:dyDescent="0.3">
      <c r="B126" s="325"/>
      <c r="C126" s="309"/>
      <c r="D126" s="309"/>
      <c r="E126" s="421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387"/>
      <c r="W126" s="387"/>
      <c r="X126" s="387"/>
      <c r="Y126" s="387"/>
      <c r="Z126" s="387"/>
      <c r="AA126" s="387"/>
      <c r="AB126" s="387"/>
      <c r="AC126" s="387"/>
      <c r="AD126" s="387"/>
      <c r="AE126" s="387"/>
      <c r="AF126" s="387"/>
      <c r="AG126" s="387"/>
      <c r="AH126" s="387"/>
      <c r="AI126" s="387"/>
      <c r="AJ126" s="387"/>
      <c r="AK126" s="387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87"/>
      <c r="AV126" s="387"/>
      <c r="AW126" s="387"/>
      <c r="AX126" s="387"/>
      <c r="AY126" s="387"/>
      <c r="AZ126" s="387"/>
      <c r="BA126" s="387"/>
      <c r="BB126" s="387"/>
      <c r="BC126" s="387"/>
      <c r="BD126" s="387"/>
      <c r="BE126" s="387"/>
      <c r="BF126" s="387"/>
      <c r="BG126" s="387"/>
      <c r="BH126" s="387"/>
      <c r="BI126" s="387"/>
      <c r="BJ126" s="387"/>
      <c r="BK126" s="387"/>
      <c r="BL126" s="387"/>
      <c r="BM126" s="387"/>
      <c r="BN126" s="387"/>
      <c r="BO126" s="387"/>
      <c r="BP126" s="387"/>
      <c r="BQ126" s="387"/>
      <c r="BR126" s="387"/>
      <c r="BS126" s="387"/>
      <c r="BT126" s="387"/>
      <c r="BU126" s="387"/>
      <c r="BV126" s="387"/>
      <c r="BX126" s="435"/>
    </row>
    <row r="127" spans="2:76" x14ac:dyDescent="0.3">
      <c r="C127" s="309"/>
      <c r="D127" s="309"/>
      <c r="E127" s="421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387"/>
      <c r="W127" s="387"/>
      <c r="X127" s="387"/>
      <c r="Y127" s="387"/>
      <c r="Z127" s="387"/>
      <c r="AA127" s="387"/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387"/>
      <c r="AL127" s="387"/>
      <c r="AM127" s="387"/>
      <c r="AN127" s="387"/>
      <c r="AO127" s="387"/>
      <c r="AP127" s="387"/>
      <c r="AQ127" s="387"/>
      <c r="AR127" s="387"/>
      <c r="AS127" s="387"/>
      <c r="AT127" s="387"/>
      <c r="AU127" s="387"/>
      <c r="AV127" s="387"/>
      <c r="AW127" s="387"/>
      <c r="AX127" s="387"/>
      <c r="AY127" s="387"/>
      <c r="AZ127" s="387"/>
      <c r="BA127" s="387"/>
      <c r="BB127" s="387"/>
      <c r="BC127" s="387"/>
      <c r="BD127" s="387"/>
      <c r="BE127" s="387"/>
      <c r="BF127" s="387"/>
      <c r="BG127" s="387"/>
      <c r="BH127" s="387"/>
      <c r="BI127" s="387"/>
      <c r="BJ127" s="387"/>
      <c r="BK127" s="387"/>
      <c r="BL127" s="387"/>
      <c r="BM127" s="387"/>
      <c r="BN127" s="387"/>
      <c r="BO127" s="387"/>
      <c r="BP127" s="387"/>
      <c r="BQ127" s="387"/>
      <c r="BR127" s="387"/>
      <c r="BS127" s="387"/>
      <c r="BT127" s="387"/>
      <c r="BU127" s="387"/>
      <c r="BV127" s="387"/>
      <c r="BX127" s="435"/>
    </row>
    <row r="128" spans="2:76" x14ac:dyDescent="0.3">
      <c r="B128" s="325"/>
      <c r="C128" s="309"/>
      <c r="D128" s="309"/>
      <c r="E128" s="421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  <c r="S128" s="387"/>
      <c r="T128" s="387"/>
      <c r="U128" s="387"/>
      <c r="V128" s="387"/>
      <c r="W128" s="387"/>
      <c r="X128" s="387"/>
      <c r="Y128" s="387"/>
      <c r="Z128" s="387"/>
      <c r="AA128" s="387"/>
      <c r="AB128" s="387"/>
      <c r="AC128" s="387"/>
      <c r="AD128" s="387"/>
      <c r="AE128" s="387"/>
      <c r="AF128" s="387"/>
      <c r="AG128" s="387"/>
      <c r="AH128" s="387"/>
      <c r="AI128" s="387"/>
      <c r="AJ128" s="387"/>
      <c r="AK128" s="387"/>
      <c r="AL128" s="387"/>
      <c r="AM128" s="387"/>
      <c r="AN128" s="387"/>
      <c r="AO128" s="387"/>
      <c r="AP128" s="387"/>
      <c r="AQ128" s="387"/>
      <c r="AR128" s="387"/>
      <c r="AS128" s="387"/>
      <c r="AT128" s="387"/>
      <c r="AU128" s="387"/>
      <c r="AV128" s="387"/>
      <c r="AW128" s="387"/>
      <c r="AX128" s="387"/>
      <c r="AY128" s="387"/>
      <c r="AZ128" s="387"/>
      <c r="BA128" s="387"/>
      <c r="BB128" s="387"/>
      <c r="BC128" s="387"/>
      <c r="BD128" s="387"/>
      <c r="BE128" s="387"/>
      <c r="BF128" s="387"/>
      <c r="BG128" s="387"/>
      <c r="BH128" s="387"/>
      <c r="BI128" s="387"/>
      <c r="BJ128" s="387"/>
      <c r="BK128" s="387"/>
      <c r="BL128" s="387"/>
      <c r="BM128" s="387"/>
      <c r="BN128" s="387"/>
      <c r="BO128" s="387"/>
      <c r="BP128" s="387"/>
      <c r="BQ128" s="387"/>
      <c r="BR128" s="387"/>
      <c r="BS128" s="387"/>
      <c r="BT128" s="387"/>
      <c r="BU128" s="387"/>
      <c r="BV128" s="387"/>
      <c r="BX128" s="435"/>
    </row>
    <row r="129" spans="2:76" x14ac:dyDescent="0.3">
      <c r="B129" s="325"/>
      <c r="C129" s="309"/>
      <c r="D129" s="309"/>
      <c r="E129" s="421"/>
      <c r="F129" s="387"/>
      <c r="G129" s="387"/>
      <c r="H129" s="387"/>
      <c r="I129" s="387"/>
      <c r="J129" s="387"/>
      <c r="K129" s="387"/>
      <c r="L129" s="387"/>
      <c r="M129" s="387"/>
      <c r="N129" s="387"/>
      <c r="O129" s="387"/>
      <c r="P129" s="387"/>
      <c r="Q129" s="387"/>
      <c r="R129" s="387"/>
      <c r="S129" s="387"/>
      <c r="T129" s="387"/>
      <c r="U129" s="387"/>
      <c r="V129" s="387"/>
      <c r="W129" s="387"/>
      <c r="X129" s="387"/>
      <c r="Y129" s="387"/>
      <c r="Z129" s="387"/>
      <c r="AA129" s="387"/>
      <c r="AB129" s="387"/>
      <c r="AC129" s="387"/>
      <c r="AD129" s="387"/>
      <c r="AE129" s="387"/>
      <c r="AF129" s="387"/>
      <c r="AG129" s="387"/>
      <c r="AH129" s="387"/>
      <c r="AI129" s="387"/>
      <c r="AJ129" s="387"/>
      <c r="AK129" s="387"/>
      <c r="AL129" s="387"/>
      <c r="AM129" s="387"/>
      <c r="AN129" s="387"/>
      <c r="AO129" s="387"/>
      <c r="AP129" s="387"/>
      <c r="AQ129" s="387"/>
      <c r="AR129" s="387"/>
      <c r="AS129" s="387"/>
      <c r="AT129" s="387"/>
      <c r="AU129" s="387"/>
      <c r="AV129" s="387"/>
      <c r="AW129" s="387"/>
      <c r="AX129" s="387"/>
      <c r="AY129" s="387"/>
      <c r="AZ129" s="387"/>
      <c r="BA129" s="387"/>
      <c r="BB129" s="387"/>
      <c r="BC129" s="387"/>
      <c r="BD129" s="387"/>
      <c r="BE129" s="387"/>
      <c r="BF129" s="387"/>
      <c r="BG129" s="387"/>
      <c r="BH129" s="387"/>
      <c r="BI129" s="387"/>
      <c r="BJ129" s="387"/>
      <c r="BK129" s="387"/>
      <c r="BL129" s="387"/>
      <c r="BM129" s="387"/>
      <c r="BN129" s="387"/>
      <c r="BO129" s="387"/>
      <c r="BP129" s="387"/>
      <c r="BQ129" s="387"/>
      <c r="BR129" s="387"/>
      <c r="BS129" s="387"/>
      <c r="BT129" s="387"/>
      <c r="BU129" s="387"/>
      <c r="BV129" s="387"/>
      <c r="BX129" s="435"/>
    </row>
    <row r="130" spans="2:76" x14ac:dyDescent="0.3">
      <c r="B130" s="325"/>
      <c r="C130" s="309"/>
      <c r="D130" s="309"/>
      <c r="E130" s="421"/>
      <c r="F130" s="387"/>
      <c r="G130" s="387"/>
      <c r="H130" s="387"/>
      <c r="I130" s="387"/>
      <c r="J130" s="387"/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387"/>
      <c r="W130" s="387"/>
      <c r="X130" s="387"/>
      <c r="Y130" s="387"/>
      <c r="Z130" s="387"/>
      <c r="AA130" s="387"/>
      <c r="AB130" s="387"/>
      <c r="AC130" s="387"/>
      <c r="AD130" s="387"/>
      <c r="AE130" s="387"/>
      <c r="AF130" s="387"/>
      <c r="AG130" s="387"/>
      <c r="AH130" s="387"/>
      <c r="AI130" s="387"/>
      <c r="AJ130" s="387"/>
      <c r="AK130" s="387"/>
      <c r="AL130" s="387"/>
      <c r="AM130" s="387"/>
      <c r="AN130" s="387"/>
      <c r="AO130" s="387"/>
      <c r="AP130" s="387"/>
      <c r="AQ130" s="387"/>
      <c r="AR130" s="387"/>
      <c r="AS130" s="387"/>
      <c r="AT130" s="387"/>
      <c r="AU130" s="387"/>
      <c r="AV130" s="387"/>
      <c r="AW130" s="387"/>
      <c r="AX130" s="387"/>
      <c r="AY130" s="387"/>
      <c r="AZ130" s="387"/>
      <c r="BA130" s="387"/>
      <c r="BB130" s="387"/>
      <c r="BC130" s="387"/>
      <c r="BD130" s="387"/>
      <c r="BE130" s="387"/>
      <c r="BF130" s="387"/>
      <c r="BG130" s="387"/>
      <c r="BH130" s="387"/>
      <c r="BI130" s="387"/>
      <c r="BJ130" s="387"/>
      <c r="BK130" s="387"/>
      <c r="BL130" s="387"/>
      <c r="BM130" s="387"/>
      <c r="BN130" s="387"/>
      <c r="BO130" s="387"/>
      <c r="BP130" s="387"/>
      <c r="BQ130" s="387"/>
      <c r="BR130" s="387"/>
      <c r="BS130" s="387"/>
      <c r="BT130" s="387"/>
      <c r="BU130" s="387"/>
      <c r="BV130" s="387"/>
      <c r="BX130" s="435"/>
    </row>
    <row r="131" spans="2:76" x14ac:dyDescent="0.3">
      <c r="B131" s="325"/>
      <c r="C131" s="309"/>
      <c r="D131" s="309"/>
      <c r="E131" s="421"/>
      <c r="F131" s="387"/>
      <c r="G131" s="387"/>
      <c r="H131" s="387"/>
      <c r="I131" s="387"/>
      <c r="J131" s="387"/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387"/>
      <c r="W131" s="387"/>
      <c r="X131" s="387"/>
      <c r="Y131" s="387"/>
      <c r="Z131" s="387"/>
      <c r="AA131" s="387"/>
      <c r="AB131" s="387"/>
      <c r="AC131" s="387"/>
      <c r="AD131" s="387"/>
      <c r="AE131" s="387"/>
      <c r="AF131" s="387"/>
      <c r="AG131" s="387"/>
      <c r="AH131" s="387"/>
      <c r="AI131" s="387"/>
      <c r="AJ131" s="387"/>
      <c r="AK131" s="387"/>
      <c r="AL131" s="387"/>
      <c r="AM131" s="387"/>
      <c r="AN131" s="387"/>
      <c r="AO131" s="387"/>
      <c r="AP131" s="387"/>
      <c r="AQ131" s="387"/>
      <c r="AR131" s="387"/>
      <c r="AS131" s="387"/>
      <c r="AT131" s="387"/>
      <c r="AU131" s="387"/>
      <c r="AV131" s="387"/>
      <c r="AW131" s="387"/>
      <c r="AX131" s="387"/>
      <c r="AY131" s="387"/>
      <c r="AZ131" s="387"/>
      <c r="BA131" s="387"/>
      <c r="BB131" s="387"/>
      <c r="BC131" s="387"/>
      <c r="BD131" s="387"/>
      <c r="BE131" s="387"/>
      <c r="BF131" s="387"/>
      <c r="BG131" s="387"/>
      <c r="BH131" s="387"/>
      <c r="BI131" s="387"/>
      <c r="BJ131" s="387"/>
      <c r="BK131" s="387"/>
      <c r="BL131" s="387"/>
      <c r="BM131" s="387"/>
      <c r="BN131" s="387"/>
      <c r="BO131" s="387"/>
      <c r="BP131" s="387"/>
      <c r="BQ131" s="387"/>
      <c r="BR131" s="387"/>
      <c r="BS131" s="387"/>
      <c r="BT131" s="387"/>
      <c r="BU131" s="387"/>
      <c r="BV131" s="387"/>
      <c r="BX131" s="435"/>
    </row>
    <row r="132" spans="2:76" x14ac:dyDescent="0.3">
      <c r="B132" s="325"/>
      <c r="C132" s="309"/>
      <c r="D132" s="309"/>
      <c r="E132" s="421"/>
      <c r="F132" s="387"/>
      <c r="G132" s="387"/>
      <c r="H132" s="387"/>
      <c r="I132" s="387"/>
      <c r="J132" s="387"/>
      <c r="K132" s="387"/>
      <c r="L132" s="387"/>
      <c r="M132" s="387"/>
      <c r="N132" s="387"/>
      <c r="O132" s="387"/>
      <c r="P132" s="387"/>
      <c r="Q132" s="387"/>
      <c r="R132" s="387"/>
      <c r="S132" s="387"/>
      <c r="T132" s="387"/>
      <c r="U132" s="387"/>
      <c r="V132" s="387"/>
      <c r="W132" s="387"/>
      <c r="X132" s="387"/>
      <c r="Y132" s="387"/>
      <c r="Z132" s="387"/>
      <c r="AA132" s="387"/>
      <c r="AB132" s="387"/>
      <c r="AC132" s="387"/>
      <c r="AD132" s="387"/>
      <c r="AE132" s="387"/>
      <c r="AF132" s="387"/>
      <c r="AG132" s="387"/>
      <c r="AH132" s="387"/>
      <c r="AI132" s="387"/>
      <c r="AJ132" s="387"/>
      <c r="AK132" s="387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87"/>
      <c r="AV132" s="387"/>
      <c r="AW132" s="387"/>
      <c r="AX132" s="387"/>
      <c r="AY132" s="387"/>
      <c r="AZ132" s="387"/>
      <c r="BA132" s="387"/>
      <c r="BB132" s="387"/>
      <c r="BC132" s="387"/>
      <c r="BD132" s="387"/>
      <c r="BE132" s="387"/>
      <c r="BF132" s="387"/>
      <c r="BG132" s="387"/>
      <c r="BH132" s="387"/>
      <c r="BI132" s="387"/>
      <c r="BJ132" s="387"/>
      <c r="BK132" s="387"/>
      <c r="BL132" s="387"/>
      <c r="BM132" s="387"/>
      <c r="BN132" s="387"/>
      <c r="BO132" s="387"/>
      <c r="BP132" s="387"/>
      <c r="BQ132" s="387"/>
      <c r="BR132" s="387"/>
      <c r="BS132" s="387"/>
      <c r="BT132" s="387"/>
      <c r="BU132" s="387"/>
      <c r="BV132" s="387"/>
      <c r="BX132" s="435"/>
    </row>
    <row r="133" spans="2:76" x14ac:dyDescent="0.3">
      <c r="B133" s="325"/>
      <c r="C133" s="309"/>
      <c r="D133" s="309"/>
      <c r="E133" s="421"/>
      <c r="F133" s="387"/>
      <c r="G133" s="387"/>
      <c r="H133" s="387"/>
      <c r="I133" s="387"/>
      <c r="J133" s="387"/>
      <c r="K133" s="387"/>
      <c r="L133" s="387"/>
      <c r="M133" s="387"/>
      <c r="N133" s="387"/>
      <c r="O133" s="387"/>
      <c r="P133" s="387"/>
      <c r="Q133" s="387"/>
      <c r="R133" s="387"/>
      <c r="S133" s="387"/>
      <c r="T133" s="387"/>
      <c r="U133" s="387"/>
      <c r="V133" s="387"/>
      <c r="W133" s="387"/>
      <c r="X133" s="387"/>
      <c r="Y133" s="387"/>
      <c r="Z133" s="387"/>
      <c r="AA133" s="387"/>
      <c r="AB133" s="387"/>
      <c r="AC133" s="387"/>
      <c r="AD133" s="387"/>
      <c r="AE133" s="387"/>
      <c r="AF133" s="387"/>
      <c r="AG133" s="387"/>
      <c r="AH133" s="387"/>
      <c r="AI133" s="387"/>
      <c r="AJ133" s="387"/>
      <c r="AK133" s="387"/>
      <c r="AL133" s="387"/>
      <c r="AM133" s="387"/>
      <c r="AN133" s="387"/>
      <c r="AO133" s="387"/>
      <c r="AP133" s="387"/>
      <c r="AQ133" s="387"/>
      <c r="AR133" s="387"/>
      <c r="AS133" s="387"/>
      <c r="AT133" s="387"/>
      <c r="AU133" s="387"/>
      <c r="AV133" s="387"/>
      <c r="AW133" s="387"/>
      <c r="AX133" s="387"/>
      <c r="AY133" s="387"/>
      <c r="AZ133" s="387"/>
      <c r="BA133" s="387"/>
      <c r="BB133" s="387"/>
      <c r="BC133" s="387"/>
      <c r="BD133" s="387"/>
      <c r="BE133" s="387"/>
      <c r="BF133" s="387"/>
      <c r="BG133" s="387"/>
      <c r="BH133" s="387"/>
      <c r="BI133" s="387"/>
      <c r="BJ133" s="387"/>
      <c r="BK133" s="387"/>
      <c r="BL133" s="387"/>
      <c r="BM133" s="387"/>
      <c r="BN133" s="387"/>
      <c r="BO133" s="387"/>
      <c r="BP133" s="387"/>
      <c r="BQ133" s="387"/>
      <c r="BR133" s="387"/>
      <c r="BS133" s="387"/>
      <c r="BT133" s="387"/>
      <c r="BU133" s="387"/>
      <c r="BV133" s="387"/>
      <c r="BX133" s="435"/>
    </row>
    <row r="134" spans="2:76" x14ac:dyDescent="0.3">
      <c r="B134" s="325"/>
      <c r="C134" s="309"/>
      <c r="D134" s="309"/>
      <c r="E134" s="421"/>
      <c r="F134" s="387"/>
      <c r="G134" s="387"/>
      <c r="H134" s="387"/>
      <c r="I134" s="387"/>
      <c r="J134" s="387"/>
      <c r="K134" s="387"/>
      <c r="L134" s="387"/>
      <c r="M134" s="387"/>
      <c r="N134" s="387"/>
      <c r="O134" s="387"/>
      <c r="P134" s="387"/>
      <c r="Q134" s="387"/>
      <c r="R134" s="387"/>
      <c r="S134" s="387"/>
      <c r="T134" s="387"/>
      <c r="U134" s="387"/>
      <c r="V134" s="387"/>
      <c r="W134" s="387"/>
      <c r="X134" s="387"/>
      <c r="Y134" s="387"/>
      <c r="Z134" s="387"/>
      <c r="AA134" s="387"/>
      <c r="AB134" s="387"/>
      <c r="AC134" s="387"/>
      <c r="AD134" s="387"/>
      <c r="AE134" s="387"/>
      <c r="AF134" s="387"/>
      <c r="AG134" s="387"/>
      <c r="AH134" s="387"/>
      <c r="AI134" s="387"/>
      <c r="AJ134" s="387"/>
      <c r="AK134" s="387"/>
      <c r="AL134" s="387"/>
      <c r="AM134" s="387"/>
      <c r="AN134" s="387"/>
      <c r="AO134" s="387"/>
      <c r="AP134" s="387"/>
      <c r="AQ134" s="387"/>
      <c r="AR134" s="387"/>
      <c r="AS134" s="387"/>
      <c r="AT134" s="387"/>
      <c r="AU134" s="387"/>
      <c r="AV134" s="387"/>
      <c r="AW134" s="387"/>
      <c r="AX134" s="387"/>
      <c r="AY134" s="387"/>
      <c r="AZ134" s="387"/>
      <c r="BA134" s="387"/>
      <c r="BB134" s="387"/>
      <c r="BC134" s="387"/>
      <c r="BD134" s="387"/>
      <c r="BE134" s="387"/>
      <c r="BF134" s="387"/>
      <c r="BG134" s="387"/>
      <c r="BH134" s="387"/>
      <c r="BI134" s="387"/>
      <c r="BJ134" s="387"/>
      <c r="BK134" s="387"/>
      <c r="BL134" s="387"/>
      <c r="BM134" s="387"/>
      <c r="BN134" s="387"/>
      <c r="BO134" s="387"/>
      <c r="BP134" s="387"/>
      <c r="BQ134" s="387"/>
      <c r="BR134" s="387"/>
      <c r="BS134" s="387"/>
      <c r="BT134" s="387"/>
      <c r="BU134" s="387"/>
      <c r="BV134" s="387"/>
      <c r="BX134" s="435"/>
    </row>
    <row r="135" spans="2:76" x14ac:dyDescent="0.3">
      <c r="B135" s="325"/>
      <c r="C135" s="309"/>
      <c r="D135" s="309"/>
      <c r="E135" s="421"/>
      <c r="F135" s="387"/>
      <c r="G135" s="387"/>
      <c r="H135" s="387"/>
      <c r="I135" s="387"/>
      <c r="J135" s="387"/>
      <c r="K135" s="387"/>
      <c r="L135" s="387"/>
      <c r="M135" s="387"/>
      <c r="N135" s="387"/>
      <c r="O135" s="387"/>
      <c r="P135" s="387"/>
      <c r="Q135" s="387"/>
      <c r="R135" s="387"/>
      <c r="S135" s="387"/>
      <c r="T135" s="387"/>
      <c r="U135" s="387"/>
      <c r="V135" s="387"/>
      <c r="W135" s="387"/>
      <c r="X135" s="387"/>
      <c r="Y135" s="387"/>
      <c r="Z135" s="387"/>
      <c r="AA135" s="387"/>
      <c r="AB135" s="387"/>
      <c r="AC135" s="387"/>
      <c r="AD135" s="387"/>
      <c r="AE135" s="387"/>
      <c r="AF135" s="387"/>
      <c r="AG135" s="387"/>
      <c r="AH135" s="387"/>
      <c r="AI135" s="387"/>
      <c r="AJ135" s="387"/>
      <c r="AK135" s="387"/>
      <c r="AL135" s="387"/>
      <c r="AM135" s="387"/>
      <c r="AN135" s="387"/>
      <c r="AO135" s="387"/>
      <c r="AP135" s="387"/>
      <c r="AQ135" s="387"/>
      <c r="AR135" s="387"/>
      <c r="AS135" s="387"/>
      <c r="AT135" s="387"/>
      <c r="AU135" s="387"/>
      <c r="AV135" s="387"/>
      <c r="AW135" s="387"/>
      <c r="AX135" s="387"/>
      <c r="AY135" s="387"/>
      <c r="AZ135" s="387"/>
      <c r="BA135" s="387"/>
      <c r="BB135" s="387"/>
      <c r="BC135" s="387"/>
      <c r="BD135" s="387"/>
      <c r="BE135" s="387"/>
      <c r="BF135" s="387"/>
      <c r="BG135" s="387"/>
      <c r="BH135" s="387"/>
      <c r="BI135" s="387"/>
      <c r="BJ135" s="387"/>
      <c r="BK135" s="387"/>
      <c r="BL135" s="387"/>
      <c r="BM135" s="387"/>
      <c r="BN135" s="387"/>
      <c r="BO135" s="387"/>
      <c r="BP135" s="387"/>
      <c r="BQ135" s="387"/>
      <c r="BR135" s="387"/>
      <c r="BS135" s="387"/>
      <c r="BT135" s="387"/>
      <c r="BU135" s="387"/>
      <c r="BV135" s="387"/>
      <c r="BX135" s="435"/>
    </row>
    <row r="136" spans="2:76" x14ac:dyDescent="0.3">
      <c r="B136" s="325"/>
      <c r="C136" s="309"/>
      <c r="D136" s="309"/>
      <c r="E136" s="421"/>
      <c r="F136" s="387"/>
      <c r="G136" s="387"/>
      <c r="H136" s="387"/>
      <c r="I136" s="387"/>
      <c r="J136" s="387"/>
      <c r="K136" s="387"/>
      <c r="L136" s="387"/>
      <c r="M136" s="387"/>
      <c r="N136" s="387"/>
      <c r="O136" s="387"/>
      <c r="P136" s="387"/>
      <c r="Q136" s="387"/>
      <c r="R136" s="387"/>
      <c r="S136" s="387"/>
      <c r="T136" s="387"/>
      <c r="U136" s="387"/>
      <c r="V136" s="387"/>
      <c r="W136" s="387"/>
      <c r="X136" s="387"/>
      <c r="Y136" s="387"/>
      <c r="Z136" s="387"/>
      <c r="AA136" s="387"/>
      <c r="AB136" s="387"/>
      <c r="AC136" s="387"/>
      <c r="AD136" s="387"/>
      <c r="AE136" s="387"/>
      <c r="AF136" s="387"/>
      <c r="AG136" s="387"/>
      <c r="AH136" s="387"/>
      <c r="AI136" s="387"/>
      <c r="AJ136" s="387"/>
      <c r="AK136" s="387"/>
      <c r="AL136" s="387"/>
      <c r="AM136" s="387"/>
      <c r="AN136" s="387"/>
      <c r="AO136" s="387"/>
      <c r="AP136" s="387"/>
      <c r="AQ136" s="387"/>
      <c r="AR136" s="387"/>
      <c r="AS136" s="387"/>
      <c r="AT136" s="387"/>
      <c r="AU136" s="387"/>
      <c r="AV136" s="387"/>
      <c r="AW136" s="387"/>
      <c r="AX136" s="387"/>
      <c r="AY136" s="387"/>
      <c r="AZ136" s="387"/>
      <c r="BA136" s="387"/>
      <c r="BB136" s="387"/>
      <c r="BC136" s="387"/>
      <c r="BD136" s="387"/>
      <c r="BE136" s="387"/>
      <c r="BF136" s="387"/>
      <c r="BG136" s="387"/>
      <c r="BH136" s="387"/>
      <c r="BI136" s="387"/>
      <c r="BJ136" s="387"/>
      <c r="BK136" s="387"/>
      <c r="BL136" s="387"/>
      <c r="BM136" s="387"/>
      <c r="BN136" s="387"/>
      <c r="BO136" s="387"/>
      <c r="BP136" s="387"/>
      <c r="BQ136" s="387"/>
      <c r="BR136" s="387"/>
      <c r="BS136" s="387"/>
      <c r="BT136" s="387"/>
      <c r="BU136" s="387"/>
      <c r="BV136" s="387"/>
      <c r="BX136" s="435"/>
    </row>
    <row r="137" spans="2:76" x14ac:dyDescent="0.3">
      <c r="B137" s="325"/>
      <c r="C137" s="325"/>
      <c r="D137" s="325"/>
      <c r="E137" s="421"/>
      <c r="F137" s="387"/>
      <c r="G137" s="387"/>
      <c r="H137" s="387"/>
      <c r="I137" s="387"/>
      <c r="J137" s="387"/>
      <c r="K137" s="387"/>
      <c r="L137" s="387"/>
      <c r="M137" s="387"/>
      <c r="N137" s="387"/>
      <c r="O137" s="387"/>
      <c r="P137" s="387"/>
      <c r="Q137" s="387"/>
      <c r="R137" s="387"/>
      <c r="S137" s="387"/>
      <c r="T137" s="387"/>
      <c r="U137" s="387"/>
      <c r="V137" s="387"/>
      <c r="W137" s="387"/>
      <c r="X137" s="387"/>
      <c r="Y137" s="387"/>
      <c r="Z137" s="387"/>
      <c r="AA137" s="387"/>
      <c r="AB137" s="387"/>
      <c r="AC137" s="387"/>
      <c r="AD137" s="387"/>
      <c r="AE137" s="387"/>
      <c r="AF137" s="387"/>
      <c r="AG137" s="387"/>
      <c r="AH137" s="387"/>
      <c r="AI137" s="387"/>
      <c r="AJ137" s="387"/>
      <c r="AK137" s="387"/>
      <c r="AL137" s="387"/>
      <c r="AM137" s="387"/>
      <c r="AN137" s="387"/>
      <c r="AO137" s="387"/>
      <c r="AP137" s="387"/>
      <c r="AQ137" s="387"/>
      <c r="AR137" s="387"/>
      <c r="AS137" s="387"/>
      <c r="AT137" s="387"/>
      <c r="AU137" s="387"/>
      <c r="AV137" s="387"/>
      <c r="AW137" s="387"/>
      <c r="AX137" s="387"/>
      <c r="AY137" s="387"/>
      <c r="AZ137" s="387"/>
      <c r="BA137" s="387"/>
      <c r="BB137" s="387"/>
      <c r="BC137" s="387"/>
      <c r="BD137" s="387"/>
      <c r="BE137" s="387"/>
      <c r="BF137" s="387"/>
      <c r="BG137" s="387"/>
      <c r="BH137" s="387"/>
      <c r="BI137" s="387"/>
      <c r="BJ137" s="387"/>
      <c r="BK137" s="387"/>
      <c r="BL137" s="387"/>
      <c r="BM137" s="387"/>
      <c r="BN137" s="387"/>
      <c r="BO137" s="387"/>
      <c r="BP137" s="387"/>
      <c r="BQ137" s="387"/>
      <c r="BR137" s="387"/>
      <c r="BS137" s="387"/>
      <c r="BT137" s="387"/>
      <c r="BU137" s="387"/>
      <c r="BV137" s="387"/>
      <c r="BX137" s="435"/>
    </row>
    <row r="138" spans="2:76" x14ac:dyDescent="0.3">
      <c r="B138" s="325"/>
      <c r="C138" s="309"/>
      <c r="D138" s="309"/>
      <c r="E138" s="421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7"/>
      <c r="Q138" s="387"/>
      <c r="R138" s="387"/>
      <c r="S138" s="387"/>
      <c r="T138" s="387"/>
      <c r="U138" s="387"/>
      <c r="V138" s="387"/>
      <c r="W138" s="387"/>
      <c r="X138" s="387"/>
      <c r="Y138" s="387"/>
      <c r="Z138" s="387"/>
      <c r="AA138" s="387"/>
      <c r="AB138" s="387"/>
      <c r="AC138" s="387"/>
      <c r="AD138" s="387"/>
      <c r="AE138" s="387"/>
      <c r="AF138" s="387"/>
      <c r="AG138" s="387"/>
      <c r="AH138" s="387"/>
      <c r="AI138" s="387"/>
      <c r="AJ138" s="387"/>
      <c r="AK138" s="387"/>
      <c r="AL138" s="387"/>
      <c r="AM138" s="387"/>
      <c r="AN138" s="387"/>
      <c r="AO138" s="387"/>
      <c r="AP138" s="387"/>
      <c r="AQ138" s="387"/>
      <c r="AR138" s="387"/>
      <c r="AS138" s="387"/>
      <c r="AT138" s="387"/>
      <c r="AU138" s="387"/>
      <c r="AV138" s="387"/>
      <c r="AW138" s="387"/>
      <c r="AX138" s="387"/>
      <c r="AY138" s="387"/>
      <c r="AZ138" s="387"/>
      <c r="BA138" s="387"/>
      <c r="BB138" s="387"/>
      <c r="BC138" s="387"/>
      <c r="BD138" s="387"/>
      <c r="BE138" s="387"/>
      <c r="BF138" s="387"/>
      <c r="BG138" s="387"/>
      <c r="BH138" s="387"/>
      <c r="BI138" s="387"/>
      <c r="BJ138" s="387"/>
      <c r="BK138" s="387"/>
      <c r="BL138" s="387"/>
      <c r="BM138" s="387"/>
      <c r="BN138" s="387"/>
      <c r="BO138" s="387"/>
      <c r="BP138" s="387"/>
      <c r="BQ138" s="387"/>
      <c r="BR138" s="387"/>
      <c r="BS138" s="387"/>
      <c r="BT138" s="387"/>
      <c r="BU138" s="387"/>
      <c r="BV138" s="387"/>
      <c r="BX138" s="435"/>
    </row>
    <row r="139" spans="2:76" x14ac:dyDescent="0.3">
      <c r="B139" s="325"/>
      <c r="C139" s="309"/>
      <c r="D139" s="309"/>
      <c r="E139" s="421"/>
      <c r="F139" s="387"/>
      <c r="G139" s="387"/>
      <c r="H139" s="387"/>
      <c r="I139" s="387"/>
      <c r="J139" s="387"/>
      <c r="K139" s="387"/>
      <c r="L139" s="387"/>
      <c r="M139" s="387"/>
      <c r="N139" s="387"/>
      <c r="O139" s="387"/>
      <c r="P139" s="387"/>
      <c r="Q139" s="387"/>
      <c r="R139" s="387"/>
      <c r="S139" s="387"/>
      <c r="T139" s="387"/>
      <c r="U139" s="387"/>
      <c r="V139" s="387"/>
      <c r="W139" s="387"/>
      <c r="X139" s="387"/>
      <c r="Y139" s="387"/>
      <c r="Z139" s="387"/>
      <c r="AA139" s="387"/>
      <c r="AB139" s="387"/>
      <c r="AC139" s="387"/>
      <c r="AD139" s="387"/>
      <c r="AE139" s="387"/>
      <c r="AF139" s="387"/>
      <c r="AG139" s="387"/>
      <c r="AH139" s="387"/>
      <c r="AI139" s="387"/>
      <c r="AJ139" s="387"/>
      <c r="AK139" s="387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87"/>
      <c r="AV139" s="387"/>
      <c r="AW139" s="387"/>
      <c r="AX139" s="387"/>
      <c r="AY139" s="387"/>
      <c r="AZ139" s="387"/>
      <c r="BA139" s="387"/>
      <c r="BB139" s="387"/>
      <c r="BC139" s="387"/>
      <c r="BD139" s="387"/>
      <c r="BE139" s="387"/>
      <c r="BF139" s="387"/>
      <c r="BG139" s="387"/>
      <c r="BH139" s="387"/>
      <c r="BI139" s="387"/>
      <c r="BJ139" s="387"/>
      <c r="BK139" s="387"/>
      <c r="BL139" s="387"/>
      <c r="BM139" s="387"/>
      <c r="BN139" s="387"/>
      <c r="BO139" s="387"/>
      <c r="BP139" s="387"/>
      <c r="BQ139" s="387"/>
      <c r="BR139" s="387"/>
      <c r="BS139" s="387"/>
      <c r="BT139" s="387"/>
      <c r="BU139" s="387"/>
      <c r="BV139" s="387"/>
      <c r="BX139" s="435"/>
    </row>
    <row r="140" spans="2:76" x14ac:dyDescent="0.3">
      <c r="B140" s="325"/>
      <c r="C140" s="309"/>
      <c r="D140" s="309"/>
      <c r="E140" s="421"/>
      <c r="F140" s="387"/>
      <c r="G140" s="387"/>
      <c r="H140" s="387"/>
      <c r="I140" s="387"/>
      <c r="J140" s="387"/>
      <c r="K140" s="387"/>
      <c r="L140" s="387"/>
      <c r="M140" s="387"/>
      <c r="N140" s="387"/>
      <c r="O140" s="387"/>
      <c r="P140" s="387"/>
      <c r="Q140" s="387"/>
      <c r="R140" s="387"/>
      <c r="S140" s="387"/>
      <c r="T140" s="387"/>
      <c r="U140" s="387"/>
      <c r="V140" s="387"/>
      <c r="W140" s="387"/>
      <c r="X140" s="387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7"/>
      <c r="AJ140" s="387"/>
      <c r="AK140" s="387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87"/>
      <c r="AV140" s="387"/>
      <c r="AW140" s="387"/>
      <c r="AX140" s="387"/>
      <c r="AY140" s="387"/>
      <c r="AZ140" s="387"/>
      <c r="BA140" s="387"/>
      <c r="BB140" s="387"/>
      <c r="BC140" s="387"/>
      <c r="BD140" s="387"/>
      <c r="BE140" s="387"/>
      <c r="BF140" s="387"/>
      <c r="BG140" s="387"/>
      <c r="BH140" s="387"/>
      <c r="BI140" s="387"/>
      <c r="BJ140" s="387"/>
      <c r="BK140" s="387"/>
      <c r="BL140" s="387"/>
      <c r="BM140" s="387"/>
      <c r="BN140" s="387"/>
      <c r="BO140" s="387"/>
      <c r="BP140" s="387"/>
      <c r="BQ140" s="387"/>
      <c r="BR140" s="387"/>
      <c r="BS140" s="387"/>
      <c r="BT140" s="387"/>
      <c r="BU140" s="387"/>
      <c r="BV140" s="387"/>
      <c r="BX140" s="435"/>
    </row>
    <row r="141" spans="2:76" x14ac:dyDescent="0.3">
      <c r="B141" s="325"/>
      <c r="C141" s="309"/>
      <c r="D141" s="309"/>
      <c r="E141" s="421"/>
      <c r="F141" s="387"/>
      <c r="G141" s="387"/>
      <c r="H141" s="387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87"/>
      <c r="AV141" s="387"/>
      <c r="AW141" s="387"/>
      <c r="AX141" s="387"/>
      <c r="AY141" s="387"/>
      <c r="AZ141" s="387"/>
      <c r="BA141" s="387"/>
      <c r="BB141" s="387"/>
      <c r="BC141" s="387"/>
      <c r="BD141" s="387"/>
      <c r="BE141" s="387"/>
      <c r="BF141" s="387"/>
      <c r="BG141" s="387"/>
      <c r="BH141" s="387"/>
      <c r="BI141" s="387"/>
      <c r="BJ141" s="387"/>
      <c r="BK141" s="387"/>
      <c r="BL141" s="387"/>
      <c r="BM141" s="387"/>
      <c r="BN141" s="387"/>
      <c r="BO141" s="387"/>
      <c r="BP141" s="387"/>
      <c r="BQ141" s="387"/>
      <c r="BR141" s="387"/>
      <c r="BS141" s="387"/>
      <c r="BT141" s="387"/>
      <c r="BU141" s="387"/>
      <c r="BV141" s="387"/>
      <c r="BX141" s="435"/>
    </row>
    <row r="142" spans="2:76" x14ac:dyDescent="0.3">
      <c r="B142" s="325"/>
      <c r="C142" s="309"/>
      <c r="D142" s="309"/>
      <c r="E142" s="421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7"/>
      <c r="AJ142" s="387"/>
      <c r="AK142" s="387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87"/>
      <c r="AV142" s="387"/>
      <c r="AW142" s="387"/>
      <c r="AX142" s="387"/>
      <c r="AY142" s="387"/>
      <c r="AZ142" s="387"/>
      <c r="BA142" s="387"/>
      <c r="BB142" s="387"/>
      <c r="BC142" s="387"/>
      <c r="BD142" s="387"/>
      <c r="BE142" s="387"/>
      <c r="BF142" s="387"/>
      <c r="BG142" s="387"/>
      <c r="BH142" s="387"/>
      <c r="BI142" s="387"/>
      <c r="BJ142" s="387"/>
      <c r="BK142" s="387"/>
      <c r="BL142" s="387"/>
      <c r="BM142" s="387"/>
      <c r="BN142" s="387"/>
      <c r="BO142" s="387"/>
      <c r="BP142" s="387"/>
      <c r="BQ142" s="387"/>
      <c r="BR142" s="387"/>
      <c r="BS142" s="387"/>
      <c r="BT142" s="387"/>
      <c r="BU142" s="387"/>
      <c r="BV142" s="387"/>
      <c r="BX142" s="435"/>
    </row>
    <row r="143" spans="2:76" x14ac:dyDescent="0.3">
      <c r="B143" s="325"/>
      <c r="C143" s="309"/>
      <c r="D143" s="309"/>
      <c r="E143" s="421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387"/>
      <c r="W143" s="387"/>
      <c r="X143" s="387"/>
      <c r="Y143" s="387"/>
      <c r="Z143" s="387"/>
      <c r="AA143" s="387"/>
      <c r="AB143" s="387"/>
      <c r="AC143" s="387"/>
      <c r="AD143" s="387"/>
      <c r="AE143" s="387"/>
      <c r="AF143" s="387"/>
      <c r="AG143" s="387"/>
      <c r="AH143" s="387"/>
      <c r="AI143" s="387"/>
      <c r="AJ143" s="387"/>
      <c r="AK143" s="387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87"/>
      <c r="AV143" s="387"/>
      <c r="AW143" s="387"/>
      <c r="AX143" s="387"/>
      <c r="AY143" s="387"/>
      <c r="AZ143" s="387"/>
      <c r="BA143" s="387"/>
      <c r="BB143" s="387"/>
      <c r="BC143" s="387"/>
      <c r="BD143" s="387"/>
      <c r="BE143" s="387"/>
      <c r="BF143" s="387"/>
      <c r="BG143" s="387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87"/>
      <c r="BR143" s="387"/>
      <c r="BS143" s="387"/>
      <c r="BT143" s="387"/>
      <c r="BU143" s="387"/>
      <c r="BV143" s="387"/>
      <c r="BX143" s="435"/>
    </row>
    <row r="144" spans="2:76" x14ac:dyDescent="0.3">
      <c r="B144" s="325"/>
      <c r="C144" s="309"/>
      <c r="D144" s="309"/>
      <c r="E144" s="421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387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87"/>
      <c r="AV144" s="387"/>
      <c r="AW144" s="387"/>
      <c r="AX144" s="387"/>
      <c r="AY144" s="387"/>
      <c r="AZ144" s="387"/>
      <c r="BA144" s="387"/>
      <c r="BB144" s="387"/>
      <c r="BC144" s="387"/>
      <c r="BD144" s="387"/>
      <c r="BE144" s="387"/>
      <c r="BF144" s="387"/>
      <c r="BG144" s="387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7"/>
      <c r="BT144" s="387"/>
      <c r="BU144" s="387"/>
      <c r="BV144" s="387"/>
      <c r="BX144" s="435"/>
    </row>
    <row r="145" spans="2:76" x14ac:dyDescent="0.3">
      <c r="B145" s="325"/>
      <c r="C145" s="309"/>
      <c r="D145" s="309"/>
      <c r="E145" s="421"/>
      <c r="F145" s="387"/>
      <c r="G145" s="387"/>
      <c r="H145" s="387"/>
      <c r="I145" s="387"/>
      <c r="J145" s="387"/>
      <c r="K145" s="387"/>
      <c r="L145" s="387"/>
      <c r="M145" s="387"/>
      <c r="N145" s="387"/>
      <c r="O145" s="387"/>
      <c r="P145" s="387"/>
      <c r="Q145" s="387"/>
      <c r="R145" s="387"/>
      <c r="S145" s="387"/>
      <c r="T145" s="387"/>
      <c r="U145" s="387"/>
      <c r="V145" s="387"/>
      <c r="W145" s="387"/>
      <c r="X145" s="387"/>
      <c r="Y145" s="387"/>
      <c r="Z145" s="387"/>
      <c r="AA145" s="387"/>
      <c r="AB145" s="387"/>
      <c r="AC145" s="387"/>
      <c r="AD145" s="387"/>
      <c r="AE145" s="387"/>
      <c r="AF145" s="387"/>
      <c r="AG145" s="387"/>
      <c r="AH145" s="387"/>
      <c r="AI145" s="387"/>
      <c r="AJ145" s="387"/>
      <c r="AK145" s="387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87"/>
      <c r="AV145" s="387"/>
      <c r="AW145" s="387"/>
      <c r="AX145" s="387"/>
      <c r="AY145" s="387"/>
      <c r="AZ145" s="387"/>
      <c r="BA145" s="387"/>
      <c r="BB145" s="387"/>
      <c r="BC145" s="387"/>
      <c r="BD145" s="387"/>
      <c r="BE145" s="387"/>
      <c r="BF145" s="387"/>
      <c r="BG145" s="387"/>
      <c r="BH145" s="387"/>
      <c r="BI145" s="387"/>
      <c r="BJ145" s="387"/>
      <c r="BK145" s="387"/>
      <c r="BL145" s="387"/>
      <c r="BM145" s="387"/>
      <c r="BN145" s="387"/>
      <c r="BO145" s="387"/>
      <c r="BP145" s="387"/>
      <c r="BQ145" s="387"/>
      <c r="BR145" s="387"/>
      <c r="BS145" s="387"/>
      <c r="BT145" s="387"/>
      <c r="BU145" s="387"/>
      <c r="BV145" s="387"/>
      <c r="BX145" s="435"/>
    </row>
    <row r="146" spans="2:76" x14ac:dyDescent="0.3">
      <c r="B146" s="325"/>
      <c r="C146" s="309"/>
      <c r="D146" s="309"/>
      <c r="E146" s="421"/>
      <c r="F146" s="387"/>
      <c r="G146" s="387"/>
      <c r="H146" s="387"/>
      <c r="I146" s="387"/>
      <c r="J146" s="387"/>
      <c r="K146" s="387"/>
      <c r="L146" s="387"/>
      <c r="M146" s="387"/>
      <c r="N146" s="387"/>
      <c r="O146" s="387"/>
      <c r="P146" s="387"/>
      <c r="Q146" s="387"/>
      <c r="R146" s="387"/>
      <c r="S146" s="387"/>
      <c r="T146" s="387"/>
      <c r="U146" s="387"/>
      <c r="V146" s="387"/>
      <c r="W146" s="387"/>
      <c r="X146" s="387"/>
      <c r="Y146" s="387"/>
      <c r="Z146" s="387"/>
      <c r="AA146" s="387"/>
      <c r="AB146" s="387"/>
      <c r="AC146" s="387"/>
      <c r="AD146" s="387"/>
      <c r="AE146" s="387"/>
      <c r="AF146" s="387"/>
      <c r="AG146" s="387"/>
      <c r="AH146" s="387"/>
      <c r="AI146" s="387"/>
      <c r="AJ146" s="387"/>
      <c r="AK146" s="387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87"/>
      <c r="AV146" s="387"/>
      <c r="AW146" s="387"/>
      <c r="AX146" s="387"/>
      <c r="AY146" s="387"/>
      <c r="AZ146" s="387"/>
      <c r="BA146" s="387"/>
      <c r="BB146" s="387"/>
      <c r="BC146" s="387"/>
      <c r="BD146" s="387"/>
      <c r="BE146" s="387"/>
      <c r="BF146" s="387"/>
      <c r="BG146" s="387"/>
      <c r="BH146" s="387"/>
      <c r="BI146" s="387"/>
      <c r="BJ146" s="387"/>
      <c r="BK146" s="387"/>
      <c r="BL146" s="387"/>
      <c r="BM146" s="387"/>
      <c r="BN146" s="387"/>
      <c r="BO146" s="387"/>
      <c r="BP146" s="387"/>
      <c r="BQ146" s="387"/>
      <c r="BR146" s="387"/>
      <c r="BS146" s="387"/>
      <c r="BT146" s="387"/>
      <c r="BU146" s="387"/>
      <c r="BV146" s="387"/>
      <c r="BX146" s="435"/>
    </row>
    <row r="147" spans="2:76" x14ac:dyDescent="0.3">
      <c r="B147" s="325"/>
      <c r="C147" s="309"/>
      <c r="D147" s="309"/>
      <c r="E147" s="421"/>
      <c r="F147" s="387"/>
      <c r="G147" s="387"/>
      <c r="H147" s="387"/>
      <c r="I147" s="387"/>
      <c r="J147" s="387"/>
      <c r="K147" s="387"/>
      <c r="L147" s="387"/>
      <c r="M147" s="387"/>
      <c r="N147" s="387"/>
      <c r="O147" s="387"/>
      <c r="P147" s="387"/>
      <c r="Q147" s="387"/>
      <c r="R147" s="387"/>
      <c r="S147" s="387"/>
      <c r="T147" s="387"/>
      <c r="U147" s="387"/>
      <c r="V147" s="387"/>
      <c r="W147" s="387"/>
      <c r="X147" s="387"/>
      <c r="Y147" s="387"/>
      <c r="Z147" s="387"/>
      <c r="AA147" s="387"/>
      <c r="AB147" s="387"/>
      <c r="AC147" s="387"/>
      <c r="AD147" s="387"/>
      <c r="AE147" s="387"/>
      <c r="AF147" s="387"/>
      <c r="AG147" s="387"/>
      <c r="AH147" s="387"/>
      <c r="AI147" s="387"/>
      <c r="AJ147" s="387"/>
      <c r="AK147" s="387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87"/>
      <c r="AV147" s="387"/>
      <c r="AW147" s="387"/>
      <c r="AX147" s="387"/>
      <c r="AY147" s="387"/>
      <c r="AZ147" s="387"/>
      <c r="BA147" s="387"/>
      <c r="BB147" s="387"/>
      <c r="BC147" s="387"/>
      <c r="BD147" s="387"/>
      <c r="BE147" s="387"/>
      <c r="BF147" s="387"/>
      <c r="BG147" s="387"/>
      <c r="BH147" s="387"/>
      <c r="BI147" s="387"/>
      <c r="BJ147" s="387"/>
      <c r="BK147" s="387"/>
      <c r="BL147" s="387"/>
      <c r="BM147" s="387"/>
      <c r="BN147" s="387"/>
      <c r="BO147" s="387"/>
      <c r="BP147" s="387"/>
      <c r="BQ147" s="387"/>
      <c r="BR147" s="387"/>
      <c r="BS147" s="387"/>
      <c r="BT147" s="387"/>
      <c r="BU147" s="387"/>
      <c r="BV147" s="387"/>
      <c r="BX147" s="435"/>
    </row>
    <row r="148" spans="2:76" x14ac:dyDescent="0.3">
      <c r="B148" s="325"/>
      <c r="C148" s="309"/>
      <c r="D148" s="309"/>
      <c r="E148" s="421"/>
      <c r="F148" s="387"/>
      <c r="G148" s="387"/>
      <c r="H148" s="387"/>
      <c r="I148" s="387"/>
      <c r="J148" s="387"/>
      <c r="K148" s="387"/>
      <c r="L148" s="387"/>
      <c r="M148" s="387"/>
      <c r="N148" s="387"/>
      <c r="O148" s="387"/>
      <c r="P148" s="387"/>
      <c r="Q148" s="387"/>
      <c r="R148" s="387"/>
      <c r="S148" s="387"/>
      <c r="T148" s="387"/>
      <c r="U148" s="387"/>
      <c r="V148" s="387"/>
      <c r="W148" s="387"/>
      <c r="X148" s="387"/>
      <c r="Y148" s="387"/>
      <c r="Z148" s="387"/>
      <c r="AA148" s="387"/>
      <c r="AB148" s="387"/>
      <c r="AC148" s="387"/>
      <c r="AD148" s="387"/>
      <c r="AE148" s="387"/>
      <c r="AF148" s="387"/>
      <c r="AG148" s="387"/>
      <c r="AH148" s="387"/>
      <c r="AI148" s="387"/>
      <c r="AJ148" s="387"/>
      <c r="AK148" s="387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87"/>
      <c r="AV148" s="387"/>
      <c r="AW148" s="387"/>
      <c r="AX148" s="387"/>
      <c r="AY148" s="387"/>
      <c r="AZ148" s="387"/>
      <c r="BA148" s="387"/>
      <c r="BB148" s="387"/>
      <c r="BC148" s="387"/>
      <c r="BD148" s="387"/>
      <c r="BE148" s="387"/>
      <c r="BF148" s="387"/>
      <c r="BG148" s="387"/>
      <c r="BH148" s="387"/>
      <c r="BI148" s="387"/>
      <c r="BJ148" s="387"/>
      <c r="BK148" s="387"/>
      <c r="BL148" s="387"/>
      <c r="BM148" s="387"/>
      <c r="BN148" s="387"/>
      <c r="BO148" s="387"/>
      <c r="BP148" s="387"/>
      <c r="BQ148" s="387"/>
      <c r="BR148" s="387"/>
      <c r="BS148" s="387"/>
      <c r="BT148" s="387"/>
      <c r="BU148" s="387"/>
      <c r="BV148" s="387"/>
      <c r="BX148" s="435"/>
    </row>
    <row r="149" spans="2:76" x14ac:dyDescent="0.3">
      <c r="B149" s="325"/>
      <c r="C149" s="309"/>
      <c r="D149" s="309"/>
      <c r="E149" s="421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7"/>
      <c r="U149" s="387"/>
      <c r="V149" s="387"/>
      <c r="W149" s="387"/>
      <c r="X149" s="387"/>
      <c r="Y149" s="387"/>
      <c r="Z149" s="387"/>
      <c r="AA149" s="387"/>
      <c r="AB149" s="387"/>
      <c r="AC149" s="387"/>
      <c r="AD149" s="387"/>
      <c r="AE149" s="387"/>
      <c r="AF149" s="387"/>
      <c r="AG149" s="387"/>
      <c r="AH149" s="387"/>
      <c r="AI149" s="387"/>
      <c r="AJ149" s="387"/>
      <c r="AK149" s="387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87"/>
      <c r="AV149" s="387"/>
      <c r="AW149" s="387"/>
      <c r="AX149" s="387"/>
      <c r="AY149" s="387"/>
      <c r="AZ149" s="387"/>
      <c r="BA149" s="387"/>
      <c r="BB149" s="387"/>
      <c r="BC149" s="387"/>
      <c r="BD149" s="387"/>
      <c r="BE149" s="387"/>
      <c r="BF149" s="387"/>
      <c r="BG149" s="387"/>
      <c r="BH149" s="387"/>
      <c r="BI149" s="387"/>
      <c r="BJ149" s="387"/>
      <c r="BK149" s="387"/>
      <c r="BL149" s="387"/>
      <c r="BM149" s="387"/>
      <c r="BN149" s="387"/>
      <c r="BO149" s="387"/>
      <c r="BP149" s="387"/>
      <c r="BQ149" s="387"/>
      <c r="BR149" s="387"/>
      <c r="BS149" s="387"/>
      <c r="BT149" s="387"/>
      <c r="BU149" s="387"/>
      <c r="BV149" s="387"/>
      <c r="BX149" s="435"/>
    </row>
    <row r="150" spans="2:76" x14ac:dyDescent="0.3">
      <c r="B150" s="325"/>
      <c r="C150" s="325"/>
      <c r="D150" s="325"/>
      <c r="E150" s="421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  <c r="S150" s="387"/>
      <c r="T150" s="387"/>
      <c r="U150" s="387"/>
      <c r="V150" s="387"/>
      <c r="W150" s="387"/>
      <c r="X150" s="387"/>
      <c r="Y150" s="387"/>
      <c r="Z150" s="387"/>
      <c r="AA150" s="387"/>
      <c r="AB150" s="387"/>
      <c r="AC150" s="387"/>
      <c r="AD150" s="387"/>
      <c r="AE150" s="387"/>
      <c r="AF150" s="387"/>
      <c r="AG150" s="387"/>
      <c r="AH150" s="387"/>
      <c r="AI150" s="387"/>
      <c r="AJ150" s="387"/>
      <c r="AK150" s="387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87"/>
      <c r="AV150" s="387"/>
      <c r="AW150" s="387"/>
      <c r="AX150" s="387"/>
      <c r="AY150" s="387"/>
      <c r="AZ150" s="387"/>
      <c r="BA150" s="387"/>
      <c r="BB150" s="387"/>
      <c r="BC150" s="387"/>
      <c r="BD150" s="387"/>
      <c r="BE150" s="387"/>
      <c r="BF150" s="387"/>
      <c r="BG150" s="387"/>
      <c r="BH150" s="387"/>
      <c r="BI150" s="387"/>
      <c r="BJ150" s="387"/>
      <c r="BK150" s="387"/>
      <c r="BL150" s="387"/>
      <c r="BM150" s="387"/>
      <c r="BN150" s="387"/>
      <c r="BO150" s="387"/>
      <c r="BP150" s="387"/>
      <c r="BQ150" s="387"/>
      <c r="BR150" s="387"/>
      <c r="BS150" s="387"/>
      <c r="BT150" s="387"/>
      <c r="BU150" s="387"/>
      <c r="BV150" s="387"/>
      <c r="BX150" s="435"/>
    </row>
    <row r="151" spans="2:76" x14ac:dyDescent="0.3">
      <c r="B151" s="325"/>
      <c r="C151" s="309"/>
      <c r="D151" s="309"/>
      <c r="E151" s="421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7"/>
      <c r="S151" s="387"/>
      <c r="T151" s="387"/>
      <c r="U151" s="387"/>
      <c r="V151" s="387"/>
      <c r="W151" s="387"/>
      <c r="X151" s="387"/>
      <c r="Y151" s="387"/>
      <c r="Z151" s="387"/>
      <c r="AA151" s="387"/>
      <c r="AB151" s="387"/>
      <c r="AC151" s="387"/>
      <c r="AD151" s="387"/>
      <c r="AE151" s="387"/>
      <c r="AF151" s="387"/>
      <c r="AG151" s="387"/>
      <c r="AH151" s="387"/>
      <c r="AI151" s="387"/>
      <c r="AJ151" s="387"/>
      <c r="AK151" s="387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87"/>
      <c r="AV151" s="387"/>
      <c r="AW151" s="387"/>
      <c r="AX151" s="387"/>
      <c r="AY151" s="387"/>
      <c r="AZ151" s="387"/>
      <c r="BA151" s="387"/>
      <c r="BB151" s="387"/>
      <c r="BC151" s="387"/>
      <c r="BD151" s="387"/>
      <c r="BE151" s="387"/>
      <c r="BF151" s="387"/>
      <c r="BG151" s="387"/>
      <c r="BH151" s="387"/>
      <c r="BI151" s="387"/>
      <c r="BJ151" s="387"/>
      <c r="BK151" s="387"/>
      <c r="BL151" s="387"/>
      <c r="BM151" s="387"/>
      <c r="BN151" s="387"/>
      <c r="BO151" s="387"/>
      <c r="BP151" s="387"/>
      <c r="BQ151" s="387"/>
      <c r="BR151" s="387"/>
      <c r="BS151" s="387"/>
      <c r="BT151" s="387"/>
      <c r="BU151" s="387"/>
      <c r="BV151" s="387"/>
      <c r="BX151" s="435"/>
    </row>
    <row r="152" spans="2:76" x14ac:dyDescent="0.3">
      <c r="B152" s="325"/>
      <c r="C152" s="309"/>
      <c r="D152" s="309"/>
      <c r="E152" s="136"/>
      <c r="F152" s="136"/>
      <c r="G152" s="136"/>
      <c r="H152" s="136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387"/>
      <c r="AI152" s="387"/>
      <c r="AJ152" s="387"/>
      <c r="AK152" s="387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87"/>
      <c r="AV152" s="387"/>
      <c r="AW152" s="387"/>
      <c r="AX152" s="136"/>
      <c r="AY152" s="136"/>
      <c r="AZ152" s="136"/>
      <c r="BA152" s="136"/>
      <c r="BB152" s="387"/>
      <c r="BC152" s="136"/>
      <c r="BD152" s="136"/>
      <c r="BE152" s="136"/>
      <c r="BF152" s="136"/>
      <c r="BG152" s="387"/>
      <c r="BH152" s="387"/>
      <c r="BI152" s="387"/>
      <c r="BJ152" s="387"/>
      <c r="BK152" s="387"/>
      <c r="BL152" s="387"/>
      <c r="BM152" s="387"/>
      <c r="BN152" s="387"/>
      <c r="BO152" s="387"/>
      <c r="BP152" s="387"/>
      <c r="BQ152" s="387"/>
      <c r="BR152" s="387"/>
      <c r="BS152" s="387"/>
      <c r="BT152" s="387"/>
      <c r="BU152" s="387"/>
      <c r="BV152" s="387"/>
      <c r="BX152" s="435"/>
    </row>
    <row r="153" spans="2:76" x14ac:dyDescent="0.3">
      <c r="E153" s="421"/>
      <c r="F153" s="387"/>
      <c r="G153" s="387"/>
      <c r="H153" s="387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387"/>
      <c r="AY153" s="387"/>
      <c r="AZ153" s="387"/>
      <c r="BA153" s="387"/>
      <c r="BB153" s="136"/>
      <c r="BC153" s="387"/>
      <c r="BD153" s="387"/>
      <c r="BE153" s="387"/>
      <c r="BF153" s="387"/>
      <c r="BG153" s="136"/>
      <c r="BH153" s="136"/>
      <c r="BI153" s="136"/>
      <c r="BJ153" s="136"/>
      <c r="BK153" s="136"/>
      <c r="BL153" s="136"/>
      <c r="BM153" s="387"/>
      <c r="BN153" s="387"/>
      <c r="BO153" s="387"/>
      <c r="BP153" s="387"/>
      <c r="BQ153" s="136"/>
      <c r="BR153" s="136"/>
      <c r="BS153" s="136"/>
      <c r="BT153" s="136"/>
      <c r="BU153" s="136"/>
      <c r="BV153" s="136"/>
      <c r="BX153" s="435"/>
    </row>
    <row r="154" spans="2:76" x14ac:dyDescent="0.3">
      <c r="B154" s="325"/>
      <c r="C154" s="309"/>
      <c r="D154" s="309"/>
      <c r="E154" s="421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136"/>
      <c r="BN154" s="136"/>
      <c r="BO154" s="136"/>
      <c r="BP154" s="136"/>
      <c r="BQ154" s="387"/>
      <c r="BR154" s="387"/>
      <c r="BS154" s="387"/>
      <c r="BT154" s="387"/>
      <c r="BU154" s="387"/>
      <c r="BV154" s="387"/>
      <c r="BX154" s="435"/>
    </row>
    <row r="155" spans="2:76" x14ac:dyDescent="0.3">
      <c r="B155" s="325"/>
      <c r="C155" s="309"/>
      <c r="D155" s="309"/>
      <c r="E155" s="421"/>
      <c r="F155" s="387"/>
      <c r="G155" s="387"/>
      <c r="H155" s="387"/>
      <c r="I155" s="387"/>
      <c r="J155" s="387"/>
      <c r="K155" s="387"/>
      <c r="L155" s="387"/>
      <c r="M155" s="387"/>
      <c r="N155" s="387"/>
      <c r="O155" s="387"/>
      <c r="P155" s="387"/>
      <c r="Q155" s="387"/>
      <c r="R155" s="387"/>
      <c r="S155" s="387"/>
      <c r="T155" s="387"/>
      <c r="U155" s="387"/>
      <c r="V155" s="387"/>
      <c r="W155" s="387"/>
      <c r="X155" s="387"/>
      <c r="Y155" s="387"/>
      <c r="Z155" s="387"/>
      <c r="AA155" s="387"/>
      <c r="AB155" s="387"/>
      <c r="AC155" s="387"/>
      <c r="AD155" s="387"/>
      <c r="AE155" s="387"/>
      <c r="AF155" s="387"/>
      <c r="AG155" s="387"/>
      <c r="AH155" s="387"/>
      <c r="AI155" s="387"/>
      <c r="AJ155" s="387"/>
      <c r="AK155" s="387"/>
      <c r="AL155" s="387"/>
      <c r="AM155" s="387"/>
      <c r="AN155" s="387"/>
      <c r="AO155" s="387"/>
      <c r="AP155" s="387"/>
      <c r="AQ155" s="387"/>
      <c r="AR155" s="387"/>
      <c r="AS155" s="387"/>
      <c r="AT155" s="387"/>
      <c r="AU155" s="387"/>
      <c r="AV155" s="387"/>
      <c r="AW155" s="387"/>
      <c r="AX155" s="387"/>
      <c r="AY155" s="387"/>
      <c r="AZ155" s="387"/>
      <c r="BA155" s="387"/>
      <c r="BB155" s="387"/>
      <c r="BC155" s="387"/>
      <c r="BD155" s="387"/>
      <c r="BE155" s="387"/>
      <c r="BF155" s="387"/>
      <c r="BG155" s="387"/>
      <c r="BH155" s="387"/>
      <c r="BI155" s="387"/>
      <c r="BJ155" s="387"/>
      <c r="BK155" s="387"/>
      <c r="BL155" s="387"/>
      <c r="BM155" s="387"/>
      <c r="BN155" s="387"/>
      <c r="BO155" s="387"/>
      <c r="BP155" s="387"/>
      <c r="BQ155" s="387"/>
      <c r="BR155" s="387"/>
      <c r="BS155" s="387"/>
      <c r="BT155" s="387"/>
      <c r="BU155" s="387"/>
      <c r="BV155" s="387"/>
      <c r="BX155" s="435"/>
    </row>
    <row r="156" spans="2:76" x14ac:dyDescent="0.3">
      <c r="B156" s="325"/>
      <c r="C156" s="309"/>
      <c r="D156" s="309"/>
      <c r="E156" s="421"/>
      <c r="F156" s="387"/>
      <c r="G156" s="387"/>
      <c r="H156" s="387"/>
      <c r="I156" s="387"/>
      <c r="J156" s="387"/>
      <c r="K156" s="387"/>
      <c r="L156" s="387"/>
      <c r="M156" s="387"/>
      <c r="N156" s="387"/>
      <c r="O156" s="387"/>
      <c r="P156" s="387"/>
      <c r="Q156" s="387"/>
      <c r="R156" s="387"/>
      <c r="S156" s="387"/>
      <c r="T156" s="387"/>
      <c r="U156" s="387"/>
      <c r="V156" s="387"/>
      <c r="W156" s="387"/>
      <c r="X156" s="387"/>
      <c r="Y156" s="387"/>
      <c r="Z156" s="387"/>
      <c r="AA156" s="387"/>
      <c r="AB156" s="387"/>
      <c r="AC156" s="387"/>
      <c r="AD156" s="387"/>
      <c r="AE156" s="387"/>
      <c r="AF156" s="387"/>
      <c r="AG156" s="387"/>
      <c r="AH156" s="387"/>
      <c r="AI156" s="387"/>
      <c r="AJ156" s="387"/>
      <c r="AK156" s="387"/>
      <c r="AL156" s="387"/>
      <c r="AM156" s="387"/>
      <c r="AN156" s="387"/>
      <c r="AO156" s="387"/>
      <c r="AP156" s="387"/>
      <c r="AQ156" s="387"/>
      <c r="AR156" s="387"/>
      <c r="AS156" s="387"/>
      <c r="AT156" s="387"/>
      <c r="AU156" s="387"/>
      <c r="AV156" s="387"/>
      <c r="AW156" s="387"/>
      <c r="AX156" s="387"/>
      <c r="AY156" s="387"/>
      <c r="AZ156" s="387"/>
      <c r="BA156" s="387"/>
      <c r="BB156" s="387"/>
      <c r="BC156" s="387"/>
      <c r="BD156" s="387"/>
      <c r="BE156" s="387"/>
      <c r="BF156" s="387"/>
      <c r="BG156" s="387"/>
      <c r="BH156" s="387"/>
      <c r="BI156" s="387"/>
      <c r="BJ156" s="387"/>
      <c r="BK156" s="387"/>
      <c r="BL156" s="387"/>
      <c r="BM156" s="387"/>
      <c r="BN156" s="387"/>
      <c r="BO156" s="387"/>
      <c r="BP156" s="387"/>
      <c r="BQ156" s="387"/>
      <c r="BR156" s="387"/>
      <c r="BS156" s="387"/>
      <c r="BT156" s="387"/>
      <c r="BU156" s="387"/>
      <c r="BV156" s="387"/>
      <c r="BX156" s="435"/>
    </row>
    <row r="157" spans="2:76" x14ac:dyDescent="0.3">
      <c r="B157" s="325"/>
      <c r="C157" s="309"/>
      <c r="D157" s="309"/>
      <c r="E157" s="421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7"/>
      <c r="Q157" s="387"/>
      <c r="R157" s="387"/>
      <c r="S157" s="387"/>
      <c r="T157" s="387"/>
      <c r="U157" s="387"/>
      <c r="V157" s="387"/>
      <c r="W157" s="387"/>
      <c r="X157" s="387"/>
      <c r="Y157" s="387"/>
      <c r="Z157" s="387"/>
      <c r="AA157" s="387"/>
      <c r="AB157" s="387"/>
      <c r="AC157" s="387"/>
      <c r="AD157" s="387"/>
      <c r="AE157" s="387"/>
      <c r="AF157" s="387"/>
      <c r="AG157" s="387"/>
      <c r="AH157" s="387"/>
      <c r="AI157" s="387"/>
      <c r="AJ157" s="387"/>
      <c r="AK157" s="387"/>
      <c r="AL157" s="387"/>
      <c r="AM157" s="387"/>
      <c r="AN157" s="387"/>
      <c r="AO157" s="387"/>
      <c r="AP157" s="387"/>
      <c r="AQ157" s="387"/>
      <c r="AR157" s="387"/>
      <c r="AS157" s="387"/>
      <c r="AT157" s="387"/>
      <c r="AU157" s="387"/>
      <c r="AV157" s="387"/>
      <c r="AW157" s="387"/>
      <c r="AX157" s="387"/>
      <c r="AY157" s="387"/>
      <c r="AZ157" s="387"/>
      <c r="BA157" s="387"/>
      <c r="BB157" s="387"/>
      <c r="BC157" s="387"/>
      <c r="BD157" s="387"/>
      <c r="BE157" s="387"/>
      <c r="BF157" s="387"/>
      <c r="BG157" s="387"/>
      <c r="BH157" s="387"/>
      <c r="BI157" s="387"/>
      <c r="BJ157" s="387"/>
      <c r="BK157" s="387"/>
      <c r="BL157" s="387"/>
      <c r="BM157" s="387"/>
      <c r="BN157" s="387"/>
      <c r="BO157" s="387"/>
      <c r="BP157" s="387"/>
      <c r="BQ157" s="387"/>
      <c r="BR157" s="387"/>
      <c r="BS157" s="387"/>
      <c r="BT157" s="387"/>
      <c r="BU157" s="387"/>
      <c r="BV157" s="387"/>
      <c r="BX157" s="435"/>
    </row>
    <row r="158" spans="2:76" x14ac:dyDescent="0.3">
      <c r="B158" s="325"/>
      <c r="C158" s="309"/>
      <c r="D158" s="309"/>
      <c r="E158" s="421"/>
      <c r="F158" s="387"/>
      <c r="G158" s="387"/>
      <c r="H158" s="387"/>
      <c r="I158" s="387"/>
      <c r="J158" s="387"/>
      <c r="K158" s="387"/>
      <c r="L158" s="387"/>
      <c r="M158" s="387"/>
      <c r="N158" s="387"/>
      <c r="O158" s="387"/>
      <c r="P158" s="387"/>
      <c r="Q158" s="387"/>
      <c r="R158" s="387"/>
      <c r="S158" s="387"/>
      <c r="T158" s="387"/>
      <c r="U158" s="387"/>
      <c r="V158" s="387"/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87"/>
      <c r="AG158" s="387"/>
      <c r="AH158" s="387"/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87"/>
      <c r="AV158" s="387"/>
      <c r="AW158" s="387"/>
      <c r="AX158" s="387"/>
      <c r="AY158" s="387"/>
      <c r="AZ158" s="387"/>
      <c r="BA158" s="387"/>
      <c r="BB158" s="387"/>
      <c r="BC158" s="387"/>
      <c r="BD158" s="387"/>
      <c r="BE158" s="387"/>
      <c r="BF158" s="387"/>
      <c r="BG158" s="387"/>
      <c r="BH158" s="387"/>
      <c r="BI158" s="387"/>
      <c r="BJ158" s="387"/>
      <c r="BK158" s="387"/>
      <c r="BL158" s="387"/>
      <c r="BM158" s="387"/>
      <c r="BN158" s="387"/>
      <c r="BO158" s="387"/>
      <c r="BP158" s="387"/>
      <c r="BQ158" s="387"/>
      <c r="BR158" s="387"/>
      <c r="BS158" s="387"/>
      <c r="BT158" s="387"/>
      <c r="BU158" s="387"/>
      <c r="BV158" s="387"/>
      <c r="BX158" s="435"/>
    </row>
    <row r="159" spans="2:76" x14ac:dyDescent="0.3">
      <c r="B159" s="325"/>
      <c r="C159" s="309"/>
      <c r="D159" s="309"/>
      <c r="E159" s="421"/>
      <c r="F159" s="387"/>
      <c r="G159" s="387"/>
      <c r="H159" s="387"/>
      <c r="I159" s="387"/>
      <c r="J159" s="387"/>
      <c r="K159" s="387"/>
      <c r="L159" s="387"/>
      <c r="M159" s="387"/>
      <c r="N159" s="387"/>
      <c r="O159" s="387"/>
      <c r="P159" s="387"/>
      <c r="Q159" s="387"/>
      <c r="R159" s="387"/>
      <c r="S159" s="387"/>
      <c r="T159" s="387"/>
      <c r="U159" s="387"/>
      <c r="V159" s="387"/>
      <c r="W159" s="387"/>
      <c r="X159" s="387"/>
      <c r="Y159" s="387"/>
      <c r="Z159" s="387"/>
      <c r="AA159" s="387"/>
      <c r="AB159" s="387"/>
      <c r="AC159" s="387"/>
      <c r="AD159" s="387"/>
      <c r="AE159" s="387"/>
      <c r="AF159" s="387"/>
      <c r="AG159" s="387"/>
      <c r="AH159" s="387"/>
      <c r="AI159" s="387"/>
      <c r="AJ159" s="387"/>
      <c r="AK159" s="387"/>
      <c r="AL159" s="387"/>
      <c r="AM159" s="387"/>
      <c r="AN159" s="387"/>
      <c r="AO159" s="387"/>
      <c r="AP159" s="387"/>
      <c r="AQ159" s="387"/>
      <c r="AR159" s="387"/>
      <c r="AS159" s="387"/>
      <c r="AT159" s="387"/>
      <c r="AU159" s="387"/>
      <c r="AV159" s="387"/>
      <c r="AW159" s="387"/>
      <c r="AX159" s="387"/>
      <c r="AY159" s="387"/>
      <c r="AZ159" s="387"/>
      <c r="BA159" s="387"/>
      <c r="BB159" s="387"/>
      <c r="BC159" s="387"/>
      <c r="BD159" s="387"/>
      <c r="BE159" s="387"/>
      <c r="BF159" s="387"/>
      <c r="BG159" s="387"/>
      <c r="BH159" s="387"/>
      <c r="BI159" s="387"/>
      <c r="BJ159" s="387"/>
      <c r="BK159" s="387"/>
      <c r="BL159" s="387"/>
      <c r="BM159" s="387"/>
      <c r="BN159" s="387"/>
      <c r="BO159" s="387"/>
      <c r="BP159" s="387"/>
      <c r="BQ159" s="387"/>
      <c r="BR159" s="387"/>
      <c r="BS159" s="387"/>
      <c r="BT159" s="387"/>
      <c r="BU159" s="387"/>
      <c r="BV159" s="387"/>
      <c r="BX159" s="435"/>
    </row>
    <row r="160" spans="2:76" x14ac:dyDescent="0.3">
      <c r="B160" s="325"/>
      <c r="C160" s="309"/>
      <c r="D160" s="309"/>
      <c r="E160" s="421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7"/>
      <c r="V160" s="387"/>
      <c r="W160" s="387"/>
      <c r="X160" s="387"/>
      <c r="Y160" s="387"/>
      <c r="Z160" s="387"/>
      <c r="AA160" s="387"/>
      <c r="AB160" s="387"/>
      <c r="AC160" s="387"/>
      <c r="AD160" s="387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/>
      <c r="BJ160" s="387"/>
      <c r="BK160" s="387"/>
      <c r="BL160" s="387"/>
      <c r="BM160" s="387"/>
      <c r="BN160" s="387"/>
      <c r="BO160" s="387"/>
      <c r="BP160" s="387"/>
      <c r="BQ160" s="387"/>
      <c r="BR160" s="387"/>
      <c r="BS160" s="387"/>
      <c r="BT160" s="387"/>
      <c r="BU160" s="387"/>
      <c r="BV160" s="387"/>
      <c r="BX160" s="435"/>
    </row>
    <row r="161" spans="2:76" x14ac:dyDescent="0.3">
      <c r="B161" s="325"/>
      <c r="C161" s="309"/>
      <c r="D161" s="309"/>
      <c r="E161" s="421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  <c r="S161" s="387"/>
      <c r="T161" s="387"/>
      <c r="U161" s="387"/>
      <c r="V161" s="387"/>
      <c r="W161" s="387"/>
      <c r="X161" s="387"/>
      <c r="Y161" s="387"/>
      <c r="Z161" s="387"/>
      <c r="AA161" s="387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O161" s="387"/>
      <c r="AP161" s="387"/>
      <c r="AQ161" s="387"/>
      <c r="AR161" s="387"/>
      <c r="AS161" s="387"/>
      <c r="AT161" s="387"/>
      <c r="AU161" s="387"/>
      <c r="AV161" s="387"/>
      <c r="AW161" s="387"/>
      <c r="AX161" s="387"/>
      <c r="AY161" s="387"/>
      <c r="AZ161" s="387"/>
      <c r="BA161" s="387"/>
      <c r="BB161" s="387"/>
      <c r="BC161" s="387"/>
      <c r="BD161" s="387"/>
      <c r="BE161" s="387"/>
      <c r="BF161" s="387"/>
      <c r="BG161" s="387"/>
      <c r="BH161" s="387"/>
      <c r="BI161" s="387"/>
      <c r="BJ161" s="387"/>
      <c r="BK161" s="387"/>
      <c r="BL161" s="387"/>
      <c r="BM161" s="387"/>
      <c r="BN161" s="387"/>
      <c r="BO161" s="387"/>
      <c r="BP161" s="387"/>
      <c r="BQ161" s="387"/>
      <c r="BR161" s="387"/>
      <c r="BS161" s="387"/>
      <c r="BT161" s="387"/>
      <c r="BU161" s="387"/>
      <c r="BV161" s="387"/>
      <c r="BX161" s="435"/>
    </row>
    <row r="162" spans="2:76" x14ac:dyDescent="0.3">
      <c r="B162" s="325"/>
      <c r="C162" s="309"/>
      <c r="D162" s="309"/>
      <c r="E162" s="421"/>
      <c r="F162" s="387"/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7"/>
      <c r="S162" s="387"/>
      <c r="T162" s="387"/>
      <c r="U162" s="387"/>
      <c r="V162" s="387"/>
      <c r="W162" s="387"/>
      <c r="X162" s="387"/>
      <c r="Y162" s="387"/>
      <c r="Z162" s="387"/>
      <c r="AA162" s="387"/>
      <c r="AB162" s="387"/>
      <c r="AC162" s="387"/>
      <c r="AD162" s="387"/>
      <c r="AE162" s="387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7"/>
      <c r="BJ162" s="387"/>
      <c r="BK162" s="387"/>
      <c r="BL162" s="387"/>
      <c r="BM162" s="387"/>
      <c r="BN162" s="387"/>
      <c r="BO162" s="387"/>
      <c r="BP162" s="387"/>
      <c r="BQ162" s="387"/>
      <c r="BR162" s="387"/>
      <c r="BS162" s="387"/>
      <c r="BT162" s="387"/>
      <c r="BU162" s="387"/>
      <c r="BV162" s="387"/>
      <c r="BX162" s="435"/>
    </row>
    <row r="163" spans="2:76" x14ac:dyDescent="0.3">
      <c r="B163" s="325"/>
      <c r="C163" s="309"/>
      <c r="D163" s="309"/>
      <c r="E163" s="421"/>
      <c r="F163" s="387"/>
      <c r="G163" s="387"/>
      <c r="H163" s="387"/>
      <c r="I163" s="387"/>
      <c r="J163" s="387"/>
      <c r="K163" s="387"/>
      <c r="L163" s="387"/>
      <c r="M163" s="387"/>
      <c r="N163" s="387"/>
      <c r="O163" s="387"/>
      <c r="P163" s="387"/>
      <c r="Q163" s="387"/>
      <c r="R163" s="387"/>
      <c r="S163" s="387"/>
      <c r="T163" s="387"/>
      <c r="U163" s="387"/>
      <c r="V163" s="387"/>
      <c r="W163" s="387"/>
      <c r="X163" s="387"/>
      <c r="Y163" s="387"/>
      <c r="Z163" s="387"/>
      <c r="AA163" s="387"/>
      <c r="AB163" s="387"/>
      <c r="AC163" s="387"/>
      <c r="AD163" s="387"/>
      <c r="AE163" s="387"/>
      <c r="AF163" s="387"/>
      <c r="AG163" s="387"/>
      <c r="AH163" s="387"/>
      <c r="AI163" s="387"/>
      <c r="AJ163" s="387"/>
      <c r="AK163" s="387"/>
      <c r="AL163" s="387"/>
      <c r="AM163" s="387"/>
      <c r="AN163" s="387"/>
      <c r="AO163" s="387"/>
      <c r="AP163" s="387"/>
      <c r="AQ163" s="387"/>
      <c r="AR163" s="387"/>
      <c r="AS163" s="387"/>
      <c r="AT163" s="387"/>
      <c r="AU163" s="387"/>
      <c r="AV163" s="387"/>
      <c r="AW163" s="387"/>
      <c r="AX163" s="387"/>
      <c r="AY163" s="387"/>
      <c r="AZ163" s="387"/>
      <c r="BA163" s="387"/>
      <c r="BB163" s="387"/>
      <c r="BC163" s="387"/>
      <c r="BD163" s="387"/>
      <c r="BE163" s="387"/>
      <c r="BF163" s="387"/>
      <c r="BG163" s="387"/>
      <c r="BH163" s="387"/>
      <c r="BI163" s="387"/>
      <c r="BJ163" s="387"/>
      <c r="BK163" s="387"/>
      <c r="BL163" s="387"/>
      <c r="BM163" s="387"/>
      <c r="BN163" s="387"/>
      <c r="BO163" s="387"/>
      <c r="BP163" s="387"/>
      <c r="BQ163" s="387"/>
      <c r="BR163" s="387"/>
      <c r="BS163" s="387"/>
      <c r="BT163" s="387"/>
      <c r="BU163" s="387"/>
      <c r="BV163" s="387"/>
      <c r="BX163" s="435"/>
    </row>
    <row r="164" spans="2:76" x14ac:dyDescent="0.3">
      <c r="B164" s="325"/>
      <c r="C164" s="309"/>
      <c r="D164" s="309"/>
      <c r="E164" s="421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  <c r="S164" s="387"/>
      <c r="T164" s="387"/>
      <c r="U164" s="387"/>
      <c r="V164" s="387"/>
      <c r="W164" s="387"/>
      <c r="X164" s="387"/>
      <c r="Y164" s="387"/>
      <c r="Z164" s="387"/>
      <c r="AA164" s="387"/>
      <c r="AB164" s="387"/>
      <c r="AC164" s="387"/>
      <c r="AD164" s="387"/>
      <c r="AE164" s="387"/>
      <c r="AF164" s="387"/>
      <c r="AG164" s="387"/>
      <c r="AH164" s="387"/>
      <c r="AI164" s="387"/>
      <c r="AJ164" s="387"/>
      <c r="AK164" s="387"/>
      <c r="AL164" s="387"/>
      <c r="AM164" s="387"/>
      <c r="AN164" s="387"/>
      <c r="AO164" s="387"/>
      <c r="AP164" s="387"/>
      <c r="AQ164" s="387"/>
      <c r="AR164" s="387"/>
      <c r="AS164" s="387"/>
      <c r="AT164" s="387"/>
      <c r="AU164" s="387"/>
      <c r="AV164" s="387"/>
      <c r="AW164" s="387"/>
      <c r="AX164" s="387"/>
      <c r="AY164" s="387"/>
      <c r="AZ164" s="387"/>
      <c r="BA164" s="387"/>
      <c r="BB164" s="387"/>
      <c r="BC164" s="387"/>
      <c r="BD164" s="387"/>
      <c r="BE164" s="387"/>
      <c r="BF164" s="387"/>
      <c r="BG164" s="387"/>
      <c r="BH164" s="387"/>
      <c r="BI164" s="387"/>
      <c r="BJ164" s="387"/>
      <c r="BK164" s="387"/>
      <c r="BL164" s="387"/>
      <c r="BM164" s="387"/>
      <c r="BN164" s="387"/>
      <c r="BO164" s="387"/>
      <c r="BP164" s="387"/>
      <c r="BQ164" s="387"/>
      <c r="BR164" s="387"/>
      <c r="BS164" s="387"/>
      <c r="BT164" s="387"/>
      <c r="BU164" s="387"/>
      <c r="BV164" s="387"/>
      <c r="BX164" s="435"/>
    </row>
    <row r="165" spans="2:76" x14ac:dyDescent="0.3">
      <c r="B165" s="325"/>
      <c r="C165" s="309"/>
      <c r="D165" s="309"/>
      <c r="E165" s="421"/>
      <c r="F165" s="387"/>
      <c r="G165" s="387"/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  <c r="S165" s="387"/>
      <c r="T165" s="387"/>
      <c r="U165" s="387"/>
      <c r="V165" s="387"/>
      <c r="W165" s="387"/>
      <c r="X165" s="387"/>
      <c r="Y165" s="387"/>
      <c r="Z165" s="387"/>
      <c r="AA165" s="387"/>
      <c r="AB165" s="387"/>
      <c r="AC165" s="387"/>
      <c r="AD165" s="387"/>
      <c r="AE165" s="387"/>
      <c r="AF165" s="387"/>
      <c r="AG165" s="387"/>
      <c r="AH165" s="387"/>
      <c r="AI165" s="387"/>
      <c r="AJ165" s="387"/>
      <c r="AK165" s="387"/>
      <c r="AL165" s="387"/>
      <c r="AM165" s="387"/>
      <c r="AN165" s="387"/>
      <c r="AO165" s="387"/>
      <c r="AP165" s="387"/>
      <c r="AQ165" s="387"/>
      <c r="AR165" s="387"/>
      <c r="AS165" s="387"/>
      <c r="AT165" s="387"/>
      <c r="AU165" s="387"/>
      <c r="AV165" s="387"/>
      <c r="AW165" s="387"/>
      <c r="AX165" s="387"/>
      <c r="AY165" s="387"/>
      <c r="AZ165" s="387"/>
      <c r="BA165" s="387"/>
      <c r="BB165" s="387"/>
      <c r="BC165" s="387"/>
      <c r="BD165" s="387"/>
      <c r="BE165" s="387"/>
      <c r="BF165" s="387"/>
      <c r="BG165" s="387"/>
      <c r="BH165" s="387"/>
      <c r="BI165" s="387"/>
      <c r="BJ165" s="387"/>
      <c r="BK165" s="387"/>
      <c r="BL165" s="387"/>
      <c r="BM165" s="387"/>
      <c r="BN165" s="387"/>
      <c r="BO165" s="387"/>
      <c r="BP165" s="387"/>
      <c r="BQ165" s="387"/>
      <c r="BR165" s="387"/>
      <c r="BS165" s="387"/>
      <c r="BT165" s="387"/>
      <c r="BU165" s="387"/>
      <c r="BV165" s="387"/>
      <c r="BX165" s="435"/>
    </row>
    <row r="166" spans="2:76" x14ac:dyDescent="0.3">
      <c r="B166" s="325"/>
      <c r="C166" s="309"/>
      <c r="D166" s="309"/>
      <c r="E166" s="421"/>
      <c r="F166" s="387"/>
      <c r="G166" s="387"/>
      <c r="H166" s="387"/>
      <c r="I166" s="387"/>
      <c r="J166" s="387"/>
      <c r="K166" s="387"/>
      <c r="L166" s="387"/>
      <c r="M166" s="387"/>
      <c r="N166" s="387"/>
      <c r="O166" s="387"/>
      <c r="P166" s="387"/>
      <c r="Q166" s="387"/>
      <c r="R166" s="387"/>
      <c r="S166" s="387"/>
      <c r="T166" s="387"/>
      <c r="U166" s="387"/>
      <c r="V166" s="387"/>
      <c r="W166" s="387"/>
      <c r="X166" s="387"/>
      <c r="Y166" s="387"/>
      <c r="Z166" s="387"/>
      <c r="AA166" s="387"/>
      <c r="AB166" s="387"/>
      <c r="AC166" s="387"/>
      <c r="AD166" s="387"/>
      <c r="AE166" s="387"/>
      <c r="AF166" s="387"/>
      <c r="AG166" s="387"/>
      <c r="AH166" s="387"/>
      <c r="AI166" s="387"/>
      <c r="AJ166" s="387"/>
      <c r="AK166" s="387"/>
      <c r="AL166" s="387"/>
      <c r="AM166" s="387"/>
      <c r="AN166" s="387"/>
      <c r="AO166" s="387"/>
      <c r="AP166" s="387"/>
      <c r="AQ166" s="387"/>
      <c r="AR166" s="387"/>
      <c r="AS166" s="387"/>
      <c r="AT166" s="387"/>
      <c r="AU166" s="387"/>
      <c r="AV166" s="387"/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X166" s="435"/>
    </row>
    <row r="167" spans="2:76" x14ac:dyDescent="0.3">
      <c r="B167" s="325"/>
      <c r="C167" s="309"/>
      <c r="D167" s="309"/>
      <c r="E167" s="421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387"/>
      <c r="S167" s="387"/>
      <c r="T167" s="387"/>
      <c r="U167" s="387"/>
      <c r="V167" s="387"/>
      <c r="W167" s="387"/>
      <c r="X167" s="387"/>
      <c r="Y167" s="387"/>
      <c r="Z167" s="387"/>
      <c r="AA167" s="387"/>
      <c r="AB167" s="387"/>
      <c r="AC167" s="387"/>
      <c r="AD167" s="387"/>
      <c r="AE167" s="387"/>
      <c r="AF167" s="387"/>
      <c r="AG167" s="387"/>
      <c r="AH167" s="387"/>
      <c r="AI167" s="387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</row>
    <row r="168" spans="2:76" x14ac:dyDescent="0.3">
      <c r="B168" s="325"/>
      <c r="C168" s="309"/>
      <c r="D168" s="309"/>
      <c r="E168" s="421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387"/>
      <c r="S168" s="387"/>
      <c r="T168" s="387"/>
      <c r="U168" s="387"/>
      <c r="V168" s="387"/>
      <c r="W168" s="387"/>
      <c r="X168" s="387"/>
      <c r="Y168" s="387"/>
      <c r="Z168" s="387"/>
      <c r="AA168" s="387"/>
      <c r="AB168" s="387"/>
      <c r="AC168" s="387"/>
      <c r="AD168" s="387"/>
      <c r="AE168" s="387"/>
      <c r="AF168" s="387"/>
      <c r="AG168" s="387"/>
      <c r="AH168" s="387"/>
      <c r="AI168" s="387"/>
      <c r="AJ168" s="387"/>
      <c r="AK168" s="387"/>
      <c r="AL168" s="387"/>
      <c r="AM168" s="387"/>
      <c r="AN168" s="387"/>
      <c r="AO168" s="387"/>
      <c r="AP168" s="387"/>
      <c r="AQ168" s="387"/>
      <c r="AR168" s="387"/>
      <c r="AS168" s="387"/>
      <c r="AT168" s="387"/>
      <c r="AU168" s="387"/>
      <c r="AV168" s="387"/>
      <c r="AW168" s="387"/>
      <c r="AX168" s="387"/>
      <c r="AY168" s="387"/>
      <c r="AZ168" s="387"/>
      <c r="BA168" s="387"/>
      <c r="BB168" s="387"/>
      <c r="BC168" s="387"/>
      <c r="BD168" s="387"/>
      <c r="BE168" s="387"/>
      <c r="BF168" s="387"/>
      <c r="BG168" s="387"/>
      <c r="BH168" s="387"/>
      <c r="BI168" s="387"/>
      <c r="BJ168" s="387"/>
      <c r="BK168" s="387"/>
      <c r="BL168" s="387"/>
      <c r="BM168" s="387"/>
      <c r="BN168" s="387"/>
      <c r="BO168" s="387"/>
      <c r="BP168" s="387"/>
      <c r="BQ168" s="387"/>
      <c r="BR168" s="387"/>
      <c r="BS168" s="387"/>
      <c r="BT168" s="387"/>
      <c r="BU168" s="387"/>
      <c r="BV168" s="387"/>
    </row>
    <row r="169" spans="2:76" x14ac:dyDescent="0.3">
      <c r="B169" s="325"/>
      <c r="C169" s="309"/>
      <c r="D169" s="309"/>
      <c r="E169" s="421"/>
      <c r="F169" s="387"/>
      <c r="G169" s="387"/>
      <c r="H169" s="387"/>
      <c r="I169" s="387"/>
      <c r="J169" s="387"/>
      <c r="K169" s="387"/>
      <c r="L169" s="387"/>
      <c r="M169" s="387"/>
      <c r="N169" s="387"/>
      <c r="O169" s="387"/>
      <c r="P169" s="387"/>
      <c r="Q169" s="387"/>
      <c r="R169" s="387"/>
      <c r="S169" s="387"/>
      <c r="T169" s="387"/>
      <c r="U169" s="387"/>
      <c r="V169" s="387"/>
      <c r="W169" s="387"/>
      <c r="X169" s="387"/>
      <c r="Y169" s="387"/>
      <c r="Z169" s="387"/>
      <c r="AA169" s="387"/>
      <c r="AB169" s="387"/>
      <c r="AC169" s="387"/>
      <c r="AD169" s="387"/>
      <c r="AE169" s="387"/>
      <c r="AF169" s="387"/>
      <c r="AG169" s="387"/>
      <c r="AH169" s="387"/>
      <c r="AI169" s="387"/>
      <c r="AJ169" s="387"/>
      <c r="AK169" s="387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87"/>
      <c r="AV169" s="387"/>
      <c r="AW169" s="387"/>
      <c r="AX169" s="387"/>
      <c r="AY169" s="387"/>
      <c r="AZ169" s="387"/>
      <c r="BA169" s="387"/>
      <c r="BB169" s="387"/>
      <c r="BC169" s="387"/>
      <c r="BD169" s="387"/>
      <c r="BE169" s="387"/>
      <c r="BF169" s="387"/>
      <c r="BG169" s="387"/>
      <c r="BH169" s="387"/>
      <c r="BI169" s="387"/>
      <c r="BJ169" s="387"/>
      <c r="BK169" s="387"/>
      <c r="BL169" s="387"/>
      <c r="BM169" s="387"/>
      <c r="BN169" s="387"/>
      <c r="BO169" s="387"/>
      <c r="BP169" s="387"/>
      <c r="BQ169" s="387"/>
      <c r="BR169" s="387"/>
      <c r="BS169" s="387"/>
      <c r="BT169" s="387"/>
      <c r="BU169" s="387"/>
      <c r="BV169" s="387"/>
    </row>
    <row r="170" spans="2:76" x14ac:dyDescent="0.3">
      <c r="B170" s="325"/>
      <c r="C170" s="309"/>
      <c r="D170" s="309"/>
      <c r="E170" s="421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  <c r="Q170" s="387"/>
      <c r="R170" s="387"/>
      <c r="S170" s="387"/>
      <c r="T170" s="387"/>
      <c r="U170" s="387"/>
      <c r="V170" s="387"/>
      <c r="W170" s="387"/>
      <c r="X170" s="387"/>
      <c r="Y170" s="387"/>
      <c r="Z170" s="387"/>
      <c r="AA170" s="387"/>
      <c r="AB170" s="387"/>
      <c r="AC170" s="387"/>
      <c r="AD170" s="387"/>
      <c r="AE170" s="387"/>
      <c r="AF170" s="387"/>
      <c r="AG170" s="387"/>
      <c r="AH170" s="387"/>
      <c r="AI170" s="387"/>
      <c r="AJ170" s="387"/>
      <c r="AK170" s="387"/>
      <c r="AL170" s="387"/>
      <c r="AM170" s="387"/>
      <c r="AN170" s="387"/>
      <c r="AO170" s="387"/>
      <c r="AP170" s="387"/>
      <c r="AQ170" s="387"/>
      <c r="AR170" s="387"/>
      <c r="AS170" s="387"/>
      <c r="AT170" s="387"/>
      <c r="AU170" s="387"/>
      <c r="AV170" s="387"/>
      <c r="AW170" s="387"/>
      <c r="AX170" s="387"/>
      <c r="AY170" s="387"/>
      <c r="AZ170" s="387"/>
      <c r="BA170" s="387"/>
      <c r="BB170" s="387"/>
      <c r="BC170" s="387"/>
      <c r="BD170" s="387"/>
      <c r="BE170" s="387"/>
      <c r="BF170" s="387"/>
      <c r="BG170" s="387"/>
      <c r="BH170" s="387"/>
      <c r="BI170" s="387"/>
      <c r="BJ170" s="387"/>
      <c r="BK170" s="387"/>
      <c r="BL170" s="387"/>
      <c r="BM170" s="387"/>
      <c r="BN170" s="387"/>
      <c r="BO170" s="387"/>
      <c r="BP170" s="387"/>
      <c r="BQ170" s="387"/>
      <c r="BR170" s="387"/>
      <c r="BS170" s="387"/>
      <c r="BT170" s="387"/>
      <c r="BU170" s="387"/>
      <c r="BV170" s="387"/>
    </row>
    <row r="171" spans="2:76" x14ac:dyDescent="0.3">
      <c r="B171" s="325"/>
      <c r="C171" s="309"/>
      <c r="D171" s="309"/>
      <c r="E171" s="421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  <c r="Q171" s="387"/>
      <c r="R171" s="387"/>
      <c r="S171" s="387"/>
      <c r="T171" s="387"/>
      <c r="U171" s="387"/>
      <c r="V171" s="387"/>
      <c r="W171" s="387"/>
      <c r="X171" s="387"/>
      <c r="Y171" s="387"/>
      <c r="Z171" s="387"/>
      <c r="AA171" s="387"/>
      <c r="AB171" s="387"/>
      <c r="AC171" s="387"/>
      <c r="AD171" s="387"/>
      <c r="AE171" s="387"/>
      <c r="AF171" s="387"/>
      <c r="AG171" s="387"/>
      <c r="AH171" s="387"/>
      <c r="AI171" s="387"/>
      <c r="AJ171" s="387"/>
      <c r="AK171" s="387"/>
      <c r="AL171" s="387"/>
      <c r="AM171" s="387"/>
      <c r="AN171" s="387"/>
      <c r="AO171" s="387"/>
      <c r="AP171" s="387"/>
      <c r="AQ171" s="387"/>
      <c r="AR171" s="387"/>
      <c r="AS171" s="387"/>
      <c r="AT171" s="387"/>
      <c r="AU171" s="387"/>
      <c r="AV171" s="387"/>
      <c r="AW171" s="387"/>
      <c r="AX171" s="387"/>
      <c r="AY171" s="387"/>
      <c r="AZ171" s="387"/>
      <c r="BA171" s="387"/>
      <c r="BB171" s="387"/>
      <c r="BC171" s="387"/>
      <c r="BD171" s="387"/>
      <c r="BE171" s="387"/>
      <c r="BF171" s="387"/>
      <c r="BG171" s="387"/>
      <c r="BH171" s="387"/>
      <c r="BI171" s="387"/>
      <c r="BJ171" s="387"/>
      <c r="BK171" s="387"/>
      <c r="BL171" s="387"/>
      <c r="BM171" s="387"/>
      <c r="BN171" s="387"/>
      <c r="BO171" s="387"/>
      <c r="BP171" s="387"/>
      <c r="BQ171" s="387"/>
      <c r="BR171" s="387"/>
      <c r="BS171" s="387"/>
      <c r="BT171" s="387"/>
      <c r="BU171" s="387"/>
      <c r="BV171" s="387"/>
    </row>
    <row r="172" spans="2:76" x14ac:dyDescent="0.3">
      <c r="B172" s="325"/>
      <c r="C172" s="309"/>
      <c r="D172" s="309"/>
      <c r="E172" s="421"/>
      <c r="F172" s="387"/>
      <c r="G172" s="387"/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  <c r="AA172" s="387"/>
      <c r="AB172" s="387"/>
      <c r="AC172" s="387"/>
      <c r="AD172" s="387"/>
      <c r="AE172" s="387"/>
      <c r="AF172" s="387"/>
      <c r="AG172" s="387"/>
      <c r="AH172" s="387"/>
      <c r="AI172" s="387"/>
      <c r="AJ172" s="387"/>
      <c r="AK172" s="387"/>
      <c r="AL172" s="387"/>
      <c r="AM172" s="387"/>
      <c r="AN172" s="387"/>
      <c r="AO172" s="387"/>
      <c r="AP172" s="387"/>
      <c r="AQ172" s="387"/>
      <c r="AR172" s="387"/>
      <c r="AS172" s="387"/>
      <c r="AT172" s="387"/>
      <c r="AU172" s="387"/>
      <c r="AV172" s="387"/>
      <c r="AW172" s="387"/>
      <c r="AX172" s="387"/>
      <c r="AY172" s="387"/>
      <c r="AZ172" s="387"/>
      <c r="BA172" s="387"/>
      <c r="BB172" s="387"/>
      <c r="BC172" s="387"/>
      <c r="BD172" s="387"/>
      <c r="BE172" s="387"/>
      <c r="BF172" s="387"/>
      <c r="BG172" s="387"/>
      <c r="BH172" s="387"/>
      <c r="BI172" s="387"/>
      <c r="BJ172" s="387"/>
      <c r="BK172" s="387"/>
      <c r="BL172" s="387"/>
      <c r="BM172" s="387"/>
      <c r="BN172" s="387"/>
      <c r="BO172" s="387"/>
      <c r="BP172" s="387"/>
      <c r="BQ172" s="387"/>
      <c r="BR172" s="387"/>
      <c r="BS172" s="387"/>
      <c r="BT172" s="387"/>
      <c r="BU172" s="387"/>
      <c r="BV172" s="387"/>
    </row>
    <row r="173" spans="2:76" x14ac:dyDescent="0.3">
      <c r="B173" s="325"/>
      <c r="C173" s="325"/>
      <c r="D173" s="325"/>
      <c r="E173" s="421"/>
      <c r="F173" s="387"/>
      <c r="G173" s="387"/>
      <c r="H173" s="387"/>
      <c r="I173" s="387"/>
      <c r="J173" s="387"/>
      <c r="K173" s="387"/>
      <c r="L173" s="387"/>
      <c r="M173" s="387"/>
      <c r="N173" s="387"/>
      <c r="O173" s="387"/>
      <c r="P173" s="387"/>
      <c r="Q173" s="387"/>
      <c r="R173" s="387"/>
      <c r="S173" s="387"/>
      <c r="T173" s="387"/>
      <c r="U173" s="387"/>
      <c r="V173" s="387"/>
      <c r="W173" s="387"/>
      <c r="X173" s="387"/>
      <c r="Y173" s="387"/>
      <c r="Z173" s="387"/>
      <c r="AA173" s="387"/>
      <c r="AB173" s="387"/>
      <c r="AC173" s="387"/>
      <c r="AD173" s="387"/>
      <c r="AE173" s="387"/>
      <c r="AF173" s="387"/>
      <c r="AG173" s="387"/>
      <c r="AH173" s="387"/>
      <c r="AI173" s="387"/>
      <c r="AJ173" s="387"/>
      <c r="AK173" s="387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87"/>
      <c r="AV173" s="387"/>
      <c r="AW173" s="387"/>
      <c r="AX173" s="387"/>
      <c r="AY173" s="387"/>
      <c r="AZ173" s="387"/>
      <c r="BA173" s="387"/>
      <c r="BB173" s="387"/>
      <c r="BC173" s="387"/>
      <c r="BD173" s="387"/>
      <c r="BE173" s="387"/>
      <c r="BF173" s="387"/>
      <c r="BG173" s="387"/>
      <c r="BH173" s="387"/>
      <c r="BI173" s="387"/>
      <c r="BJ173" s="387"/>
      <c r="BK173" s="387"/>
      <c r="BL173" s="387"/>
      <c r="BM173" s="387"/>
      <c r="BN173" s="387"/>
      <c r="BO173" s="387"/>
      <c r="BP173" s="387"/>
      <c r="BQ173" s="387"/>
      <c r="BR173" s="387"/>
      <c r="BS173" s="387"/>
      <c r="BT173" s="387"/>
      <c r="BU173" s="387"/>
      <c r="BV173" s="387"/>
    </row>
    <row r="174" spans="2:76" x14ac:dyDescent="0.3">
      <c r="B174" s="325"/>
      <c r="C174" s="309"/>
      <c r="D174" s="309"/>
      <c r="E174" s="421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7"/>
      <c r="Y174" s="387"/>
      <c r="Z174" s="387"/>
      <c r="AA174" s="387"/>
      <c r="AB174" s="387"/>
      <c r="AC174" s="387"/>
      <c r="AD174" s="387"/>
      <c r="AE174" s="387"/>
      <c r="AF174" s="387"/>
      <c r="AG174" s="387"/>
      <c r="AH174" s="387"/>
      <c r="AI174" s="387"/>
      <c r="AJ174" s="387"/>
      <c r="AK174" s="387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87"/>
      <c r="AV174" s="387"/>
      <c r="AW174" s="387"/>
      <c r="AX174" s="387"/>
      <c r="AY174" s="387"/>
      <c r="AZ174" s="387"/>
      <c r="BA174" s="387"/>
      <c r="BB174" s="387"/>
      <c r="BC174" s="387"/>
      <c r="BD174" s="387"/>
      <c r="BE174" s="387"/>
      <c r="BF174" s="387"/>
      <c r="BG174" s="387"/>
      <c r="BH174" s="387"/>
      <c r="BI174" s="387"/>
      <c r="BJ174" s="387"/>
      <c r="BK174" s="387"/>
      <c r="BL174" s="387"/>
      <c r="BM174" s="387"/>
      <c r="BN174" s="387"/>
      <c r="BO174" s="387"/>
      <c r="BP174" s="387"/>
      <c r="BQ174" s="387"/>
      <c r="BR174" s="387"/>
      <c r="BS174" s="387"/>
      <c r="BT174" s="387"/>
      <c r="BU174" s="387"/>
      <c r="BV174" s="387"/>
    </row>
    <row r="175" spans="2:76" x14ac:dyDescent="0.3">
      <c r="C175" s="309"/>
      <c r="D175" s="309"/>
      <c r="E175" s="421"/>
      <c r="F175" s="387"/>
      <c r="G175" s="387"/>
      <c r="H175" s="387"/>
      <c r="I175" s="387"/>
      <c r="J175" s="387"/>
      <c r="K175" s="387"/>
      <c r="L175" s="387"/>
      <c r="M175" s="387"/>
      <c r="N175" s="387"/>
      <c r="O175" s="387"/>
      <c r="P175" s="387"/>
      <c r="Q175" s="387"/>
      <c r="R175" s="387"/>
      <c r="S175" s="387"/>
      <c r="T175" s="387"/>
      <c r="U175" s="387"/>
      <c r="V175" s="387"/>
      <c r="W175" s="387"/>
      <c r="X175" s="387"/>
      <c r="Y175" s="387"/>
      <c r="Z175" s="387"/>
      <c r="AA175" s="387"/>
      <c r="AB175" s="387"/>
      <c r="AC175" s="387"/>
      <c r="AD175" s="387"/>
      <c r="AE175" s="387"/>
      <c r="AF175" s="387"/>
      <c r="AG175" s="387"/>
      <c r="AH175" s="387"/>
      <c r="AI175" s="387"/>
      <c r="AJ175" s="387"/>
      <c r="AK175" s="387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87"/>
      <c r="AV175" s="387"/>
      <c r="AW175" s="387"/>
      <c r="AX175" s="387"/>
      <c r="AY175" s="387"/>
      <c r="AZ175" s="387"/>
      <c r="BA175" s="387"/>
      <c r="BB175" s="387"/>
      <c r="BC175" s="387"/>
      <c r="BD175" s="387"/>
      <c r="BE175" s="387"/>
      <c r="BF175" s="387"/>
      <c r="BG175" s="387"/>
      <c r="BH175" s="387"/>
      <c r="BI175" s="387"/>
      <c r="BJ175" s="387"/>
      <c r="BK175" s="387"/>
      <c r="BL175" s="387"/>
      <c r="BM175" s="387"/>
      <c r="BN175" s="387"/>
      <c r="BO175" s="387"/>
      <c r="BP175" s="387"/>
      <c r="BQ175" s="387"/>
      <c r="BR175" s="387"/>
      <c r="BS175" s="387"/>
      <c r="BT175" s="387"/>
      <c r="BU175" s="387"/>
      <c r="BV175" s="387"/>
    </row>
    <row r="176" spans="2:76" x14ac:dyDescent="0.3">
      <c r="B176" s="325"/>
      <c r="C176" s="309"/>
      <c r="D176" s="309"/>
      <c r="E176" s="421"/>
      <c r="F176" s="387"/>
      <c r="G176" s="387"/>
      <c r="H176" s="387"/>
      <c r="I176" s="387"/>
      <c r="J176" s="387"/>
      <c r="K176" s="387"/>
      <c r="L176" s="387"/>
      <c r="M176" s="387"/>
      <c r="N176" s="387"/>
      <c r="O176" s="387"/>
      <c r="P176" s="387"/>
      <c r="Q176" s="387"/>
      <c r="R176" s="387"/>
      <c r="S176" s="387"/>
      <c r="T176" s="387"/>
      <c r="U176" s="387"/>
      <c r="V176" s="387"/>
      <c r="W176" s="387"/>
      <c r="X176" s="387"/>
      <c r="Y176" s="387"/>
      <c r="Z176" s="387"/>
      <c r="AA176" s="387"/>
      <c r="AB176" s="387"/>
      <c r="AC176" s="387"/>
      <c r="AD176" s="387"/>
      <c r="AE176" s="387"/>
      <c r="AF176" s="387"/>
      <c r="AG176" s="387"/>
      <c r="AH176" s="387"/>
      <c r="AI176" s="387"/>
      <c r="AJ176" s="387"/>
      <c r="AK176" s="387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87"/>
      <c r="AV176" s="387"/>
      <c r="AW176" s="387"/>
      <c r="AX176" s="387"/>
      <c r="AY176" s="387"/>
      <c r="AZ176" s="387"/>
      <c r="BA176" s="387"/>
      <c r="BB176" s="387"/>
      <c r="BC176" s="387"/>
      <c r="BD176" s="387"/>
      <c r="BE176" s="387"/>
      <c r="BF176" s="387"/>
      <c r="BG176" s="387"/>
      <c r="BH176" s="387"/>
      <c r="BI176" s="387"/>
      <c r="BJ176" s="387"/>
      <c r="BK176" s="387"/>
      <c r="BL176" s="387"/>
      <c r="BM176" s="387"/>
      <c r="BN176" s="387"/>
      <c r="BO176" s="387"/>
      <c r="BP176" s="387"/>
      <c r="BQ176" s="387"/>
      <c r="BR176" s="387"/>
      <c r="BS176" s="387"/>
      <c r="BT176" s="387"/>
      <c r="BU176" s="387"/>
      <c r="BV176" s="387"/>
    </row>
    <row r="177" spans="2:74" x14ac:dyDescent="0.3">
      <c r="B177" s="325"/>
      <c r="C177" s="309"/>
      <c r="D177" s="309"/>
      <c r="E177" s="421"/>
      <c r="F177" s="387"/>
      <c r="G177" s="387"/>
      <c r="H177" s="387"/>
      <c r="I177" s="387"/>
      <c r="J177" s="387"/>
      <c r="K177" s="387"/>
      <c r="L177" s="387"/>
      <c r="M177" s="387"/>
      <c r="N177" s="387"/>
      <c r="O177" s="387"/>
      <c r="P177" s="387"/>
      <c r="Q177" s="387"/>
      <c r="R177" s="387"/>
      <c r="S177" s="387"/>
      <c r="T177" s="387"/>
      <c r="U177" s="387"/>
      <c r="V177" s="387"/>
      <c r="W177" s="387"/>
      <c r="X177" s="387"/>
      <c r="Y177" s="387"/>
      <c r="Z177" s="387"/>
      <c r="AA177" s="387"/>
      <c r="AB177" s="387"/>
      <c r="AC177" s="387"/>
      <c r="AD177" s="387"/>
      <c r="AE177" s="387"/>
      <c r="AF177" s="387"/>
      <c r="AG177" s="387"/>
      <c r="AH177" s="387"/>
      <c r="AI177" s="387"/>
      <c r="AJ177" s="387"/>
      <c r="AK177" s="387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87"/>
      <c r="AV177" s="387"/>
      <c r="AW177" s="387"/>
      <c r="AX177" s="387"/>
      <c r="AY177" s="387"/>
      <c r="AZ177" s="387"/>
      <c r="BA177" s="387"/>
      <c r="BB177" s="387"/>
      <c r="BC177" s="387"/>
      <c r="BD177" s="387"/>
      <c r="BE177" s="387"/>
      <c r="BF177" s="387"/>
      <c r="BG177" s="387"/>
      <c r="BH177" s="387"/>
      <c r="BI177" s="387"/>
      <c r="BJ177" s="387"/>
      <c r="BK177" s="387"/>
      <c r="BL177" s="387"/>
      <c r="BM177" s="387"/>
      <c r="BN177" s="387"/>
      <c r="BO177" s="387"/>
      <c r="BP177" s="387"/>
      <c r="BQ177" s="387"/>
      <c r="BR177" s="387"/>
      <c r="BS177" s="387"/>
      <c r="BT177" s="387"/>
      <c r="BU177" s="387"/>
      <c r="BV177" s="387"/>
    </row>
    <row r="178" spans="2:74" x14ac:dyDescent="0.3">
      <c r="B178" s="325"/>
      <c r="C178" s="309"/>
      <c r="D178" s="309"/>
      <c r="E178" s="421"/>
      <c r="F178" s="387"/>
      <c r="G178" s="387"/>
      <c r="H178" s="387"/>
      <c r="I178" s="387"/>
      <c r="J178" s="387"/>
      <c r="K178" s="387"/>
      <c r="L178" s="387"/>
      <c r="M178" s="387"/>
      <c r="N178" s="387"/>
      <c r="O178" s="387"/>
      <c r="P178" s="387"/>
      <c r="Q178" s="387"/>
      <c r="R178" s="387"/>
      <c r="S178" s="387"/>
      <c r="T178" s="387"/>
      <c r="U178" s="387"/>
      <c r="V178" s="387"/>
      <c r="W178" s="387"/>
      <c r="X178" s="387"/>
      <c r="Y178" s="387"/>
      <c r="Z178" s="387"/>
      <c r="AA178" s="387"/>
      <c r="AB178" s="387"/>
      <c r="AC178" s="387"/>
      <c r="AD178" s="387"/>
      <c r="AE178" s="387"/>
      <c r="AF178" s="387"/>
      <c r="AG178" s="387"/>
      <c r="AH178" s="387"/>
      <c r="AI178" s="387"/>
      <c r="AJ178" s="387"/>
      <c r="AK178" s="387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87"/>
      <c r="AV178" s="387"/>
      <c r="AW178" s="387"/>
      <c r="AX178" s="387"/>
      <c r="AY178" s="387"/>
      <c r="AZ178" s="387"/>
      <c r="BA178" s="387"/>
      <c r="BB178" s="387"/>
      <c r="BC178" s="387"/>
      <c r="BD178" s="387"/>
      <c r="BE178" s="387"/>
      <c r="BF178" s="387"/>
      <c r="BG178" s="387"/>
      <c r="BH178" s="387"/>
      <c r="BI178" s="387"/>
      <c r="BJ178" s="387"/>
      <c r="BK178" s="387"/>
      <c r="BL178" s="387"/>
      <c r="BM178" s="387"/>
      <c r="BN178" s="387"/>
      <c r="BO178" s="387"/>
      <c r="BP178" s="387"/>
      <c r="BQ178" s="387"/>
      <c r="BR178" s="387"/>
      <c r="BS178" s="387"/>
      <c r="BT178" s="387"/>
      <c r="BU178" s="387"/>
      <c r="BV178" s="387"/>
    </row>
    <row r="179" spans="2:74" x14ac:dyDescent="0.3">
      <c r="B179" s="325"/>
      <c r="C179" s="309"/>
      <c r="D179" s="309"/>
      <c r="E179" s="421"/>
      <c r="F179" s="387"/>
      <c r="G179" s="387"/>
      <c r="H179" s="387"/>
      <c r="I179" s="387"/>
      <c r="J179" s="387"/>
      <c r="K179" s="387"/>
      <c r="L179" s="387"/>
      <c r="M179" s="387"/>
      <c r="N179" s="387"/>
      <c r="O179" s="387"/>
      <c r="P179" s="387"/>
      <c r="Q179" s="387"/>
      <c r="R179" s="387"/>
      <c r="S179" s="387"/>
      <c r="T179" s="387"/>
      <c r="U179" s="387"/>
      <c r="V179" s="387"/>
      <c r="W179" s="387"/>
      <c r="X179" s="387"/>
      <c r="Y179" s="387"/>
      <c r="Z179" s="387"/>
      <c r="AA179" s="387"/>
      <c r="AB179" s="387"/>
      <c r="AC179" s="387"/>
      <c r="AD179" s="387"/>
      <c r="AE179" s="387"/>
      <c r="AF179" s="387"/>
      <c r="AG179" s="387"/>
      <c r="AH179" s="387"/>
      <c r="AI179" s="387"/>
      <c r="AJ179" s="387"/>
      <c r="AK179" s="387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87"/>
      <c r="AV179" s="387"/>
      <c r="AW179" s="387"/>
      <c r="AX179" s="387"/>
      <c r="AY179" s="387"/>
      <c r="AZ179" s="387"/>
      <c r="BA179" s="387"/>
      <c r="BB179" s="387"/>
      <c r="BC179" s="387"/>
      <c r="BD179" s="387"/>
      <c r="BE179" s="387"/>
      <c r="BF179" s="387"/>
      <c r="BG179" s="387"/>
      <c r="BH179" s="387"/>
      <c r="BI179" s="387"/>
      <c r="BJ179" s="387"/>
      <c r="BK179" s="387"/>
      <c r="BL179" s="387"/>
      <c r="BM179" s="387"/>
      <c r="BN179" s="387"/>
      <c r="BO179" s="387"/>
      <c r="BP179" s="387"/>
      <c r="BQ179" s="387"/>
      <c r="BR179" s="387"/>
      <c r="BS179" s="387"/>
      <c r="BT179" s="387"/>
      <c r="BU179" s="387"/>
      <c r="BV179" s="387"/>
    </row>
    <row r="180" spans="2:74" x14ac:dyDescent="0.3">
      <c r="B180" s="325"/>
      <c r="C180" s="309"/>
      <c r="D180" s="309"/>
      <c r="E180" s="421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7"/>
      <c r="Q180" s="387"/>
      <c r="R180" s="387"/>
      <c r="S180" s="387"/>
      <c r="T180" s="387"/>
      <c r="U180" s="387"/>
      <c r="V180" s="387"/>
      <c r="W180" s="387"/>
      <c r="X180" s="387"/>
      <c r="Y180" s="387"/>
      <c r="Z180" s="387"/>
      <c r="AA180" s="387"/>
      <c r="AB180" s="387"/>
      <c r="AC180" s="387"/>
      <c r="AD180" s="387"/>
      <c r="AE180" s="387"/>
      <c r="AF180" s="387"/>
      <c r="AG180" s="387"/>
      <c r="AH180" s="387"/>
      <c r="AI180" s="387"/>
      <c r="AJ180" s="387"/>
      <c r="AK180" s="387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87"/>
      <c r="AV180" s="387"/>
      <c r="AW180" s="387"/>
      <c r="AX180" s="387"/>
      <c r="AY180" s="387"/>
      <c r="AZ180" s="387"/>
      <c r="BA180" s="387"/>
      <c r="BB180" s="387"/>
      <c r="BC180" s="387"/>
      <c r="BD180" s="387"/>
      <c r="BE180" s="387"/>
      <c r="BF180" s="387"/>
      <c r="BG180" s="387"/>
      <c r="BH180" s="387"/>
      <c r="BI180" s="387"/>
      <c r="BJ180" s="387"/>
      <c r="BK180" s="387"/>
      <c r="BL180" s="387"/>
      <c r="BM180" s="387"/>
      <c r="BN180" s="387"/>
      <c r="BO180" s="387"/>
      <c r="BP180" s="387"/>
      <c r="BQ180" s="387"/>
      <c r="BR180" s="387"/>
      <c r="BS180" s="387"/>
      <c r="BT180" s="387"/>
      <c r="BU180" s="387"/>
      <c r="BV180" s="387"/>
    </row>
    <row r="181" spans="2:74" x14ac:dyDescent="0.3">
      <c r="B181" s="325"/>
      <c r="C181" s="309"/>
      <c r="D181" s="309"/>
      <c r="E181" s="421"/>
      <c r="F181" s="387"/>
      <c r="G181" s="387"/>
      <c r="H181" s="387"/>
      <c r="I181" s="387"/>
      <c r="J181" s="387"/>
      <c r="K181" s="387"/>
      <c r="L181" s="387"/>
      <c r="M181" s="387"/>
      <c r="N181" s="387"/>
      <c r="O181" s="387"/>
      <c r="P181" s="387"/>
      <c r="Q181" s="387"/>
      <c r="R181" s="387"/>
      <c r="S181" s="387"/>
      <c r="T181" s="387"/>
      <c r="U181" s="387"/>
      <c r="V181" s="387"/>
      <c r="W181" s="387"/>
      <c r="X181" s="387"/>
      <c r="Y181" s="387"/>
      <c r="Z181" s="387"/>
      <c r="AA181" s="387"/>
      <c r="AB181" s="387"/>
      <c r="AC181" s="387"/>
      <c r="AD181" s="387"/>
      <c r="AE181" s="387"/>
      <c r="AF181" s="387"/>
      <c r="AG181" s="387"/>
      <c r="AH181" s="387"/>
      <c r="AI181" s="387"/>
      <c r="AJ181" s="387"/>
      <c r="AK181" s="387"/>
      <c r="AL181" s="387"/>
      <c r="AM181" s="387"/>
      <c r="AN181" s="387"/>
      <c r="AO181" s="387"/>
      <c r="AP181" s="387"/>
      <c r="AQ181" s="387"/>
      <c r="AR181" s="387"/>
      <c r="AS181" s="387"/>
      <c r="AT181" s="387"/>
      <c r="AU181" s="387"/>
      <c r="AV181" s="387"/>
      <c r="AW181" s="387"/>
      <c r="AX181" s="387"/>
      <c r="AY181" s="387"/>
      <c r="AZ181" s="387"/>
      <c r="BA181" s="387"/>
      <c r="BB181" s="387"/>
      <c r="BC181" s="387"/>
      <c r="BD181" s="387"/>
      <c r="BE181" s="387"/>
      <c r="BF181" s="387"/>
      <c r="BG181" s="387"/>
      <c r="BH181" s="387"/>
      <c r="BI181" s="387"/>
      <c r="BJ181" s="387"/>
      <c r="BK181" s="387"/>
      <c r="BL181" s="387"/>
      <c r="BM181" s="387"/>
      <c r="BN181" s="387"/>
      <c r="BO181" s="387"/>
      <c r="BP181" s="387"/>
      <c r="BQ181" s="387"/>
      <c r="BR181" s="387"/>
      <c r="BS181" s="387"/>
      <c r="BT181" s="387"/>
      <c r="BU181" s="387"/>
      <c r="BV181" s="387"/>
    </row>
    <row r="182" spans="2:74" x14ac:dyDescent="0.3">
      <c r="B182" s="325"/>
      <c r="C182" s="309"/>
      <c r="D182" s="309"/>
      <c r="E182" s="421"/>
      <c r="F182" s="387"/>
      <c r="G182" s="387"/>
      <c r="H182" s="387"/>
      <c r="I182" s="387"/>
      <c r="J182" s="387"/>
      <c r="K182" s="387"/>
      <c r="L182" s="387"/>
      <c r="M182" s="387"/>
      <c r="N182" s="387"/>
      <c r="O182" s="387"/>
      <c r="P182" s="387"/>
      <c r="Q182" s="387"/>
      <c r="R182" s="387"/>
      <c r="S182" s="387"/>
      <c r="T182" s="387"/>
      <c r="U182" s="387"/>
      <c r="V182" s="387"/>
      <c r="W182" s="387"/>
      <c r="X182" s="387"/>
      <c r="Y182" s="387"/>
      <c r="Z182" s="387"/>
      <c r="AA182" s="387"/>
      <c r="AB182" s="387"/>
      <c r="AC182" s="387"/>
      <c r="AD182" s="387"/>
      <c r="AE182" s="387"/>
      <c r="AF182" s="387"/>
      <c r="AG182" s="387"/>
      <c r="AH182" s="387"/>
      <c r="AI182" s="387"/>
      <c r="AJ182" s="387"/>
      <c r="AK182" s="387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87"/>
      <c r="AV182" s="387"/>
      <c r="AW182" s="387"/>
      <c r="AX182" s="387"/>
      <c r="AY182" s="387"/>
      <c r="AZ182" s="387"/>
      <c r="BA182" s="387"/>
      <c r="BB182" s="387"/>
      <c r="BC182" s="387"/>
      <c r="BD182" s="387"/>
      <c r="BE182" s="387"/>
      <c r="BF182" s="387"/>
      <c r="BG182" s="387"/>
      <c r="BH182" s="387"/>
      <c r="BI182" s="387"/>
      <c r="BJ182" s="387"/>
      <c r="BK182" s="387"/>
      <c r="BL182" s="387"/>
      <c r="BM182" s="387"/>
      <c r="BN182" s="387"/>
      <c r="BO182" s="387"/>
      <c r="BP182" s="387"/>
      <c r="BQ182" s="387"/>
      <c r="BR182" s="387"/>
      <c r="BS182" s="387"/>
      <c r="BT182" s="387"/>
      <c r="BU182" s="387"/>
      <c r="BV182" s="387"/>
    </row>
    <row r="183" spans="2:74" x14ac:dyDescent="0.3">
      <c r="B183" s="325"/>
      <c r="C183" s="309"/>
      <c r="D183" s="309"/>
      <c r="E183" s="421"/>
      <c r="F183" s="387"/>
      <c r="G183" s="387"/>
      <c r="H183" s="387"/>
      <c r="I183" s="387"/>
      <c r="J183" s="387"/>
      <c r="K183" s="387"/>
      <c r="L183" s="387"/>
      <c r="M183" s="387"/>
      <c r="N183" s="387"/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7"/>
      <c r="Z183" s="387"/>
      <c r="AA183" s="387"/>
      <c r="AB183" s="387"/>
      <c r="AC183" s="387"/>
      <c r="AD183" s="387"/>
      <c r="AE183" s="387"/>
      <c r="AF183" s="387"/>
      <c r="AG183" s="387"/>
      <c r="AH183" s="387"/>
      <c r="AI183" s="387"/>
      <c r="AJ183" s="387"/>
      <c r="AK183" s="387"/>
      <c r="AL183" s="387"/>
      <c r="AM183" s="387"/>
      <c r="AN183" s="387"/>
      <c r="AO183" s="387"/>
      <c r="AP183" s="387"/>
      <c r="AQ183" s="387"/>
      <c r="AR183" s="387"/>
      <c r="AS183" s="387"/>
      <c r="AT183" s="387"/>
      <c r="AU183" s="387"/>
      <c r="AV183" s="387"/>
      <c r="AW183" s="387"/>
      <c r="AX183" s="387"/>
      <c r="AY183" s="387"/>
      <c r="AZ183" s="387"/>
      <c r="BA183" s="387"/>
      <c r="BB183" s="387"/>
      <c r="BC183" s="387"/>
      <c r="BD183" s="387"/>
      <c r="BE183" s="387"/>
      <c r="BF183" s="387"/>
      <c r="BG183" s="387"/>
      <c r="BH183" s="387"/>
      <c r="BI183" s="387"/>
      <c r="BJ183" s="387"/>
      <c r="BK183" s="387"/>
      <c r="BL183" s="387"/>
      <c r="BM183" s="387"/>
      <c r="BN183" s="387"/>
      <c r="BO183" s="387"/>
      <c r="BP183" s="387"/>
      <c r="BQ183" s="387"/>
      <c r="BR183" s="387"/>
      <c r="BS183" s="387"/>
      <c r="BT183" s="387"/>
      <c r="BU183" s="387"/>
      <c r="BV183" s="387"/>
    </row>
    <row r="184" spans="2:74" x14ac:dyDescent="0.3">
      <c r="B184" s="325"/>
      <c r="C184" s="309"/>
      <c r="D184" s="309"/>
      <c r="E184" s="421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7"/>
      <c r="S184" s="387"/>
      <c r="T184" s="387"/>
      <c r="U184" s="387"/>
      <c r="V184" s="387"/>
      <c r="W184" s="387"/>
      <c r="X184" s="387"/>
      <c r="Y184" s="387"/>
      <c r="Z184" s="387"/>
      <c r="AA184" s="387"/>
      <c r="AB184" s="387"/>
      <c r="AC184" s="387"/>
      <c r="AD184" s="387"/>
      <c r="AE184" s="387"/>
      <c r="AF184" s="387"/>
      <c r="AG184" s="387"/>
      <c r="AH184" s="387"/>
      <c r="AI184" s="387"/>
      <c r="AJ184" s="387"/>
      <c r="AK184" s="387"/>
      <c r="AL184" s="387"/>
      <c r="AM184" s="387"/>
      <c r="AN184" s="387"/>
      <c r="AO184" s="387"/>
      <c r="AP184" s="387"/>
      <c r="AQ184" s="387"/>
      <c r="AR184" s="387"/>
      <c r="AS184" s="387"/>
      <c r="AT184" s="387"/>
      <c r="AU184" s="387"/>
      <c r="AV184" s="387"/>
      <c r="AW184" s="387"/>
      <c r="AX184" s="387"/>
      <c r="AY184" s="387"/>
      <c r="AZ184" s="387"/>
      <c r="BA184" s="387"/>
      <c r="BB184" s="387"/>
      <c r="BC184" s="387"/>
      <c r="BD184" s="387"/>
      <c r="BE184" s="387"/>
      <c r="BF184" s="387"/>
      <c r="BG184" s="387"/>
      <c r="BH184" s="387"/>
      <c r="BI184" s="387"/>
      <c r="BJ184" s="387"/>
      <c r="BK184" s="387"/>
      <c r="BL184" s="387"/>
      <c r="BM184" s="387"/>
      <c r="BN184" s="387"/>
      <c r="BO184" s="387"/>
      <c r="BP184" s="387"/>
      <c r="BQ184" s="387"/>
      <c r="BR184" s="387"/>
      <c r="BS184" s="387"/>
      <c r="BT184" s="387"/>
      <c r="BU184" s="387"/>
      <c r="BV184" s="387"/>
    </row>
    <row r="185" spans="2:74" x14ac:dyDescent="0.3">
      <c r="B185" s="325"/>
      <c r="C185" s="325"/>
      <c r="D185" s="325"/>
      <c r="E185" s="421"/>
      <c r="F185" s="387"/>
      <c r="G185" s="387"/>
      <c r="H185" s="387"/>
      <c r="I185" s="387"/>
      <c r="J185" s="387"/>
      <c r="K185" s="387"/>
      <c r="L185" s="387"/>
      <c r="M185" s="387"/>
      <c r="N185" s="387"/>
      <c r="O185" s="387"/>
      <c r="P185" s="387"/>
      <c r="Q185" s="387"/>
      <c r="R185" s="387"/>
      <c r="S185" s="387"/>
      <c r="T185" s="387"/>
      <c r="U185" s="387"/>
      <c r="V185" s="387"/>
      <c r="W185" s="387"/>
      <c r="X185" s="387"/>
      <c r="Y185" s="387"/>
      <c r="Z185" s="387"/>
      <c r="AA185" s="387"/>
      <c r="AB185" s="387"/>
      <c r="AC185" s="387"/>
      <c r="AD185" s="387"/>
      <c r="AE185" s="387"/>
      <c r="AF185" s="387"/>
      <c r="AG185" s="387"/>
      <c r="AH185" s="387"/>
      <c r="AI185" s="387"/>
      <c r="AJ185" s="387"/>
      <c r="AK185" s="387"/>
      <c r="AL185" s="387"/>
      <c r="AM185" s="387"/>
      <c r="AN185" s="387"/>
      <c r="AO185" s="387"/>
      <c r="AP185" s="387"/>
      <c r="AQ185" s="387"/>
      <c r="AR185" s="387"/>
      <c r="AS185" s="387"/>
      <c r="AT185" s="387"/>
      <c r="AU185" s="387"/>
      <c r="AV185" s="387"/>
      <c r="AW185" s="387"/>
      <c r="AX185" s="387"/>
      <c r="AY185" s="387"/>
      <c r="AZ185" s="387"/>
      <c r="BA185" s="387"/>
      <c r="BB185" s="387"/>
      <c r="BC185" s="387"/>
      <c r="BD185" s="387"/>
      <c r="BE185" s="387"/>
      <c r="BF185" s="387"/>
      <c r="BG185" s="387"/>
      <c r="BH185" s="387"/>
      <c r="BI185" s="387"/>
      <c r="BJ185" s="387"/>
      <c r="BK185" s="387"/>
      <c r="BL185" s="387"/>
      <c r="BM185" s="387"/>
      <c r="BN185" s="387"/>
      <c r="BO185" s="387"/>
      <c r="BP185" s="387"/>
      <c r="BQ185" s="387"/>
      <c r="BR185" s="387"/>
      <c r="BS185" s="387"/>
      <c r="BT185" s="387"/>
      <c r="BU185" s="387"/>
      <c r="BV185" s="387"/>
    </row>
    <row r="186" spans="2:74" x14ac:dyDescent="0.3">
      <c r="B186" s="325"/>
      <c r="C186" s="309"/>
      <c r="D186" s="309"/>
      <c r="E186" s="421"/>
      <c r="F186" s="387"/>
      <c r="G186" s="387"/>
      <c r="H186" s="387"/>
      <c r="I186" s="387"/>
      <c r="J186" s="387"/>
      <c r="K186" s="387"/>
      <c r="L186" s="387"/>
      <c r="M186" s="387"/>
      <c r="N186" s="387"/>
      <c r="O186" s="387"/>
      <c r="P186" s="387"/>
      <c r="Q186" s="387"/>
      <c r="R186" s="387"/>
      <c r="S186" s="387"/>
      <c r="T186" s="387"/>
      <c r="U186" s="387"/>
      <c r="V186" s="387"/>
      <c r="W186" s="387"/>
      <c r="X186" s="387"/>
      <c r="Y186" s="387"/>
      <c r="Z186" s="387"/>
      <c r="AA186" s="387"/>
      <c r="AB186" s="387"/>
      <c r="AC186" s="387"/>
      <c r="AD186" s="387"/>
      <c r="AE186" s="387"/>
      <c r="AF186" s="387"/>
      <c r="AG186" s="387"/>
      <c r="AH186" s="387"/>
      <c r="AI186" s="387"/>
      <c r="AJ186" s="387"/>
      <c r="AK186" s="387"/>
      <c r="AL186" s="387"/>
      <c r="AM186" s="387"/>
      <c r="AN186" s="387"/>
      <c r="AO186" s="387"/>
      <c r="AP186" s="387"/>
      <c r="AQ186" s="387"/>
      <c r="AR186" s="387"/>
      <c r="AS186" s="387"/>
      <c r="AT186" s="387"/>
      <c r="AU186" s="387"/>
      <c r="AV186" s="387"/>
      <c r="AW186" s="387"/>
      <c r="AX186" s="387"/>
      <c r="AY186" s="387"/>
      <c r="AZ186" s="387"/>
      <c r="BA186" s="387"/>
      <c r="BB186" s="387"/>
      <c r="BC186" s="387"/>
      <c r="BD186" s="387"/>
      <c r="BE186" s="387"/>
      <c r="BF186" s="387"/>
      <c r="BG186" s="387"/>
      <c r="BH186" s="387"/>
      <c r="BI186" s="387"/>
      <c r="BJ186" s="387"/>
      <c r="BK186" s="387"/>
      <c r="BL186" s="387"/>
      <c r="BM186" s="387"/>
      <c r="BN186" s="387"/>
      <c r="BO186" s="387"/>
      <c r="BP186" s="387"/>
      <c r="BQ186" s="387"/>
      <c r="BR186" s="387"/>
      <c r="BS186" s="387"/>
      <c r="BT186" s="387"/>
      <c r="BU186" s="387"/>
      <c r="BV186" s="387"/>
    </row>
    <row r="187" spans="2:74" x14ac:dyDescent="0.3">
      <c r="B187" s="325"/>
      <c r="C187" s="309"/>
      <c r="D187" s="309"/>
      <c r="E187" s="421"/>
      <c r="F187" s="387"/>
      <c r="G187" s="387"/>
      <c r="H187" s="387"/>
      <c r="I187" s="387"/>
      <c r="J187" s="387"/>
      <c r="K187" s="387"/>
      <c r="L187" s="387"/>
      <c r="M187" s="387"/>
      <c r="N187" s="387"/>
      <c r="O187" s="387"/>
      <c r="P187" s="387"/>
      <c r="Q187" s="387"/>
      <c r="R187" s="387"/>
      <c r="S187" s="387"/>
      <c r="T187" s="387"/>
      <c r="U187" s="387"/>
      <c r="V187" s="387"/>
      <c r="W187" s="387"/>
      <c r="X187" s="387"/>
      <c r="Y187" s="387"/>
      <c r="Z187" s="387"/>
      <c r="AA187" s="387"/>
      <c r="AB187" s="387"/>
      <c r="AC187" s="387"/>
      <c r="AD187" s="387"/>
      <c r="AE187" s="387"/>
      <c r="AF187" s="387"/>
      <c r="AG187" s="387"/>
      <c r="AH187" s="387"/>
      <c r="AI187" s="387"/>
      <c r="AJ187" s="387"/>
      <c r="AK187" s="387"/>
      <c r="AL187" s="387"/>
      <c r="AM187" s="387"/>
      <c r="AN187" s="387"/>
      <c r="AO187" s="387"/>
      <c r="AP187" s="387"/>
      <c r="AQ187" s="387"/>
      <c r="AR187" s="387"/>
      <c r="AS187" s="387"/>
      <c r="AT187" s="387"/>
      <c r="AU187" s="387"/>
      <c r="AV187" s="387"/>
      <c r="AW187" s="387"/>
      <c r="AX187" s="387"/>
      <c r="AY187" s="387"/>
      <c r="AZ187" s="387"/>
      <c r="BA187" s="387"/>
      <c r="BB187" s="387"/>
      <c r="BC187" s="387"/>
      <c r="BD187" s="387"/>
      <c r="BE187" s="387"/>
      <c r="BF187" s="387"/>
      <c r="BG187" s="387"/>
      <c r="BH187" s="387"/>
      <c r="BI187" s="387"/>
      <c r="BJ187" s="387"/>
      <c r="BK187" s="387"/>
      <c r="BL187" s="387"/>
      <c r="BM187" s="387"/>
      <c r="BN187" s="387"/>
      <c r="BO187" s="387"/>
      <c r="BP187" s="387"/>
      <c r="BQ187" s="387"/>
      <c r="BR187" s="387"/>
      <c r="BS187" s="387"/>
      <c r="BT187" s="387"/>
      <c r="BU187" s="387"/>
      <c r="BV187" s="387"/>
    </row>
    <row r="188" spans="2:74" x14ac:dyDescent="0.3">
      <c r="B188" s="325"/>
      <c r="C188" s="309"/>
      <c r="D188" s="309"/>
      <c r="E188" s="421"/>
      <c r="F188" s="387"/>
      <c r="G188" s="387"/>
      <c r="H188" s="387"/>
      <c r="I188" s="387"/>
      <c r="J188" s="387"/>
      <c r="K188" s="387"/>
      <c r="L188" s="387"/>
      <c r="M188" s="387"/>
      <c r="N188" s="387"/>
      <c r="O188" s="387"/>
      <c r="P188" s="387"/>
      <c r="Q188" s="387"/>
      <c r="R188" s="387"/>
      <c r="S188" s="387"/>
      <c r="T188" s="387"/>
      <c r="U188" s="387"/>
      <c r="V188" s="387"/>
      <c r="W188" s="387"/>
      <c r="X188" s="387"/>
      <c r="Y188" s="387"/>
      <c r="Z188" s="387"/>
      <c r="AA188" s="387"/>
      <c r="AB188" s="387"/>
      <c r="AC188" s="387"/>
      <c r="AD188" s="387"/>
      <c r="AE188" s="387"/>
      <c r="AF188" s="387"/>
      <c r="AG188" s="387"/>
      <c r="AH188" s="387"/>
      <c r="AI188" s="387"/>
      <c r="AJ188" s="387"/>
      <c r="AK188" s="387"/>
      <c r="AL188" s="387"/>
      <c r="AM188" s="387"/>
      <c r="AN188" s="387"/>
      <c r="AO188" s="387"/>
      <c r="AP188" s="387"/>
      <c r="AQ188" s="387"/>
      <c r="AR188" s="387"/>
      <c r="AS188" s="387"/>
      <c r="AT188" s="387"/>
      <c r="AU188" s="387"/>
      <c r="AV188" s="387"/>
      <c r="AW188" s="387"/>
      <c r="AX188" s="387"/>
      <c r="AY188" s="387"/>
      <c r="AZ188" s="387"/>
      <c r="BA188" s="387"/>
      <c r="BB188" s="387"/>
      <c r="BC188" s="387"/>
      <c r="BD188" s="387"/>
      <c r="BE188" s="387"/>
      <c r="BF188" s="387"/>
      <c r="BG188" s="387"/>
      <c r="BH188" s="387"/>
      <c r="BI188" s="387"/>
      <c r="BJ188" s="387"/>
      <c r="BK188" s="387"/>
      <c r="BL188" s="387"/>
      <c r="BM188" s="387"/>
      <c r="BN188" s="387"/>
      <c r="BO188" s="387"/>
      <c r="BP188" s="387"/>
      <c r="BQ188" s="387"/>
      <c r="BR188" s="387"/>
      <c r="BS188" s="387"/>
      <c r="BT188" s="387"/>
      <c r="BU188" s="387"/>
      <c r="BV188" s="387"/>
    </row>
    <row r="189" spans="2:74" x14ac:dyDescent="0.3">
      <c r="B189" s="325"/>
      <c r="C189" s="309"/>
      <c r="D189" s="309"/>
      <c r="E189" s="421"/>
      <c r="F189" s="387"/>
      <c r="G189" s="387"/>
      <c r="H189" s="387"/>
      <c r="I189" s="387"/>
      <c r="J189" s="387"/>
      <c r="K189" s="387"/>
      <c r="L189" s="387"/>
      <c r="M189" s="387"/>
      <c r="N189" s="387"/>
      <c r="O189" s="387"/>
      <c r="P189" s="387"/>
      <c r="Q189" s="387"/>
      <c r="R189" s="387"/>
      <c r="S189" s="387"/>
      <c r="T189" s="387"/>
      <c r="U189" s="387"/>
      <c r="V189" s="387"/>
      <c r="W189" s="387"/>
      <c r="X189" s="387"/>
      <c r="Y189" s="387"/>
      <c r="Z189" s="387"/>
      <c r="AA189" s="387"/>
      <c r="AB189" s="387"/>
      <c r="AC189" s="387"/>
      <c r="AD189" s="387"/>
      <c r="AE189" s="387"/>
      <c r="AF189" s="387"/>
      <c r="AG189" s="387"/>
      <c r="AH189" s="387"/>
      <c r="AI189" s="387"/>
      <c r="AJ189" s="387"/>
      <c r="AK189" s="387"/>
      <c r="AL189" s="387"/>
      <c r="AM189" s="387"/>
      <c r="AN189" s="387"/>
      <c r="AO189" s="387"/>
      <c r="AP189" s="387"/>
      <c r="AQ189" s="387"/>
      <c r="AR189" s="387"/>
      <c r="AS189" s="387"/>
      <c r="AT189" s="387"/>
      <c r="AU189" s="387"/>
      <c r="AV189" s="387"/>
      <c r="AW189" s="387"/>
      <c r="AX189" s="387"/>
      <c r="AY189" s="387"/>
      <c r="AZ189" s="387"/>
      <c r="BA189" s="387"/>
      <c r="BB189" s="387"/>
      <c r="BC189" s="387"/>
      <c r="BD189" s="387"/>
      <c r="BE189" s="387"/>
      <c r="BF189" s="387"/>
      <c r="BG189" s="387"/>
      <c r="BH189" s="387"/>
      <c r="BI189" s="387"/>
      <c r="BJ189" s="387"/>
      <c r="BK189" s="387"/>
      <c r="BL189" s="387"/>
      <c r="BM189" s="387"/>
      <c r="BN189" s="387"/>
      <c r="BO189" s="387"/>
      <c r="BP189" s="387"/>
      <c r="BQ189" s="387"/>
      <c r="BR189" s="387"/>
      <c r="BS189" s="387"/>
      <c r="BT189" s="387"/>
      <c r="BU189" s="387"/>
      <c r="BV189" s="387"/>
    </row>
    <row r="190" spans="2:74" x14ac:dyDescent="0.3">
      <c r="B190" s="325"/>
      <c r="C190" s="309"/>
      <c r="D190" s="309"/>
      <c r="E190" s="421"/>
      <c r="F190" s="387"/>
      <c r="G190" s="387"/>
      <c r="H190" s="387"/>
      <c r="I190" s="387"/>
      <c r="J190" s="387"/>
      <c r="K190" s="387"/>
      <c r="L190" s="387"/>
      <c r="M190" s="387"/>
      <c r="N190" s="387"/>
      <c r="O190" s="387"/>
      <c r="P190" s="387"/>
      <c r="Q190" s="387"/>
      <c r="R190" s="387"/>
      <c r="S190" s="387"/>
      <c r="T190" s="387"/>
      <c r="U190" s="387"/>
      <c r="V190" s="387"/>
      <c r="W190" s="387"/>
      <c r="X190" s="387"/>
      <c r="Y190" s="387"/>
      <c r="Z190" s="387"/>
      <c r="AA190" s="387"/>
      <c r="AB190" s="387"/>
      <c r="AC190" s="387"/>
      <c r="AD190" s="387"/>
      <c r="AE190" s="387"/>
      <c r="AF190" s="387"/>
      <c r="AG190" s="387"/>
      <c r="AH190" s="387"/>
      <c r="AI190" s="387"/>
      <c r="AJ190" s="387"/>
      <c r="AK190" s="387"/>
      <c r="AL190" s="387"/>
      <c r="AM190" s="387"/>
      <c r="AN190" s="387"/>
      <c r="AO190" s="387"/>
      <c r="AP190" s="387"/>
      <c r="AQ190" s="387"/>
      <c r="AR190" s="387"/>
      <c r="AS190" s="387"/>
      <c r="AT190" s="387"/>
      <c r="AU190" s="387"/>
      <c r="AV190" s="387"/>
      <c r="AW190" s="387"/>
      <c r="AX190" s="387"/>
      <c r="AY190" s="387"/>
      <c r="AZ190" s="387"/>
      <c r="BA190" s="387"/>
      <c r="BB190" s="387"/>
      <c r="BC190" s="387"/>
      <c r="BD190" s="387"/>
      <c r="BE190" s="387"/>
      <c r="BF190" s="387"/>
      <c r="BG190" s="387"/>
      <c r="BH190" s="387"/>
      <c r="BI190" s="387"/>
      <c r="BJ190" s="387"/>
      <c r="BK190" s="387"/>
      <c r="BL190" s="387"/>
      <c r="BM190" s="387"/>
      <c r="BN190" s="387"/>
      <c r="BO190" s="387"/>
      <c r="BP190" s="387"/>
      <c r="BQ190" s="387"/>
      <c r="BR190" s="387"/>
      <c r="BS190" s="387"/>
      <c r="BT190" s="387"/>
      <c r="BU190" s="387"/>
      <c r="BV190" s="387"/>
    </row>
    <row r="191" spans="2:74" x14ac:dyDescent="0.3">
      <c r="B191" s="325"/>
      <c r="C191" s="309"/>
      <c r="D191" s="309"/>
      <c r="E191" s="421"/>
      <c r="F191" s="387"/>
      <c r="G191" s="387"/>
      <c r="H191" s="387"/>
      <c r="I191" s="387"/>
      <c r="J191" s="387"/>
      <c r="K191" s="387"/>
      <c r="L191" s="387"/>
      <c r="M191" s="387"/>
      <c r="N191" s="387"/>
      <c r="O191" s="387"/>
      <c r="P191" s="387"/>
      <c r="Q191" s="387"/>
      <c r="R191" s="387"/>
      <c r="S191" s="387"/>
      <c r="T191" s="387"/>
      <c r="U191" s="387"/>
      <c r="V191" s="387"/>
      <c r="W191" s="387"/>
      <c r="X191" s="387"/>
      <c r="Y191" s="387"/>
      <c r="Z191" s="387"/>
      <c r="AA191" s="387"/>
      <c r="AB191" s="387"/>
      <c r="AC191" s="387"/>
      <c r="AD191" s="387"/>
      <c r="AE191" s="387"/>
      <c r="AF191" s="387"/>
      <c r="AG191" s="387"/>
      <c r="AH191" s="387"/>
      <c r="AI191" s="387"/>
      <c r="AJ191" s="387"/>
      <c r="AK191" s="387"/>
      <c r="AL191" s="387"/>
      <c r="AM191" s="387"/>
      <c r="AN191" s="387"/>
      <c r="AO191" s="387"/>
      <c r="AP191" s="387"/>
      <c r="AQ191" s="387"/>
      <c r="AR191" s="387"/>
      <c r="AS191" s="387"/>
      <c r="AT191" s="387"/>
      <c r="AU191" s="387"/>
      <c r="AV191" s="387"/>
      <c r="AW191" s="387"/>
      <c r="AX191" s="387"/>
      <c r="AY191" s="387"/>
      <c r="AZ191" s="387"/>
      <c r="BA191" s="387"/>
      <c r="BB191" s="387"/>
      <c r="BC191" s="387"/>
      <c r="BD191" s="387"/>
      <c r="BE191" s="387"/>
      <c r="BF191" s="387"/>
      <c r="BG191" s="387"/>
      <c r="BH191" s="387"/>
      <c r="BI191" s="387"/>
      <c r="BJ191" s="387"/>
      <c r="BK191" s="387"/>
      <c r="BL191" s="387"/>
      <c r="BM191" s="387"/>
      <c r="BN191" s="387"/>
      <c r="BO191" s="387"/>
      <c r="BP191" s="387"/>
      <c r="BQ191" s="387"/>
      <c r="BR191" s="387"/>
      <c r="BS191" s="387"/>
      <c r="BT191" s="387"/>
      <c r="BU191" s="387"/>
      <c r="BV191" s="387"/>
    </row>
    <row r="192" spans="2:74" x14ac:dyDescent="0.3">
      <c r="B192" s="325"/>
      <c r="C192" s="309"/>
      <c r="D192" s="309"/>
      <c r="E192" s="421"/>
      <c r="F192" s="387"/>
      <c r="G192" s="387"/>
      <c r="H192" s="387"/>
      <c r="I192" s="387"/>
      <c r="J192" s="387"/>
      <c r="K192" s="387"/>
      <c r="L192" s="387"/>
      <c r="M192" s="387"/>
      <c r="N192" s="387"/>
      <c r="O192" s="387"/>
      <c r="P192" s="387"/>
      <c r="Q192" s="387"/>
      <c r="R192" s="387"/>
      <c r="S192" s="387"/>
      <c r="T192" s="387"/>
      <c r="U192" s="387"/>
      <c r="V192" s="387"/>
      <c r="W192" s="387"/>
      <c r="X192" s="387"/>
      <c r="Y192" s="387"/>
      <c r="Z192" s="387"/>
      <c r="AA192" s="387"/>
      <c r="AB192" s="387"/>
      <c r="AC192" s="387"/>
      <c r="AD192" s="387"/>
      <c r="AE192" s="387"/>
      <c r="AF192" s="387"/>
      <c r="AG192" s="387"/>
      <c r="AH192" s="387"/>
      <c r="AI192" s="387"/>
      <c r="AJ192" s="387"/>
      <c r="AK192" s="387"/>
      <c r="AL192" s="387"/>
      <c r="AM192" s="387"/>
      <c r="AN192" s="387"/>
      <c r="AO192" s="387"/>
      <c r="AP192" s="387"/>
      <c r="AQ192" s="387"/>
      <c r="AR192" s="387"/>
      <c r="AS192" s="387"/>
      <c r="AT192" s="387"/>
      <c r="AU192" s="387"/>
      <c r="AV192" s="387"/>
      <c r="AW192" s="387"/>
      <c r="AX192" s="387"/>
      <c r="AY192" s="387"/>
      <c r="AZ192" s="387"/>
      <c r="BA192" s="387"/>
      <c r="BB192" s="387"/>
      <c r="BC192" s="387"/>
      <c r="BD192" s="387"/>
      <c r="BE192" s="387"/>
      <c r="BF192" s="387"/>
      <c r="BG192" s="387"/>
      <c r="BH192" s="387"/>
      <c r="BI192" s="387"/>
      <c r="BJ192" s="387"/>
      <c r="BK192" s="387"/>
      <c r="BL192" s="387"/>
      <c r="BM192" s="387"/>
      <c r="BN192" s="387"/>
      <c r="BO192" s="387"/>
      <c r="BP192" s="387"/>
      <c r="BQ192" s="387"/>
      <c r="BR192" s="387"/>
      <c r="BS192" s="387"/>
      <c r="BT192" s="387"/>
      <c r="BU192" s="387"/>
      <c r="BV192" s="387"/>
    </row>
    <row r="193" spans="2:74" x14ac:dyDescent="0.3">
      <c r="B193" s="325"/>
      <c r="C193" s="309"/>
      <c r="D193" s="309"/>
      <c r="E193" s="421"/>
      <c r="F193" s="387"/>
      <c r="G193" s="387"/>
      <c r="H193" s="387"/>
      <c r="I193" s="387"/>
      <c r="J193" s="387"/>
      <c r="K193" s="387"/>
      <c r="L193" s="387"/>
      <c r="M193" s="387"/>
      <c r="N193" s="387"/>
      <c r="O193" s="387"/>
      <c r="P193" s="387"/>
      <c r="Q193" s="387"/>
      <c r="R193" s="387"/>
      <c r="S193" s="387"/>
      <c r="T193" s="387"/>
      <c r="U193" s="387"/>
      <c r="V193" s="387"/>
      <c r="W193" s="387"/>
      <c r="X193" s="387"/>
      <c r="Y193" s="387"/>
      <c r="Z193" s="387"/>
      <c r="AA193" s="387"/>
      <c r="AB193" s="387"/>
      <c r="AC193" s="387"/>
      <c r="AD193" s="387"/>
      <c r="AE193" s="387"/>
      <c r="AF193" s="387"/>
      <c r="AG193" s="387"/>
      <c r="AH193" s="387"/>
      <c r="AI193" s="387"/>
      <c r="AJ193" s="387"/>
      <c r="AK193" s="387"/>
      <c r="AL193" s="387"/>
      <c r="AM193" s="387"/>
      <c r="AN193" s="387"/>
      <c r="AO193" s="387"/>
      <c r="AP193" s="387"/>
      <c r="AQ193" s="387"/>
      <c r="AR193" s="387"/>
      <c r="AS193" s="387"/>
      <c r="AT193" s="387"/>
      <c r="AU193" s="387"/>
      <c r="AV193" s="387"/>
      <c r="AW193" s="387"/>
      <c r="AX193" s="387"/>
      <c r="AY193" s="387"/>
      <c r="AZ193" s="387"/>
      <c r="BA193" s="387"/>
      <c r="BB193" s="387"/>
      <c r="BC193" s="387"/>
      <c r="BD193" s="387"/>
      <c r="BE193" s="387"/>
      <c r="BF193" s="387"/>
      <c r="BG193" s="387"/>
      <c r="BH193" s="387"/>
      <c r="BI193" s="387"/>
      <c r="BJ193" s="387"/>
      <c r="BK193" s="387"/>
      <c r="BL193" s="387"/>
      <c r="BM193" s="387"/>
      <c r="BN193" s="387"/>
      <c r="BO193" s="387"/>
      <c r="BP193" s="387"/>
      <c r="BQ193" s="387"/>
      <c r="BR193" s="387"/>
      <c r="BS193" s="387"/>
      <c r="BT193" s="387"/>
      <c r="BU193" s="387"/>
      <c r="BV193" s="387"/>
    </row>
    <row r="194" spans="2:74" x14ac:dyDescent="0.3">
      <c r="B194" s="325"/>
      <c r="C194" s="309"/>
      <c r="D194" s="309"/>
      <c r="E194" s="421"/>
      <c r="F194" s="387"/>
      <c r="G194" s="387"/>
      <c r="H194" s="387"/>
      <c r="I194" s="387"/>
      <c r="J194" s="387"/>
      <c r="K194" s="387"/>
      <c r="L194" s="387"/>
      <c r="M194" s="387"/>
      <c r="N194" s="387"/>
      <c r="O194" s="387"/>
      <c r="P194" s="387"/>
      <c r="Q194" s="387"/>
      <c r="R194" s="387"/>
      <c r="S194" s="387"/>
      <c r="T194" s="387"/>
      <c r="U194" s="387"/>
      <c r="V194" s="387"/>
      <c r="W194" s="387"/>
      <c r="X194" s="387"/>
      <c r="Y194" s="387"/>
      <c r="Z194" s="387"/>
      <c r="AA194" s="387"/>
      <c r="AB194" s="387"/>
      <c r="AC194" s="387"/>
      <c r="AD194" s="387"/>
      <c r="AE194" s="387"/>
      <c r="AF194" s="387"/>
      <c r="AG194" s="387"/>
      <c r="AH194" s="387"/>
      <c r="AI194" s="387"/>
      <c r="AJ194" s="387"/>
      <c r="AK194" s="387"/>
      <c r="AL194" s="387"/>
      <c r="AM194" s="387"/>
      <c r="AN194" s="387"/>
      <c r="AO194" s="387"/>
      <c r="AP194" s="387"/>
      <c r="AQ194" s="387"/>
      <c r="AR194" s="387"/>
      <c r="AS194" s="387"/>
      <c r="AT194" s="387"/>
      <c r="AU194" s="387"/>
      <c r="AV194" s="387"/>
      <c r="AW194" s="387"/>
      <c r="AX194" s="387"/>
      <c r="AY194" s="387"/>
      <c r="AZ194" s="387"/>
      <c r="BA194" s="387"/>
      <c r="BB194" s="387"/>
      <c r="BC194" s="387"/>
      <c r="BD194" s="387"/>
      <c r="BE194" s="387"/>
      <c r="BF194" s="387"/>
      <c r="BG194" s="387"/>
      <c r="BH194" s="387"/>
      <c r="BI194" s="387"/>
      <c r="BJ194" s="387"/>
      <c r="BK194" s="387"/>
      <c r="BL194" s="387"/>
      <c r="BM194" s="387"/>
      <c r="BN194" s="387"/>
      <c r="BO194" s="387"/>
      <c r="BP194" s="387"/>
      <c r="BQ194" s="387"/>
      <c r="BR194" s="387"/>
      <c r="BS194" s="387"/>
      <c r="BT194" s="387"/>
      <c r="BU194" s="387"/>
      <c r="BV194" s="387"/>
    </row>
    <row r="195" spans="2:74" x14ac:dyDescent="0.3">
      <c r="B195" s="325"/>
      <c r="C195" s="309"/>
      <c r="D195" s="309"/>
      <c r="E195" s="421"/>
      <c r="F195" s="387"/>
      <c r="G195" s="387"/>
      <c r="H195" s="387"/>
      <c r="I195" s="387"/>
      <c r="J195" s="387"/>
      <c r="K195" s="387"/>
      <c r="L195" s="387"/>
      <c r="M195" s="387"/>
      <c r="N195" s="387"/>
      <c r="O195" s="387"/>
      <c r="P195" s="387"/>
      <c r="Q195" s="387"/>
      <c r="R195" s="387"/>
      <c r="S195" s="387"/>
      <c r="T195" s="387"/>
      <c r="U195" s="387"/>
      <c r="V195" s="387"/>
      <c r="W195" s="387"/>
      <c r="X195" s="387"/>
      <c r="Y195" s="387"/>
      <c r="Z195" s="387"/>
      <c r="AA195" s="387"/>
      <c r="AB195" s="387"/>
      <c r="AC195" s="387"/>
      <c r="AD195" s="387"/>
      <c r="AE195" s="387"/>
      <c r="AF195" s="387"/>
      <c r="AG195" s="387"/>
      <c r="AH195" s="387"/>
      <c r="AI195" s="387"/>
      <c r="AJ195" s="387"/>
      <c r="AK195" s="387"/>
      <c r="AL195" s="387"/>
      <c r="AM195" s="387"/>
      <c r="AN195" s="387"/>
      <c r="AO195" s="387"/>
      <c r="AP195" s="387"/>
      <c r="AQ195" s="387"/>
      <c r="AR195" s="387"/>
      <c r="AS195" s="387"/>
      <c r="AT195" s="387"/>
      <c r="AU195" s="387"/>
      <c r="AV195" s="387"/>
      <c r="AW195" s="387"/>
      <c r="AX195" s="387"/>
      <c r="AY195" s="387"/>
      <c r="AZ195" s="387"/>
      <c r="BA195" s="387"/>
      <c r="BB195" s="387"/>
      <c r="BC195" s="387"/>
      <c r="BD195" s="387"/>
      <c r="BE195" s="387"/>
      <c r="BF195" s="387"/>
      <c r="BG195" s="387"/>
      <c r="BH195" s="387"/>
      <c r="BI195" s="387"/>
      <c r="BJ195" s="387"/>
      <c r="BK195" s="387"/>
      <c r="BL195" s="387"/>
      <c r="BM195" s="387"/>
      <c r="BN195" s="387"/>
      <c r="BO195" s="387"/>
      <c r="BP195" s="387"/>
      <c r="BQ195" s="387"/>
      <c r="BR195" s="387"/>
      <c r="BS195" s="387"/>
      <c r="BT195" s="387"/>
      <c r="BU195" s="387"/>
      <c r="BV195" s="387"/>
    </row>
    <row r="196" spans="2:74" x14ac:dyDescent="0.3">
      <c r="B196" s="325"/>
      <c r="C196" s="309"/>
      <c r="D196" s="309"/>
      <c r="E196" s="421"/>
      <c r="F196" s="387"/>
      <c r="G196" s="387"/>
      <c r="H196" s="387"/>
      <c r="I196" s="387"/>
      <c r="J196" s="387"/>
      <c r="K196" s="387"/>
      <c r="L196" s="387"/>
      <c r="M196" s="387"/>
      <c r="N196" s="387"/>
      <c r="O196" s="387"/>
      <c r="P196" s="387"/>
      <c r="Q196" s="387"/>
      <c r="R196" s="387"/>
      <c r="S196" s="387"/>
      <c r="T196" s="387"/>
      <c r="U196" s="387"/>
      <c r="V196" s="387"/>
      <c r="W196" s="387"/>
      <c r="X196" s="387"/>
      <c r="Y196" s="387"/>
      <c r="Z196" s="387"/>
      <c r="AA196" s="387"/>
      <c r="AB196" s="387"/>
      <c r="AC196" s="387"/>
      <c r="AD196" s="387"/>
      <c r="AE196" s="387"/>
      <c r="AF196" s="387"/>
      <c r="AG196" s="387"/>
      <c r="AH196" s="387"/>
      <c r="AI196" s="387"/>
      <c r="AJ196" s="387"/>
      <c r="AK196" s="387"/>
      <c r="AL196" s="387"/>
      <c r="AM196" s="387"/>
      <c r="AN196" s="387"/>
      <c r="AO196" s="387"/>
      <c r="AP196" s="387"/>
      <c r="AQ196" s="387"/>
      <c r="AR196" s="387"/>
      <c r="AS196" s="387"/>
      <c r="AT196" s="387"/>
      <c r="AU196" s="387"/>
      <c r="AV196" s="387"/>
      <c r="AW196" s="387"/>
      <c r="AX196" s="387"/>
      <c r="AY196" s="387"/>
      <c r="AZ196" s="387"/>
      <c r="BA196" s="387"/>
      <c r="BB196" s="387"/>
      <c r="BC196" s="387"/>
      <c r="BD196" s="387"/>
      <c r="BE196" s="387"/>
      <c r="BF196" s="387"/>
      <c r="BG196" s="387"/>
      <c r="BH196" s="387"/>
      <c r="BI196" s="387"/>
      <c r="BJ196" s="387"/>
      <c r="BK196" s="387"/>
      <c r="BL196" s="387"/>
      <c r="BM196" s="387"/>
      <c r="BN196" s="387"/>
      <c r="BO196" s="387"/>
      <c r="BP196" s="387"/>
      <c r="BQ196" s="387"/>
      <c r="BR196" s="387"/>
      <c r="BS196" s="387"/>
      <c r="BT196" s="387"/>
      <c r="BU196" s="387"/>
      <c r="BV196" s="387"/>
    </row>
    <row r="197" spans="2:74" x14ac:dyDescent="0.3">
      <c r="B197" s="325"/>
      <c r="C197" s="309"/>
      <c r="D197" s="309"/>
      <c r="E197" s="421"/>
      <c r="F197" s="387"/>
      <c r="G197" s="387"/>
      <c r="H197" s="387"/>
      <c r="I197" s="387"/>
      <c r="J197" s="387"/>
      <c r="K197" s="387"/>
      <c r="L197" s="387"/>
      <c r="M197" s="387"/>
      <c r="N197" s="387"/>
      <c r="O197" s="387"/>
      <c r="P197" s="387"/>
      <c r="Q197" s="387"/>
      <c r="R197" s="387"/>
      <c r="S197" s="387"/>
      <c r="T197" s="387"/>
      <c r="U197" s="387"/>
      <c r="V197" s="387"/>
      <c r="W197" s="387"/>
      <c r="X197" s="387"/>
      <c r="Y197" s="387"/>
      <c r="Z197" s="387"/>
      <c r="AA197" s="387"/>
      <c r="AB197" s="387"/>
      <c r="AC197" s="387"/>
      <c r="AD197" s="387"/>
      <c r="AE197" s="387"/>
      <c r="AF197" s="387"/>
      <c r="AG197" s="387"/>
      <c r="AH197" s="387"/>
      <c r="AI197" s="387"/>
      <c r="AJ197" s="387"/>
      <c r="AK197" s="387"/>
      <c r="AL197" s="387"/>
      <c r="AM197" s="387"/>
      <c r="AN197" s="387"/>
      <c r="AO197" s="387"/>
      <c r="AP197" s="387"/>
      <c r="AQ197" s="387"/>
      <c r="AR197" s="387"/>
      <c r="AS197" s="387"/>
      <c r="AT197" s="387"/>
      <c r="AU197" s="387"/>
      <c r="AV197" s="387"/>
      <c r="AW197" s="387"/>
      <c r="AX197" s="387"/>
      <c r="AY197" s="387"/>
      <c r="AZ197" s="387"/>
      <c r="BA197" s="387"/>
      <c r="BB197" s="387"/>
      <c r="BC197" s="387"/>
      <c r="BD197" s="387"/>
      <c r="BE197" s="387"/>
      <c r="BF197" s="387"/>
      <c r="BG197" s="387"/>
      <c r="BH197" s="387"/>
      <c r="BI197" s="387"/>
      <c r="BJ197" s="387"/>
      <c r="BK197" s="387"/>
      <c r="BL197" s="387"/>
      <c r="BM197" s="387"/>
      <c r="BN197" s="387"/>
      <c r="BO197" s="387"/>
      <c r="BP197" s="387"/>
      <c r="BQ197" s="387"/>
      <c r="BR197" s="387"/>
      <c r="BS197" s="387"/>
      <c r="BT197" s="387"/>
      <c r="BU197" s="387"/>
      <c r="BV197" s="387"/>
    </row>
    <row r="198" spans="2:74" x14ac:dyDescent="0.3">
      <c r="B198" s="325"/>
      <c r="C198" s="325"/>
      <c r="D198" s="325"/>
      <c r="E198" s="421"/>
      <c r="F198" s="387"/>
      <c r="G198" s="387"/>
      <c r="H198" s="387"/>
      <c r="I198" s="387"/>
      <c r="J198" s="387"/>
      <c r="K198" s="387"/>
      <c r="L198" s="387"/>
      <c r="M198" s="387"/>
      <c r="N198" s="387"/>
      <c r="O198" s="387"/>
      <c r="P198" s="387"/>
      <c r="Q198" s="387"/>
      <c r="R198" s="387"/>
      <c r="S198" s="387"/>
      <c r="T198" s="387"/>
      <c r="U198" s="387"/>
      <c r="V198" s="387"/>
      <c r="W198" s="387"/>
      <c r="X198" s="387"/>
      <c r="Y198" s="387"/>
      <c r="Z198" s="387"/>
      <c r="AA198" s="387"/>
      <c r="AB198" s="387"/>
      <c r="AC198" s="387"/>
      <c r="AD198" s="387"/>
      <c r="AE198" s="387"/>
      <c r="AF198" s="387"/>
      <c r="AG198" s="387"/>
      <c r="AH198" s="387"/>
      <c r="AI198" s="387"/>
      <c r="AJ198" s="387"/>
      <c r="AK198" s="387"/>
      <c r="AL198" s="387"/>
      <c r="AM198" s="387"/>
      <c r="AN198" s="387"/>
      <c r="AO198" s="387"/>
      <c r="AP198" s="387"/>
      <c r="AQ198" s="387"/>
      <c r="AR198" s="387"/>
      <c r="AS198" s="387"/>
      <c r="AT198" s="387"/>
      <c r="AU198" s="387"/>
      <c r="AV198" s="387"/>
      <c r="AW198" s="387"/>
      <c r="AX198" s="387"/>
      <c r="AY198" s="387"/>
      <c r="AZ198" s="387"/>
      <c r="BA198" s="387"/>
      <c r="BB198" s="387"/>
      <c r="BC198" s="387"/>
      <c r="BD198" s="387"/>
      <c r="BE198" s="387"/>
      <c r="BF198" s="387"/>
      <c r="BG198" s="387"/>
      <c r="BH198" s="387"/>
      <c r="BI198" s="387"/>
      <c r="BJ198" s="387"/>
      <c r="BK198" s="387"/>
      <c r="BL198" s="387"/>
      <c r="BM198" s="387"/>
      <c r="BN198" s="387"/>
      <c r="BO198" s="387"/>
      <c r="BP198" s="387"/>
      <c r="BQ198" s="387"/>
      <c r="BR198" s="387"/>
      <c r="BS198" s="387"/>
      <c r="BT198" s="387"/>
      <c r="BU198" s="387"/>
      <c r="BV198" s="387"/>
    </row>
    <row r="199" spans="2:74" x14ac:dyDescent="0.3">
      <c r="B199" s="325"/>
      <c r="C199" s="325"/>
      <c r="D199" s="325"/>
      <c r="E199" s="421"/>
      <c r="F199" s="387"/>
      <c r="G199" s="387"/>
      <c r="H199" s="387"/>
      <c r="I199" s="387"/>
      <c r="J199" s="387"/>
      <c r="K199" s="387"/>
      <c r="L199" s="387"/>
      <c r="M199" s="387"/>
      <c r="N199" s="387"/>
      <c r="O199" s="387"/>
      <c r="P199" s="387"/>
      <c r="Q199" s="387"/>
      <c r="R199" s="387"/>
      <c r="S199" s="387"/>
      <c r="T199" s="387"/>
      <c r="U199" s="387"/>
      <c r="V199" s="387"/>
      <c r="W199" s="387"/>
      <c r="X199" s="387"/>
      <c r="Y199" s="387"/>
      <c r="Z199" s="387"/>
      <c r="AA199" s="387"/>
      <c r="AB199" s="387"/>
      <c r="AC199" s="387"/>
      <c r="AD199" s="387"/>
      <c r="AE199" s="387"/>
      <c r="AF199" s="387"/>
      <c r="AG199" s="387"/>
      <c r="AH199" s="387"/>
      <c r="AI199" s="387"/>
      <c r="AJ199" s="387"/>
      <c r="AK199" s="387"/>
      <c r="AL199" s="387"/>
      <c r="AM199" s="387"/>
      <c r="AN199" s="387"/>
      <c r="AO199" s="387"/>
      <c r="AP199" s="387"/>
      <c r="AQ199" s="387"/>
      <c r="AR199" s="387"/>
      <c r="AS199" s="387"/>
      <c r="AT199" s="387"/>
      <c r="AU199" s="387"/>
      <c r="AV199" s="387"/>
      <c r="AW199" s="387"/>
      <c r="AX199" s="387"/>
      <c r="AY199" s="387"/>
      <c r="AZ199" s="387"/>
      <c r="BA199" s="387"/>
      <c r="BB199" s="387"/>
      <c r="BC199" s="387"/>
      <c r="BD199" s="387"/>
      <c r="BE199" s="387"/>
      <c r="BF199" s="387"/>
      <c r="BG199" s="387"/>
      <c r="BH199" s="387"/>
      <c r="BI199" s="387"/>
      <c r="BJ199" s="387"/>
      <c r="BK199" s="387"/>
      <c r="BL199" s="387"/>
      <c r="BM199" s="387"/>
      <c r="BN199" s="387"/>
      <c r="BO199" s="387"/>
      <c r="BP199" s="387"/>
      <c r="BQ199" s="387"/>
      <c r="BR199" s="387"/>
      <c r="BS199" s="387"/>
      <c r="BT199" s="387"/>
      <c r="BU199" s="387"/>
      <c r="BV199" s="387"/>
    </row>
    <row r="200" spans="2:74" x14ac:dyDescent="0.3">
      <c r="B200" s="325"/>
      <c r="C200" s="309"/>
      <c r="D200" s="309"/>
      <c r="E200" s="421"/>
      <c r="F200" s="387"/>
      <c r="G200" s="387"/>
      <c r="H200" s="387"/>
      <c r="I200" s="387"/>
      <c r="J200" s="387"/>
      <c r="K200" s="387"/>
      <c r="L200" s="387"/>
      <c r="M200" s="387"/>
      <c r="N200" s="387"/>
      <c r="O200" s="387"/>
      <c r="P200" s="387"/>
      <c r="Q200" s="387"/>
      <c r="R200" s="387"/>
      <c r="S200" s="387"/>
      <c r="T200" s="387"/>
      <c r="U200" s="387"/>
      <c r="V200" s="387"/>
      <c r="W200" s="387"/>
      <c r="X200" s="387"/>
      <c r="Y200" s="387"/>
      <c r="Z200" s="387"/>
      <c r="AA200" s="387"/>
      <c r="AB200" s="387"/>
      <c r="AC200" s="387"/>
      <c r="AD200" s="387"/>
      <c r="AE200" s="387"/>
      <c r="AF200" s="387"/>
      <c r="AG200" s="387"/>
      <c r="AH200" s="387"/>
      <c r="AI200" s="387"/>
      <c r="AJ200" s="387"/>
      <c r="AK200" s="387"/>
      <c r="AL200" s="387"/>
      <c r="AM200" s="387"/>
      <c r="AN200" s="387"/>
      <c r="AO200" s="387"/>
      <c r="AP200" s="387"/>
      <c r="AQ200" s="387"/>
      <c r="AR200" s="387"/>
      <c r="AS200" s="387"/>
      <c r="AT200" s="387"/>
      <c r="AU200" s="387"/>
      <c r="AV200" s="387"/>
      <c r="AW200" s="387"/>
      <c r="AX200" s="387"/>
      <c r="AY200" s="387"/>
      <c r="AZ200" s="387"/>
      <c r="BA200" s="387"/>
      <c r="BB200" s="387"/>
      <c r="BC200" s="387"/>
      <c r="BD200" s="387"/>
      <c r="BE200" s="387"/>
      <c r="BF200" s="387"/>
      <c r="BG200" s="387"/>
      <c r="BH200" s="387"/>
      <c r="BI200" s="387"/>
      <c r="BJ200" s="387"/>
      <c r="BK200" s="387"/>
      <c r="BL200" s="387"/>
      <c r="BM200" s="387"/>
      <c r="BN200" s="387"/>
      <c r="BO200" s="387"/>
      <c r="BP200" s="387"/>
      <c r="BQ200" s="387"/>
      <c r="BR200" s="387"/>
      <c r="BS200" s="387"/>
      <c r="BT200" s="387"/>
      <c r="BU200" s="387"/>
      <c r="BV200" s="387"/>
    </row>
    <row r="201" spans="2:74" x14ac:dyDescent="0.3">
      <c r="B201" s="325"/>
      <c r="C201" s="309"/>
      <c r="D201" s="309"/>
      <c r="E201" s="421"/>
      <c r="F201" s="387"/>
      <c r="G201" s="387"/>
      <c r="H201" s="387"/>
      <c r="I201" s="387"/>
      <c r="J201" s="387"/>
      <c r="K201" s="387"/>
      <c r="L201" s="387"/>
      <c r="M201" s="387"/>
      <c r="N201" s="387"/>
      <c r="O201" s="387"/>
      <c r="P201" s="387"/>
      <c r="Q201" s="387"/>
      <c r="R201" s="387"/>
      <c r="S201" s="387"/>
      <c r="T201" s="387"/>
      <c r="U201" s="387"/>
      <c r="V201" s="387"/>
      <c r="W201" s="387"/>
      <c r="X201" s="387"/>
      <c r="Y201" s="387"/>
      <c r="Z201" s="387"/>
      <c r="AA201" s="387"/>
      <c r="AB201" s="387"/>
      <c r="AC201" s="387"/>
      <c r="AD201" s="387"/>
      <c r="AE201" s="387"/>
      <c r="AF201" s="387"/>
      <c r="AG201" s="387"/>
      <c r="AH201" s="387"/>
      <c r="AI201" s="387"/>
      <c r="AJ201" s="387"/>
      <c r="AK201" s="387"/>
      <c r="AL201" s="387"/>
      <c r="AM201" s="387"/>
      <c r="AN201" s="387"/>
      <c r="AO201" s="387"/>
      <c r="AP201" s="387"/>
      <c r="AQ201" s="387"/>
      <c r="AR201" s="387"/>
      <c r="AS201" s="387"/>
      <c r="AT201" s="387"/>
      <c r="AU201" s="387"/>
      <c r="AV201" s="387"/>
      <c r="AW201" s="387"/>
      <c r="AX201" s="387"/>
      <c r="AY201" s="387"/>
      <c r="AZ201" s="387"/>
      <c r="BA201" s="387"/>
      <c r="BB201" s="387"/>
      <c r="BC201" s="387"/>
      <c r="BD201" s="387"/>
      <c r="BE201" s="387"/>
      <c r="BF201" s="387"/>
      <c r="BG201" s="387"/>
      <c r="BH201" s="387"/>
      <c r="BI201" s="387"/>
      <c r="BJ201" s="387"/>
      <c r="BK201" s="387"/>
      <c r="BL201" s="387"/>
      <c r="BM201" s="387"/>
      <c r="BN201" s="387"/>
      <c r="BO201" s="387"/>
      <c r="BP201" s="387"/>
      <c r="BQ201" s="387"/>
      <c r="BR201" s="387"/>
      <c r="BS201" s="387"/>
      <c r="BT201" s="387"/>
      <c r="BU201" s="387"/>
      <c r="BV201" s="387"/>
    </row>
    <row r="202" spans="2:74" x14ac:dyDescent="0.3">
      <c r="B202" s="325"/>
      <c r="C202" s="309"/>
      <c r="D202" s="309"/>
      <c r="I202" s="387"/>
      <c r="J202" s="387"/>
      <c r="K202" s="387"/>
      <c r="L202" s="387"/>
      <c r="M202" s="387"/>
      <c r="N202" s="387"/>
      <c r="O202" s="387"/>
      <c r="P202" s="387"/>
      <c r="Q202" s="387"/>
      <c r="R202" s="387"/>
      <c r="S202" s="387"/>
      <c r="T202" s="387"/>
      <c r="U202" s="387"/>
      <c r="V202" s="387"/>
      <c r="W202" s="387"/>
      <c r="X202" s="387"/>
      <c r="Y202" s="387"/>
      <c r="Z202" s="387"/>
      <c r="AA202" s="387"/>
      <c r="AB202" s="387"/>
      <c r="AC202" s="387"/>
      <c r="AD202" s="387"/>
      <c r="AE202" s="387"/>
      <c r="AF202" s="387"/>
      <c r="AG202" s="387"/>
      <c r="AH202" s="387"/>
      <c r="AI202" s="387"/>
      <c r="AJ202" s="387"/>
      <c r="AK202" s="387"/>
      <c r="AL202" s="387"/>
      <c r="AM202" s="387"/>
      <c r="AN202" s="387"/>
      <c r="AO202" s="387"/>
      <c r="AP202" s="387"/>
      <c r="AQ202" s="387"/>
      <c r="AR202" s="387"/>
      <c r="AS202" s="387"/>
      <c r="AT202" s="387"/>
      <c r="AU202" s="387"/>
      <c r="AV202" s="387"/>
      <c r="AW202" s="387"/>
      <c r="BB202" s="387"/>
      <c r="BG202" s="387"/>
      <c r="BH202" s="387"/>
      <c r="BI202" s="387"/>
      <c r="BJ202" s="387"/>
      <c r="BK202" s="387"/>
      <c r="BL202" s="387"/>
      <c r="BM202" s="387"/>
      <c r="BN202" s="387"/>
      <c r="BO202" s="387"/>
      <c r="BP202" s="387"/>
      <c r="BQ202" s="387"/>
      <c r="BR202" s="387"/>
      <c r="BS202" s="387"/>
      <c r="BT202" s="387"/>
      <c r="BU202" s="387"/>
      <c r="BV202" s="387"/>
    </row>
    <row r="203" spans="2:74" x14ac:dyDescent="0.3">
      <c r="BM203" s="387"/>
      <c r="BN203" s="387"/>
      <c r="BO203" s="387"/>
      <c r="BP203" s="387"/>
    </row>
    <row r="217" spans="2:74" x14ac:dyDescent="0.3">
      <c r="E217" s="422"/>
      <c r="F217" s="422"/>
      <c r="G217" s="422"/>
      <c r="H217" s="422"/>
      <c r="AX217" s="422"/>
      <c r="AY217" s="422"/>
      <c r="AZ217" s="422"/>
      <c r="BA217" s="422"/>
      <c r="BC217" s="422"/>
      <c r="BD217" s="422"/>
      <c r="BE217" s="422"/>
      <c r="BF217" s="422"/>
    </row>
    <row r="218" spans="2:74" x14ac:dyDescent="0.3">
      <c r="E218" s="421"/>
      <c r="F218" s="387"/>
      <c r="G218" s="387"/>
      <c r="H218" s="387"/>
      <c r="I218" s="422"/>
      <c r="J218" s="422"/>
      <c r="K218" s="422"/>
      <c r="L218" s="422"/>
      <c r="M218" s="422"/>
      <c r="N218" s="422"/>
      <c r="O218" s="422"/>
      <c r="P218" s="422"/>
      <c r="Q218" s="422"/>
      <c r="R218" s="422"/>
      <c r="S218" s="422"/>
      <c r="T218" s="422"/>
      <c r="U218" s="422"/>
      <c r="V218" s="422"/>
      <c r="W218" s="422"/>
      <c r="X218" s="422"/>
      <c r="Y218" s="422"/>
      <c r="Z218" s="422"/>
      <c r="AA218" s="422"/>
      <c r="AB218" s="422"/>
      <c r="AC218" s="422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2"/>
      <c r="AS218" s="422"/>
      <c r="AT218" s="422"/>
      <c r="AU218" s="422"/>
      <c r="AV218" s="422"/>
      <c r="AW218" s="422"/>
      <c r="AX218" s="387"/>
      <c r="AY218" s="387"/>
      <c r="AZ218" s="387"/>
      <c r="BA218" s="387"/>
      <c r="BB218" s="422"/>
      <c r="BC218" s="387"/>
      <c r="BD218" s="387"/>
      <c r="BE218" s="387"/>
      <c r="BF218" s="387"/>
      <c r="BG218" s="422"/>
      <c r="BH218" s="422"/>
      <c r="BI218" s="422"/>
      <c r="BJ218" s="422"/>
      <c r="BK218" s="422"/>
      <c r="BL218" s="422"/>
      <c r="BQ218" s="422"/>
      <c r="BR218" s="422"/>
      <c r="BS218" s="422"/>
      <c r="BT218" s="422"/>
      <c r="BU218" s="422"/>
      <c r="BV218" s="422"/>
    </row>
    <row r="219" spans="2:74" x14ac:dyDescent="0.3">
      <c r="B219" s="325"/>
      <c r="C219" s="309"/>
      <c r="D219" s="309"/>
      <c r="E219" s="421"/>
      <c r="F219" s="387"/>
      <c r="G219" s="387"/>
      <c r="H219" s="387"/>
      <c r="I219" s="387"/>
      <c r="J219" s="387"/>
      <c r="K219" s="387"/>
      <c r="L219" s="387"/>
      <c r="M219" s="387"/>
      <c r="N219" s="387"/>
      <c r="O219" s="387"/>
      <c r="P219" s="387"/>
      <c r="Q219" s="387"/>
      <c r="R219" s="387"/>
      <c r="S219" s="387"/>
      <c r="T219" s="387"/>
      <c r="U219" s="387"/>
      <c r="V219" s="387"/>
      <c r="W219" s="387"/>
      <c r="X219" s="387"/>
      <c r="Y219" s="387"/>
      <c r="Z219" s="387"/>
      <c r="AA219" s="387"/>
      <c r="AB219" s="387"/>
      <c r="AC219" s="387"/>
      <c r="AD219" s="387"/>
      <c r="AE219" s="387"/>
      <c r="AF219" s="387"/>
      <c r="AG219" s="387"/>
      <c r="AH219" s="387"/>
      <c r="AI219" s="387"/>
      <c r="AJ219" s="387"/>
      <c r="AK219" s="387"/>
      <c r="AL219" s="387"/>
      <c r="AM219" s="387"/>
      <c r="AN219" s="387"/>
      <c r="AO219" s="387"/>
      <c r="AP219" s="387"/>
      <c r="AQ219" s="387"/>
      <c r="AR219" s="387"/>
      <c r="AS219" s="387"/>
      <c r="AT219" s="387"/>
      <c r="AU219" s="387"/>
      <c r="AV219" s="387"/>
      <c r="AW219" s="387"/>
      <c r="AX219" s="387"/>
      <c r="AY219" s="387"/>
      <c r="AZ219" s="387"/>
      <c r="BA219" s="387"/>
      <c r="BB219" s="387"/>
      <c r="BC219" s="387"/>
      <c r="BD219" s="387"/>
      <c r="BE219" s="387"/>
      <c r="BF219" s="387"/>
      <c r="BG219" s="387"/>
      <c r="BH219" s="387"/>
      <c r="BI219" s="387"/>
      <c r="BJ219" s="387"/>
      <c r="BK219" s="387"/>
      <c r="BL219" s="387"/>
      <c r="BM219" s="422"/>
      <c r="BN219" s="422"/>
      <c r="BO219" s="422"/>
      <c r="BP219" s="422"/>
      <c r="BQ219" s="387"/>
      <c r="BR219" s="387"/>
      <c r="BS219" s="387"/>
      <c r="BT219" s="387"/>
      <c r="BU219" s="387"/>
      <c r="BV219" s="387"/>
    </row>
    <row r="220" spans="2:74" x14ac:dyDescent="0.3">
      <c r="B220" s="325"/>
      <c r="C220" s="309"/>
      <c r="D220" s="309"/>
      <c r="E220" s="421"/>
      <c r="F220" s="387"/>
      <c r="G220" s="387"/>
      <c r="H220" s="387"/>
      <c r="I220" s="387"/>
      <c r="J220" s="387"/>
      <c r="K220" s="387"/>
      <c r="L220" s="387"/>
      <c r="M220" s="387"/>
      <c r="N220" s="387"/>
      <c r="O220" s="387"/>
      <c r="P220" s="387"/>
      <c r="Q220" s="387"/>
      <c r="R220" s="387"/>
      <c r="S220" s="387"/>
      <c r="T220" s="387"/>
      <c r="U220" s="387"/>
      <c r="V220" s="387"/>
      <c r="W220" s="387"/>
      <c r="X220" s="387"/>
      <c r="Y220" s="387"/>
      <c r="Z220" s="387"/>
      <c r="AA220" s="387"/>
      <c r="AB220" s="387"/>
      <c r="AC220" s="387"/>
      <c r="AD220" s="387"/>
      <c r="AE220" s="387"/>
      <c r="AF220" s="387"/>
      <c r="AG220" s="387"/>
      <c r="AH220" s="387"/>
      <c r="AI220" s="387"/>
      <c r="AJ220" s="387"/>
      <c r="AK220" s="387"/>
      <c r="AL220" s="387"/>
      <c r="AM220" s="387"/>
      <c r="AN220" s="387"/>
      <c r="AO220" s="387"/>
      <c r="AP220" s="387"/>
      <c r="AQ220" s="387"/>
      <c r="AR220" s="387"/>
      <c r="AS220" s="387"/>
      <c r="AT220" s="387"/>
      <c r="AU220" s="387"/>
      <c r="AV220" s="387"/>
      <c r="AW220" s="387"/>
      <c r="AX220" s="387"/>
      <c r="AY220" s="387"/>
      <c r="AZ220" s="387"/>
      <c r="BA220" s="387"/>
      <c r="BB220" s="387"/>
      <c r="BC220" s="387"/>
      <c r="BD220" s="387"/>
      <c r="BE220" s="387"/>
      <c r="BF220" s="387"/>
      <c r="BG220" s="387"/>
      <c r="BH220" s="387"/>
      <c r="BI220" s="387"/>
      <c r="BJ220" s="387"/>
      <c r="BK220" s="387"/>
      <c r="BL220" s="387"/>
      <c r="BM220" s="387"/>
      <c r="BN220" s="387"/>
      <c r="BO220" s="387"/>
      <c r="BP220" s="387"/>
      <c r="BQ220" s="387"/>
      <c r="BR220" s="387"/>
      <c r="BS220" s="387"/>
      <c r="BT220" s="387"/>
      <c r="BU220" s="387"/>
      <c r="BV220" s="387"/>
    </row>
    <row r="221" spans="2:74" x14ac:dyDescent="0.3">
      <c r="B221" s="325"/>
      <c r="C221" s="309"/>
      <c r="D221" s="309"/>
      <c r="E221" s="421"/>
      <c r="F221" s="387"/>
      <c r="G221" s="387"/>
      <c r="H221" s="387"/>
      <c r="I221" s="387"/>
      <c r="J221" s="387"/>
      <c r="K221" s="387"/>
      <c r="L221" s="387"/>
      <c r="M221" s="387"/>
      <c r="N221" s="387"/>
      <c r="O221" s="387"/>
      <c r="P221" s="387"/>
      <c r="Q221" s="387"/>
      <c r="R221" s="387"/>
      <c r="S221" s="387"/>
      <c r="T221" s="387"/>
      <c r="U221" s="387"/>
      <c r="V221" s="387"/>
      <c r="W221" s="387"/>
      <c r="X221" s="387"/>
      <c r="Y221" s="387"/>
      <c r="Z221" s="387"/>
      <c r="AA221" s="387"/>
      <c r="AB221" s="387"/>
      <c r="AC221" s="387"/>
      <c r="AD221" s="387"/>
      <c r="AE221" s="387"/>
      <c r="AF221" s="387"/>
      <c r="AG221" s="387"/>
      <c r="AH221" s="387"/>
      <c r="AI221" s="387"/>
      <c r="AJ221" s="387"/>
      <c r="AK221" s="387"/>
      <c r="AL221" s="387"/>
      <c r="AM221" s="387"/>
      <c r="AN221" s="387"/>
      <c r="AO221" s="387"/>
      <c r="AP221" s="387"/>
      <c r="AQ221" s="387"/>
      <c r="AR221" s="387"/>
      <c r="AS221" s="387"/>
      <c r="AT221" s="387"/>
      <c r="AU221" s="387"/>
      <c r="AV221" s="387"/>
      <c r="AW221" s="387"/>
      <c r="AX221" s="387"/>
      <c r="AY221" s="387"/>
      <c r="AZ221" s="387"/>
      <c r="BA221" s="387"/>
      <c r="BB221" s="387"/>
      <c r="BC221" s="387"/>
      <c r="BD221" s="387"/>
      <c r="BE221" s="387"/>
      <c r="BF221" s="387"/>
      <c r="BG221" s="387"/>
      <c r="BH221" s="387"/>
      <c r="BI221" s="387"/>
      <c r="BJ221" s="387"/>
      <c r="BK221" s="387"/>
      <c r="BL221" s="387"/>
      <c r="BM221" s="387"/>
      <c r="BN221" s="387"/>
      <c r="BO221" s="387"/>
      <c r="BP221" s="387"/>
      <c r="BQ221" s="387"/>
      <c r="BR221" s="387"/>
      <c r="BS221" s="387"/>
      <c r="BT221" s="387"/>
      <c r="BU221" s="387"/>
      <c r="BV221" s="387"/>
    </row>
    <row r="222" spans="2:74" x14ac:dyDescent="0.3">
      <c r="B222" s="325"/>
      <c r="C222" s="309"/>
      <c r="D222" s="309"/>
      <c r="E222" s="421"/>
      <c r="F222" s="387"/>
      <c r="G222" s="387"/>
      <c r="H222" s="387"/>
      <c r="I222" s="387"/>
      <c r="J222" s="387"/>
      <c r="K222" s="387"/>
      <c r="L222" s="387"/>
      <c r="M222" s="387"/>
      <c r="N222" s="387"/>
      <c r="O222" s="387"/>
      <c r="P222" s="387"/>
      <c r="Q222" s="387"/>
      <c r="R222" s="387"/>
      <c r="S222" s="387"/>
      <c r="T222" s="387"/>
      <c r="U222" s="387"/>
      <c r="V222" s="387"/>
      <c r="W222" s="387"/>
      <c r="X222" s="387"/>
      <c r="Y222" s="387"/>
      <c r="Z222" s="387"/>
      <c r="AA222" s="387"/>
      <c r="AB222" s="387"/>
      <c r="AC222" s="387"/>
      <c r="AD222" s="387"/>
      <c r="AE222" s="387"/>
      <c r="AF222" s="387"/>
      <c r="AG222" s="387"/>
      <c r="AH222" s="387"/>
      <c r="AI222" s="387"/>
      <c r="AJ222" s="387"/>
      <c r="AK222" s="387"/>
      <c r="AL222" s="387"/>
      <c r="AM222" s="387"/>
      <c r="AN222" s="387"/>
      <c r="AO222" s="387"/>
      <c r="AP222" s="387"/>
      <c r="AQ222" s="387"/>
      <c r="AR222" s="387"/>
      <c r="AS222" s="387"/>
      <c r="AT222" s="387"/>
      <c r="AU222" s="387"/>
      <c r="AV222" s="387"/>
      <c r="AW222" s="387"/>
      <c r="AX222" s="387"/>
      <c r="AY222" s="387"/>
      <c r="AZ222" s="387"/>
      <c r="BA222" s="387"/>
      <c r="BB222" s="387"/>
      <c r="BC222" s="387"/>
      <c r="BD222" s="387"/>
      <c r="BE222" s="387"/>
      <c r="BF222" s="387"/>
      <c r="BG222" s="387"/>
      <c r="BH222" s="387"/>
      <c r="BI222" s="387"/>
      <c r="BJ222" s="387"/>
      <c r="BK222" s="387"/>
      <c r="BL222" s="387"/>
      <c r="BM222" s="387"/>
      <c r="BN222" s="387"/>
      <c r="BO222" s="387"/>
      <c r="BP222" s="387"/>
      <c r="BQ222" s="387"/>
      <c r="BR222" s="387"/>
      <c r="BS222" s="387"/>
      <c r="BT222" s="387"/>
      <c r="BU222" s="387"/>
      <c r="BV222" s="387"/>
    </row>
    <row r="223" spans="2:74" x14ac:dyDescent="0.3">
      <c r="B223" s="325"/>
      <c r="C223" s="309"/>
      <c r="D223" s="309"/>
      <c r="E223" s="421"/>
      <c r="F223" s="387"/>
      <c r="G223" s="387"/>
      <c r="H223" s="387"/>
      <c r="I223" s="387"/>
      <c r="J223" s="387"/>
      <c r="K223" s="387"/>
      <c r="L223" s="387"/>
      <c r="M223" s="387"/>
      <c r="N223" s="387"/>
      <c r="O223" s="387"/>
      <c r="P223" s="387"/>
      <c r="Q223" s="387"/>
      <c r="R223" s="387"/>
      <c r="S223" s="387"/>
      <c r="T223" s="387"/>
      <c r="U223" s="387"/>
      <c r="V223" s="387"/>
      <c r="W223" s="387"/>
      <c r="X223" s="387"/>
      <c r="Y223" s="387"/>
      <c r="Z223" s="387"/>
      <c r="AA223" s="387"/>
      <c r="AB223" s="387"/>
      <c r="AC223" s="387"/>
      <c r="AD223" s="387"/>
      <c r="AE223" s="387"/>
      <c r="AF223" s="387"/>
      <c r="AG223" s="387"/>
      <c r="AH223" s="387"/>
      <c r="AI223" s="387"/>
      <c r="AJ223" s="387"/>
      <c r="AK223" s="387"/>
      <c r="AL223" s="387"/>
      <c r="AM223" s="387"/>
      <c r="AN223" s="387"/>
      <c r="AO223" s="387"/>
      <c r="AP223" s="387"/>
      <c r="AQ223" s="387"/>
      <c r="AR223" s="387"/>
      <c r="AS223" s="387"/>
      <c r="AT223" s="387"/>
      <c r="AU223" s="387"/>
      <c r="AV223" s="387"/>
      <c r="AW223" s="387"/>
      <c r="AX223" s="387"/>
      <c r="AY223" s="387"/>
      <c r="AZ223" s="387"/>
      <c r="BA223" s="387"/>
      <c r="BB223" s="387"/>
      <c r="BC223" s="387"/>
      <c r="BD223" s="387"/>
      <c r="BE223" s="387"/>
      <c r="BF223" s="387"/>
      <c r="BG223" s="387"/>
      <c r="BH223" s="387"/>
      <c r="BI223" s="387"/>
      <c r="BJ223" s="387"/>
      <c r="BK223" s="387"/>
      <c r="BL223" s="387"/>
      <c r="BM223" s="387"/>
      <c r="BN223" s="387"/>
      <c r="BO223" s="387"/>
      <c r="BP223" s="387"/>
      <c r="BQ223" s="387"/>
      <c r="BR223" s="387"/>
      <c r="BS223" s="387"/>
      <c r="BT223" s="387"/>
      <c r="BU223" s="387"/>
      <c r="BV223" s="387"/>
    </row>
    <row r="224" spans="2:74" x14ac:dyDescent="0.3">
      <c r="B224" s="325"/>
      <c r="C224" s="309"/>
      <c r="D224" s="309"/>
      <c r="E224" s="421"/>
      <c r="F224" s="387"/>
      <c r="G224" s="387"/>
      <c r="H224" s="387"/>
      <c r="I224" s="387"/>
      <c r="J224" s="387"/>
      <c r="K224" s="387"/>
      <c r="L224" s="387"/>
      <c r="M224" s="387"/>
      <c r="N224" s="387"/>
      <c r="O224" s="387"/>
      <c r="P224" s="387"/>
      <c r="Q224" s="387"/>
      <c r="R224" s="387"/>
      <c r="S224" s="387"/>
      <c r="T224" s="387"/>
      <c r="U224" s="387"/>
      <c r="V224" s="387"/>
      <c r="W224" s="387"/>
      <c r="X224" s="387"/>
      <c r="Y224" s="387"/>
      <c r="Z224" s="387"/>
      <c r="AA224" s="387"/>
      <c r="AB224" s="387"/>
      <c r="AC224" s="387"/>
      <c r="AD224" s="387"/>
      <c r="AE224" s="387"/>
      <c r="AF224" s="387"/>
      <c r="AG224" s="387"/>
      <c r="AH224" s="387"/>
      <c r="AI224" s="387"/>
      <c r="AJ224" s="387"/>
      <c r="AK224" s="387"/>
      <c r="AL224" s="387"/>
      <c r="AM224" s="387"/>
      <c r="AN224" s="387"/>
      <c r="AO224" s="387"/>
      <c r="AP224" s="387"/>
      <c r="AQ224" s="387"/>
      <c r="AR224" s="387"/>
      <c r="AS224" s="387"/>
      <c r="AT224" s="387"/>
      <c r="AU224" s="387"/>
      <c r="AV224" s="387"/>
      <c r="AW224" s="387"/>
      <c r="AX224" s="387"/>
      <c r="AY224" s="387"/>
      <c r="AZ224" s="387"/>
      <c r="BA224" s="387"/>
      <c r="BB224" s="387"/>
      <c r="BC224" s="387"/>
      <c r="BD224" s="387"/>
      <c r="BE224" s="387"/>
      <c r="BF224" s="387"/>
      <c r="BG224" s="387"/>
      <c r="BH224" s="387"/>
      <c r="BI224" s="387"/>
      <c r="BJ224" s="387"/>
      <c r="BK224" s="387"/>
      <c r="BL224" s="387"/>
      <c r="BM224" s="387"/>
      <c r="BN224" s="387"/>
      <c r="BO224" s="387"/>
      <c r="BP224" s="387"/>
      <c r="BQ224" s="387"/>
      <c r="BR224" s="387"/>
      <c r="BS224" s="387"/>
      <c r="BT224" s="387"/>
      <c r="BU224" s="387"/>
      <c r="BV224" s="387"/>
    </row>
    <row r="225" spans="2:74" x14ac:dyDescent="0.3">
      <c r="B225" s="325"/>
      <c r="C225" s="309"/>
      <c r="D225" s="309"/>
      <c r="E225" s="421"/>
      <c r="F225" s="387"/>
      <c r="G225" s="387"/>
      <c r="H225" s="387"/>
      <c r="I225" s="387"/>
      <c r="J225" s="387"/>
      <c r="K225" s="387"/>
      <c r="L225" s="387"/>
      <c r="M225" s="387"/>
      <c r="N225" s="387"/>
      <c r="O225" s="387"/>
      <c r="P225" s="387"/>
      <c r="Q225" s="387"/>
      <c r="R225" s="387"/>
      <c r="S225" s="387"/>
      <c r="T225" s="387"/>
      <c r="U225" s="387"/>
      <c r="V225" s="387"/>
      <c r="W225" s="387"/>
      <c r="X225" s="387"/>
      <c r="Y225" s="387"/>
      <c r="Z225" s="387"/>
      <c r="AA225" s="387"/>
      <c r="AB225" s="387"/>
      <c r="AC225" s="387"/>
      <c r="AD225" s="387"/>
      <c r="AE225" s="387"/>
      <c r="AF225" s="387"/>
      <c r="AG225" s="387"/>
      <c r="AH225" s="387"/>
      <c r="AI225" s="387"/>
      <c r="AJ225" s="387"/>
      <c r="AK225" s="387"/>
      <c r="AL225" s="387"/>
      <c r="AM225" s="387"/>
      <c r="AN225" s="387"/>
      <c r="AO225" s="387"/>
      <c r="AP225" s="387"/>
      <c r="AQ225" s="387"/>
      <c r="AR225" s="387"/>
      <c r="AS225" s="387"/>
      <c r="AT225" s="387"/>
      <c r="AU225" s="387"/>
      <c r="AV225" s="387"/>
      <c r="AW225" s="387"/>
      <c r="AX225" s="387"/>
      <c r="AY225" s="387"/>
      <c r="AZ225" s="387"/>
      <c r="BA225" s="387"/>
      <c r="BB225" s="387"/>
      <c r="BC225" s="387"/>
      <c r="BD225" s="387"/>
      <c r="BE225" s="387"/>
      <c r="BF225" s="387"/>
      <c r="BG225" s="387"/>
      <c r="BH225" s="387"/>
      <c r="BI225" s="387"/>
      <c r="BJ225" s="387"/>
      <c r="BK225" s="387"/>
      <c r="BL225" s="387"/>
      <c r="BM225" s="387"/>
      <c r="BN225" s="387"/>
      <c r="BO225" s="387"/>
      <c r="BP225" s="387"/>
      <c r="BQ225" s="387"/>
      <c r="BR225" s="387"/>
      <c r="BS225" s="387"/>
      <c r="BT225" s="387"/>
      <c r="BU225" s="387"/>
      <c r="BV225" s="387"/>
    </row>
    <row r="226" spans="2:74" x14ac:dyDescent="0.3">
      <c r="B226" s="325"/>
      <c r="C226" s="309"/>
      <c r="D226" s="309"/>
      <c r="E226" s="421"/>
      <c r="F226" s="387"/>
      <c r="G226" s="387"/>
      <c r="H226" s="387"/>
      <c r="I226" s="387"/>
      <c r="J226" s="387"/>
      <c r="K226" s="387"/>
      <c r="L226" s="387"/>
      <c r="M226" s="387"/>
      <c r="N226" s="387"/>
      <c r="O226" s="387"/>
      <c r="P226" s="387"/>
      <c r="Q226" s="387"/>
      <c r="R226" s="387"/>
      <c r="S226" s="387"/>
      <c r="T226" s="387"/>
      <c r="U226" s="387"/>
      <c r="V226" s="387"/>
      <c r="W226" s="387"/>
      <c r="X226" s="387"/>
      <c r="Y226" s="387"/>
      <c r="Z226" s="387"/>
      <c r="AA226" s="387"/>
      <c r="AB226" s="387"/>
      <c r="AC226" s="387"/>
      <c r="AD226" s="387"/>
      <c r="AE226" s="387"/>
      <c r="AF226" s="387"/>
      <c r="AG226" s="387"/>
      <c r="AH226" s="387"/>
      <c r="AI226" s="387"/>
      <c r="AJ226" s="387"/>
      <c r="AK226" s="387"/>
      <c r="AL226" s="387"/>
      <c r="AM226" s="387"/>
      <c r="AN226" s="387"/>
      <c r="AO226" s="387"/>
      <c r="AP226" s="387"/>
      <c r="AQ226" s="387"/>
      <c r="AR226" s="387"/>
      <c r="AS226" s="387"/>
      <c r="AT226" s="387"/>
      <c r="AU226" s="387"/>
      <c r="AV226" s="387"/>
      <c r="AW226" s="387"/>
      <c r="AX226" s="387"/>
      <c r="AY226" s="387"/>
      <c r="AZ226" s="387"/>
      <c r="BA226" s="387"/>
      <c r="BB226" s="387"/>
      <c r="BC226" s="387"/>
      <c r="BD226" s="387"/>
      <c r="BE226" s="387"/>
      <c r="BF226" s="387"/>
      <c r="BG226" s="387"/>
      <c r="BH226" s="387"/>
      <c r="BI226" s="387"/>
      <c r="BJ226" s="387"/>
      <c r="BK226" s="387"/>
      <c r="BL226" s="387"/>
      <c r="BM226" s="387"/>
      <c r="BN226" s="387"/>
      <c r="BO226" s="387"/>
      <c r="BP226" s="387"/>
      <c r="BQ226" s="387"/>
      <c r="BR226" s="387"/>
      <c r="BS226" s="387"/>
      <c r="BT226" s="387"/>
      <c r="BU226" s="387"/>
      <c r="BV226" s="387"/>
    </row>
    <row r="227" spans="2:74" x14ac:dyDescent="0.3">
      <c r="B227" s="325"/>
      <c r="C227" s="309"/>
      <c r="D227" s="309"/>
      <c r="E227" s="421"/>
      <c r="F227" s="387"/>
      <c r="G227" s="387"/>
      <c r="H227" s="387"/>
      <c r="I227" s="387"/>
      <c r="J227" s="387"/>
      <c r="K227" s="387"/>
      <c r="L227" s="387"/>
      <c r="M227" s="387"/>
      <c r="N227" s="387"/>
      <c r="O227" s="387"/>
      <c r="P227" s="387"/>
      <c r="Q227" s="387"/>
      <c r="R227" s="387"/>
      <c r="S227" s="387"/>
      <c r="T227" s="387"/>
      <c r="U227" s="387"/>
      <c r="V227" s="387"/>
      <c r="W227" s="387"/>
      <c r="X227" s="387"/>
      <c r="Y227" s="387"/>
      <c r="Z227" s="387"/>
      <c r="AA227" s="387"/>
      <c r="AB227" s="387"/>
      <c r="AC227" s="387"/>
      <c r="AD227" s="387"/>
      <c r="AE227" s="387"/>
      <c r="AF227" s="387"/>
      <c r="AG227" s="387"/>
      <c r="AH227" s="387"/>
      <c r="AI227" s="387"/>
      <c r="AJ227" s="387"/>
      <c r="AK227" s="387"/>
      <c r="AL227" s="387"/>
      <c r="AM227" s="387"/>
      <c r="AN227" s="387"/>
      <c r="AO227" s="387"/>
      <c r="AP227" s="387"/>
      <c r="AQ227" s="387"/>
      <c r="AR227" s="387"/>
      <c r="AS227" s="387"/>
      <c r="AT227" s="387"/>
      <c r="AU227" s="387"/>
      <c r="AV227" s="387"/>
      <c r="AW227" s="387"/>
      <c r="AX227" s="387"/>
      <c r="AY227" s="387"/>
      <c r="AZ227" s="387"/>
      <c r="BA227" s="387"/>
      <c r="BB227" s="387"/>
      <c r="BC227" s="387"/>
      <c r="BD227" s="387"/>
      <c r="BE227" s="387"/>
      <c r="BF227" s="387"/>
      <c r="BG227" s="387"/>
      <c r="BH227" s="387"/>
      <c r="BI227" s="387"/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/>
      <c r="BV227" s="387"/>
    </row>
    <row r="228" spans="2:74" x14ac:dyDescent="0.3">
      <c r="B228" s="325"/>
      <c r="C228" s="309"/>
      <c r="D228" s="309"/>
      <c r="E228" s="421"/>
      <c r="F228" s="387"/>
      <c r="G228" s="387"/>
      <c r="H228" s="387"/>
      <c r="I228" s="387"/>
      <c r="J228" s="387"/>
      <c r="K228" s="387"/>
      <c r="L228" s="387"/>
      <c r="M228" s="387"/>
      <c r="N228" s="387"/>
      <c r="O228" s="387"/>
      <c r="P228" s="387"/>
      <c r="Q228" s="387"/>
      <c r="R228" s="387"/>
      <c r="S228" s="387"/>
      <c r="T228" s="387"/>
      <c r="U228" s="387"/>
      <c r="V228" s="387"/>
      <c r="W228" s="387"/>
      <c r="X228" s="387"/>
      <c r="Y228" s="387"/>
      <c r="Z228" s="387"/>
      <c r="AA228" s="387"/>
      <c r="AB228" s="387"/>
      <c r="AC228" s="387"/>
      <c r="AD228" s="387"/>
      <c r="AE228" s="387"/>
      <c r="AF228" s="387"/>
      <c r="AG228" s="387"/>
      <c r="AH228" s="387"/>
      <c r="AI228" s="387"/>
      <c r="AJ228" s="387"/>
      <c r="AK228" s="387"/>
      <c r="AL228" s="387"/>
      <c r="AM228" s="387"/>
      <c r="AN228" s="387"/>
      <c r="AO228" s="387"/>
      <c r="AP228" s="387"/>
      <c r="AQ228" s="387"/>
      <c r="AR228" s="387"/>
      <c r="AS228" s="387"/>
      <c r="AT228" s="387"/>
      <c r="AU228" s="387"/>
      <c r="AV228" s="387"/>
      <c r="AW228" s="387"/>
      <c r="AX228" s="387"/>
      <c r="AY228" s="387"/>
      <c r="AZ228" s="387"/>
      <c r="BA228" s="387"/>
      <c r="BB228" s="387"/>
      <c r="BC228" s="387"/>
      <c r="BD228" s="387"/>
      <c r="BE228" s="387"/>
      <c r="BF228" s="387"/>
      <c r="BG228" s="387"/>
      <c r="BH228" s="387"/>
      <c r="BI228" s="387"/>
      <c r="BJ228" s="387"/>
      <c r="BK228" s="387"/>
      <c r="BL228" s="387"/>
      <c r="BM228" s="387"/>
      <c r="BN228" s="387"/>
      <c r="BO228" s="387"/>
      <c r="BP228" s="387"/>
      <c r="BQ228" s="387"/>
      <c r="BR228" s="387"/>
      <c r="BS228" s="387"/>
      <c r="BT228" s="387"/>
      <c r="BU228" s="387"/>
      <c r="BV228" s="387"/>
    </row>
    <row r="229" spans="2:74" x14ac:dyDescent="0.3">
      <c r="B229" s="325"/>
      <c r="C229" s="309"/>
      <c r="D229" s="309"/>
      <c r="E229" s="421"/>
      <c r="F229" s="387"/>
      <c r="G229" s="387"/>
      <c r="H229" s="387"/>
      <c r="I229" s="387"/>
      <c r="J229" s="387"/>
      <c r="K229" s="387"/>
      <c r="L229" s="387"/>
      <c r="M229" s="387"/>
      <c r="N229" s="387"/>
      <c r="O229" s="387"/>
      <c r="P229" s="387"/>
      <c r="Q229" s="387"/>
      <c r="R229" s="387"/>
      <c r="S229" s="387"/>
      <c r="T229" s="387"/>
      <c r="U229" s="387"/>
      <c r="V229" s="387"/>
      <c r="W229" s="387"/>
      <c r="X229" s="387"/>
      <c r="Y229" s="387"/>
      <c r="Z229" s="387"/>
      <c r="AA229" s="387"/>
      <c r="AB229" s="387"/>
      <c r="AC229" s="387"/>
      <c r="AD229" s="387"/>
      <c r="AE229" s="387"/>
      <c r="AF229" s="387"/>
      <c r="AG229" s="387"/>
      <c r="AH229" s="387"/>
      <c r="AI229" s="387"/>
      <c r="AJ229" s="387"/>
      <c r="AK229" s="387"/>
      <c r="AL229" s="387"/>
      <c r="AM229" s="387"/>
      <c r="AN229" s="387"/>
      <c r="AO229" s="387"/>
      <c r="AP229" s="387"/>
      <c r="AQ229" s="387"/>
      <c r="AR229" s="387"/>
      <c r="AS229" s="387"/>
      <c r="AT229" s="387"/>
      <c r="AU229" s="387"/>
      <c r="AV229" s="387"/>
      <c r="AW229" s="387"/>
      <c r="AX229" s="387"/>
      <c r="AY229" s="387"/>
      <c r="AZ229" s="387"/>
      <c r="BA229" s="387"/>
      <c r="BB229" s="387"/>
      <c r="BC229" s="387"/>
      <c r="BD229" s="387"/>
      <c r="BE229" s="387"/>
      <c r="BF229" s="387"/>
      <c r="BG229" s="387"/>
      <c r="BH229" s="387"/>
      <c r="BI229" s="387"/>
      <c r="BJ229" s="387"/>
      <c r="BK229" s="387"/>
      <c r="BL229" s="387"/>
      <c r="BM229" s="387"/>
      <c r="BN229" s="387"/>
      <c r="BO229" s="387"/>
      <c r="BP229" s="387"/>
      <c r="BQ229" s="387"/>
      <c r="BR229" s="387"/>
      <c r="BS229" s="387"/>
      <c r="BT229" s="387"/>
      <c r="BU229" s="387"/>
      <c r="BV229" s="387"/>
    </row>
    <row r="230" spans="2:74" x14ac:dyDescent="0.3">
      <c r="B230" s="325"/>
      <c r="C230" s="309"/>
      <c r="D230" s="309"/>
      <c r="E230" s="421"/>
      <c r="F230" s="387"/>
      <c r="G230" s="387"/>
      <c r="H230" s="387"/>
      <c r="I230" s="387"/>
      <c r="J230" s="387"/>
      <c r="K230" s="387"/>
      <c r="L230" s="387"/>
      <c r="M230" s="387"/>
      <c r="N230" s="387"/>
      <c r="O230" s="387"/>
      <c r="P230" s="387"/>
      <c r="Q230" s="387"/>
      <c r="R230" s="387"/>
      <c r="S230" s="387"/>
      <c r="T230" s="387"/>
      <c r="U230" s="387"/>
      <c r="V230" s="387"/>
      <c r="W230" s="387"/>
      <c r="X230" s="387"/>
      <c r="Y230" s="387"/>
      <c r="Z230" s="387"/>
      <c r="AA230" s="387"/>
      <c r="AB230" s="387"/>
      <c r="AC230" s="387"/>
      <c r="AD230" s="387"/>
      <c r="AE230" s="387"/>
      <c r="AF230" s="387"/>
      <c r="AG230" s="387"/>
      <c r="AH230" s="387"/>
      <c r="AI230" s="387"/>
      <c r="AJ230" s="387"/>
      <c r="AK230" s="387"/>
      <c r="AL230" s="387"/>
      <c r="AM230" s="387"/>
      <c r="AN230" s="387"/>
      <c r="AO230" s="387"/>
      <c r="AP230" s="387"/>
      <c r="AQ230" s="387"/>
      <c r="AR230" s="387"/>
      <c r="AS230" s="387"/>
      <c r="AT230" s="387"/>
      <c r="AU230" s="387"/>
      <c r="AV230" s="387"/>
      <c r="AW230" s="387"/>
      <c r="AX230" s="387"/>
      <c r="AY230" s="387"/>
      <c r="AZ230" s="387"/>
      <c r="BA230" s="387"/>
      <c r="BB230" s="387"/>
      <c r="BC230" s="387"/>
      <c r="BD230" s="387"/>
      <c r="BE230" s="387"/>
      <c r="BF230" s="387"/>
      <c r="BG230" s="387"/>
      <c r="BH230" s="387"/>
      <c r="BI230" s="387"/>
      <c r="BJ230" s="387"/>
      <c r="BK230" s="387"/>
      <c r="BL230" s="387"/>
      <c r="BM230" s="387"/>
      <c r="BN230" s="387"/>
      <c r="BO230" s="387"/>
      <c r="BP230" s="387"/>
      <c r="BQ230" s="387"/>
      <c r="BR230" s="387"/>
      <c r="BS230" s="387"/>
      <c r="BT230" s="387"/>
      <c r="BU230" s="387"/>
      <c r="BV230" s="387"/>
    </row>
    <row r="231" spans="2:74" x14ac:dyDescent="0.3">
      <c r="B231" s="325"/>
      <c r="C231" s="309"/>
      <c r="D231" s="309"/>
      <c r="E231" s="421"/>
      <c r="F231" s="387"/>
      <c r="G231" s="387"/>
      <c r="H231" s="387"/>
      <c r="I231" s="387"/>
      <c r="J231" s="387"/>
      <c r="K231" s="387"/>
      <c r="L231" s="387"/>
      <c r="M231" s="387"/>
      <c r="N231" s="387"/>
      <c r="O231" s="387"/>
      <c r="P231" s="387"/>
      <c r="Q231" s="387"/>
      <c r="R231" s="387"/>
      <c r="S231" s="387"/>
      <c r="T231" s="387"/>
      <c r="U231" s="387"/>
      <c r="V231" s="387"/>
      <c r="W231" s="387"/>
      <c r="X231" s="387"/>
      <c r="Y231" s="387"/>
      <c r="Z231" s="387"/>
      <c r="AA231" s="387"/>
      <c r="AB231" s="387"/>
      <c r="AC231" s="387"/>
      <c r="AD231" s="387"/>
      <c r="AE231" s="387"/>
      <c r="AF231" s="387"/>
      <c r="AG231" s="387"/>
      <c r="AH231" s="387"/>
      <c r="AI231" s="387"/>
      <c r="AJ231" s="387"/>
      <c r="AK231" s="387"/>
      <c r="AL231" s="387"/>
      <c r="AM231" s="387"/>
      <c r="AN231" s="387"/>
      <c r="AO231" s="387"/>
      <c r="AP231" s="387"/>
      <c r="AQ231" s="387"/>
      <c r="AR231" s="387"/>
      <c r="AS231" s="387"/>
      <c r="AT231" s="387"/>
      <c r="AU231" s="387"/>
      <c r="AV231" s="387"/>
      <c r="AW231" s="387"/>
      <c r="AX231" s="387"/>
      <c r="AY231" s="387"/>
      <c r="AZ231" s="387"/>
      <c r="BA231" s="387"/>
      <c r="BB231" s="387"/>
      <c r="BC231" s="387"/>
      <c r="BD231" s="387"/>
      <c r="BE231" s="387"/>
      <c r="BF231" s="387"/>
      <c r="BG231" s="387"/>
      <c r="BH231" s="387"/>
      <c r="BI231" s="387"/>
      <c r="BJ231" s="387"/>
      <c r="BK231" s="387"/>
      <c r="BL231" s="387"/>
      <c r="BM231" s="387"/>
      <c r="BN231" s="387"/>
      <c r="BO231" s="387"/>
      <c r="BP231" s="387"/>
      <c r="BQ231" s="387"/>
      <c r="BR231" s="387"/>
      <c r="BS231" s="387"/>
      <c r="BT231" s="387"/>
      <c r="BU231" s="387"/>
      <c r="BV231" s="387"/>
    </row>
    <row r="232" spans="2:74" x14ac:dyDescent="0.3">
      <c r="B232" s="325"/>
      <c r="C232" s="309"/>
      <c r="D232" s="309"/>
      <c r="E232" s="421"/>
      <c r="F232" s="387"/>
      <c r="G232" s="387"/>
      <c r="H232" s="387"/>
      <c r="I232" s="387"/>
      <c r="J232" s="387"/>
      <c r="K232" s="387"/>
      <c r="L232" s="387"/>
      <c r="M232" s="387"/>
      <c r="N232" s="387"/>
      <c r="O232" s="387"/>
      <c r="P232" s="387"/>
      <c r="Q232" s="387"/>
      <c r="R232" s="387"/>
      <c r="S232" s="387"/>
      <c r="T232" s="387"/>
      <c r="U232" s="387"/>
      <c r="V232" s="387"/>
      <c r="W232" s="387"/>
      <c r="X232" s="387"/>
      <c r="Y232" s="387"/>
      <c r="Z232" s="387"/>
      <c r="AA232" s="387"/>
      <c r="AB232" s="387"/>
      <c r="AC232" s="387"/>
      <c r="AD232" s="387"/>
      <c r="AE232" s="387"/>
      <c r="AF232" s="387"/>
      <c r="AG232" s="387"/>
      <c r="AH232" s="387"/>
      <c r="AI232" s="387"/>
      <c r="AJ232" s="387"/>
      <c r="AK232" s="387"/>
      <c r="AL232" s="387"/>
      <c r="AM232" s="387"/>
      <c r="AN232" s="387"/>
      <c r="AO232" s="387"/>
      <c r="AP232" s="387"/>
      <c r="AQ232" s="387"/>
      <c r="AR232" s="387"/>
      <c r="AS232" s="387"/>
      <c r="AT232" s="387"/>
      <c r="AU232" s="387"/>
      <c r="AV232" s="387"/>
      <c r="AW232" s="387"/>
      <c r="AX232" s="387"/>
      <c r="AY232" s="387"/>
      <c r="AZ232" s="387"/>
      <c r="BA232" s="387"/>
      <c r="BB232" s="387"/>
      <c r="BC232" s="387"/>
      <c r="BD232" s="387"/>
      <c r="BE232" s="387"/>
      <c r="BF232" s="387"/>
      <c r="BG232" s="387"/>
      <c r="BH232" s="387"/>
      <c r="BI232" s="387"/>
      <c r="BJ232" s="387"/>
      <c r="BK232" s="387"/>
      <c r="BL232" s="387"/>
      <c r="BM232" s="387"/>
      <c r="BN232" s="387"/>
      <c r="BO232" s="387"/>
      <c r="BP232" s="387"/>
      <c r="BQ232" s="387"/>
      <c r="BR232" s="387"/>
      <c r="BS232" s="387"/>
      <c r="BT232" s="387"/>
      <c r="BU232" s="387"/>
      <c r="BV232" s="387"/>
    </row>
    <row r="233" spans="2:74" x14ac:dyDescent="0.3">
      <c r="B233" s="325"/>
      <c r="C233" s="309"/>
      <c r="D233" s="309"/>
      <c r="E233" s="421"/>
      <c r="F233" s="387"/>
      <c r="G233" s="387"/>
      <c r="H233" s="387"/>
      <c r="I233" s="387"/>
      <c r="J233" s="387"/>
      <c r="K233" s="387"/>
      <c r="L233" s="387"/>
      <c r="M233" s="387"/>
      <c r="N233" s="387"/>
      <c r="O233" s="387"/>
      <c r="P233" s="387"/>
      <c r="Q233" s="387"/>
      <c r="R233" s="387"/>
      <c r="S233" s="387"/>
      <c r="T233" s="387"/>
      <c r="U233" s="387"/>
      <c r="V233" s="387"/>
      <c r="W233" s="387"/>
      <c r="X233" s="387"/>
      <c r="Y233" s="387"/>
      <c r="Z233" s="387"/>
      <c r="AA233" s="387"/>
      <c r="AB233" s="387"/>
      <c r="AC233" s="387"/>
      <c r="AD233" s="387"/>
      <c r="AE233" s="387"/>
      <c r="AF233" s="387"/>
      <c r="AG233" s="387"/>
      <c r="AH233" s="387"/>
      <c r="AI233" s="387"/>
      <c r="AJ233" s="387"/>
      <c r="AK233" s="387"/>
      <c r="AL233" s="387"/>
      <c r="AM233" s="387"/>
      <c r="AN233" s="387"/>
      <c r="AO233" s="387"/>
      <c r="AP233" s="387"/>
      <c r="AQ233" s="387"/>
      <c r="AR233" s="387"/>
      <c r="AS233" s="387"/>
      <c r="AT233" s="387"/>
      <c r="AU233" s="387"/>
      <c r="AV233" s="387"/>
      <c r="AW233" s="387"/>
      <c r="AX233" s="387"/>
      <c r="AY233" s="387"/>
      <c r="AZ233" s="387"/>
      <c r="BA233" s="387"/>
      <c r="BB233" s="387"/>
      <c r="BC233" s="387"/>
      <c r="BD233" s="387"/>
      <c r="BE233" s="387"/>
      <c r="BF233" s="387"/>
      <c r="BG233" s="387"/>
      <c r="BH233" s="387"/>
      <c r="BI233" s="387"/>
      <c r="BJ233" s="387"/>
      <c r="BK233" s="387"/>
      <c r="BL233" s="387"/>
      <c r="BM233" s="387"/>
      <c r="BN233" s="387"/>
      <c r="BO233" s="387"/>
      <c r="BP233" s="387"/>
      <c r="BQ233" s="387"/>
      <c r="BR233" s="387"/>
      <c r="BS233" s="387"/>
      <c r="BT233" s="387"/>
      <c r="BU233" s="387"/>
      <c r="BV233" s="387"/>
    </row>
    <row r="234" spans="2:74" x14ac:dyDescent="0.3">
      <c r="B234" s="325"/>
      <c r="C234" s="309"/>
      <c r="D234" s="309"/>
      <c r="E234" s="421"/>
      <c r="F234" s="387"/>
      <c r="G234" s="387"/>
      <c r="H234" s="387"/>
      <c r="I234" s="387"/>
      <c r="J234" s="387"/>
      <c r="K234" s="387"/>
      <c r="L234" s="387"/>
      <c r="M234" s="387"/>
      <c r="N234" s="387"/>
      <c r="O234" s="387"/>
      <c r="P234" s="387"/>
      <c r="Q234" s="387"/>
      <c r="R234" s="387"/>
      <c r="S234" s="387"/>
      <c r="T234" s="387"/>
      <c r="U234" s="387"/>
      <c r="V234" s="387"/>
      <c r="W234" s="387"/>
      <c r="X234" s="387"/>
      <c r="Y234" s="387"/>
      <c r="Z234" s="387"/>
      <c r="AA234" s="387"/>
      <c r="AB234" s="387"/>
      <c r="AC234" s="387"/>
      <c r="AD234" s="387"/>
      <c r="AE234" s="387"/>
      <c r="AF234" s="387"/>
      <c r="AG234" s="387"/>
      <c r="AH234" s="387"/>
      <c r="AI234" s="387"/>
      <c r="AJ234" s="387"/>
      <c r="AK234" s="387"/>
      <c r="AL234" s="387"/>
      <c r="AM234" s="387"/>
      <c r="AN234" s="387"/>
      <c r="AO234" s="387"/>
      <c r="AP234" s="387"/>
      <c r="AQ234" s="387"/>
      <c r="AR234" s="387"/>
      <c r="AS234" s="387"/>
      <c r="AT234" s="387"/>
      <c r="AU234" s="387"/>
      <c r="AV234" s="387"/>
      <c r="AW234" s="387"/>
      <c r="AX234" s="387"/>
      <c r="AY234" s="387"/>
      <c r="AZ234" s="387"/>
      <c r="BA234" s="387"/>
      <c r="BB234" s="387"/>
      <c r="BC234" s="387"/>
      <c r="BD234" s="387"/>
      <c r="BE234" s="387"/>
      <c r="BF234" s="387"/>
      <c r="BG234" s="387"/>
      <c r="BH234" s="387"/>
      <c r="BI234" s="387"/>
      <c r="BJ234" s="387"/>
      <c r="BK234" s="387"/>
      <c r="BL234" s="387"/>
      <c r="BM234" s="387"/>
      <c r="BN234" s="387"/>
      <c r="BO234" s="387"/>
      <c r="BP234" s="387"/>
      <c r="BQ234" s="387"/>
      <c r="BR234" s="387"/>
      <c r="BS234" s="387"/>
      <c r="BT234" s="387"/>
      <c r="BU234" s="387"/>
      <c r="BV234" s="387"/>
    </row>
    <row r="235" spans="2:74" x14ac:dyDescent="0.3">
      <c r="B235" s="325"/>
      <c r="C235" s="309"/>
      <c r="D235" s="309"/>
      <c r="E235" s="421"/>
      <c r="F235" s="387"/>
      <c r="G235" s="387"/>
      <c r="H235" s="387"/>
      <c r="I235" s="387"/>
      <c r="J235" s="387"/>
      <c r="K235" s="387"/>
      <c r="L235" s="387"/>
      <c r="M235" s="387"/>
      <c r="N235" s="387"/>
      <c r="O235" s="387"/>
      <c r="P235" s="387"/>
      <c r="Q235" s="387"/>
      <c r="R235" s="387"/>
      <c r="S235" s="387"/>
      <c r="T235" s="387"/>
      <c r="U235" s="387"/>
      <c r="V235" s="387"/>
      <c r="W235" s="387"/>
      <c r="X235" s="387"/>
      <c r="Y235" s="387"/>
      <c r="Z235" s="387"/>
      <c r="AA235" s="387"/>
      <c r="AB235" s="387"/>
      <c r="AC235" s="387"/>
      <c r="AD235" s="387"/>
      <c r="AE235" s="387"/>
      <c r="AF235" s="387"/>
      <c r="AG235" s="387"/>
      <c r="AH235" s="387"/>
      <c r="AI235" s="387"/>
      <c r="AJ235" s="387"/>
      <c r="AK235" s="387"/>
      <c r="AL235" s="387"/>
      <c r="AM235" s="387"/>
      <c r="AN235" s="387"/>
      <c r="AO235" s="387"/>
      <c r="AP235" s="387"/>
      <c r="AQ235" s="387"/>
      <c r="AR235" s="387"/>
      <c r="AS235" s="387"/>
      <c r="AT235" s="387"/>
      <c r="AU235" s="387"/>
      <c r="AV235" s="387"/>
      <c r="AW235" s="387"/>
      <c r="AX235" s="387"/>
      <c r="AY235" s="387"/>
      <c r="AZ235" s="387"/>
      <c r="BA235" s="387"/>
      <c r="BB235" s="387"/>
      <c r="BC235" s="387"/>
      <c r="BD235" s="387"/>
      <c r="BE235" s="387"/>
      <c r="BF235" s="387"/>
      <c r="BG235" s="387"/>
      <c r="BH235" s="387"/>
      <c r="BI235" s="387"/>
      <c r="BJ235" s="387"/>
      <c r="BK235" s="387"/>
      <c r="BL235" s="387"/>
      <c r="BM235" s="387"/>
      <c r="BN235" s="387"/>
      <c r="BO235" s="387"/>
      <c r="BP235" s="387"/>
      <c r="BQ235" s="387"/>
      <c r="BR235" s="387"/>
      <c r="BS235" s="387"/>
      <c r="BT235" s="387"/>
      <c r="BU235" s="387"/>
      <c r="BV235" s="387"/>
    </row>
    <row r="236" spans="2:74" x14ac:dyDescent="0.3">
      <c r="B236" s="325"/>
      <c r="C236" s="309"/>
      <c r="D236" s="309"/>
      <c r="E236" s="421"/>
      <c r="F236" s="387"/>
      <c r="G236" s="387"/>
      <c r="H236" s="387"/>
      <c r="I236" s="387"/>
      <c r="J236" s="387"/>
      <c r="K236" s="387"/>
      <c r="L236" s="387"/>
      <c r="M236" s="387"/>
      <c r="N236" s="387"/>
      <c r="O236" s="387"/>
      <c r="P236" s="387"/>
      <c r="Q236" s="387"/>
      <c r="R236" s="387"/>
      <c r="S236" s="387"/>
      <c r="T236" s="387"/>
      <c r="U236" s="387"/>
      <c r="V236" s="387"/>
      <c r="W236" s="387"/>
      <c r="X236" s="387"/>
      <c r="Y236" s="387"/>
      <c r="Z236" s="387"/>
      <c r="AA236" s="387"/>
      <c r="AB236" s="387"/>
      <c r="AC236" s="387"/>
      <c r="AD236" s="387"/>
      <c r="AE236" s="387"/>
      <c r="AF236" s="387"/>
      <c r="AG236" s="387"/>
      <c r="AH236" s="387"/>
      <c r="AI236" s="387"/>
      <c r="AJ236" s="387"/>
      <c r="AK236" s="387"/>
      <c r="AL236" s="387"/>
      <c r="AM236" s="387"/>
      <c r="AN236" s="387"/>
      <c r="AO236" s="387"/>
      <c r="AP236" s="387"/>
      <c r="AQ236" s="387"/>
      <c r="AR236" s="387"/>
      <c r="AS236" s="387"/>
      <c r="AT236" s="387"/>
      <c r="AU236" s="387"/>
      <c r="AV236" s="387"/>
      <c r="AW236" s="387"/>
      <c r="AX236" s="387"/>
      <c r="AY236" s="387"/>
      <c r="AZ236" s="387"/>
      <c r="BA236" s="387"/>
      <c r="BB236" s="387"/>
      <c r="BC236" s="387"/>
      <c r="BD236" s="387"/>
      <c r="BE236" s="387"/>
      <c r="BF236" s="387"/>
      <c r="BG236" s="387"/>
      <c r="BH236" s="387"/>
      <c r="BI236" s="387"/>
      <c r="BJ236" s="387"/>
      <c r="BK236" s="387"/>
      <c r="BL236" s="387"/>
      <c r="BM236" s="387"/>
      <c r="BN236" s="387"/>
      <c r="BO236" s="387"/>
      <c r="BP236" s="387"/>
      <c r="BQ236" s="387"/>
      <c r="BR236" s="387"/>
      <c r="BS236" s="387"/>
      <c r="BT236" s="387"/>
      <c r="BU236" s="387"/>
      <c r="BV236" s="387"/>
    </row>
    <row r="237" spans="2:74" x14ac:dyDescent="0.3">
      <c r="B237" s="325"/>
      <c r="C237" s="309"/>
      <c r="D237" s="309"/>
      <c r="E237" s="421"/>
      <c r="F237" s="387"/>
      <c r="G237" s="387"/>
      <c r="H237" s="387"/>
      <c r="I237" s="387"/>
      <c r="J237" s="387"/>
      <c r="K237" s="387"/>
      <c r="L237" s="387"/>
      <c r="M237" s="387"/>
      <c r="N237" s="387"/>
      <c r="O237" s="387"/>
      <c r="P237" s="387"/>
      <c r="Q237" s="387"/>
      <c r="R237" s="387"/>
      <c r="S237" s="387"/>
      <c r="T237" s="387"/>
      <c r="U237" s="387"/>
      <c r="V237" s="387"/>
      <c r="W237" s="387"/>
      <c r="X237" s="387"/>
      <c r="Y237" s="387"/>
      <c r="Z237" s="387"/>
      <c r="AA237" s="387"/>
      <c r="AB237" s="387"/>
      <c r="AC237" s="387"/>
      <c r="AD237" s="387"/>
      <c r="AE237" s="387"/>
      <c r="AF237" s="387"/>
      <c r="AG237" s="387"/>
      <c r="AH237" s="387"/>
      <c r="AI237" s="387"/>
      <c r="AJ237" s="387"/>
      <c r="AK237" s="387"/>
      <c r="AL237" s="387"/>
      <c r="AM237" s="387"/>
      <c r="AN237" s="387"/>
      <c r="AO237" s="387"/>
      <c r="AP237" s="387"/>
      <c r="AQ237" s="387"/>
      <c r="AR237" s="387"/>
      <c r="AS237" s="387"/>
      <c r="AT237" s="387"/>
      <c r="AU237" s="387"/>
      <c r="AV237" s="387"/>
      <c r="AW237" s="387"/>
      <c r="AX237" s="387"/>
      <c r="AY237" s="387"/>
      <c r="AZ237" s="387"/>
      <c r="BA237" s="387"/>
      <c r="BB237" s="387"/>
      <c r="BC237" s="387"/>
      <c r="BD237" s="387"/>
      <c r="BE237" s="387"/>
      <c r="BF237" s="387"/>
      <c r="BG237" s="387"/>
      <c r="BH237" s="387"/>
      <c r="BI237" s="387"/>
      <c r="BJ237" s="387"/>
      <c r="BK237" s="387"/>
      <c r="BL237" s="387"/>
      <c r="BM237" s="387"/>
      <c r="BN237" s="387"/>
      <c r="BO237" s="387"/>
      <c r="BP237" s="387"/>
      <c r="BQ237" s="387"/>
      <c r="BR237" s="387"/>
      <c r="BS237" s="387"/>
      <c r="BT237" s="387"/>
      <c r="BU237" s="387"/>
      <c r="BV237" s="387"/>
    </row>
    <row r="238" spans="2:74" x14ac:dyDescent="0.3">
      <c r="B238" s="325"/>
      <c r="C238" s="309"/>
      <c r="D238" s="309"/>
      <c r="E238" s="421"/>
      <c r="F238" s="387"/>
      <c r="G238" s="387"/>
      <c r="H238" s="387"/>
      <c r="I238" s="387"/>
      <c r="J238" s="387"/>
      <c r="K238" s="387"/>
      <c r="L238" s="387"/>
      <c r="M238" s="387"/>
      <c r="N238" s="387"/>
      <c r="O238" s="387"/>
      <c r="P238" s="387"/>
      <c r="Q238" s="387"/>
      <c r="R238" s="387"/>
      <c r="S238" s="387"/>
      <c r="T238" s="387"/>
      <c r="U238" s="387"/>
      <c r="V238" s="387"/>
      <c r="W238" s="387"/>
      <c r="X238" s="387"/>
      <c r="Y238" s="387"/>
      <c r="Z238" s="387"/>
      <c r="AA238" s="387"/>
      <c r="AB238" s="387"/>
      <c r="AC238" s="387"/>
      <c r="AD238" s="387"/>
      <c r="AE238" s="387"/>
      <c r="AF238" s="387"/>
      <c r="AG238" s="387"/>
      <c r="AH238" s="387"/>
      <c r="AI238" s="387"/>
      <c r="AJ238" s="387"/>
      <c r="AK238" s="387"/>
      <c r="AL238" s="387"/>
      <c r="AM238" s="387"/>
      <c r="AN238" s="387"/>
      <c r="AO238" s="387"/>
      <c r="AP238" s="387"/>
      <c r="AQ238" s="387"/>
      <c r="AR238" s="387"/>
      <c r="AS238" s="387"/>
      <c r="AT238" s="387"/>
      <c r="AU238" s="387"/>
      <c r="AV238" s="387"/>
      <c r="AW238" s="387"/>
      <c r="AX238" s="387"/>
      <c r="AY238" s="387"/>
      <c r="AZ238" s="387"/>
      <c r="BA238" s="387"/>
      <c r="BB238" s="387"/>
      <c r="BC238" s="387"/>
      <c r="BD238" s="387"/>
      <c r="BE238" s="387"/>
      <c r="BF238" s="387"/>
      <c r="BG238" s="387"/>
      <c r="BH238" s="387"/>
      <c r="BI238" s="387"/>
      <c r="BJ238" s="387"/>
      <c r="BK238" s="387"/>
      <c r="BL238" s="387"/>
      <c r="BM238" s="387"/>
      <c r="BN238" s="387"/>
      <c r="BO238" s="387"/>
      <c r="BP238" s="387"/>
      <c r="BQ238" s="387"/>
      <c r="BR238" s="387"/>
      <c r="BS238" s="387"/>
      <c r="BT238" s="387"/>
      <c r="BU238" s="387"/>
      <c r="BV238" s="387"/>
    </row>
    <row r="239" spans="2:74" x14ac:dyDescent="0.3">
      <c r="B239" s="325"/>
      <c r="C239" s="309"/>
      <c r="D239" s="309"/>
      <c r="E239" s="421"/>
      <c r="F239" s="387"/>
      <c r="G239" s="387"/>
      <c r="H239" s="387"/>
      <c r="I239" s="387"/>
      <c r="J239" s="387"/>
      <c r="K239" s="387"/>
      <c r="L239" s="387"/>
      <c r="M239" s="387"/>
      <c r="N239" s="387"/>
      <c r="O239" s="387"/>
      <c r="P239" s="387"/>
      <c r="Q239" s="387"/>
      <c r="R239" s="387"/>
      <c r="S239" s="387"/>
      <c r="T239" s="387"/>
      <c r="U239" s="387"/>
      <c r="V239" s="387"/>
      <c r="W239" s="387"/>
      <c r="X239" s="387"/>
      <c r="Y239" s="387"/>
      <c r="Z239" s="387"/>
      <c r="AA239" s="387"/>
      <c r="AB239" s="387"/>
      <c r="AC239" s="387"/>
      <c r="AD239" s="387"/>
      <c r="AE239" s="387"/>
      <c r="AF239" s="387"/>
      <c r="AG239" s="387"/>
      <c r="AH239" s="387"/>
      <c r="AI239" s="387"/>
      <c r="AJ239" s="387"/>
      <c r="AK239" s="387"/>
      <c r="AL239" s="387"/>
      <c r="AM239" s="387"/>
      <c r="AN239" s="387"/>
      <c r="AO239" s="387"/>
      <c r="AP239" s="387"/>
      <c r="AQ239" s="387"/>
      <c r="AR239" s="387"/>
      <c r="AS239" s="387"/>
      <c r="AT239" s="387"/>
      <c r="AU239" s="387"/>
      <c r="AV239" s="387"/>
      <c r="AW239" s="387"/>
      <c r="AX239" s="387"/>
      <c r="AY239" s="387"/>
      <c r="AZ239" s="387"/>
      <c r="BA239" s="387"/>
      <c r="BB239" s="387"/>
      <c r="BC239" s="387"/>
      <c r="BD239" s="387"/>
      <c r="BE239" s="387"/>
      <c r="BF239" s="387"/>
      <c r="BG239" s="387"/>
      <c r="BH239" s="387"/>
      <c r="BI239" s="387"/>
      <c r="BJ239" s="387"/>
      <c r="BK239" s="387"/>
      <c r="BL239" s="387"/>
      <c r="BM239" s="387"/>
      <c r="BN239" s="387"/>
      <c r="BO239" s="387"/>
      <c r="BP239" s="387"/>
      <c r="BQ239" s="387"/>
      <c r="BR239" s="387"/>
      <c r="BS239" s="387"/>
      <c r="BT239" s="387"/>
      <c r="BU239" s="387"/>
      <c r="BV239" s="387"/>
    </row>
    <row r="240" spans="2:74" x14ac:dyDescent="0.3">
      <c r="B240" s="325"/>
      <c r="C240" s="309"/>
      <c r="D240" s="309"/>
      <c r="E240" s="421"/>
      <c r="F240" s="387"/>
      <c r="G240" s="387"/>
      <c r="H240" s="387"/>
      <c r="I240" s="387"/>
      <c r="J240" s="387"/>
      <c r="K240" s="387"/>
      <c r="L240" s="387"/>
      <c r="M240" s="387"/>
      <c r="N240" s="387"/>
      <c r="O240" s="387"/>
      <c r="P240" s="387"/>
      <c r="Q240" s="387"/>
      <c r="R240" s="387"/>
      <c r="S240" s="387"/>
      <c r="T240" s="387"/>
      <c r="U240" s="387"/>
      <c r="V240" s="387"/>
      <c r="W240" s="387"/>
      <c r="X240" s="387"/>
      <c r="Y240" s="387"/>
      <c r="Z240" s="387"/>
      <c r="AA240" s="387"/>
      <c r="AB240" s="387"/>
      <c r="AC240" s="387"/>
      <c r="AD240" s="387"/>
      <c r="AE240" s="387"/>
      <c r="AF240" s="387"/>
      <c r="AG240" s="387"/>
      <c r="AH240" s="387"/>
      <c r="AI240" s="387"/>
      <c r="AJ240" s="387"/>
      <c r="AK240" s="387"/>
      <c r="AL240" s="387"/>
      <c r="AM240" s="387"/>
      <c r="AN240" s="387"/>
      <c r="AO240" s="387"/>
      <c r="AP240" s="387"/>
      <c r="AQ240" s="387"/>
      <c r="AR240" s="387"/>
      <c r="AS240" s="387"/>
      <c r="AT240" s="387"/>
      <c r="AU240" s="387"/>
      <c r="AV240" s="387"/>
      <c r="AW240" s="387"/>
      <c r="AX240" s="387"/>
      <c r="AY240" s="387"/>
      <c r="AZ240" s="387"/>
      <c r="BA240" s="387"/>
      <c r="BB240" s="387"/>
      <c r="BC240" s="387"/>
      <c r="BD240" s="387"/>
      <c r="BE240" s="387"/>
      <c r="BF240" s="387"/>
      <c r="BG240" s="387"/>
      <c r="BH240" s="387"/>
      <c r="BI240" s="387"/>
      <c r="BJ240" s="387"/>
      <c r="BK240" s="387"/>
      <c r="BL240" s="387"/>
      <c r="BM240" s="387"/>
      <c r="BN240" s="387"/>
      <c r="BO240" s="387"/>
      <c r="BP240" s="387"/>
      <c r="BQ240" s="387"/>
      <c r="BR240" s="387"/>
      <c r="BS240" s="387"/>
      <c r="BT240" s="387"/>
      <c r="BU240" s="387"/>
      <c r="BV240" s="387"/>
    </row>
    <row r="241" spans="2:74" x14ac:dyDescent="0.3">
      <c r="B241" s="325"/>
      <c r="C241" s="309"/>
      <c r="D241" s="309"/>
      <c r="E241" s="421"/>
      <c r="F241" s="387"/>
      <c r="G241" s="387"/>
      <c r="H241" s="387"/>
      <c r="I241" s="387"/>
      <c r="J241" s="387"/>
      <c r="K241" s="387"/>
      <c r="L241" s="387"/>
      <c r="M241" s="387"/>
      <c r="N241" s="387"/>
      <c r="O241" s="387"/>
      <c r="P241" s="387"/>
      <c r="Q241" s="387"/>
      <c r="R241" s="387"/>
      <c r="S241" s="387"/>
      <c r="T241" s="387"/>
      <c r="U241" s="387"/>
      <c r="V241" s="387"/>
      <c r="W241" s="387"/>
      <c r="X241" s="387"/>
      <c r="Y241" s="387"/>
      <c r="Z241" s="387"/>
      <c r="AA241" s="387"/>
      <c r="AB241" s="387"/>
      <c r="AC241" s="387"/>
      <c r="AD241" s="387"/>
      <c r="AE241" s="387"/>
      <c r="AF241" s="387"/>
      <c r="AG241" s="387"/>
      <c r="AH241" s="387"/>
      <c r="AI241" s="387"/>
      <c r="AJ241" s="387"/>
      <c r="AK241" s="387"/>
      <c r="AL241" s="387"/>
      <c r="AM241" s="387"/>
      <c r="AN241" s="387"/>
      <c r="AO241" s="387"/>
      <c r="AP241" s="387"/>
      <c r="AQ241" s="387"/>
      <c r="AR241" s="387"/>
      <c r="AS241" s="387"/>
      <c r="AT241" s="387"/>
      <c r="AU241" s="387"/>
      <c r="AV241" s="387"/>
      <c r="AW241" s="387"/>
      <c r="AX241" s="387"/>
      <c r="AY241" s="387"/>
      <c r="AZ241" s="387"/>
      <c r="BA241" s="387"/>
      <c r="BB241" s="387"/>
      <c r="BC241" s="387"/>
      <c r="BD241" s="387"/>
      <c r="BE241" s="387"/>
      <c r="BF241" s="387"/>
      <c r="BG241" s="387"/>
      <c r="BH241" s="387"/>
      <c r="BI241" s="387"/>
      <c r="BJ241" s="387"/>
      <c r="BK241" s="387"/>
      <c r="BL241" s="387"/>
      <c r="BM241" s="387"/>
      <c r="BN241" s="387"/>
      <c r="BO241" s="387"/>
      <c r="BP241" s="387"/>
      <c r="BQ241" s="387"/>
      <c r="BR241" s="387"/>
      <c r="BS241" s="387"/>
      <c r="BT241" s="387"/>
      <c r="BU241" s="387"/>
      <c r="BV241" s="387"/>
    </row>
    <row r="242" spans="2:74" x14ac:dyDescent="0.3">
      <c r="B242" s="325"/>
      <c r="C242" s="309"/>
      <c r="D242" s="309"/>
      <c r="E242" s="421"/>
      <c r="F242" s="387"/>
      <c r="G242" s="387"/>
      <c r="H242" s="387"/>
      <c r="I242" s="387"/>
      <c r="J242" s="387"/>
      <c r="K242" s="387"/>
      <c r="L242" s="387"/>
      <c r="M242" s="387"/>
      <c r="N242" s="387"/>
      <c r="O242" s="387"/>
      <c r="P242" s="387"/>
      <c r="Q242" s="387"/>
      <c r="R242" s="387"/>
      <c r="S242" s="387"/>
      <c r="T242" s="387"/>
      <c r="U242" s="387"/>
      <c r="V242" s="387"/>
      <c r="W242" s="387"/>
      <c r="X242" s="387"/>
      <c r="Y242" s="387"/>
      <c r="Z242" s="387"/>
      <c r="AA242" s="387"/>
      <c r="AB242" s="387"/>
      <c r="AC242" s="387"/>
      <c r="AD242" s="387"/>
      <c r="AE242" s="387"/>
      <c r="AF242" s="387"/>
      <c r="AG242" s="387"/>
      <c r="AH242" s="387"/>
      <c r="AI242" s="387"/>
      <c r="AJ242" s="387"/>
      <c r="AK242" s="387"/>
      <c r="AL242" s="387"/>
      <c r="AM242" s="387"/>
      <c r="AN242" s="387"/>
      <c r="AO242" s="387"/>
      <c r="AP242" s="387"/>
      <c r="AQ242" s="387"/>
      <c r="AR242" s="387"/>
      <c r="AS242" s="387"/>
      <c r="AT242" s="387"/>
      <c r="AU242" s="387"/>
      <c r="AV242" s="387"/>
      <c r="AW242" s="387"/>
      <c r="AX242" s="387"/>
      <c r="AY242" s="387"/>
      <c r="AZ242" s="387"/>
      <c r="BA242" s="387"/>
      <c r="BB242" s="387"/>
      <c r="BC242" s="387"/>
      <c r="BD242" s="387"/>
      <c r="BE242" s="387"/>
      <c r="BF242" s="387"/>
      <c r="BG242" s="387"/>
      <c r="BH242" s="387"/>
      <c r="BI242" s="387"/>
      <c r="BJ242" s="387"/>
      <c r="BK242" s="387"/>
      <c r="BL242" s="387"/>
      <c r="BM242" s="387"/>
      <c r="BN242" s="387"/>
      <c r="BO242" s="387"/>
      <c r="BP242" s="387"/>
      <c r="BQ242" s="387"/>
      <c r="BR242" s="387"/>
      <c r="BS242" s="387"/>
      <c r="BT242" s="387"/>
      <c r="BU242" s="387"/>
      <c r="BV242" s="387"/>
    </row>
    <row r="243" spans="2:74" x14ac:dyDescent="0.3">
      <c r="B243" s="325"/>
      <c r="C243" s="309"/>
      <c r="D243" s="309"/>
      <c r="E243" s="421"/>
      <c r="F243" s="387"/>
      <c r="G243" s="387"/>
      <c r="H243" s="387"/>
      <c r="I243" s="387"/>
      <c r="J243" s="387"/>
      <c r="K243" s="387"/>
      <c r="L243" s="387"/>
      <c r="M243" s="387"/>
      <c r="N243" s="387"/>
      <c r="O243" s="387"/>
      <c r="P243" s="387"/>
      <c r="Q243" s="387"/>
      <c r="R243" s="387"/>
      <c r="S243" s="387"/>
      <c r="T243" s="387"/>
      <c r="U243" s="387"/>
      <c r="V243" s="387"/>
      <c r="W243" s="387"/>
      <c r="X243" s="387"/>
      <c r="Y243" s="387"/>
      <c r="Z243" s="387"/>
      <c r="AA243" s="387"/>
      <c r="AB243" s="387"/>
      <c r="AC243" s="387"/>
      <c r="AD243" s="387"/>
      <c r="AE243" s="387"/>
      <c r="AF243" s="387"/>
      <c r="AG243" s="387"/>
      <c r="AH243" s="387"/>
      <c r="AI243" s="387"/>
      <c r="AJ243" s="387"/>
      <c r="AK243" s="387"/>
      <c r="AL243" s="387"/>
      <c r="AM243" s="387"/>
      <c r="AN243" s="387"/>
      <c r="AO243" s="387"/>
      <c r="AP243" s="387"/>
      <c r="AQ243" s="387"/>
      <c r="AR243" s="387"/>
      <c r="AS243" s="387"/>
      <c r="AT243" s="387"/>
      <c r="AU243" s="387"/>
      <c r="AV243" s="387"/>
      <c r="AW243" s="387"/>
      <c r="AX243" s="387"/>
      <c r="AY243" s="387"/>
      <c r="AZ243" s="387"/>
      <c r="BA243" s="387"/>
      <c r="BB243" s="387"/>
      <c r="BC243" s="387"/>
      <c r="BD243" s="387"/>
      <c r="BE243" s="387"/>
      <c r="BF243" s="387"/>
      <c r="BG243" s="387"/>
      <c r="BH243" s="387"/>
      <c r="BI243" s="387"/>
      <c r="BJ243" s="387"/>
      <c r="BK243" s="387"/>
      <c r="BL243" s="387"/>
      <c r="BM243" s="387"/>
      <c r="BN243" s="387"/>
      <c r="BO243" s="387"/>
      <c r="BP243" s="387"/>
      <c r="BQ243" s="387"/>
      <c r="BR243" s="387"/>
      <c r="BS243" s="387"/>
      <c r="BT243" s="387"/>
      <c r="BU243" s="387"/>
      <c r="BV243" s="387"/>
    </row>
    <row r="244" spans="2:74" x14ac:dyDescent="0.3">
      <c r="B244" s="325"/>
      <c r="C244" s="309"/>
      <c r="D244" s="309"/>
      <c r="E244" s="421"/>
      <c r="F244" s="387"/>
      <c r="G244" s="387"/>
      <c r="H244" s="387"/>
      <c r="I244" s="387"/>
      <c r="J244" s="387"/>
      <c r="K244" s="387"/>
      <c r="L244" s="387"/>
      <c r="M244" s="387"/>
      <c r="N244" s="387"/>
      <c r="O244" s="387"/>
      <c r="P244" s="387"/>
      <c r="Q244" s="387"/>
      <c r="R244" s="387"/>
      <c r="S244" s="387"/>
      <c r="T244" s="387"/>
      <c r="U244" s="387"/>
      <c r="V244" s="387"/>
      <c r="W244" s="387"/>
      <c r="X244" s="387"/>
      <c r="Y244" s="387"/>
      <c r="Z244" s="387"/>
      <c r="AA244" s="387"/>
      <c r="AB244" s="387"/>
      <c r="AC244" s="387"/>
      <c r="AD244" s="387"/>
      <c r="AE244" s="387"/>
      <c r="AF244" s="387"/>
      <c r="AG244" s="387"/>
      <c r="AH244" s="387"/>
      <c r="AI244" s="387"/>
      <c r="AJ244" s="387"/>
      <c r="AK244" s="387"/>
      <c r="AL244" s="387"/>
      <c r="AM244" s="387"/>
      <c r="AN244" s="387"/>
      <c r="AO244" s="387"/>
      <c r="AP244" s="387"/>
      <c r="AQ244" s="387"/>
      <c r="AR244" s="387"/>
      <c r="AS244" s="387"/>
      <c r="AT244" s="387"/>
      <c r="AU244" s="387"/>
      <c r="AV244" s="387"/>
      <c r="AW244" s="387"/>
      <c r="AX244" s="387"/>
      <c r="AY244" s="387"/>
      <c r="AZ244" s="387"/>
      <c r="BA244" s="387"/>
      <c r="BB244" s="387"/>
      <c r="BC244" s="387"/>
      <c r="BD244" s="387"/>
      <c r="BE244" s="387"/>
      <c r="BF244" s="387"/>
      <c r="BG244" s="387"/>
      <c r="BH244" s="387"/>
      <c r="BI244" s="387"/>
      <c r="BJ244" s="387"/>
      <c r="BK244" s="387"/>
      <c r="BL244" s="387"/>
      <c r="BM244" s="387"/>
      <c r="BN244" s="387"/>
      <c r="BO244" s="387"/>
      <c r="BP244" s="387"/>
      <c r="BQ244" s="387"/>
      <c r="BR244" s="387"/>
      <c r="BS244" s="387"/>
      <c r="BT244" s="387"/>
      <c r="BU244" s="387"/>
      <c r="BV244" s="387"/>
    </row>
    <row r="245" spans="2:74" x14ac:dyDescent="0.3">
      <c r="B245" s="325"/>
      <c r="C245" s="309"/>
      <c r="D245" s="309"/>
      <c r="E245" s="421"/>
      <c r="F245" s="387"/>
      <c r="G245" s="387"/>
      <c r="H245" s="387"/>
      <c r="I245" s="387"/>
      <c r="J245" s="387"/>
      <c r="K245" s="387"/>
      <c r="L245" s="387"/>
      <c r="M245" s="387"/>
      <c r="N245" s="387"/>
      <c r="O245" s="387"/>
      <c r="P245" s="387"/>
      <c r="Q245" s="387"/>
      <c r="R245" s="387"/>
      <c r="S245" s="387"/>
      <c r="T245" s="387"/>
      <c r="U245" s="387"/>
      <c r="V245" s="387"/>
      <c r="W245" s="387"/>
      <c r="X245" s="387"/>
      <c r="Y245" s="387"/>
      <c r="Z245" s="387"/>
      <c r="AA245" s="387"/>
      <c r="AB245" s="387"/>
      <c r="AC245" s="387"/>
      <c r="AD245" s="387"/>
      <c r="AE245" s="387"/>
      <c r="AF245" s="387"/>
      <c r="AG245" s="387"/>
      <c r="AH245" s="387"/>
      <c r="AI245" s="387"/>
      <c r="AJ245" s="387"/>
      <c r="AK245" s="387"/>
      <c r="AL245" s="387"/>
      <c r="AM245" s="387"/>
      <c r="AN245" s="387"/>
      <c r="AO245" s="387"/>
      <c r="AP245" s="387"/>
      <c r="AQ245" s="387"/>
      <c r="AR245" s="387"/>
      <c r="AS245" s="387"/>
      <c r="AT245" s="387"/>
      <c r="AU245" s="387"/>
      <c r="AV245" s="387"/>
      <c r="AW245" s="387"/>
      <c r="AX245" s="387"/>
      <c r="AY245" s="387"/>
      <c r="AZ245" s="387"/>
      <c r="BA245" s="387"/>
      <c r="BB245" s="387"/>
      <c r="BC245" s="387"/>
      <c r="BD245" s="387"/>
      <c r="BE245" s="387"/>
      <c r="BF245" s="387"/>
      <c r="BG245" s="387"/>
      <c r="BH245" s="387"/>
      <c r="BI245" s="387"/>
      <c r="BJ245" s="387"/>
      <c r="BK245" s="387"/>
      <c r="BL245" s="387"/>
      <c r="BM245" s="387"/>
      <c r="BN245" s="387"/>
      <c r="BO245" s="387"/>
      <c r="BP245" s="387"/>
      <c r="BQ245" s="387"/>
      <c r="BR245" s="387"/>
      <c r="BS245" s="387"/>
      <c r="BT245" s="387"/>
      <c r="BU245" s="387"/>
      <c r="BV245" s="387"/>
    </row>
    <row r="246" spans="2:74" x14ac:dyDescent="0.3">
      <c r="B246" s="325"/>
      <c r="C246" s="309"/>
      <c r="D246" s="309"/>
      <c r="E246" s="421"/>
      <c r="F246" s="387"/>
      <c r="G246" s="387"/>
      <c r="H246" s="387"/>
      <c r="I246" s="387"/>
      <c r="J246" s="387"/>
      <c r="K246" s="387"/>
      <c r="L246" s="387"/>
      <c r="M246" s="387"/>
      <c r="N246" s="387"/>
      <c r="O246" s="387"/>
      <c r="P246" s="387"/>
      <c r="Q246" s="387"/>
      <c r="R246" s="387"/>
      <c r="S246" s="387"/>
      <c r="T246" s="387"/>
      <c r="U246" s="387"/>
      <c r="V246" s="387"/>
      <c r="W246" s="387"/>
      <c r="X246" s="387"/>
      <c r="Y246" s="387"/>
      <c r="Z246" s="387"/>
      <c r="AA246" s="387"/>
      <c r="AB246" s="387"/>
      <c r="AC246" s="387"/>
      <c r="AD246" s="387"/>
      <c r="AE246" s="387"/>
      <c r="AF246" s="387"/>
      <c r="AG246" s="387"/>
      <c r="AH246" s="387"/>
      <c r="AI246" s="387"/>
      <c r="AJ246" s="387"/>
      <c r="AK246" s="387"/>
      <c r="AL246" s="387"/>
      <c r="AM246" s="387"/>
      <c r="AN246" s="387"/>
      <c r="AO246" s="387"/>
      <c r="AP246" s="387"/>
      <c r="AQ246" s="387"/>
      <c r="AR246" s="387"/>
      <c r="AS246" s="387"/>
      <c r="AT246" s="387"/>
      <c r="AU246" s="387"/>
      <c r="AV246" s="387"/>
      <c r="AW246" s="387"/>
      <c r="AX246" s="387"/>
      <c r="AY246" s="387"/>
      <c r="AZ246" s="387"/>
      <c r="BA246" s="387"/>
      <c r="BB246" s="387"/>
      <c r="BC246" s="387"/>
      <c r="BD246" s="387"/>
      <c r="BE246" s="387"/>
      <c r="BF246" s="387"/>
      <c r="BG246" s="387"/>
      <c r="BH246" s="387"/>
      <c r="BI246" s="387"/>
      <c r="BJ246" s="387"/>
      <c r="BK246" s="387"/>
      <c r="BL246" s="387"/>
      <c r="BM246" s="387"/>
      <c r="BN246" s="387"/>
      <c r="BO246" s="387"/>
      <c r="BP246" s="387"/>
      <c r="BQ246" s="387"/>
      <c r="BR246" s="387"/>
      <c r="BS246" s="387"/>
      <c r="BT246" s="387"/>
      <c r="BU246" s="387"/>
      <c r="BV246" s="387"/>
    </row>
    <row r="247" spans="2:74" x14ac:dyDescent="0.3">
      <c r="B247" s="325"/>
      <c r="C247" s="309"/>
      <c r="D247" s="309"/>
      <c r="E247" s="421"/>
      <c r="F247" s="387"/>
      <c r="G247" s="387"/>
      <c r="H247" s="387"/>
      <c r="I247" s="387"/>
      <c r="J247" s="387"/>
      <c r="K247" s="387"/>
      <c r="L247" s="387"/>
      <c r="M247" s="387"/>
      <c r="N247" s="387"/>
      <c r="O247" s="387"/>
      <c r="P247" s="387"/>
      <c r="Q247" s="387"/>
      <c r="R247" s="387"/>
      <c r="S247" s="387"/>
      <c r="T247" s="387"/>
      <c r="U247" s="387"/>
      <c r="V247" s="387"/>
      <c r="W247" s="387"/>
      <c r="X247" s="387"/>
      <c r="Y247" s="387"/>
      <c r="Z247" s="387"/>
      <c r="AA247" s="387"/>
      <c r="AB247" s="387"/>
      <c r="AC247" s="387"/>
      <c r="AD247" s="387"/>
      <c r="AE247" s="387"/>
      <c r="AF247" s="387"/>
      <c r="AG247" s="387"/>
      <c r="AH247" s="387"/>
      <c r="AI247" s="387"/>
      <c r="AJ247" s="387"/>
      <c r="AK247" s="387"/>
      <c r="AL247" s="387"/>
      <c r="AM247" s="387"/>
      <c r="AN247" s="387"/>
      <c r="AO247" s="387"/>
      <c r="AP247" s="387"/>
      <c r="AQ247" s="387"/>
      <c r="AR247" s="387"/>
      <c r="AS247" s="387"/>
      <c r="AT247" s="387"/>
      <c r="AU247" s="387"/>
      <c r="AV247" s="387"/>
      <c r="AW247" s="387"/>
      <c r="AX247" s="387"/>
      <c r="AY247" s="387"/>
      <c r="AZ247" s="387"/>
      <c r="BA247" s="387"/>
      <c r="BB247" s="387"/>
      <c r="BC247" s="387"/>
      <c r="BD247" s="387"/>
      <c r="BE247" s="387"/>
      <c r="BF247" s="387"/>
      <c r="BG247" s="387"/>
      <c r="BH247" s="387"/>
      <c r="BI247" s="387"/>
      <c r="BJ247" s="387"/>
      <c r="BK247" s="387"/>
      <c r="BL247" s="387"/>
      <c r="BM247" s="387"/>
      <c r="BN247" s="387"/>
      <c r="BO247" s="387"/>
      <c r="BP247" s="387"/>
      <c r="BQ247" s="387"/>
      <c r="BR247" s="387"/>
      <c r="BS247" s="387"/>
      <c r="BT247" s="387"/>
      <c r="BU247" s="387"/>
      <c r="BV247" s="387"/>
    </row>
    <row r="248" spans="2:74" x14ac:dyDescent="0.3">
      <c r="B248" s="325"/>
      <c r="C248" s="309"/>
      <c r="D248" s="309"/>
      <c r="E248" s="421"/>
      <c r="F248" s="387"/>
      <c r="G248" s="387"/>
      <c r="H248" s="387"/>
      <c r="I248" s="387"/>
      <c r="J248" s="387"/>
      <c r="K248" s="387"/>
      <c r="L248" s="387"/>
      <c r="M248" s="387"/>
      <c r="N248" s="387"/>
      <c r="O248" s="387"/>
      <c r="P248" s="387"/>
      <c r="Q248" s="387"/>
      <c r="R248" s="387"/>
      <c r="S248" s="387"/>
      <c r="T248" s="387"/>
      <c r="U248" s="387"/>
      <c r="V248" s="387"/>
      <c r="W248" s="387"/>
      <c r="X248" s="387"/>
      <c r="Y248" s="387"/>
      <c r="Z248" s="387"/>
      <c r="AA248" s="387"/>
      <c r="AB248" s="387"/>
      <c r="AC248" s="387"/>
      <c r="AD248" s="387"/>
      <c r="AE248" s="387"/>
      <c r="AF248" s="387"/>
      <c r="AG248" s="387"/>
      <c r="AH248" s="387"/>
      <c r="AI248" s="387"/>
      <c r="AJ248" s="387"/>
      <c r="AK248" s="387"/>
      <c r="AL248" s="387"/>
      <c r="AM248" s="387"/>
      <c r="AN248" s="387"/>
      <c r="AO248" s="387"/>
      <c r="AP248" s="387"/>
      <c r="AQ248" s="387"/>
      <c r="AR248" s="387"/>
      <c r="AS248" s="387"/>
      <c r="AT248" s="387"/>
      <c r="AU248" s="387"/>
      <c r="AV248" s="387"/>
      <c r="AW248" s="387"/>
      <c r="AX248" s="387"/>
      <c r="AY248" s="387"/>
      <c r="AZ248" s="387"/>
      <c r="BA248" s="387"/>
      <c r="BB248" s="387"/>
      <c r="BC248" s="387"/>
      <c r="BD248" s="387"/>
      <c r="BE248" s="387"/>
      <c r="BF248" s="387"/>
      <c r="BG248" s="387"/>
      <c r="BH248" s="387"/>
      <c r="BI248" s="387"/>
      <c r="BJ248" s="387"/>
      <c r="BK248" s="387"/>
      <c r="BL248" s="387"/>
      <c r="BM248" s="387"/>
      <c r="BN248" s="387"/>
      <c r="BO248" s="387"/>
      <c r="BP248" s="387"/>
      <c r="BQ248" s="387"/>
      <c r="BR248" s="387"/>
      <c r="BS248" s="387"/>
      <c r="BT248" s="387"/>
      <c r="BU248" s="387"/>
      <c r="BV248" s="387"/>
    </row>
    <row r="249" spans="2:74" x14ac:dyDescent="0.3">
      <c r="B249" s="325"/>
      <c r="C249" s="309"/>
      <c r="D249" s="309"/>
      <c r="E249" s="421"/>
      <c r="F249" s="387"/>
      <c r="G249" s="387"/>
      <c r="H249" s="387"/>
      <c r="I249" s="387"/>
      <c r="J249" s="387"/>
      <c r="K249" s="387"/>
      <c r="L249" s="387"/>
      <c r="M249" s="387"/>
      <c r="N249" s="387"/>
      <c r="O249" s="387"/>
      <c r="P249" s="387"/>
      <c r="Q249" s="387"/>
      <c r="R249" s="387"/>
      <c r="S249" s="387"/>
      <c r="T249" s="387"/>
      <c r="U249" s="387"/>
      <c r="V249" s="387"/>
      <c r="W249" s="387"/>
      <c r="X249" s="387"/>
      <c r="Y249" s="387"/>
      <c r="Z249" s="387"/>
      <c r="AA249" s="387"/>
      <c r="AB249" s="387"/>
      <c r="AC249" s="387"/>
      <c r="AD249" s="387"/>
      <c r="AE249" s="387"/>
      <c r="AF249" s="387"/>
      <c r="AG249" s="387"/>
      <c r="AH249" s="387"/>
      <c r="AI249" s="387"/>
      <c r="AJ249" s="387"/>
      <c r="AK249" s="387"/>
      <c r="AL249" s="387"/>
      <c r="AM249" s="387"/>
      <c r="AN249" s="387"/>
      <c r="AO249" s="387"/>
      <c r="AP249" s="387"/>
      <c r="AQ249" s="387"/>
      <c r="AR249" s="387"/>
      <c r="AS249" s="387"/>
      <c r="AT249" s="387"/>
      <c r="AU249" s="387"/>
      <c r="AV249" s="387"/>
      <c r="AW249" s="387"/>
      <c r="AX249" s="387"/>
      <c r="AY249" s="387"/>
      <c r="AZ249" s="387"/>
      <c r="BA249" s="387"/>
      <c r="BB249" s="387"/>
      <c r="BC249" s="387"/>
      <c r="BD249" s="387"/>
      <c r="BE249" s="387"/>
      <c r="BF249" s="387"/>
      <c r="BG249" s="387"/>
      <c r="BH249" s="387"/>
      <c r="BI249" s="387"/>
      <c r="BJ249" s="387"/>
      <c r="BK249" s="387"/>
      <c r="BL249" s="387"/>
      <c r="BM249" s="387"/>
      <c r="BN249" s="387"/>
      <c r="BO249" s="387"/>
      <c r="BP249" s="387"/>
      <c r="BQ249" s="387"/>
      <c r="BR249" s="387"/>
      <c r="BS249" s="387"/>
      <c r="BT249" s="387"/>
      <c r="BU249" s="387"/>
      <c r="BV249" s="387"/>
    </row>
    <row r="250" spans="2:74" x14ac:dyDescent="0.3">
      <c r="B250" s="325"/>
      <c r="C250" s="309"/>
      <c r="D250" s="309"/>
      <c r="E250" s="421"/>
      <c r="F250" s="387"/>
      <c r="G250" s="387"/>
      <c r="H250" s="387"/>
      <c r="I250" s="387"/>
      <c r="J250" s="387"/>
      <c r="K250" s="387"/>
      <c r="L250" s="387"/>
      <c r="M250" s="387"/>
      <c r="N250" s="387"/>
      <c r="O250" s="387"/>
      <c r="P250" s="387"/>
      <c r="Q250" s="387"/>
      <c r="R250" s="387"/>
      <c r="S250" s="387"/>
      <c r="T250" s="387"/>
      <c r="U250" s="387"/>
      <c r="V250" s="387"/>
      <c r="W250" s="387"/>
      <c r="X250" s="387"/>
      <c r="Y250" s="387"/>
      <c r="Z250" s="387"/>
      <c r="AA250" s="387"/>
      <c r="AB250" s="387"/>
      <c r="AC250" s="387"/>
      <c r="AD250" s="387"/>
      <c r="AE250" s="387"/>
      <c r="AF250" s="387"/>
      <c r="AG250" s="387"/>
      <c r="AH250" s="387"/>
      <c r="AI250" s="387"/>
      <c r="AJ250" s="387"/>
      <c r="AK250" s="387"/>
      <c r="AL250" s="387"/>
      <c r="AM250" s="387"/>
      <c r="AN250" s="387"/>
      <c r="AO250" s="387"/>
      <c r="AP250" s="387"/>
      <c r="AQ250" s="387"/>
      <c r="AR250" s="387"/>
      <c r="AS250" s="387"/>
      <c r="AT250" s="387"/>
      <c r="AU250" s="387"/>
      <c r="AV250" s="387"/>
      <c r="AW250" s="387"/>
      <c r="AX250" s="387"/>
      <c r="AY250" s="387"/>
      <c r="AZ250" s="387"/>
      <c r="BA250" s="387"/>
      <c r="BB250" s="387"/>
      <c r="BC250" s="387"/>
      <c r="BD250" s="387"/>
      <c r="BE250" s="387"/>
      <c r="BF250" s="387"/>
      <c r="BG250" s="387"/>
      <c r="BH250" s="387"/>
      <c r="BI250" s="387"/>
      <c r="BJ250" s="387"/>
      <c r="BK250" s="387"/>
      <c r="BL250" s="387"/>
      <c r="BM250" s="387"/>
      <c r="BN250" s="387"/>
      <c r="BO250" s="387"/>
      <c r="BP250" s="387"/>
      <c r="BQ250" s="387"/>
      <c r="BR250" s="387"/>
      <c r="BS250" s="387"/>
      <c r="BT250" s="387"/>
      <c r="BU250" s="387"/>
      <c r="BV250" s="387"/>
    </row>
    <row r="251" spans="2:74" x14ac:dyDescent="0.3">
      <c r="B251" s="325"/>
      <c r="C251" s="309"/>
      <c r="D251" s="309"/>
      <c r="E251" s="421"/>
      <c r="F251" s="387"/>
      <c r="G251" s="387"/>
      <c r="H251" s="387"/>
      <c r="I251" s="387"/>
      <c r="J251" s="387"/>
      <c r="K251" s="387"/>
      <c r="L251" s="387"/>
      <c r="M251" s="387"/>
      <c r="N251" s="387"/>
      <c r="O251" s="387"/>
      <c r="P251" s="387"/>
      <c r="Q251" s="387"/>
      <c r="R251" s="387"/>
      <c r="S251" s="387"/>
      <c r="T251" s="387"/>
      <c r="U251" s="387"/>
      <c r="V251" s="387"/>
      <c r="W251" s="387"/>
      <c r="X251" s="387"/>
      <c r="Y251" s="387"/>
      <c r="Z251" s="387"/>
      <c r="AA251" s="387"/>
      <c r="AB251" s="387"/>
      <c r="AC251" s="387"/>
      <c r="AD251" s="387"/>
      <c r="AE251" s="387"/>
      <c r="AF251" s="387"/>
      <c r="AG251" s="387"/>
      <c r="AH251" s="387"/>
      <c r="AI251" s="387"/>
      <c r="AJ251" s="387"/>
      <c r="AK251" s="387"/>
      <c r="AL251" s="387"/>
      <c r="AM251" s="387"/>
      <c r="AN251" s="387"/>
      <c r="AO251" s="387"/>
      <c r="AP251" s="387"/>
      <c r="AQ251" s="387"/>
      <c r="AR251" s="387"/>
      <c r="AS251" s="387"/>
      <c r="AT251" s="387"/>
      <c r="AU251" s="387"/>
      <c r="AV251" s="387"/>
      <c r="AW251" s="387"/>
      <c r="AX251" s="387"/>
      <c r="AY251" s="387"/>
      <c r="AZ251" s="387"/>
      <c r="BA251" s="387"/>
      <c r="BB251" s="387"/>
      <c r="BC251" s="387"/>
      <c r="BD251" s="387"/>
      <c r="BE251" s="387"/>
      <c r="BF251" s="387"/>
      <c r="BG251" s="387"/>
      <c r="BH251" s="387"/>
      <c r="BI251" s="387"/>
      <c r="BJ251" s="387"/>
      <c r="BK251" s="387"/>
      <c r="BL251" s="387"/>
      <c r="BM251" s="387"/>
      <c r="BN251" s="387"/>
      <c r="BO251" s="387"/>
      <c r="BP251" s="387"/>
      <c r="BQ251" s="387"/>
      <c r="BR251" s="387"/>
      <c r="BS251" s="387"/>
      <c r="BT251" s="387"/>
      <c r="BU251" s="387"/>
      <c r="BV251" s="387"/>
    </row>
    <row r="252" spans="2:74" x14ac:dyDescent="0.3">
      <c r="B252" s="325"/>
      <c r="C252" s="309"/>
      <c r="D252" s="309"/>
      <c r="E252" s="421"/>
      <c r="F252" s="387"/>
      <c r="G252" s="387"/>
      <c r="H252" s="387"/>
      <c r="I252" s="387"/>
      <c r="J252" s="387"/>
      <c r="K252" s="387"/>
      <c r="L252" s="387"/>
      <c r="M252" s="387"/>
      <c r="N252" s="387"/>
      <c r="O252" s="387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  <c r="AA252" s="387"/>
      <c r="AB252" s="387"/>
      <c r="AC252" s="387"/>
      <c r="AD252" s="387"/>
      <c r="AE252" s="387"/>
      <c r="AF252" s="387"/>
      <c r="AG252" s="387"/>
      <c r="AH252" s="387"/>
      <c r="AI252" s="387"/>
      <c r="AJ252" s="387"/>
      <c r="AK252" s="387"/>
      <c r="AL252" s="387"/>
      <c r="AM252" s="387"/>
      <c r="AN252" s="387"/>
      <c r="AO252" s="387"/>
      <c r="AP252" s="387"/>
      <c r="AQ252" s="387"/>
      <c r="AR252" s="387"/>
      <c r="AS252" s="387"/>
      <c r="AT252" s="387"/>
      <c r="AU252" s="387"/>
      <c r="AV252" s="387"/>
      <c r="AW252" s="387"/>
      <c r="AX252" s="387"/>
      <c r="AY252" s="387"/>
      <c r="AZ252" s="387"/>
      <c r="BA252" s="387"/>
      <c r="BB252" s="387"/>
      <c r="BC252" s="387"/>
      <c r="BD252" s="387"/>
      <c r="BE252" s="387"/>
      <c r="BF252" s="387"/>
      <c r="BG252" s="387"/>
      <c r="BH252" s="387"/>
      <c r="BI252" s="387"/>
      <c r="BJ252" s="387"/>
      <c r="BK252" s="387"/>
      <c r="BL252" s="387"/>
      <c r="BM252" s="387"/>
      <c r="BN252" s="387"/>
      <c r="BO252" s="387"/>
      <c r="BP252" s="387"/>
      <c r="BQ252" s="387"/>
      <c r="BR252" s="387"/>
      <c r="BS252" s="387"/>
      <c r="BT252" s="387"/>
      <c r="BU252" s="387"/>
      <c r="BV252" s="387"/>
    </row>
    <row r="253" spans="2:74" x14ac:dyDescent="0.3">
      <c r="B253" s="325"/>
      <c r="C253" s="309"/>
      <c r="D253" s="309"/>
      <c r="E253" s="421"/>
      <c r="F253" s="387"/>
      <c r="G253" s="387"/>
      <c r="H253" s="387"/>
      <c r="I253" s="387"/>
      <c r="J253" s="387"/>
      <c r="K253" s="387"/>
      <c r="L253" s="387"/>
      <c r="M253" s="387"/>
      <c r="N253" s="387"/>
      <c r="O253" s="387"/>
      <c r="P253" s="387"/>
      <c r="Q253" s="387"/>
      <c r="R253" s="387"/>
      <c r="S253" s="387"/>
      <c r="T253" s="387"/>
      <c r="U253" s="387"/>
      <c r="V253" s="387"/>
      <c r="W253" s="387"/>
      <c r="X253" s="387"/>
      <c r="Y253" s="387"/>
      <c r="Z253" s="387"/>
      <c r="AA253" s="387"/>
      <c r="AB253" s="387"/>
      <c r="AC253" s="387"/>
      <c r="AD253" s="387"/>
      <c r="AE253" s="387"/>
      <c r="AF253" s="387"/>
      <c r="AG253" s="387"/>
      <c r="AH253" s="387"/>
      <c r="AI253" s="387"/>
      <c r="AJ253" s="387"/>
      <c r="AK253" s="387"/>
      <c r="AL253" s="387"/>
      <c r="AM253" s="387"/>
      <c r="AN253" s="387"/>
      <c r="AO253" s="387"/>
      <c r="AP253" s="387"/>
      <c r="AQ253" s="387"/>
      <c r="AR253" s="387"/>
      <c r="AS253" s="387"/>
      <c r="AT253" s="387"/>
      <c r="AU253" s="387"/>
      <c r="AV253" s="387"/>
      <c r="AW253" s="387"/>
      <c r="AX253" s="387"/>
      <c r="AY253" s="387"/>
      <c r="AZ253" s="387"/>
      <c r="BA253" s="387"/>
      <c r="BB253" s="387"/>
      <c r="BC253" s="387"/>
      <c r="BD253" s="387"/>
      <c r="BE253" s="387"/>
      <c r="BF253" s="387"/>
      <c r="BG253" s="387"/>
      <c r="BH253" s="387"/>
      <c r="BI253" s="387"/>
      <c r="BJ253" s="387"/>
      <c r="BK253" s="387"/>
      <c r="BL253" s="387"/>
      <c r="BM253" s="387"/>
      <c r="BN253" s="387"/>
      <c r="BO253" s="387"/>
      <c r="BP253" s="387"/>
      <c r="BQ253" s="387"/>
      <c r="BR253" s="387"/>
      <c r="BS253" s="387"/>
      <c r="BT253" s="387"/>
      <c r="BU253" s="387"/>
      <c r="BV253" s="387"/>
    </row>
    <row r="254" spans="2:74" x14ac:dyDescent="0.3">
      <c r="B254" s="325"/>
      <c r="C254" s="309"/>
      <c r="D254" s="309"/>
      <c r="E254" s="421"/>
      <c r="F254" s="387"/>
      <c r="G254" s="387"/>
      <c r="H254" s="387"/>
      <c r="I254" s="387"/>
      <c r="J254" s="387"/>
      <c r="K254" s="387"/>
      <c r="L254" s="387"/>
      <c r="M254" s="387"/>
      <c r="N254" s="387"/>
      <c r="O254" s="387"/>
      <c r="P254" s="387"/>
      <c r="Q254" s="387"/>
      <c r="R254" s="387"/>
      <c r="S254" s="387"/>
      <c r="T254" s="387"/>
      <c r="U254" s="387"/>
      <c r="V254" s="387"/>
      <c r="W254" s="387"/>
      <c r="X254" s="387"/>
      <c r="Y254" s="387"/>
      <c r="Z254" s="387"/>
      <c r="AA254" s="387"/>
      <c r="AB254" s="387"/>
      <c r="AC254" s="387"/>
      <c r="AD254" s="387"/>
      <c r="AE254" s="387"/>
      <c r="AF254" s="387"/>
      <c r="AG254" s="387"/>
      <c r="AH254" s="387"/>
      <c r="AI254" s="387"/>
      <c r="AJ254" s="387"/>
      <c r="AK254" s="387"/>
      <c r="AL254" s="387"/>
      <c r="AM254" s="387"/>
      <c r="AN254" s="387"/>
      <c r="AO254" s="387"/>
      <c r="AP254" s="387"/>
      <c r="AQ254" s="387"/>
      <c r="AR254" s="387"/>
      <c r="AS254" s="387"/>
      <c r="AT254" s="387"/>
      <c r="AU254" s="387"/>
      <c r="AV254" s="387"/>
      <c r="AW254" s="387"/>
      <c r="AX254" s="387"/>
      <c r="AY254" s="387"/>
      <c r="AZ254" s="387"/>
      <c r="BA254" s="387"/>
      <c r="BB254" s="387"/>
      <c r="BC254" s="387"/>
      <c r="BD254" s="387"/>
      <c r="BE254" s="387"/>
      <c r="BF254" s="387"/>
      <c r="BG254" s="387"/>
      <c r="BH254" s="387"/>
      <c r="BI254" s="387"/>
      <c r="BJ254" s="387"/>
      <c r="BK254" s="387"/>
      <c r="BL254" s="387"/>
      <c r="BM254" s="387"/>
      <c r="BN254" s="387"/>
      <c r="BO254" s="387"/>
      <c r="BP254" s="387"/>
      <c r="BQ254" s="387"/>
      <c r="BR254" s="387"/>
      <c r="BS254" s="387"/>
      <c r="BT254" s="387"/>
      <c r="BU254" s="387"/>
      <c r="BV254" s="387"/>
    </row>
    <row r="255" spans="2:74" x14ac:dyDescent="0.3">
      <c r="B255" s="325"/>
      <c r="C255" s="309"/>
      <c r="D255" s="309"/>
      <c r="E255" s="421"/>
      <c r="F255" s="387"/>
      <c r="G255" s="387"/>
      <c r="H255" s="387"/>
      <c r="I255" s="387"/>
      <c r="J255" s="387"/>
      <c r="K255" s="387"/>
      <c r="L255" s="387"/>
      <c r="M255" s="387"/>
      <c r="N255" s="387"/>
      <c r="O255" s="387"/>
      <c r="P255" s="387"/>
      <c r="Q255" s="387"/>
      <c r="R255" s="387"/>
      <c r="S255" s="387"/>
      <c r="T255" s="387"/>
      <c r="U255" s="387"/>
      <c r="V255" s="387"/>
      <c r="W255" s="387"/>
      <c r="X255" s="387"/>
      <c r="Y255" s="387"/>
      <c r="Z255" s="387"/>
      <c r="AA255" s="387"/>
      <c r="AB255" s="387"/>
      <c r="AC255" s="387"/>
      <c r="AD255" s="387"/>
      <c r="AE255" s="387"/>
      <c r="AF255" s="387"/>
      <c r="AG255" s="387"/>
      <c r="AH255" s="387"/>
      <c r="AI255" s="387"/>
      <c r="AJ255" s="387"/>
      <c r="AK255" s="387"/>
      <c r="AL255" s="387"/>
      <c r="AM255" s="387"/>
      <c r="AN255" s="387"/>
      <c r="AO255" s="387"/>
      <c r="AP255" s="387"/>
      <c r="AQ255" s="387"/>
      <c r="AR255" s="387"/>
      <c r="AS255" s="387"/>
      <c r="AT255" s="387"/>
      <c r="AU255" s="387"/>
      <c r="AV255" s="387"/>
      <c r="AW255" s="387"/>
      <c r="AX255" s="387"/>
      <c r="AY255" s="387"/>
      <c r="AZ255" s="387"/>
      <c r="BA255" s="387"/>
      <c r="BB255" s="387"/>
      <c r="BC255" s="387"/>
      <c r="BD255" s="387"/>
      <c r="BE255" s="387"/>
      <c r="BF255" s="387"/>
      <c r="BG255" s="387"/>
      <c r="BH255" s="387"/>
      <c r="BI255" s="387"/>
      <c r="BJ255" s="387"/>
      <c r="BK255" s="387"/>
      <c r="BL255" s="387"/>
      <c r="BM255" s="387"/>
      <c r="BN255" s="387"/>
      <c r="BO255" s="387"/>
      <c r="BP255" s="387"/>
      <c r="BQ255" s="387"/>
      <c r="BR255" s="387"/>
      <c r="BS255" s="387"/>
      <c r="BT255" s="387"/>
      <c r="BU255" s="387"/>
      <c r="BV255" s="387"/>
    </row>
    <row r="256" spans="2:74" x14ac:dyDescent="0.3">
      <c r="B256" s="325"/>
      <c r="C256" s="309"/>
      <c r="D256" s="309"/>
      <c r="E256" s="421"/>
      <c r="F256" s="387"/>
      <c r="G256" s="387"/>
      <c r="H256" s="387"/>
      <c r="I256" s="387"/>
      <c r="J256" s="387"/>
      <c r="K256" s="387"/>
      <c r="L256" s="387"/>
      <c r="M256" s="387"/>
      <c r="N256" s="387"/>
      <c r="O256" s="387"/>
      <c r="P256" s="387"/>
      <c r="Q256" s="387"/>
      <c r="R256" s="387"/>
      <c r="S256" s="387"/>
      <c r="T256" s="387"/>
      <c r="U256" s="387"/>
      <c r="V256" s="387"/>
      <c r="W256" s="387"/>
      <c r="X256" s="387"/>
      <c r="Y256" s="387"/>
      <c r="Z256" s="387"/>
      <c r="AA256" s="387"/>
      <c r="AB256" s="387"/>
      <c r="AC256" s="387"/>
      <c r="AD256" s="387"/>
      <c r="AE256" s="387"/>
      <c r="AF256" s="387"/>
      <c r="AG256" s="387"/>
      <c r="AH256" s="387"/>
      <c r="AI256" s="387"/>
      <c r="AJ256" s="387"/>
      <c r="AK256" s="387"/>
      <c r="AL256" s="387"/>
      <c r="AM256" s="387"/>
      <c r="AN256" s="387"/>
      <c r="AO256" s="387"/>
      <c r="AP256" s="387"/>
      <c r="AQ256" s="387"/>
      <c r="AR256" s="387"/>
      <c r="AS256" s="387"/>
      <c r="AT256" s="387"/>
      <c r="AU256" s="387"/>
      <c r="AV256" s="387"/>
      <c r="AW256" s="387"/>
      <c r="AX256" s="387"/>
      <c r="AY256" s="387"/>
      <c r="AZ256" s="387"/>
      <c r="BA256" s="387"/>
      <c r="BB256" s="387"/>
      <c r="BC256" s="387"/>
      <c r="BD256" s="387"/>
      <c r="BE256" s="387"/>
      <c r="BF256" s="387"/>
      <c r="BG256" s="387"/>
      <c r="BH256" s="387"/>
      <c r="BI256" s="387"/>
      <c r="BJ256" s="387"/>
      <c r="BK256" s="387"/>
      <c r="BL256" s="387"/>
      <c r="BM256" s="387"/>
      <c r="BN256" s="387"/>
      <c r="BO256" s="387"/>
      <c r="BP256" s="387"/>
      <c r="BQ256" s="387"/>
      <c r="BR256" s="387"/>
      <c r="BS256" s="387"/>
      <c r="BT256" s="387"/>
      <c r="BU256" s="387"/>
      <c r="BV256" s="387"/>
    </row>
    <row r="257" spans="2:74" x14ac:dyDescent="0.3">
      <c r="B257" s="325"/>
      <c r="C257" s="325"/>
      <c r="D257" s="325"/>
      <c r="E257" s="421"/>
      <c r="F257" s="387"/>
      <c r="G257" s="387"/>
      <c r="H257" s="387"/>
      <c r="I257" s="387"/>
      <c r="J257" s="387"/>
      <c r="K257" s="387"/>
      <c r="L257" s="387"/>
      <c r="M257" s="387"/>
      <c r="N257" s="387"/>
      <c r="O257" s="387"/>
      <c r="P257" s="387"/>
      <c r="Q257" s="387"/>
      <c r="R257" s="387"/>
      <c r="S257" s="387"/>
      <c r="T257" s="387"/>
      <c r="U257" s="387"/>
      <c r="V257" s="387"/>
      <c r="W257" s="387"/>
      <c r="X257" s="387"/>
      <c r="Y257" s="387"/>
      <c r="Z257" s="387"/>
      <c r="AA257" s="387"/>
      <c r="AB257" s="387"/>
      <c r="AC257" s="387"/>
      <c r="AD257" s="387"/>
      <c r="AE257" s="387"/>
      <c r="AF257" s="387"/>
      <c r="AG257" s="387"/>
      <c r="AH257" s="387"/>
      <c r="AI257" s="387"/>
      <c r="AJ257" s="387"/>
      <c r="AK257" s="387"/>
      <c r="AL257" s="387"/>
      <c r="AM257" s="387"/>
      <c r="AN257" s="387"/>
      <c r="AO257" s="387"/>
      <c r="AP257" s="387"/>
      <c r="AQ257" s="387"/>
      <c r="AR257" s="387"/>
      <c r="AS257" s="387"/>
      <c r="AT257" s="387"/>
      <c r="AU257" s="387"/>
      <c r="AV257" s="387"/>
      <c r="AW257" s="387"/>
      <c r="AX257" s="387"/>
      <c r="AY257" s="387"/>
      <c r="AZ257" s="387"/>
      <c r="BA257" s="387"/>
      <c r="BB257" s="387"/>
      <c r="BC257" s="387"/>
      <c r="BD257" s="387"/>
      <c r="BE257" s="387"/>
      <c r="BF257" s="387"/>
      <c r="BG257" s="387"/>
      <c r="BH257" s="387"/>
      <c r="BI257" s="387"/>
      <c r="BJ257" s="387"/>
      <c r="BK257" s="387"/>
      <c r="BL257" s="387"/>
      <c r="BM257" s="387"/>
      <c r="BN257" s="387"/>
      <c r="BO257" s="387"/>
      <c r="BP257" s="387"/>
      <c r="BQ257" s="387"/>
      <c r="BR257" s="387"/>
      <c r="BS257" s="387"/>
      <c r="BT257" s="387"/>
      <c r="BU257" s="387"/>
      <c r="BV257" s="387"/>
    </row>
    <row r="258" spans="2:74" x14ac:dyDescent="0.3">
      <c r="B258" s="325"/>
      <c r="C258" s="309"/>
      <c r="D258" s="309"/>
      <c r="E258" s="421"/>
      <c r="F258" s="387"/>
      <c r="G258" s="387"/>
      <c r="H258" s="387"/>
      <c r="I258" s="387"/>
      <c r="J258" s="387"/>
      <c r="K258" s="387"/>
      <c r="L258" s="387"/>
      <c r="M258" s="387"/>
      <c r="N258" s="387"/>
      <c r="O258" s="387"/>
      <c r="P258" s="387"/>
      <c r="Q258" s="387"/>
      <c r="R258" s="387"/>
      <c r="S258" s="387"/>
      <c r="T258" s="387"/>
      <c r="U258" s="387"/>
      <c r="V258" s="387"/>
      <c r="W258" s="387"/>
      <c r="X258" s="387"/>
      <c r="Y258" s="387"/>
      <c r="Z258" s="387"/>
      <c r="AA258" s="387"/>
      <c r="AB258" s="387"/>
      <c r="AC258" s="387"/>
      <c r="AD258" s="387"/>
      <c r="AE258" s="387"/>
      <c r="AF258" s="387"/>
      <c r="AG258" s="387"/>
      <c r="AH258" s="387"/>
      <c r="AI258" s="387"/>
      <c r="AJ258" s="387"/>
      <c r="AK258" s="387"/>
      <c r="AL258" s="387"/>
      <c r="AM258" s="387"/>
      <c r="AN258" s="387"/>
      <c r="AO258" s="387"/>
      <c r="AP258" s="387"/>
      <c r="AQ258" s="387"/>
      <c r="AR258" s="387"/>
      <c r="AS258" s="387"/>
      <c r="AT258" s="387"/>
      <c r="AU258" s="387"/>
      <c r="AV258" s="387"/>
      <c r="AW258" s="387"/>
      <c r="AX258" s="387"/>
      <c r="AY258" s="387"/>
      <c r="AZ258" s="387"/>
      <c r="BA258" s="387"/>
      <c r="BB258" s="387"/>
      <c r="BC258" s="387"/>
      <c r="BD258" s="387"/>
      <c r="BE258" s="387"/>
      <c r="BF258" s="387"/>
      <c r="BG258" s="387"/>
      <c r="BH258" s="387"/>
      <c r="BI258" s="387"/>
      <c r="BJ258" s="387"/>
      <c r="BK258" s="387"/>
      <c r="BL258" s="387"/>
      <c r="BM258" s="387"/>
      <c r="BN258" s="387"/>
      <c r="BO258" s="387"/>
      <c r="BP258" s="387"/>
      <c r="BQ258" s="387"/>
      <c r="BR258" s="387"/>
      <c r="BS258" s="387"/>
      <c r="BT258" s="387"/>
      <c r="BU258" s="387"/>
      <c r="BV258" s="387"/>
    </row>
    <row r="259" spans="2:74" x14ac:dyDescent="0.3">
      <c r="C259" s="309"/>
      <c r="D259" s="309"/>
      <c r="E259" s="421"/>
      <c r="F259" s="387"/>
      <c r="G259" s="387"/>
      <c r="H259" s="387"/>
      <c r="I259" s="387"/>
      <c r="J259" s="387"/>
      <c r="K259" s="387"/>
      <c r="L259" s="387"/>
      <c r="M259" s="387"/>
      <c r="N259" s="387"/>
      <c r="O259" s="387"/>
      <c r="P259" s="387"/>
      <c r="Q259" s="387"/>
      <c r="R259" s="387"/>
      <c r="S259" s="387"/>
      <c r="T259" s="387"/>
      <c r="U259" s="387"/>
      <c r="V259" s="387"/>
      <c r="W259" s="387"/>
      <c r="X259" s="387"/>
      <c r="Y259" s="387"/>
      <c r="Z259" s="387"/>
      <c r="AA259" s="387"/>
      <c r="AB259" s="387"/>
      <c r="AC259" s="387"/>
      <c r="AD259" s="387"/>
      <c r="AE259" s="387"/>
      <c r="AF259" s="387"/>
      <c r="AG259" s="387"/>
      <c r="AH259" s="387"/>
      <c r="AI259" s="387"/>
      <c r="AJ259" s="387"/>
      <c r="AK259" s="387"/>
      <c r="AL259" s="387"/>
      <c r="AM259" s="387"/>
      <c r="AN259" s="387"/>
      <c r="AO259" s="387"/>
      <c r="AP259" s="387"/>
      <c r="AQ259" s="387"/>
      <c r="AR259" s="387"/>
      <c r="AS259" s="387"/>
      <c r="AT259" s="387"/>
      <c r="AU259" s="387"/>
      <c r="AV259" s="387"/>
      <c r="AW259" s="387"/>
      <c r="AX259" s="387"/>
      <c r="AY259" s="387"/>
      <c r="AZ259" s="387"/>
      <c r="BA259" s="387"/>
      <c r="BB259" s="387"/>
      <c r="BC259" s="387"/>
      <c r="BD259" s="387"/>
      <c r="BE259" s="387"/>
      <c r="BF259" s="387"/>
      <c r="BG259" s="387"/>
      <c r="BH259" s="387"/>
      <c r="BI259" s="387"/>
      <c r="BJ259" s="387"/>
      <c r="BK259" s="387"/>
      <c r="BL259" s="387"/>
      <c r="BM259" s="387"/>
      <c r="BN259" s="387"/>
      <c r="BO259" s="387"/>
      <c r="BP259" s="387"/>
      <c r="BQ259" s="387"/>
      <c r="BR259" s="387"/>
      <c r="BS259" s="387"/>
      <c r="BT259" s="387"/>
      <c r="BU259" s="387"/>
      <c r="BV259" s="387"/>
    </row>
    <row r="260" spans="2:74" x14ac:dyDescent="0.3">
      <c r="B260" s="325"/>
      <c r="C260" s="309"/>
      <c r="D260" s="309"/>
      <c r="E260" s="421"/>
      <c r="F260" s="387"/>
      <c r="G260" s="387"/>
      <c r="H260" s="387"/>
      <c r="I260" s="387"/>
      <c r="J260" s="387"/>
      <c r="K260" s="387"/>
      <c r="L260" s="387"/>
      <c r="M260" s="387"/>
      <c r="N260" s="387"/>
      <c r="O260" s="387"/>
      <c r="P260" s="387"/>
      <c r="Q260" s="387"/>
      <c r="R260" s="387"/>
      <c r="S260" s="387"/>
      <c r="T260" s="387"/>
      <c r="U260" s="387"/>
      <c r="V260" s="387"/>
      <c r="W260" s="387"/>
      <c r="X260" s="387"/>
      <c r="Y260" s="387"/>
      <c r="Z260" s="387"/>
      <c r="AA260" s="387"/>
      <c r="AB260" s="387"/>
      <c r="AC260" s="387"/>
      <c r="AD260" s="387"/>
      <c r="AE260" s="387"/>
      <c r="AF260" s="387"/>
      <c r="AG260" s="387"/>
      <c r="AH260" s="387"/>
      <c r="AI260" s="387"/>
      <c r="AJ260" s="387"/>
      <c r="AK260" s="387"/>
      <c r="AL260" s="387"/>
      <c r="AM260" s="387"/>
      <c r="AN260" s="387"/>
      <c r="AO260" s="387"/>
      <c r="AP260" s="387"/>
      <c r="AQ260" s="387"/>
      <c r="AR260" s="387"/>
      <c r="AS260" s="387"/>
      <c r="AT260" s="387"/>
      <c r="AU260" s="387"/>
      <c r="AV260" s="387"/>
      <c r="AW260" s="387"/>
      <c r="AX260" s="387"/>
      <c r="AY260" s="387"/>
      <c r="AZ260" s="387"/>
      <c r="BA260" s="387"/>
      <c r="BB260" s="387"/>
      <c r="BC260" s="387"/>
      <c r="BD260" s="387"/>
      <c r="BE260" s="387"/>
      <c r="BF260" s="387"/>
      <c r="BG260" s="387"/>
      <c r="BH260" s="387"/>
      <c r="BI260" s="387"/>
      <c r="BJ260" s="387"/>
      <c r="BK260" s="387"/>
      <c r="BL260" s="387"/>
      <c r="BM260" s="387"/>
      <c r="BN260" s="387"/>
      <c r="BO260" s="387"/>
      <c r="BP260" s="387"/>
      <c r="BQ260" s="387"/>
      <c r="BR260" s="387"/>
      <c r="BS260" s="387"/>
      <c r="BT260" s="387"/>
      <c r="BU260" s="387"/>
      <c r="BV260" s="387"/>
    </row>
    <row r="261" spans="2:74" x14ac:dyDescent="0.3">
      <c r="B261" s="325"/>
      <c r="C261" s="309"/>
      <c r="D261" s="309"/>
      <c r="E261" s="421"/>
      <c r="F261" s="387"/>
      <c r="G261" s="387"/>
      <c r="H261" s="387"/>
      <c r="I261" s="387"/>
      <c r="J261" s="387"/>
      <c r="K261" s="387"/>
      <c r="L261" s="387"/>
      <c r="M261" s="387"/>
      <c r="N261" s="387"/>
      <c r="O261" s="387"/>
      <c r="P261" s="387"/>
      <c r="Q261" s="387"/>
      <c r="R261" s="387"/>
      <c r="S261" s="387"/>
      <c r="T261" s="387"/>
      <c r="U261" s="387"/>
      <c r="V261" s="387"/>
      <c r="W261" s="387"/>
      <c r="X261" s="387"/>
      <c r="Y261" s="387"/>
      <c r="Z261" s="387"/>
      <c r="AA261" s="387"/>
      <c r="AB261" s="387"/>
      <c r="AC261" s="387"/>
      <c r="AD261" s="387"/>
      <c r="AE261" s="387"/>
      <c r="AF261" s="387"/>
      <c r="AG261" s="387"/>
      <c r="AH261" s="387"/>
      <c r="AI261" s="387"/>
      <c r="AJ261" s="387"/>
      <c r="AK261" s="387"/>
      <c r="AL261" s="387"/>
      <c r="AM261" s="387"/>
      <c r="AN261" s="387"/>
      <c r="AO261" s="387"/>
      <c r="AP261" s="387"/>
      <c r="AQ261" s="387"/>
      <c r="AR261" s="387"/>
      <c r="AS261" s="387"/>
      <c r="AT261" s="387"/>
      <c r="AU261" s="387"/>
      <c r="AV261" s="387"/>
      <c r="AW261" s="387"/>
      <c r="AX261" s="387"/>
      <c r="AY261" s="387"/>
      <c r="AZ261" s="387"/>
      <c r="BA261" s="387"/>
      <c r="BB261" s="387"/>
      <c r="BC261" s="387"/>
      <c r="BD261" s="387"/>
      <c r="BE261" s="387"/>
      <c r="BF261" s="387"/>
      <c r="BG261" s="387"/>
      <c r="BH261" s="387"/>
      <c r="BI261" s="387"/>
      <c r="BJ261" s="387"/>
      <c r="BK261" s="387"/>
      <c r="BL261" s="387"/>
      <c r="BM261" s="387"/>
      <c r="BN261" s="387"/>
      <c r="BO261" s="387"/>
      <c r="BP261" s="387"/>
      <c r="BQ261" s="387"/>
      <c r="BR261" s="387"/>
      <c r="BS261" s="387"/>
      <c r="BT261" s="387"/>
      <c r="BU261" s="387"/>
      <c r="BV261" s="387"/>
    </row>
    <row r="262" spans="2:74" x14ac:dyDescent="0.3">
      <c r="B262" s="325"/>
      <c r="C262" s="309"/>
      <c r="D262" s="309"/>
      <c r="E262" s="421"/>
      <c r="F262" s="387"/>
      <c r="G262" s="387"/>
      <c r="H262" s="387"/>
      <c r="I262" s="387"/>
      <c r="J262" s="387"/>
      <c r="K262" s="387"/>
      <c r="L262" s="387"/>
      <c r="M262" s="387"/>
      <c r="N262" s="387"/>
      <c r="O262" s="387"/>
      <c r="P262" s="387"/>
      <c r="Q262" s="387"/>
      <c r="R262" s="387"/>
      <c r="S262" s="387"/>
      <c r="T262" s="387"/>
      <c r="U262" s="387"/>
      <c r="V262" s="387"/>
      <c r="W262" s="387"/>
      <c r="X262" s="387"/>
      <c r="Y262" s="387"/>
      <c r="Z262" s="387"/>
      <c r="AA262" s="387"/>
      <c r="AB262" s="387"/>
      <c r="AC262" s="387"/>
      <c r="AD262" s="387"/>
      <c r="AE262" s="387"/>
      <c r="AF262" s="387"/>
      <c r="AG262" s="387"/>
      <c r="AH262" s="387"/>
      <c r="AI262" s="387"/>
      <c r="AJ262" s="387"/>
      <c r="AK262" s="387"/>
      <c r="AL262" s="387"/>
      <c r="AM262" s="387"/>
      <c r="AN262" s="387"/>
      <c r="AO262" s="387"/>
      <c r="AP262" s="387"/>
      <c r="AQ262" s="387"/>
      <c r="AR262" s="387"/>
      <c r="AS262" s="387"/>
      <c r="AT262" s="387"/>
      <c r="AU262" s="387"/>
      <c r="AV262" s="387"/>
      <c r="AW262" s="387"/>
      <c r="AX262" s="387"/>
      <c r="AY262" s="387"/>
      <c r="AZ262" s="387"/>
      <c r="BA262" s="387"/>
      <c r="BB262" s="387"/>
      <c r="BC262" s="387"/>
      <c r="BD262" s="387"/>
      <c r="BE262" s="387"/>
      <c r="BF262" s="387"/>
      <c r="BG262" s="387"/>
      <c r="BH262" s="387"/>
      <c r="BI262" s="387"/>
      <c r="BJ262" s="387"/>
      <c r="BK262" s="387"/>
      <c r="BL262" s="387"/>
      <c r="BM262" s="387"/>
      <c r="BN262" s="387"/>
      <c r="BO262" s="387"/>
      <c r="BP262" s="387"/>
      <c r="BQ262" s="387"/>
      <c r="BR262" s="387"/>
      <c r="BS262" s="387"/>
      <c r="BT262" s="387"/>
      <c r="BU262" s="387"/>
      <c r="BV262" s="387"/>
    </row>
    <row r="263" spans="2:74" x14ac:dyDescent="0.3">
      <c r="B263" s="325"/>
      <c r="C263" s="309"/>
      <c r="D263" s="309"/>
      <c r="E263" s="421"/>
      <c r="F263" s="387"/>
      <c r="G263" s="387"/>
      <c r="H263" s="387"/>
      <c r="I263" s="387"/>
      <c r="J263" s="387"/>
      <c r="K263" s="387"/>
      <c r="L263" s="387"/>
      <c r="M263" s="387"/>
      <c r="N263" s="387"/>
      <c r="O263" s="387"/>
      <c r="P263" s="387"/>
      <c r="Q263" s="387"/>
      <c r="R263" s="387"/>
      <c r="S263" s="387"/>
      <c r="T263" s="387"/>
      <c r="U263" s="387"/>
      <c r="V263" s="387"/>
      <c r="W263" s="387"/>
      <c r="X263" s="387"/>
      <c r="Y263" s="387"/>
      <c r="Z263" s="387"/>
      <c r="AA263" s="387"/>
      <c r="AB263" s="387"/>
      <c r="AC263" s="387"/>
      <c r="AD263" s="387"/>
      <c r="AE263" s="387"/>
      <c r="AF263" s="387"/>
      <c r="AG263" s="387"/>
      <c r="AH263" s="387"/>
      <c r="AI263" s="387"/>
      <c r="AJ263" s="387"/>
      <c r="AK263" s="387"/>
      <c r="AL263" s="387"/>
      <c r="AM263" s="387"/>
      <c r="AN263" s="387"/>
      <c r="AO263" s="387"/>
      <c r="AP263" s="387"/>
      <c r="AQ263" s="387"/>
      <c r="AR263" s="387"/>
      <c r="AS263" s="387"/>
      <c r="AT263" s="387"/>
      <c r="AU263" s="387"/>
      <c r="AV263" s="387"/>
      <c r="AW263" s="387"/>
      <c r="AX263" s="387"/>
      <c r="AY263" s="387"/>
      <c r="AZ263" s="387"/>
      <c r="BA263" s="387"/>
      <c r="BB263" s="387"/>
      <c r="BC263" s="387"/>
      <c r="BD263" s="387"/>
      <c r="BE263" s="387"/>
      <c r="BF263" s="387"/>
      <c r="BG263" s="387"/>
      <c r="BH263" s="387"/>
      <c r="BI263" s="387"/>
      <c r="BJ263" s="387"/>
      <c r="BK263" s="387"/>
      <c r="BL263" s="387"/>
      <c r="BM263" s="387"/>
      <c r="BN263" s="387"/>
      <c r="BO263" s="387"/>
      <c r="BP263" s="387"/>
      <c r="BQ263" s="387"/>
      <c r="BR263" s="387"/>
      <c r="BS263" s="387"/>
      <c r="BT263" s="387"/>
      <c r="BU263" s="387"/>
      <c r="BV263" s="387"/>
    </row>
    <row r="264" spans="2:74" x14ac:dyDescent="0.3">
      <c r="B264" s="325"/>
      <c r="C264" s="309"/>
      <c r="D264" s="309"/>
      <c r="E264" s="421"/>
      <c r="F264" s="387"/>
      <c r="G264" s="387"/>
      <c r="H264" s="387"/>
      <c r="I264" s="387"/>
      <c r="J264" s="387"/>
      <c r="K264" s="387"/>
      <c r="L264" s="387"/>
      <c r="M264" s="387"/>
      <c r="N264" s="387"/>
      <c r="O264" s="387"/>
      <c r="P264" s="387"/>
      <c r="Q264" s="387"/>
      <c r="R264" s="387"/>
      <c r="S264" s="387"/>
      <c r="T264" s="387"/>
      <c r="U264" s="387"/>
      <c r="V264" s="387"/>
      <c r="W264" s="387"/>
      <c r="X264" s="387"/>
      <c r="Y264" s="387"/>
      <c r="Z264" s="387"/>
      <c r="AA264" s="387"/>
      <c r="AB264" s="387"/>
      <c r="AC264" s="387"/>
      <c r="AD264" s="387"/>
      <c r="AE264" s="387"/>
      <c r="AF264" s="387"/>
      <c r="AG264" s="387"/>
      <c r="AH264" s="387"/>
      <c r="AI264" s="387"/>
      <c r="AJ264" s="387"/>
      <c r="AK264" s="387"/>
      <c r="AL264" s="387"/>
      <c r="AM264" s="387"/>
      <c r="AN264" s="387"/>
      <c r="AO264" s="387"/>
      <c r="AP264" s="387"/>
      <c r="AQ264" s="387"/>
      <c r="AR264" s="387"/>
      <c r="AS264" s="387"/>
      <c r="AT264" s="387"/>
      <c r="AU264" s="387"/>
      <c r="AV264" s="387"/>
      <c r="AW264" s="387"/>
      <c r="AX264" s="387"/>
      <c r="AY264" s="387"/>
      <c r="AZ264" s="387"/>
      <c r="BA264" s="387"/>
      <c r="BB264" s="387"/>
      <c r="BC264" s="387"/>
      <c r="BD264" s="387"/>
      <c r="BE264" s="387"/>
      <c r="BF264" s="387"/>
      <c r="BG264" s="387"/>
      <c r="BH264" s="387"/>
      <c r="BI264" s="387"/>
      <c r="BJ264" s="387"/>
      <c r="BK264" s="387"/>
      <c r="BL264" s="387"/>
      <c r="BM264" s="387"/>
      <c r="BN264" s="387"/>
      <c r="BO264" s="387"/>
      <c r="BP264" s="387"/>
      <c r="BQ264" s="387"/>
      <c r="BR264" s="387"/>
      <c r="BS264" s="387"/>
      <c r="BT264" s="387"/>
      <c r="BU264" s="387"/>
      <c r="BV264" s="387"/>
    </row>
    <row r="265" spans="2:74" x14ac:dyDescent="0.3">
      <c r="B265" s="325"/>
      <c r="C265" s="309"/>
      <c r="D265" s="309"/>
      <c r="E265" s="421"/>
      <c r="F265" s="387"/>
      <c r="G265" s="387"/>
      <c r="H265" s="387"/>
      <c r="I265" s="387"/>
      <c r="J265" s="387"/>
      <c r="K265" s="387"/>
      <c r="L265" s="387"/>
      <c r="M265" s="387"/>
      <c r="N265" s="387"/>
      <c r="O265" s="387"/>
      <c r="P265" s="387"/>
      <c r="Q265" s="387"/>
      <c r="R265" s="387"/>
      <c r="S265" s="387"/>
      <c r="T265" s="387"/>
      <c r="U265" s="387"/>
      <c r="V265" s="387"/>
      <c r="W265" s="387"/>
      <c r="X265" s="387"/>
      <c r="Y265" s="387"/>
      <c r="Z265" s="387"/>
      <c r="AA265" s="387"/>
      <c r="AB265" s="387"/>
      <c r="AC265" s="387"/>
      <c r="AD265" s="387"/>
      <c r="AE265" s="387"/>
      <c r="AF265" s="387"/>
      <c r="AG265" s="387"/>
      <c r="AH265" s="387"/>
      <c r="AI265" s="387"/>
      <c r="AJ265" s="387"/>
      <c r="AK265" s="387"/>
      <c r="AL265" s="387"/>
      <c r="AM265" s="387"/>
      <c r="AN265" s="387"/>
      <c r="AO265" s="387"/>
      <c r="AP265" s="387"/>
      <c r="AQ265" s="387"/>
      <c r="AR265" s="387"/>
      <c r="AS265" s="387"/>
      <c r="AT265" s="387"/>
      <c r="AU265" s="387"/>
      <c r="AV265" s="387"/>
      <c r="AW265" s="387"/>
      <c r="AX265" s="387"/>
      <c r="AY265" s="387"/>
      <c r="AZ265" s="387"/>
      <c r="BA265" s="387"/>
      <c r="BB265" s="387"/>
      <c r="BC265" s="387"/>
      <c r="BD265" s="387"/>
      <c r="BE265" s="387"/>
      <c r="BF265" s="387"/>
      <c r="BG265" s="387"/>
      <c r="BH265" s="387"/>
      <c r="BI265" s="387"/>
      <c r="BJ265" s="387"/>
      <c r="BK265" s="387"/>
      <c r="BL265" s="387"/>
      <c r="BM265" s="387"/>
      <c r="BN265" s="387"/>
      <c r="BO265" s="387"/>
      <c r="BP265" s="387"/>
      <c r="BQ265" s="387"/>
      <c r="BR265" s="387"/>
      <c r="BS265" s="387"/>
      <c r="BT265" s="387"/>
      <c r="BU265" s="387"/>
      <c r="BV265" s="387"/>
    </row>
    <row r="266" spans="2:74" x14ac:dyDescent="0.3">
      <c r="B266" s="325"/>
      <c r="C266" s="309"/>
      <c r="D266" s="309"/>
      <c r="E266" s="421"/>
      <c r="F266" s="387"/>
      <c r="G266" s="387"/>
      <c r="H266" s="387"/>
      <c r="I266" s="387"/>
      <c r="J266" s="387"/>
      <c r="K266" s="387"/>
      <c r="L266" s="387"/>
      <c r="M266" s="387"/>
      <c r="N266" s="387"/>
      <c r="O266" s="387"/>
      <c r="P266" s="387"/>
      <c r="Q266" s="387"/>
      <c r="R266" s="387"/>
      <c r="S266" s="387"/>
      <c r="T266" s="387"/>
      <c r="U266" s="387"/>
      <c r="V266" s="387"/>
      <c r="W266" s="387"/>
      <c r="X266" s="387"/>
      <c r="Y266" s="387"/>
      <c r="Z266" s="387"/>
      <c r="AA266" s="387"/>
      <c r="AB266" s="387"/>
      <c r="AC266" s="387"/>
      <c r="AD266" s="387"/>
      <c r="AE266" s="387"/>
      <c r="AF266" s="387"/>
      <c r="AG266" s="387"/>
      <c r="AH266" s="387"/>
      <c r="AI266" s="387"/>
      <c r="AJ266" s="387"/>
      <c r="AK266" s="387"/>
      <c r="AL266" s="387"/>
      <c r="AM266" s="387"/>
      <c r="AN266" s="387"/>
      <c r="AO266" s="387"/>
      <c r="AP266" s="387"/>
      <c r="AQ266" s="387"/>
      <c r="AR266" s="387"/>
      <c r="AS266" s="387"/>
      <c r="AT266" s="387"/>
      <c r="AU266" s="387"/>
      <c r="AV266" s="387"/>
      <c r="AW266" s="387"/>
      <c r="AX266" s="387"/>
      <c r="AY266" s="387"/>
      <c r="AZ266" s="387"/>
      <c r="BA266" s="387"/>
      <c r="BB266" s="387"/>
      <c r="BC266" s="387"/>
      <c r="BD266" s="387"/>
      <c r="BE266" s="387"/>
      <c r="BF266" s="387"/>
      <c r="BG266" s="387"/>
      <c r="BH266" s="387"/>
      <c r="BI266" s="387"/>
      <c r="BJ266" s="387"/>
      <c r="BK266" s="387"/>
      <c r="BL266" s="387"/>
      <c r="BM266" s="387"/>
      <c r="BN266" s="387"/>
      <c r="BO266" s="387"/>
      <c r="BP266" s="387"/>
      <c r="BQ266" s="387"/>
      <c r="BR266" s="387"/>
      <c r="BS266" s="387"/>
      <c r="BT266" s="387"/>
      <c r="BU266" s="387"/>
      <c r="BV266" s="387"/>
    </row>
    <row r="267" spans="2:74" x14ac:dyDescent="0.3">
      <c r="B267" s="325"/>
      <c r="C267" s="309"/>
      <c r="D267" s="309"/>
      <c r="E267" s="421"/>
      <c r="F267" s="387"/>
      <c r="G267" s="387"/>
      <c r="H267" s="387"/>
      <c r="I267" s="387"/>
      <c r="J267" s="387"/>
      <c r="K267" s="387"/>
      <c r="L267" s="387"/>
      <c r="M267" s="387"/>
      <c r="N267" s="387"/>
      <c r="O267" s="387"/>
      <c r="P267" s="387"/>
      <c r="Q267" s="387"/>
      <c r="R267" s="387"/>
      <c r="S267" s="387"/>
      <c r="T267" s="387"/>
      <c r="U267" s="387"/>
      <c r="V267" s="387"/>
      <c r="W267" s="387"/>
      <c r="X267" s="387"/>
      <c r="Y267" s="387"/>
      <c r="Z267" s="387"/>
      <c r="AA267" s="387"/>
      <c r="AB267" s="387"/>
      <c r="AC267" s="387"/>
      <c r="AD267" s="387"/>
      <c r="AE267" s="387"/>
      <c r="AF267" s="387"/>
      <c r="AG267" s="387"/>
      <c r="AH267" s="387"/>
      <c r="AI267" s="387"/>
      <c r="AJ267" s="387"/>
      <c r="AK267" s="387"/>
      <c r="AL267" s="387"/>
      <c r="AM267" s="387"/>
      <c r="AN267" s="387"/>
      <c r="AO267" s="387"/>
      <c r="AP267" s="387"/>
      <c r="AQ267" s="387"/>
      <c r="AR267" s="387"/>
      <c r="AS267" s="387"/>
      <c r="AT267" s="387"/>
      <c r="AU267" s="387"/>
      <c r="AV267" s="387"/>
      <c r="AW267" s="387"/>
      <c r="AX267" s="387"/>
      <c r="AY267" s="387"/>
      <c r="AZ267" s="387"/>
      <c r="BA267" s="387"/>
      <c r="BB267" s="387"/>
      <c r="BC267" s="387"/>
      <c r="BD267" s="387"/>
      <c r="BE267" s="387"/>
      <c r="BF267" s="387"/>
      <c r="BG267" s="387"/>
      <c r="BH267" s="387"/>
      <c r="BI267" s="387"/>
      <c r="BJ267" s="387"/>
      <c r="BK267" s="387"/>
      <c r="BL267" s="387"/>
      <c r="BM267" s="387"/>
      <c r="BN267" s="387"/>
      <c r="BO267" s="387"/>
      <c r="BP267" s="387"/>
      <c r="BQ267" s="387"/>
      <c r="BR267" s="387"/>
      <c r="BS267" s="387"/>
      <c r="BT267" s="387"/>
      <c r="BU267" s="387"/>
      <c r="BV267" s="387"/>
    </row>
    <row r="268" spans="2:74" x14ac:dyDescent="0.3">
      <c r="B268" s="325"/>
      <c r="C268" s="309"/>
      <c r="D268" s="309"/>
      <c r="E268" s="421"/>
      <c r="F268" s="387"/>
      <c r="G268" s="387"/>
      <c r="H268" s="387"/>
      <c r="I268" s="387"/>
      <c r="J268" s="387"/>
      <c r="K268" s="387"/>
      <c r="L268" s="387"/>
      <c r="M268" s="387"/>
      <c r="N268" s="387"/>
      <c r="O268" s="387"/>
      <c r="P268" s="387"/>
      <c r="Q268" s="387"/>
      <c r="R268" s="387"/>
      <c r="S268" s="387"/>
      <c r="T268" s="387"/>
      <c r="U268" s="387"/>
      <c r="V268" s="387"/>
      <c r="W268" s="387"/>
      <c r="X268" s="387"/>
      <c r="Y268" s="387"/>
      <c r="Z268" s="387"/>
      <c r="AA268" s="387"/>
      <c r="AB268" s="387"/>
      <c r="AC268" s="387"/>
      <c r="AD268" s="387"/>
      <c r="AE268" s="387"/>
      <c r="AF268" s="387"/>
      <c r="AG268" s="387"/>
      <c r="AH268" s="387"/>
      <c r="AI268" s="387"/>
      <c r="AJ268" s="387"/>
      <c r="AK268" s="387"/>
      <c r="AL268" s="387"/>
      <c r="AM268" s="387"/>
      <c r="AN268" s="387"/>
      <c r="AO268" s="387"/>
      <c r="AP268" s="387"/>
      <c r="AQ268" s="387"/>
      <c r="AR268" s="387"/>
      <c r="AS268" s="387"/>
      <c r="AT268" s="387"/>
      <c r="AU268" s="387"/>
      <c r="AV268" s="387"/>
      <c r="AW268" s="387"/>
      <c r="AX268" s="387"/>
      <c r="AY268" s="387"/>
      <c r="AZ268" s="387"/>
      <c r="BA268" s="387"/>
      <c r="BB268" s="387"/>
      <c r="BC268" s="387"/>
      <c r="BD268" s="387"/>
      <c r="BE268" s="387"/>
      <c r="BF268" s="387"/>
      <c r="BG268" s="387"/>
      <c r="BH268" s="387"/>
      <c r="BI268" s="387"/>
      <c r="BJ268" s="387"/>
      <c r="BK268" s="387"/>
      <c r="BL268" s="387"/>
      <c r="BM268" s="387"/>
      <c r="BN268" s="387"/>
      <c r="BO268" s="387"/>
      <c r="BP268" s="387"/>
      <c r="BQ268" s="387"/>
      <c r="BR268" s="387"/>
      <c r="BS268" s="387"/>
      <c r="BT268" s="387"/>
      <c r="BU268" s="387"/>
      <c r="BV268" s="387"/>
    </row>
    <row r="269" spans="2:74" x14ac:dyDescent="0.3">
      <c r="B269" s="325"/>
      <c r="C269" s="325"/>
      <c r="D269" s="325"/>
      <c r="E269" s="421"/>
      <c r="F269" s="387"/>
      <c r="G269" s="387"/>
      <c r="H269" s="387"/>
      <c r="I269" s="387"/>
      <c r="J269" s="387"/>
      <c r="K269" s="387"/>
      <c r="L269" s="387"/>
      <c r="M269" s="387"/>
      <c r="N269" s="387"/>
      <c r="O269" s="387"/>
      <c r="P269" s="387"/>
      <c r="Q269" s="387"/>
      <c r="R269" s="387"/>
      <c r="S269" s="387"/>
      <c r="T269" s="387"/>
      <c r="U269" s="387"/>
      <c r="V269" s="387"/>
      <c r="W269" s="387"/>
      <c r="X269" s="387"/>
      <c r="Y269" s="387"/>
      <c r="Z269" s="387"/>
      <c r="AA269" s="387"/>
      <c r="AB269" s="387"/>
      <c r="AC269" s="387"/>
      <c r="AD269" s="387"/>
      <c r="AE269" s="387"/>
      <c r="AF269" s="387"/>
      <c r="AG269" s="387"/>
      <c r="AH269" s="387"/>
      <c r="AI269" s="387"/>
      <c r="AJ269" s="387"/>
      <c r="AK269" s="387"/>
      <c r="AL269" s="387"/>
      <c r="AM269" s="387"/>
      <c r="AN269" s="387"/>
      <c r="AO269" s="387"/>
      <c r="AP269" s="387"/>
      <c r="AQ269" s="387"/>
      <c r="AR269" s="387"/>
      <c r="AS269" s="387"/>
      <c r="AT269" s="387"/>
      <c r="AU269" s="387"/>
      <c r="AV269" s="387"/>
      <c r="AW269" s="387"/>
      <c r="AX269" s="387"/>
      <c r="AY269" s="387"/>
      <c r="AZ269" s="387"/>
      <c r="BA269" s="387"/>
      <c r="BB269" s="387"/>
      <c r="BC269" s="387"/>
      <c r="BD269" s="387"/>
      <c r="BE269" s="387"/>
      <c r="BF269" s="387"/>
      <c r="BG269" s="387"/>
      <c r="BH269" s="387"/>
      <c r="BI269" s="387"/>
      <c r="BJ269" s="387"/>
      <c r="BK269" s="387"/>
      <c r="BL269" s="387"/>
      <c r="BM269" s="387"/>
      <c r="BN269" s="387"/>
      <c r="BO269" s="387"/>
      <c r="BP269" s="387"/>
      <c r="BQ269" s="387"/>
      <c r="BR269" s="387"/>
      <c r="BS269" s="387"/>
      <c r="BT269" s="387"/>
      <c r="BU269" s="387"/>
      <c r="BV269" s="387"/>
    </row>
    <row r="270" spans="2:74" x14ac:dyDescent="0.3">
      <c r="B270" s="325"/>
      <c r="C270" s="309"/>
      <c r="D270" s="309"/>
      <c r="E270" s="421"/>
      <c r="F270" s="387"/>
      <c r="G270" s="387"/>
      <c r="H270" s="387"/>
      <c r="I270" s="387"/>
      <c r="J270" s="387"/>
      <c r="K270" s="387"/>
      <c r="L270" s="387"/>
      <c r="M270" s="387"/>
      <c r="N270" s="387"/>
      <c r="O270" s="387"/>
      <c r="P270" s="387"/>
      <c r="Q270" s="387"/>
      <c r="R270" s="387"/>
      <c r="S270" s="387"/>
      <c r="T270" s="387"/>
      <c r="U270" s="387"/>
      <c r="V270" s="387"/>
      <c r="W270" s="387"/>
      <c r="X270" s="387"/>
      <c r="Y270" s="387"/>
      <c r="Z270" s="387"/>
      <c r="AA270" s="387"/>
      <c r="AB270" s="387"/>
      <c r="AC270" s="387"/>
      <c r="AD270" s="387"/>
      <c r="AE270" s="387"/>
      <c r="AF270" s="387"/>
      <c r="AG270" s="387"/>
      <c r="AH270" s="387"/>
      <c r="AI270" s="387"/>
      <c r="AJ270" s="387"/>
      <c r="AK270" s="387"/>
      <c r="AL270" s="387"/>
      <c r="AM270" s="387"/>
      <c r="AN270" s="387"/>
      <c r="AO270" s="387"/>
      <c r="AP270" s="387"/>
      <c r="AQ270" s="387"/>
      <c r="AR270" s="387"/>
      <c r="AS270" s="387"/>
      <c r="AT270" s="387"/>
      <c r="AU270" s="387"/>
      <c r="AV270" s="387"/>
      <c r="AW270" s="387"/>
      <c r="AX270" s="387"/>
      <c r="AY270" s="387"/>
      <c r="AZ270" s="387"/>
      <c r="BA270" s="387"/>
      <c r="BB270" s="387"/>
      <c r="BC270" s="387"/>
      <c r="BD270" s="387"/>
      <c r="BE270" s="387"/>
      <c r="BF270" s="387"/>
      <c r="BG270" s="387"/>
      <c r="BH270" s="387"/>
      <c r="BI270" s="387"/>
      <c r="BJ270" s="387"/>
      <c r="BK270" s="387"/>
      <c r="BL270" s="387"/>
      <c r="BM270" s="387"/>
      <c r="BN270" s="387"/>
      <c r="BO270" s="387"/>
      <c r="BP270" s="387"/>
      <c r="BQ270" s="387"/>
      <c r="BR270" s="387"/>
      <c r="BS270" s="387"/>
      <c r="BT270" s="387"/>
      <c r="BU270" s="387"/>
      <c r="BV270" s="387"/>
    </row>
    <row r="271" spans="2:74" x14ac:dyDescent="0.3">
      <c r="B271" s="325"/>
      <c r="C271" s="309"/>
      <c r="D271" s="309"/>
      <c r="E271" s="421"/>
      <c r="F271" s="387"/>
      <c r="G271" s="387"/>
      <c r="H271" s="387"/>
      <c r="I271" s="387"/>
      <c r="J271" s="387"/>
      <c r="K271" s="387"/>
      <c r="L271" s="387"/>
      <c r="M271" s="387"/>
      <c r="N271" s="387"/>
      <c r="O271" s="387"/>
      <c r="P271" s="387"/>
      <c r="Q271" s="387"/>
      <c r="R271" s="387"/>
      <c r="S271" s="387"/>
      <c r="T271" s="387"/>
      <c r="U271" s="387"/>
      <c r="V271" s="387"/>
      <c r="W271" s="387"/>
      <c r="X271" s="387"/>
      <c r="Y271" s="387"/>
      <c r="Z271" s="387"/>
      <c r="AA271" s="387"/>
      <c r="AB271" s="387"/>
      <c r="AC271" s="387"/>
      <c r="AD271" s="387"/>
      <c r="AE271" s="387"/>
      <c r="AF271" s="387"/>
      <c r="AG271" s="387"/>
      <c r="AH271" s="387"/>
      <c r="AI271" s="387"/>
      <c r="AJ271" s="387"/>
      <c r="AK271" s="387"/>
      <c r="AL271" s="387"/>
      <c r="AM271" s="387"/>
      <c r="AN271" s="387"/>
      <c r="AO271" s="387"/>
      <c r="AP271" s="387"/>
      <c r="AQ271" s="387"/>
      <c r="AR271" s="387"/>
      <c r="AS271" s="387"/>
      <c r="AT271" s="387"/>
      <c r="AU271" s="387"/>
      <c r="AV271" s="387"/>
      <c r="AW271" s="387"/>
      <c r="AX271" s="387"/>
      <c r="AY271" s="387"/>
      <c r="AZ271" s="387"/>
      <c r="BA271" s="387"/>
      <c r="BB271" s="387"/>
      <c r="BC271" s="387"/>
      <c r="BD271" s="387"/>
      <c r="BE271" s="387"/>
      <c r="BF271" s="387"/>
      <c r="BG271" s="387"/>
      <c r="BH271" s="387"/>
      <c r="BI271" s="387"/>
      <c r="BJ271" s="387"/>
      <c r="BK271" s="387"/>
      <c r="BL271" s="387"/>
      <c r="BM271" s="387"/>
      <c r="BN271" s="387"/>
      <c r="BO271" s="387"/>
      <c r="BP271" s="387"/>
      <c r="BQ271" s="387"/>
      <c r="BR271" s="387"/>
      <c r="BS271" s="387"/>
      <c r="BT271" s="387"/>
      <c r="BU271" s="387"/>
      <c r="BV271" s="387"/>
    </row>
    <row r="272" spans="2:74" x14ac:dyDescent="0.3">
      <c r="B272" s="325"/>
      <c r="C272" s="309"/>
      <c r="D272" s="309"/>
      <c r="E272" s="421"/>
      <c r="F272" s="387"/>
      <c r="G272" s="387"/>
      <c r="H272" s="387"/>
      <c r="I272" s="387"/>
      <c r="J272" s="387"/>
      <c r="K272" s="387"/>
      <c r="L272" s="387"/>
      <c r="M272" s="387"/>
      <c r="N272" s="387"/>
      <c r="O272" s="387"/>
      <c r="P272" s="387"/>
      <c r="Q272" s="387"/>
      <c r="R272" s="387"/>
      <c r="S272" s="387"/>
      <c r="T272" s="387"/>
      <c r="U272" s="387"/>
      <c r="V272" s="387"/>
      <c r="W272" s="387"/>
      <c r="X272" s="387"/>
      <c r="Y272" s="387"/>
      <c r="Z272" s="387"/>
      <c r="AA272" s="387"/>
      <c r="AB272" s="387"/>
      <c r="AC272" s="387"/>
      <c r="AD272" s="387"/>
      <c r="AE272" s="387"/>
      <c r="AF272" s="387"/>
      <c r="AG272" s="387"/>
      <c r="AH272" s="387"/>
      <c r="AI272" s="387"/>
      <c r="AJ272" s="387"/>
      <c r="AK272" s="387"/>
      <c r="AL272" s="387"/>
      <c r="AM272" s="387"/>
      <c r="AN272" s="387"/>
      <c r="AO272" s="387"/>
      <c r="AP272" s="387"/>
      <c r="AQ272" s="387"/>
      <c r="AR272" s="387"/>
      <c r="AS272" s="387"/>
      <c r="AT272" s="387"/>
      <c r="AU272" s="387"/>
      <c r="AV272" s="387"/>
      <c r="AW272" s="387"/>
      <c r="AX272" s="387"/>
      <c r="AY272" s="387"/>
      <c r="AZ272" s="387"/>
      <c r="BA272" s="387"/>
      <c r="BB272" s="387"/>
      <c r="BC272" s="387"/>
      <c r="BD272" s="387"/>
      <c r="BE272" s="387"/>
      <c r="BF272" s="387"/>
      <c r="BG272" s="387"/>
      <c r="BH272" s="387"/>
      <c r="BI272" s="387"/>
      <c r="BJ272" s="387"/>
      <c r="BK272" s="387"/>
      <c r="BL272" s="387"/>
      <c r="BM272" s="387"/>
      <c r="BN272" s="387"/>
      <c r="BO272" s="387"/>
      <c r="BP272" s="387"/>
      <c r="BQ272" s="387"/>
      <c r="BR272" s="387"/>
      <c r="BS272" s="387"/>
      <c r="BT272" s="387"/>
      <c r="BU272" s="387"/>
      <c r="BV272" s="387"/>
    </row>
    <row r="273" spans="2:74" x14ac:dyDescent="0.3">
      <c r="B273" s="325"/>
      <c r="C273" s="309"/>
      <c r="D273" s="309"/>
      <c r="E273" s="421"/>
      <c r="F273" s="387"/>
      <c r="G273" s="387"/>
      <c r="H273" s="387"/>
      <c r="I273" s="387"/>
      <c r="J273" s="387"/>
      <c r="K273" s="387"/>
      <c r="L273" s="387"/>
      <c r="M273" s="387"/>
      <c r="N273" s="387"/>
      <c r="O273" s="387"/>
      <c r="P273" s="387"/>
      <c r="Q273" s="387"/>
      <c r="R273" s="387"/>
      <c r="S273" s="387"/>
      <c r="T273" s="387"/>
      <c r="U273" s="387"/>
      <c r="V273" s="387"/>
      <c r="W273" s="387"/>
      <c r="X273" s="387"/>
      <c r="Y273" s="387"/>
      <c r="Z273" s="387"/>
      <c r="AA273" s="387"/>
      <c r="AB273" s="387"/>
      <c r="AC273" s="387"/>
      <c r="AD273" s="387"/>
      <c r="AE273" s="387"/>
      <c r="AF273" s="387"/>
      <c r="AG273" s="387"/>
      <c r="AH273" s="387"/>
      <c r="AI273" s="387"/>
      <c r="AJ273" s="387"/>
      <c r="AK273" s="387"/>
      <c r="AL273" s="387"/>
      <c r="AM273" s="387"/>
      <c r="AN273" s="387"/>
      <c r="AO273" s="387"/>
      <c r="AP273" s="387"/>
      <c r="AQ273" s="387"/>
      <c r="AR273" s="387"/>
      <c r="AS273" s="387"/>
      <c r="AT273" s="387"/>
      <c r="AU273" s="387"/>
      <c r="AV273" s="387"/>
      <c r="AW273" s="387"/>
      <c r="AX273" s="387"/>
      <c r="AY273" s="387"/>
      <c r="AZ273" s="387"/>
      <c r="BA273" s="387"/>
      <c r="BB273" s="387"/>
      <c r="BC273" s="387"/>
      <c r="BD273" s="387"/>
      <c r="BE273" s="387"/>
      <c r="BF273" s="387"/>
      <c r="BG273" s="387"/>
      <c r="BH273" s="387"/>
      <c r="BI273" s="387"/>
      <c r="BJ273" s="387"/>
      <c r="BK273" s="387"/>
      <c r="BL273" s="387"/>
      <c r="BM273" s="387"/>
      <c r="BN273" s="387"/>
      <c r="BO273" s="387"/>
      <c r="BP273" s="387"/>
      <c r="BQ273" s="387"/>
      <c r="BR273" s="387"/>
      <c r="BS273" s="387"/>
      <c r="BT273" s="387"/>
      <c r="BU273" s="387"/>
      <c r="BV273" s="387"/>
    </row>
    <row r="274" spans="2:74" x14ac:dyDescent="0.3">
      <c r="B274" s="325"/>
      <c r="C274" s="309"/>
      <c r="D274" s="309"/>
      <c r="E274" s="421"/>
      <c r="F274" s="387"/>
      <c r="G274" s="387"/>
      <c r="H274" s="387"/>
      <c r="I274" s="387"/>
      <c r="J274" s="387"/>
      <c r="K274" s="387"/>
      <c r="L274" s="387"/>
      <c r="M274" s="387"/>
      <c r="N274" s="387"/>
      <c r="O274" s="387"/>
      <c r="P274" s="387"/>
      <c r="Q274" s="387"/>
      <c r="R274" s="387"/>
      <c r="S274" s="387"/>
      <c r="T274" s="387"/>
      <c r="U274" s="387"/>
      <c r="V274" s="387"/>
      <c r="W274" s="387"/>
      <c r="X274" s="387"/>
      <c r="Y274" s="387"/>
      <c r="Z274" s="387"/>
      <c r="AA274" s="387"/>
      <c r="AB274" s="387"/>
      <c r="AC274" s="387"/>
      <c r="AD274" s="387"/>
      <c r="AE274" s="387"/>
      <c r="AF274" s="387"/>
      <c r="AG274" s="387"/>
      <c r="AH274" s="387"/>
      <c r="AI274" s="387"/>
      <c r="AJ274" s="387"/>
      <c r="AK274" s="387"/>
      <c r="AL274" s="387"/>
      <c r="AM274" s="387"/>
      <c r="AN274" s="387"/>
      <c r="AO274" s="387"/>
      <c r="AP274" s="387"/>
      <c r="AQ274" s="387"/>
      <c r="AR274" s="387"/>
      <c r="AS274" s="387"/>
      <c r="AT274" s="387"/>
      <c r="AU274" s="387"/>
      <c r="AV274" s="387"/>
      <c r="AW274" s="387"/>
      <c r="AX274" s="387"/>
      <c r="AY274" s="387"/>
      <c r="AZ274" s="387"/>
      <c r="BA274" s="387"/>
      <c r="BB274" s="387"/>
      <c r="BC274" s="387"/>
      <c r="BD274" s="387"/>
      <c r="BE274" s="387"/>
      <c r="BF274" s="387"/>
      <c r="BG274" s="387"/>
      <c r="BH274" s="387"/>
      <c r="BI274" s="387"/>
      <c r="BJ274" s="387"/>
      <c r="BK274" s="387"/>
      <c r="BL274" s="387"/>
      <c r="BM274" s="387"/>
      <c r="BN274" s="387"/>
      <c r="BO274" s="387"/>
      <c r="BP274" s="387"/>
      <c r="BQ274" s="387"/>
      <c r="BR274" s="387"/>
      <c r="BS274" s="387"/>
      <c r="BT274" s="387"/>
      <c r="BU274" s="387"/>
      <c r="BV274" s="387"/>
    </row>
    <row r="275" spans="2:74" x14ac:dyDescent="0.3">
      <c r="B275" s="325"/>
      <c r="C275" s="309"/>
      <c r="D275" s="309"/>
      <c r="E275" s="421"/>
      <c r="F275" s="387"/>
      <c r="G275" s="387"/>
      <c r="H275" s="387"/>
      <c r="I275" s="387"/>
      <c r="J275" s="387"/>
      <c r="K275" s="387"/>
      <c r="L275" s="387"/>
      <c r="M275" s="387"/>
      <c r="N275" s="387"/>
      <c r="O275" s="387"/>
      <c r="P275" s="387"/>
      <c r="Q275" s="387"/>
      <c r="R275" s="387"/>
      <c r="S275" s="387"/>
      <c r="T275" s="387"/>
      <c r="U275" s="387"/>
      <c r="V275" s="387"/>
      <c r="W275" s="387"/>
      <c r="X275" s="387"/>
      <c r="Y275" s="387"/>
      <c r="Z275" s="387"/>
      <c r="AA275" s="387"/>
      <c r="AB275" s="387"/>
      <c r="AC275" s="387"/>
      <c r="AD275" s="387"/>
      <c r="AE275" s="387"/>
      <c r="AF275" s="387"/>
      <c r="AG275" s="387"/>
      <c r="AH275" s="387"/>
      <c r="AI275" s="387"/>
      <c r="AJ275" s="387"/>
      <c r="AK275" s="387"/>
      <c r="AL275" s="387"/>
      <c r="AM275" s="387"/>
      <c r="AN275" s="387"/>
      <c r="AO275" s="387"/>
      <c r="AP275" s="387"/>
      <c r="AQ275" s="387"/>
      <c r="AR275" s="387"/>
      <c r="AS275" s="387"/>
      <c r="AT275" s="387"/>
      <c r="AU275" s="387"/>
      <c r="AV275" s="387"/>
      <c r="AW275" s="387"/>
      <c r="AX275" s="387"/>
      <c r="AY275" s="387"/>
      <c r="AZ275" s="387"/>
      <c r="BA275" s="387"/>
      <c r="BB275" s="387"/>
      <c r="BC275" s="387"/>
      <c r="BD275" s="387"/>
      <c r="BE275" s="387"/>
      <c r="BF275" s="387"/>
      <c r="BG275" s="387"/>
      <c r="BH275" s="387"/>
      <c r="BI275" s="387"/>
      <c r="BJ275" s="387"/>
      <c r="BK275" s="387"/>
      <c r="BL275" s="387"/>
      <c r="BM275" s="387"/>
      <c r="BN275" s="387"/>
      <c r="BO275" s="387"/>
      <c r="BP275" s="387"/>
      <c r="BQ275" s="387"/>
      <c r="BR275" s="387"/>
      <c r="BS275" s="387"/>
      <c r="BT275" s="387"/>
      <c r="BU275" s="387"/>
      <c r="BV275" s="387"/>
    </row>
    <row r="276" spans="2:74" x14ac:dyDescent="0.3">
      <c r="B276" s="325"/>
      <c r="C276" s="309"/>
      <c r="D276" s="309"/>
      <c r="E276" s="421"/>
      <c r="F276" s="387"/>
      <c r="G276" s="387"/>
      <c r="H276" s="387"/>
      <c r="I276" s="387"/>
      <c r="J276" s="387"/>
      <c r="K276" s="387"/>
      <c r="L276" s="387"/>
      <c r="M276" s="387"/>
      <c r="N276" s="387"/>
      <c r="O276" s="387"/>
      <c r="P276" s="387"/>
      <c r="Q276" s="387"/>
      <c r="R276" s="387"/>
      <c r="S276" s="387"/>
      <c r="T276" s="387"/>
      <c r="U276" s="387"/>
      <c r="V276" s="387"/>
      <c r="W276" s="387"/>
      <c r="X276" s="387"/>
      <c r="Y276" s="387"/>
      <c r="Z276" s="387"/>
      <c r="AA276" s="387"/>
      <c r="AB276" s="387"/>
      <c r="AC276" s="387"/>
      <c r="AD276" s="387"/>
      <c r="AE276" s="387"/>
      <c r="AF276" s="387"/>
      <c r="AG276" s="387"/>
      <c r="AH276" s="387"/>
      <c r="AI276" s="387"/>
      <c r="AJ276" s="387"/>
      <c r="AK276" s="387"/>
      <c r="AL276" s="387"/>
      <c r="AM276" s="387"/>
      <c r="AN276" s="387"/>
      <c r="AO276" s="387"/>
      <c r="AP276" s="387"/>
      <c r="AQ276" s="387"/>
      <c r="AR276" s="387"/>
      <c r="AS276" s="387"/>
      <c r="AT276" s="387"/>
      <c r="AU276" s="387"/>
      <c r="AV276" s="387"/>
      <c r="AW276" s="387"/>
      <c r="AX276" s="387"/>
      <c r="AY276" s="387"/>
      <c r="AZ276" s="387"/>
      <c r="BA276" s="387"/>
      <c r="BB276" s="387"/>
      <c r="BC276" s="387"/>
      <c r="BD276" s="387"/>
      <c r="BE276" s="387"/>
      <c r="BF276" s="387"/>
      <c r="BG276" s="387"/>
      <c r="BH276" s="387"/>
      <c r="BI276" s="387"/>
      <c r="BJ276" s="387"/>
      <c r="BK276" s="387"/>
      <c r="BL276" s="387"/>
      <c r="BM276" s="387"/>
      <c r="BN276" s="387"/>
      <c r="BO276" s="387"/>
      <c r="BP276" s="387"/>
      <c r="BQ276" s="387"/>
      <c r="BR276" s="387"/>
      <c r="BS276" s="387"/>
      <c r="BT276" s="387"/>
      <c r="BU276" s="387"/>
      <c r="BV276" s="387"/>
    </row>
    <row r="277" spans="2:74" x14ac:dyDescent="0.3">
      <c r="B277" s="325"/>
      <c r="C277" s="309"/>
      <c r="D277" s="309"/>
      <c r="E277" s="421"/>
      <c r="F277" s="387"/>
      <c r="G277" s="387"/>
      <c r="H277" s="387"/>
      <c r="I277" s="387"/>
      <c r="J277" s="387"/>
      <c r="K277" s="387"/>
      <c r="L277" s="387"/>
      <c r="M277" s="387"/>
      <c r="N277" s="387"/>
      <c r="O277" s="387"/>
      <c r="P277" s="387"/>
      <c r="Q277" s="387"/>
      <c r="R277" s="387"/>
      <c r="S277" s="387"/>
      <c r="T277" s="387"/>
      <c r="U277" s="387"/>
      <c r="V277" s="387"/>
      <c r="W277" s="387"/>
      <c r="X277" s="387"/>
      <c r="Y277" s="387"/>
      <c r="Z277" s="387"/>
      <c r="AA277" s="387"/>
      <c r="AB277" s="387"/>
      <c r="AC277" s="387"/>
      <c r="AD277" s="387"/>
      <c r="AE277" s="387"/>
      <c r="AF277" s="387"/>
      <c r="AG277" s="387"/>
      <c r="AH277" s="387"/>
      <c r="AI277" s="387"/>
      <c r="AJ277" s="387"/>
      <c r="AK277" s="387"/>
      <c r="AL277" s="387"/>
      <c r="AM277" s="387"/>
      <c r="AN277" s="387"/>
      <c r="AO277" s="387"/>
      <c r="AP277" s="387"/>
      <c r="AQ277" s="387"/>
      <c r="AR277" s="387"/>
      <c r="AS277" s="387"/>
      <c r="AT277" s="387"/>
      <c r="AU277" s="387"/>
      <c r="AV277" s="387"/>
      <c r="AW277" s="387"/>
      <c r="AX277" s="387"/>
      <c r="AY277" s="387"/>
      <c r="AZ277" s="387"/>
      <c r="BA277" s="387"/>
      <c r="BB277" s="387"/>
      <c r="BC277" s="387"/>
      <c r="BD277" s="387"/>
      <c r="BE277" s="387"/>
      <c r="BF277" s="387"/>
      <c r="BG277" s="387"/>
      <c r="BH277" s="387"/>
      <c r="BI277" s="387"/>
      <c r="BJ277" s="387"/>
      <c r="BK277" s="387"/>
      <c r="BL277" s="387"/>
      <c r="BM277" s="387"/>
      <c r="BN277" s="387"/>
      <c r="BO277" s="387"/>
      <c r="BP277" s="387"/>
      <c r="BQ277" s="387"/>
      <c r="BR277" s="387"/>
      <c r="BS277" s="387"/>
      <c r="BT277" s="387"/>
      <c r="BU277" s="387"/>
      <c r="BV277" s="387"/>
    </row>
    <row r="278" spans="2:74" x14ac:dyDescent="0.3">
      <c r="B278" s="325"/>
      <c r="C278" s="309"/>
      <c r="D278" s="309"/>
      <c r="E278" s="421"/>
      <c r="F278" s="387"/>
      <c r="G278" s="387"/>
      <c r="H278" s="387"/>
      <c r="I278" s="387"/>
      <c r="J278" s="387"/>
      <c r="K278" s="387"/>
      <c r="L278" s="387"/>
      <c r="M278" s="387"/>
      <c r="N278" s="387"/>
      <c r="O278" s="387"/>
      <c r="P278" s="387"/>
      <c r="Q278" s="387"/>
      <c r="R278" s="387"/>
      <c r="S278" s="387"/>
      <c r="T278" s="387"/>
      <c r="U278" s="387"/>
      <c r="V278" s="387"/>
      <c r="W278" s="387"/>
      <c r="X278" s="387"/>
      <c r="Y278" s="387"/>
      <c r="Z278" s="387"/>
      <c r="AA278" s="387"/>
      <c r="AB278" s="387"/>
      <c r="AC278" s="387"/>
      <c r="AD278" s="387"/>
      <c r="AE278" s="387"/>
      <c r="AF278" s="387"/>
      <c r="AG278" s="387"/>
      <c r="AH278" s="387"/>
      <c r="AI278" s="387"/>
      <c r="AJ278" s="387"/>
      <c r="AK278" s="387"/>
      <c r="AL278" s="387"/>
      <c r="AM278" s="387"/>
      <c r="AN278" s="387"/>
      <c r="AO278" s="387"/>
      <c r="AP278" s="387"/>
      <c r="AQ278" s="387"/>
      <c r="AR278" s="387"/>
      <c r="AS278" s="387"/>
      <c r="AT278" s="387"/>
      <c r="AU278" s="387"/>
      <c r="AV278" s="387"/>
      <c r="AW278" s="387"/>
      <c r="AX278" s="387"/>
      <c r="AY278" s="387"/>
      <c r="AZ278" s="387"/>
      <c r="BA278" s="387"/>
      <c r="BB278" s="387"/>
      <c r="BC278" s="387"/>
      <c r="BD278" s="387"/>
      <c r="BE278" s="387"/>
      <c r="BF278" s="387"/>
      <c r="BG278" s="387"/>
      <c r="BH278" s="387"/>
      <c r="BI278" s="387"/>
      <c r="BJ278" s="387"/>
      <c r="BK278" s="387"/>
      <c r="BL278" s="387"/>
      <c r="BM278" s="387"/>
      <c r="BN278" s="387"/>
      <c r="BO278" s="387"/>
      <c r="BP278" s="387"/>
      <c r="BQ278" s="387"/>
      <c r="BR278" s="387"/>
      <c r="BS278" s="387"/>
      <c r="BT278" s="387"/>
      <c r="BU278" s="387"/>
      <c r="BV278" s="387"/>
    </row>
    <row r="279" spans="2:74" x14ac:dyDescent="0.3">
      <c r="B279" s="325"/>
      <c r="C279" s="309"/>
      <c r="D279" s="309"/>
      <c r="E279" s="421"/>
      <c r="F279" s="387"/>
      <c r="G279" s="387"/>
      <c r="H279" s="387"/>
      <c r="I279" s="387"/>
      <c r="J279" s="387"/>
      <c r="K279" s="387"/>
      <c r="L279" s="387"/>
      <c r="M279" s="387"/>
      <c r="N279" s="387"/>
      <c r="O279" s="387"/>
      <c r="P279" s="387"/>
      <c r="Q279" s="387"/>
      <c r="R279" s="387"/>
      <c r="S279" s="387"/>
      <c r="T279" s="387"/>
      <c r="U279" s="387"/>
      <c r="V279" s="387"/>
      <c r="W279" s="387"/>
      <c r="X279" s="387"/>
      <c r="Y279" s="387"/>
      <c r="Z279" s="387"/>
      <c r="AA279" s="387"/>
      <c r="AB279" s="387"/>
      <c r="AC279" s="387"/>
      <c r="AD279" s="387"/>
      <c r="AE279" s="387"/>
      <c r="AF279" s="387"/>
      <c r="AG279" s="387"/>
      <c r="AH279" s="387"/>
      <c r="AI279" s="387"/>
      <c r="AJ279" s="387"/>
      <c r="AK279" s="387"/>
      <c r="AL279" s="387"/>
      <c r="AM279" s="387"/>
      <c r="AN279" s="387"/>
      <c r="AO279" s="387"/>
      <c r="AP279" s="387"/>
      <c r="AQ279" s="387"/>
      <c r="AR279" s="387"/>
      <c r="AS279" s="387"/>
      <c r="AT279" s="387"/>
      <c r="AU279" s="387"/>
      <c r="AV279" s="387"/>
      <c r="AW279" s="387"/>
      <c r="AX279" s="387"/>
      <c r="AY279" s="387"/>
      <c r="AZ279" s="387"/>
      <c r="BA279" s="387"/>
      <c r="BB279" s="387"/>
      <c r="BC279" s="387"/>
      <c r="BD279" s="387"/>
      <c r="BE279" s="387"/>
      <c r="BF279" s="387"/>
      <c r="BG279" s="387"/>
      <c r="BH279" s="387"/>
      <c r="BI279" s="387"/>
      <c r="BJ279" s="387"/>
      <c r="BK279" s="387"/>
      <c r="BL279" s="387"/>
      <c r="BM279" s="387"/>
      <c r="BN279" s="387"/>
      <c r="BO279" s="387"/>
      <c r="BP279" s="387"/>
      <c r="BQ279" s="387"/>
      <c r="BR279" s="387"/>
      <c r="BS279" s="387"/>
      <c r="BT279" s="387"/>
      <c r="BU279" s="387"/>
      <c r="BV279" s="387"/>
    </row>
    <row r="280" spans="2:74" x14ac:dyDescent="0.3">
      <c r="B280" s="325"/>
      <c r="C280" s="309"/>
      <c r="D280" s="309"/>
      <c r="E280" s="421"/>
      <c r="F280" s="387"/>
      <c r="G280" s="387"/>
      <c r="H280" s="387"/>
      <c r="I280" s="387"/>
      <c r="J280" s="387"/>
      <c r="K280" s="387"/>
      <c r="L280" s="387"/>
      <c r="M280" s="387"/>
      <c r="N280" s="387"/>
      <c r="O280" s="387"/>
      <c r="P280" s="387"/>
      <c r="Q280" s="387"/>
      <c r="R280" s="387"/>
      <c r="S280" s="387"/>
      <c r="T280" s="387"/>
      <c r="U280" s="387"/>
      <c r="V280" s="387"/>
      <c r="W280" s="387"/>
      <c r="X280" s="387"/>
      <c r="Y280" s="387"/>
      <c r="Z280" s="387"/>
      <c r="AA280" s="387"/>
      <c r="AB280" s="387"/>
      <c r="AC280" s="387"/>
      <c r="AD280" s="387"/>
      <c r="AE280" s="387"/>
      <c r="AF280" s="387"/>
      <c r="AG280" s="387"/>
      <c r="AH280" s="387"/>
      <c r="AI280" s="387"/>
      <c r="AJ280" s="387"/>
      <c r="AK280" s="387"/>
      <c r="AL280" s="387"/>
      <c r="AM280" s="387"/>
      <c r="AN280" s="387"/>
      <c r="AO280" s="387"/>
      <c r="AP280" s="387"/>
      <c r="AQ280" s="387"/>
      <c r="AR280" s="387"/>
      <c r="AS280" s="387"/>
      <c r="AT280" s="387"/>
      <c r="AU280" s="387"/>
      <c r="AV280" s="387"/>
      <c r="AW280" s="387"/>
      <c r="AX280" s="387"/>
      <c r="AY280" s="387"/>
      <c r="AZ280" s="387"/>
      <c r="BA280" s="387"/>
      <c r="BB280" s="387"/>
      <c r="BC280" s="387"/>
      <c r="BD280" s="387"/>
      <c r="BE280" s="387"/>
      <c r="BF280" s="387"/>
      <c r="BG280" s="387"/>
      <c r="BH280" s="387"/>
      <c r="BI280" s="387"/>
      <c r="BJ280" s="387"/>
      <c r="BK280" s="387"/>
      <c r="BL280" s="387"/>
      <c r="BM280" s="387"/>
      <c r="BN280" s="387"/>
      <c r="BO280" s="387"/>
      <c r="BP280" s="387"/>
      <c r="BQ280" s="387"/>
      <c r="BR280" s="387"/>
      <c r="BS280" s="387"/>
      <c r="BT280" s="387"/>
      <c r="BU280" s="387"/>
      <c r="BV280" s="387"/>
    </row>
    <row r="281" spans="2:74" x14ac:dyDescent="0.3">
      <c r="B281" s="325"/>
      <c r="C281" s="309"/>
      <c r="D281" s="309"/>
      <c r="E281" s="421"/>
      <c r="F281" s="387"/>
      <c r="G281" s="387"/>
      <c r="H281" s="387"/>
      <c r="I281" s="387"/>
      <c r="J281" s="387"/>
      <c r="K281" s="387"/>
      <c r="L281" s="387"/>
      <c r="M281" s="387"/>
      <c r="N281" s="387"/>
      <c r="O281" s="387"/>
      <c r="P281" s="387"/>
      <c r="Q281" s="387"/>
      <c r="R281" s="387"/>
      <c r="S281" s="387"/>
      <c r="T281" s="387"/>
      <c r="U281" s="387"/>
      <c r="V281" s="387"/>
      <c r="W281" s="387"/>
      <c r="X281" s="387"/>
      <c r="Y281" s="387"/>
      <c r="Z281" s="387"/>
      <c r="AA281" s="387"/>
      <c r="AB281" s="387"/>
      <c r="AC281" s="387"/>
      <c r="AD281" s="387"/>
      <c r="AE281" s="387"/>
      <c r="AF281" s="387"/>
      <c r="AG281" s="387"/>
      <c r="AH281" s="387"/>
      <c r="AI281" s="387"/>
      <c r="AJ281" s="387"/>
      <c r="AK281" s="387"/>
      <c r="AL281" s="387"/>
      <c r="AM281" s="387"/>
      <c r="AN281" s="387"/>
      <c r="AO281" s="387"/>
      <c r="AP281" s="387"/>
      <c r="AQ281" s="387"/>
      <c r="AR281" s="387"/>
      <c r="AS281" s="387"/>
      <c r="AT281" s="387"/>
      <c r="AU281" s="387"/>
      <c r="AV281" s="387"/>
      <c r="AW281" s="387"/>
      <c r="AX281" s="387"/>
      <c r="AY281" s="387"/>
      <c r="AZ281" s="387"/>
      <c r="BA281" s="387"/>
      <c r="BB281" s="387"/>
      <c r="BC281" s="387"/>
      <c r="BD281" s="387"/>
      <c r="BE281" s="387"/>
      <c r="BF281" s="387"/>
      <c r="BG281" s="387"/>
      <c r="BH281" s="387"/>
      <c r="BI281" s="387"/>
      <c r="BJ281" s="387"/>
      <c r="BK281" s="387"/>
      <c r="BL281" s="387"/>
      <c r="BM281" s="387"/>
      <c r="BN281" s="387"/>
      <c r="BO281" s="387"/>
      <c r="BP281" s="387"/>
      <c r="BQ281" s="387"/>
      <c r="BR281" s="387"/>
      <c r="BS281" s="387"/>
      <c r="BT281" s="387"/>
      <c r="BU281" s="387"/>
      <c r="BV281" s="387"/>
    </row>
    <row r="282" spans="2:74" x14ac:dyDescent="0.3">
      <c r="B282" s="325"/>
      <c r="C282" s="325"/>
      <c r="D282" s="325"/>
      <c r="E282" s="421"/>
      <c r="F282" s="387"/>
      <c r="G282" s="387"/>
      <c r="H282" s="387"/>
      <c r="I282" s="387"/>
      <c r="J282" s="387"/>
      <c r="K282" s="387"/>
      <c r="L282" s="387"/>
      <c r="M282" s="387"/>
      <c r="N282" s="387"/>
      <c r="O282" s="387"/>
      <c r="P282" s="387"/>
      <c r="Q282" s="387"/>
      <c r="R282" s="387"/>
      <c r="S282" s="387"/>
      <c r="T282" s="387"/>
      <c r="U282" s="387"/>
      <c r="V282" s="387"/>
      <c r="W282" s="387"/>
      <c r="X282" s="387"/>
      <c r="Y282" s="387"/>
      <c r="Z282" s="387"/>
      <c r="AA282" s="387"/>
      <c r="AB282" s="387"/>
      <c r="AC282" s="387"/>
      <c r="AD282" s="387"/>
      <c r="AE282" s="387"/>
      <c r="AF282" s="387"/>
      <c r="AG282" s="387"/>
      <c r="AH282" s="387"/>
      <c r="AI282" s="387"/>
      <c r="AJ282" s="387"/>
      <c r="AK282" s="387"/>
      <c r="AL282" s="387"/>
      <c r="AM282" s="387"/>
      <c r="AN282" s="387"/>
      <c r="AO282" s="387"/>
      <c r="AP282" s="387"/>
      <c r="AQ282" s="387"/>
      <c r="AR282" s="387"/>
      <c r="AS282" s="387"/>
      <c r="AT282" s="387"/>
      <c r="AU282" s="387"/>
      <c r="AV282" s="387"/>
      <c r="AW282" s="387"/>
      <c r="AX282" s="387"/>
      <c r="AY282" s="387"/>
      <c r="AZ282" s="387"/>
      <c r="BA282" s="387"/>
      <c r="BB282" s="387"/>
      <c r="BC282" s="387"/>
      <c r="BD282" s="387"/>
      <c r="BE282" s="387"/>
      <c r="BF282" s="387"/>
      <c r="BG282" s="387"/>
      <c r="BH282" s="387"/>
      <c r="BI282" s="387"/>
      <c r="BJ282" s="387"/>
      <c r="BK282" s="387"/>
      <c r="BL282" s="387"/>
      <c r="BM282" s="387"/>
      <c r="BN282" s="387"/>
      <c r="BO282" s="387"/>
      <c r="BP282" s="387"/>
      <c r="BQ282" s="387"/>
      <c r="BR282" s="387"/>
      <c r="BS282" s="387"/>
      <c r="BT282" s="387"/>
      <c r="BU282" s="387"/>
      <c r="BV282" s="387"/>
    </row>
    <row r="283" spans="2:74" x14ac:dyDescent="0.3">
      <c r="B283" s="325"/>
      <c r="C283" s="325"/>
      <c r="D283" s="325"/>
      <c r="E283" s="421"/>
      <c r="F283" s="387"/>
      <c r="G283" s="387"/>
      <c r="H283" s="387"/>
      <c r="I283" s="387"/>
      <c r="J283" s="387"/>
      <c r="K283" s="387"/>
      <c r="L283" s="387"/>
      <c r="M283" s="387"/>
      <c r="N283" s="387"/>
      <c r="O283" s="387"/>
      <c r="P283" s="387"/>
      <c r="Q283" s="387"/>
      <c r="R283" s="387"/>
      <c r="S283" s="387"/>
      <c r="T283" s="387"/>
      <c r="U283" s="387"/>
      <c r="V283" s="387"/>
      <c r="W283" s="387"/>
      <c r="X283" s="387"/>
      <c r="Y283" s="387"/>
      <c r="Z283" s="387"/>
      <c r="AA283" s="387"/>
      <c r="AB283" s="387"/>
      <c r="AC283" s="387"/>
      <c r="AD283" s="387"/>
      <c r="AE283" s="387"/>
      <c r="AF283" s="387"/>
      <c r="AG283" s="387"/>
      <c r="AH283" s="387"/>
      <c r="AI283" s="387"/>
      <c r="AJ283" s="387"/>
      <c r="AK283" s="387"/>
      <c r="AL283" s="387"/>
      <c r="AM283" s="387"/>
      <c r="AN283" s="387"/>
      <c r="AO283" s="387"/>
      <c r="AP283" s="387"/>
      <c r="AQ283" s="387"/>
      <c r="AR283" s="387"/>
      <c r="AS283" s="387"/>
      <c r="AT283" s="387"/>
      <c r="AU283" s="387"/>
      <c r="AV283" s="387"/>
      <c r="AW283" s="387"/>
      <c r="AX283" s="387"/>
      <c r="AY283" s="387"/>
      <c r="AZ283" s="387"/>
      <c r="BA283" s="387"/>
      <c r="BB283" s="387"/>
      <c r="BC283" s="387"/>
      <c r="BD283" s="387"/>
      <c r="BE283" s="387"/>
      <c r="BF283" s="387"/>
      <c r="BG283" s="387"/>
      <c r="BH283" s="387"/>
      <c r="BI283" s="387"/>
      <c r="BJ283" s="387"/>
      <c r="BK283" s="387"/>
      <c r="BL283" s="387"/>
      <c r="BM283" s="387"/>
      <c r="BN283" s="387"/>
      <c r="BO283" s="387"/>
      <c r="BP283" s="387"/>
      <c r="BQ283" s="387"/>
      <c r="BR283" s="387"/>
      <c r="BS283" s="387"/>
      <c r="BT283" s="387"/>
      <c r="BU283" s="387"/>
      <c r="BV283" s="387"/>
    </row>
    <row r="284" spans="2:74" x14ac:dyDescent="0.3">
      <c r="B284" s="325"/>
      <c r="C284" s="309"/>
      <c r="D284" s="309"/>
      <c r="E284" s="421"/>
      <c r="F284" s="387"/>
      <c r="G284" s="387"/>
      <c r="H284" s="387"/>
      <c r="I284" s="387"/>
      <c r="J284" s="387"/>
      <c r="K284" s="387"/>
      <c r="L284" s="387"/>
      <c r="M284" s="387"/>
      <c r="N284" s="387"/>
      <c r="O284" s="387"/>
      <c r="P284" s="387"/>
      <c r="Q284" s="387"/>
      <c r="R284" s="387"/>
      <c r="S284" s="387"/>
      <c r="T284" s="387"/>
      <c r="U284" s="387"/>
      <c r="V284" s="387"/>
      <c r="W284" s="387"/>
      <c r="X284" s="387"/>
      <c r="Y284" s="387"/>
      <c r="Z284" s="387"/>
      <c r="AA284" s="387"/>
      <c r="AB284" s="387"/>
      <c r="AC284" s="387"/>
      <c r="AD284" s="387"/>
      <c r="AE284" s="387"/>
      <c r="AF284" s="387"/>
      <c r="AG284" s="387"/>
      <c r="AH284" s="387"/>
      <c r="AI284" s="387"/>
      <c r="AJ284" s="387"/>
      <c r="AK284" s="387"/>
      <c r="AL284" s="387"/>
      <c r="AM284" s="387"/>
      <c r="AN284" s="387"/>
      <c r="AO284" s="387"/>
      <c r="AP284" s="387"/>
      <c r="AQ284" s="387"/>
      <c r="AR284" s="387"/>
      <c r="AS284" s="387"/>
      <c r="AT284" s="387"/>
      <c r="AU284" s="387"/>
      <c r="AV284" s="387"/>
      <c r="AW284" s="387"/>
      <c r="AX284" s="387"/>
      <c r="AY284" s="387"/>
      <c r="AZ284" s="387"/>
      <c r="BA284" s="387"/>
      <c r="BB284" s="387"/>
      <c r="BC284" s="387"/>
      <c r="BD284" s="387"/>
      <c r="BE284" s="387"/>
      <c r="BF284" s="387"/>
      <c r="BG284" s="387"/>
      <c r="BH284" s="387"/>
      <c r="BI284" s="387"/>
      <c r="BJ284" s="387"/>
      <c r="BK284" s="387"/>
      <c r="BL284" s="387"/>
      <c r="BM284" s="387"/>
      <c r="BN284" s="387"/>
      <c r="BO284" s="387"/>
      <c r="BP284" s="387"/>
      <c r="BQ284" s="387"/>
      <c r="BR284" s="387"/>
      <c r="BS284" s="387"/>
      <c r="BT284" s="387"/>
      <c r="BU284" s="387"/>
      <c r="BV284" s="387"/>
    </row>
    <row r="285" spans="2:74" x14ac:dyDescent="0.3">
      <c r="B285" s="325"/>
      <c r="C285" s="309"/>
      <c r="D285" s="309"/>
      <c r="E285" s="421"/>
      <c r="F285" s="387"/>
      <c r="G285" s="387"/>
      <c r="H285" s="387"/>
      <c r="I285" s="387"/>
      <c r="J285" s="387"/>
      <c r="K285" s="387"/>
      <c r="L285" s="387"/>
      <c r="M285" s="387"/>
      <c r="N285" s="387"/>
      <c r="O285" s="387"/>
      <c r="P285" s="387"/>
      <c r="Q285" s="387"/>
      <c r="R285" s="387"/>
      <c r="S285" s="387"/>
      <c r="T285" s="387"/>
      <c r="U285" s="387"/>
      <c r="V285" s="387"/>
      <c r="W285" s="387"/>
      <c r="X285" s="387"/>
      <c r="Y285" s="387"/>
      <c r="Z285" s="387"/>
      <c r="AA285" s="387"/>
      <c r="AB285" s="387"/>
      <c r="AC285" s="387"/>
      <c r="AD285" s="387"/>
      <c r="AE285" s="387"/>
      <c r="AF285" s="387"/>
      <c r="AG285" s="387"/>
      <c r="AH285" s="387"/>
      <c r="AI285" s="387"/>
      <c r="AJ285" s="387"/>
      <c r="AK285" s="387"/>
      <c r="AL285" s="387"/>
      <c r="AM285" s="387"/>
      <c r="AN285" s="387"/>
      <c r="AO285" s="387"/>
      <c r="AP285" s="387"/>
      <c r="AQ285" s="387"/>
      <c r="AR285" s="387"/>
      <c r="AS285" s="387"/>
      <c r="AT285" s="387"/>
      <c r="AU285" s="387"/>
      <c r="AV285" s="387"/>
      <c r="AW285" s="387"/>
      <c r="AX285" s="387"/>
      <c r="AY285" s="387"/>
      <c r="AZ285" s="387"/>
      <c r="BA285" s="387"/>
      <c r="BB285" s="387"/>
      <c r="BC285" s="387"/>
      <c r="BD285" s="387"/>
      <c r="BE285" s="387"/>
      <c r="BF285" s="387"/>
      <c r="BG285" s="387"/>
      <c r="BH285" s="387"/>
      <c r="BI285" s="387"/>
      <c r="BJ285" s="387"/>
      <c r="BK285" s="387"/>
      <c r="BL285" s="387"/>
      <c r="BM285" s="387"/>
      <c r="BN285" s="387"/>
      <c r="BO285" s="387"/>
      <c r="BP285" s="387"/>
      <c r="BQ285" s="387"/>
      <c r="BR285" s="387"/>
      <c r="BS285" s="387"/>
      <c r="BT285" s="387"/>
      <c r="BU285" s="387"/>
      <c r="BV285" s="387"/>
    </row>
    <row r="286" spans="2:74" x14ac:dyDescent="0.3">
      <c r="B286" s="325"/>
      <c r="C286" s="309"/>
      <c r="D286" s="309"/>
      <c r="I286" s="387"/>
      <c r="J286" s="387"/>
      <c r="K286" s="387"/>
      <c r="L286" s="387"/>
      <c r="M286" s="387"/>
      <c r="N286" s="387"/>
      <c r="O286" s="387"/>
      <c r="P286" s="387"/>
      <c r="Q286" s="387"/>
      <c r="R286" s="387"/>
      <c r="S286" s="387"/>
      <c r="T286" s="387"/>
      <c r="U286" s="387"/>
      <c r="V286" s="387"/>
      <c r="W286" s="387"/>
      <c r="X286" s="387"/>
      <c r="Y286" s="387"/>
      <c r="Z286" s="387"/>
      <c r="AA286" s="387"/>
      <c r="AB286" s="387"/>
      <c r="AC286" s="387"/>
      <c r="AD286" s="387"/>
      <c r="AE286" s="387"/>
      <c r="AF286" s="387"/>
      <c r="AG286" s="387"/>
      <c r="AH286" s="387"/>
      <c r="AI286" s="387"/>
      <c r="AJ286" s="387"/>
      <c r="AK286" s="387"/>
      <c r="AL286" s="387"/>
      <c r="AM286" s="387"/>
      <c r="AN286" s="387"/>
      <c r="AO286" s="387"/>
      <c r="AP286" s="387"/>
      <c r="AQ286" s="387"/>
      <c r="AR286" s="387"/>
      <c r="AS286" s="387"/>
      <c r="AT286" s="387"/>
      <c r="AU286" s="387"/>
      <c r="AV286" s="387"/>
      <c r="AW286" s="387"/>
      <c r="BB286" s="387"/>
      <c r="BG286" s="387"/>
      <c r="BH286" s="387"/>
      <c r="BI286" s="387"/>
      <c r="BJ286" s="387"/>
      <c r="BK286" s="387"/>
      <c r="BL286" s="387"/>
      <c r="BM286" s="387"/>
      <c r="BN286" s="387"/>
      <c r="BO286" s="387"/>
      <c r="BP286" s="387"/>
      <c r="BQ286" s="387"/>
      <c r="BR286" s="387"/>
      <c r="BS286" s="387"/>
      <c r="BT286" s="387"/>
      <c r="BU286" s="387"/>
      <c r="BV286" s="387"/>
    </row>
    <row r="287" spans="2:74" x14ac:dyDescent="0.3">
      <c r="BM287" s="387"/>
      <c r="BN287" s="387"/>
      <c r="BO287" s="387"/>
      <c r="BP287" s="387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5988-427F-4383-B1EE-B05294CBDE6C}">
  <dimension ref="C2:EU141"/>
  <sheetViews>
    <sheetView view="pageBreakPreview" zoomScale="96" zoomScaleNormal="100" zoomScaleSheetLayoutView="96" workbookViewId="0">
      <selection activeCell="DV35" sqref="DV35"/>
    </sheetView>
  </sheetViews>
  <sheetFormatPr defaultColWidth="10" defaultRowHeight="13" x14ac:dyDescent="0.3"/>
  <cols>
    <col min="1" max="1" width="1.54296875" style="136" customWidth="1"/>
    <col min="2" max="2" width="1.453125" style="136" customWidth="1"/>
    <col min="3" max="3" width="57.54296875" style="136" customWidth="1"/>
    <col min="4" max="4" width="2.7265625" style="136" customWidth="1"/>
    <col min="5" max="5" width="8.7265625" style="136" hidden="1" customWidth="1"/>
    <col min="6" max="7" width="1" style="136" customWidth="1"/>
    <col min="8" max="8" width="17.81640625" style="136" customWidth="1"/>
    <col min="9" max="10" width="1" style="136" customWidth="1"/>
    <col min="11" max="11" width="2" style="136" hidden="1" customWidth="1"/>
    <col min="12" max="12" width="1" style="136" hidden="1" customWidth="1"/>
    <col min="13" max="13" width="17.81640625" style="136" hidden="1" customWidth="1"/>
    <col min="14" max="17" width="1" style="136" hidden="1" customWidth="1"/>
    <col min="18" max="18" width="17.81640625" style="136" hidden="1" customWidth="1"/>
    <col min="19" max="22" width="1" style="136" hidden="1" customWidth="1"/>
    <col min="23" max="23" width="17.81640625" style="136" hidden="1" customWidth="1"/>
    <col min="24" max="27" width="1" style="136" hidden="1" customWidth="1"/>
    <col min="28" max="28" width="17.81640625" style="136" hidden="1" customWidth="1"/>
    <col min="29" max="32" width="1" style="136" hidden="1" customWidth="1"/>
    <col min="33" max="33" width="17.81640625" style="136" hidden="1" customWidth="1"/>
    <col min="34" max="37" width="1" style="136" hidden="1" customWidth="1"/>
    <col min="38" max="38" width="17.81640625" style="136" hidden="1" customWidth="1"/>
    <col min="39" max="42" width="1" style="136" hidden="1" customWidth="1"/>
    <col min="43" max="43" width="17.81640625" style="136" hidden="1" customWidth="1"/>
    <col min="44" max="47" width="1" style="136" hidden="1" customWidth="1"/>
    <col min="48" max="48" width="17.81640625" style="136" hidden="1" customWidth="1"/>
    <col min="49" max="52" width="1" style="136" hidden="1" customWidth="1"/>
    <col min="53" max="53" width="17.81640625" style="136" hidden="1" customWidth="1"/>
    <col min="54" max="55" width="1" style="136" hidden="1" customWidth="1"/>
    <col min="56" max="57" width="1" style="136" customWidth="1"/>
    <col min="58" max="58" width="17.81640625" style="136" customWidth="1"/>
    <col min="59" max="60" width="1" style="136" customWidth="1"/>
    <col min="61" max="62" width="1" style="136" hidden="1" customWidth="1"/>
    <col min="63" max="63" width="17.81640625" style="136" hidden="1" customWidth="1"/>
    <col min="64" max="67" width="1" style="136" hidden="1" customWidth="1"/>
    <col min="68" max="68" width="17.81640625" style="136" hidden="1" customWidth="1"/>
    <col min="69" max="70" width="1" style="136" hidden="1" customWidth="1"/>
    <col min="71" max="72" width="1" style="136" customWidth="1"/>
    <col min="73" max="73" width="17.81640625" style="136" customWidth="1"/>
    <col min="74" max="77" width="1" style="136" customWidth="1"/>
    <col min="78" max="78" width="17.81640625" style="136" customWidth="1"/>
    <col min="79" max="80" width="1" style="136" customWidth="1"/>
    <col min="81" max="81" width="1.26953125" style="136" hidden="1" customWidth="1"/>
    <col min="82" max="82" width="1" style="136" hidden="1" customWidth="1"/>
    <col min="83" max="83" width="17.81640625" style="136" hidden="1" customWidth="1"/>
    <col min="84" max="87" width="1" style="136" hidden="1" customWidth="1"/>
    <col min="88" max="88" width="17.81640625" style="136" hidden="1" customWidth="1"/>
    <col min="89" max="92" width="1" style="136" hidden="1" customWidth="1"/>
    <col min="93" max="93" width="17.81640625" style="136" hidden="1" customWidth="1"/>
    <col min="94" max="97" width="1" style="136" hidden="1" customWidth="1"/>
    <col min="98" max="98" width="17.81640625" style="136" hidden="1" customWidth="1"/>
    <col min="99" max="102" width="1" style="136" hidden="1" customWidth="1"/>
    <col min="103" max="103" width="17.81640625" style="136" hidden="1" customWidth="1"/>
    <col min="104" max="107" width="1" style="136" hidden="1" customWidth="1"/>
    <col min="108" max="108" width="17.81640625" style="136" hidden="1" customWidth="1"/>
    <col min="109" max="112" width="1" style="136" hidden="1" customWidth="1"/>
    <col min="113" max="113" width="17.81640625" style="136" hidden="1" customWidth="1"/>
    <col min="114" max="117" width="1" style="136" hidden="1" customWidth="1"/>
    <col min="118" max="118" width="17.81640625" style="136" hidden="1" customWidth="1"/>
    <col min="119" max="122" width="1" style="136" hidden="1" customWidth="1"/>
    <col min="123" max="123" width="17.81640625" style="136" hidden="1" customWidth="1"/>
    <col min="124" max="125" width="1" style="136" hidden="1" customWidth="1"/>
    <col min="126" max="127" width="1" style="136" customWidth="1"/>
    <col min="128" max="128" width="17.81640625" style="136" customWidth="1"/>
    <col min="129" max="130" width="1" style="136" customWidth="1"/>
    <col min="131" max="132" width="1" style="136" hidden="1" customWidth="1"/>
    <col min="133" max="133" width="17.81640625" style="136" hidden="1" customWidth="1"/>
    <col min="134" max="137" width="1" style="136" hidden="1" customWidth="1"/>
    <col min="138" max="138" width="17.81640625" style="136" hidden="1" customWidth="1"/>
    <col min="139" max="140" width="1" style="136" hidden="1" customWidth="1"/>
    <col min="141" max="142" width="1" style="136" customWidth="1"/>
    <col min="143" max="143" width="17.81640625" style="136" customWidth="1"/>
    <col min="144" max="145" width="1" style="136" customWidth="1"/>
    <col min="146" max="146" width="1.54296875" style="136" customWidth="1"/>
    <col min="147" max="147" width="0.7265625" style="136" customWidth="1"/>
    <col min="148" max="148" width="1.81640625" style="136" customWidth="1"/>
    <col min="149" max="149" width="10.7265625" style="136" customWidth="1"/>
    <col min="150" max="150" width="13" style="136" customWidth="1"/>
    <col min="151" max="151" width="11.26953125" style="136" customWidth="1"/>
    <col min="152" max="16384" width="10" style="136"/>
  </cols>
  <sheetData>
    <row r="2" spans="3:151" ht="5.25" customHeight="1" x14ac:dyDescent="0.3"/>
    <row r="4" spans="3:151" x14ac:dyDescent="0.3">
      <c r="C4" s="42"/>
      <c r="D4" s="42"/>
    </row>
    <row r="5" spans="3:151" x14ac:dyDescent="0.3">
      <c r="D5" s="42"/>
    </row>
    <row r="7" spans="3:151" ht="15" customHeight="1" x14ac:dyDescent="0.35">
      <c r="C7" s="483" t="s">
        <v>285</v>
      </c>
      <c r="D7" s="138"/>
    </row>
    <row r="8" spans="3:151" x14ac:dyDescent="0.3">
      <c r="C8" s="139"/>
      <c r="E8" s="484"/>
      <c r="F8" s="485"/>
      <c r="G8" s="486"/>
      <c r="H8" s="575" t="s">
        <v>1</v>
      </c>
      <c r="I8" s="575"/>
      <c r="J8" s="575"/>
      <c r="K8" s="575"/>
      <c r="L8" s="575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  <c r="AM8" s="588"/>
      <c r="AN8" s="588"/>
      <c r="AO8" s="588"/>
      <c r="AP8" s="588"/>
      <c r="AQ8" s="588"/>
      <c r="AR8" s="588"/>
      <c r="AS8" s="588"/>
      <c r="AT8" s="588"/>
      <c r="AU8" s="588"/>
      <c r="AV8" s="588"/>
      <c r="AW8" s="588"/>
      <c r="AX8" s="588"/>
      <c r="AY8" s="588"/>
      <c r="AZ8" s="588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8"/>
      <c r="BR8" s="588"/>
      <c r="BS8" s="588"/>
      <c r="BT8" s="588"/>
      <c r="BU8" s="588"/>
      <c r="BV8" s="487"/>
      <c r="BW8" s="487"/>
      <c r="BX8" s="488"/>
      <c r="BY8" s="487"/>
      <c r="BZ8" s="575" t="s">
        <v>2</v>
      </c>
      <c r="CA8" s="575"/>
      <c r="CB8" s="575"/>
      <c r="CC8" s="575"/>
      <c r="CD8" s="575"/>
      <c r="CE8" s="575"/>
      <c r="CF8" s="575"/>
      <c r="CG8" s="575"/>
      <c r="CH8" s="575"/>
      <c r="CI8" s="575"/>
      <c r="CJ8" s="575"/>
      <c r="CK8" s="575"/>
      <c r="CL8" s="575"/>
      <c r="CM8" s="575"/>
      <c r="CN8" s="575"/>
      <c r="CO8" s="575"/>
      <c r="CP8" s="575"/>
      <c r="CQ8" s="575"/>
      <c r="CR8" s="575"/>
      <c r="CS8" s="575"/>
      <c r="CT8" s="575"/>
      <c r="CU8" s="575"/>
      <c r="CV8" s="575"/>
      <c r="CW8" s="575"/>
      <c r="CX8" s="575"/>
      <c r="CY8" s="575"/>
      <c r="CZ8" s="575"/>
      <c r="DA8" s="575"/>
      <c r="DB8" s="575"/>
      <c r="DC8" s="575"/>
      <c r="DD8" s="575"/>
      <c r="DE8" s="575"/>
      <c r="DF8" s="575"/>
      <c r="DG8" s="575"/>
      <c r="DH8" s="575"/>
      <c r="DI8" s="575"/>
      <c r="DJ8" s="575"/>
      <c r="DK8" s="575"/>
      <c r="DL8" s="575"/>
      <c r="DM8" s="575"/>
      <c r="DN8" s="575"/>
      <c r="DO8" s="575"/>
      <c r="DP8" s="575"/>
      <c r="DQ8" s="575"/>
      <c r="DR8" s="575"/>
      <c r="DS8" s="575"/>
      <c r="DT8" s="575"/>
      <c r="DU8" s="575"/>
      <c r="DV8" s="575"/>
      <c r="DW8" s="575"/>
      <c r="DX8" s="575"/>
      <c r="DY8" s="575"/>
      <c r="DZ8" s="575"/>
      <c r="EA8" s="575"/>
      <c r="EB8" s="575"/>
      <c r="EC8" s="575"/>
      <c r="ED8" s="575"/>
      <c r="EE8" s="575"/>
      <c r="EF8" s="575"/>
      <c r="EG8" s="575"/>
      <c r="EH8" s="575"/>
      <c r="EI8" s="575"/>
      <c r="EJ8" s="575"/>
      <c r="EK8" s="575"/>
      <c r="EL8" s="575"/>
      <c r="EM8" s="575"/>
      <c r="EN8" s="142"/>
      <c r="EO8" s="143"/>
      <c r="EP8" s="144"/>
    </row>
    <row r="9" spans="3:151" ht="18" customHeight="1" x14ac:dyDescent="0.3">
      <c r="C9" s="144"/>
      <c r="E9" s="236" t="s">
        <v>19</v>
      </c>
      <c r="F9" s="474"/>
      <c r="G9" s="47"/>
      <c r="H9" s="47" t="s">
        <v>3</v>
      </c>
      <c r="I9" s="47"/>
      <c r="J9" s="47"/>
      <c r="K9" s="474"/>
      <c r="L9" s="47"/>
      <c r="M9" s="47" t="s">
        <v>4</v>
      </c>
      <c r="N9" s="47"/>
      <c r="O9" s="47"/>
      <c r="P9" s="474"/>
      <c r="Q9" s="47"/>
      <c r="R9" s="47" t="s">
        <v>5</v>
      </c>
      <c r="S9" s="47"/>
      <c r="T9" s="47"/>
      <c r="U9" s="474"/>
      <c r="V9" s="47"/>
      <c r="W9" s="47" t="s">
        <v>6</v>
      </c>
      <c r="X9" s="47"/>
      <c r="Y9" s="47"/>
      <c r="Z9" s="474"/>
      <c r="AA9" s="47"/>
      <c r="AB9" s="47" t="s">
        <v>7</v>
      </c>
      <c r="AC9" s="47"/>
      <c r="AD9" s="47"/>
      <c r="AE9" s="474"/>
      <c r="AF9" s="47"/>
      <c r="AG9" s="47" t="s">
        <v>8</v>
      </c>
      <c r="AH9" s="47"/>
      <c r="AI9" s="47"/>
      <c r="AJ9" s="474"/>
      <c r="AK9" s="47"/>
      <c r="AL9" s="47" t="s">
        <v>9</v>
      </c>
      <c r="AM9" s="47"/>
      <c r="AN9" s="47"/>
      <c r="AO9" s="474"/>
      <c r="AP9" s="47"/>
      <c r="AQ9" s="47" t="s">
        <v>10</v>
      </c>
      <c r="AR9" s="47"/>
      <c r="AS9" s="47"/>
      <c r="AT9" s="474"/>
      <c r="AU9" s="47"/>
      <c r="AV9" s="47" t="s">
        <v>11</v>
      </c>
      <c r="AW9" s="47"/>
      <c r="AX9" s="47"/>
      <c r="AY9" s="474"/>
      <c r="AZ9" s="47"/>
      <c r="BA9" s="47" t="s">
        <v>12</v>
      </c>
      <c r="BB9" s="47"/>
      <c r="BC9" s="47"/>
      <c r="BD9" s="474"/>
      <c r="BE9" s="47"/>
      <c r="BF9" s="47" t="s">
        <v>13</v>
      </c>
      <c r="BG9" s="47"/>
      <c r="BH9" s="47"/>
      <c r="BI9" s="474"/>
      <c r="BJ9" s="47"/>
      <c r="BK9" s="47" t="s">
        <v>14</v>
      </c>
      <c r="BL9" s="47"/>
      <c r="BM9" s="47"/>
      <c r="BN9" s="474"/>
      <c r="BO9" s="47"/>
      <c r="BP9" s="47" t="s">
        <v>15</v>
      </c>
      <c r="BQ9" s="47"/>
      <c r="BR9" s="47"/>
      <c r="BS9" s="474"/>
      <c r="BT9" s="47"/>
      <c r="BU9" s="47" t="s">
        <v>16</v>
      </c>
      <c r="BV9" s="47"/>
      <c r="BW9" s="47"/>
      <c r="BX9" s="274"/>
      <c r="BY9" s="47"/>
      <c r="BZ9" s="47" t="s">
        <v>17</v>
      </c>
      <c r="CA9" s="47"/>
      <c r="CB9" s="47"/>
      <c r="CC9" s="474"/>
      <c r="CD9" s="47"/>
      <c r="CE9" s="47" t="s">
        <v>4</v>
      </c>
      <c r="CF9" s="47"/>
      <c r="CG9" s="47"/>
      <c r="CH9" s="474"/>
      <c r="CI9" s="47"/>
      <c r="CJ9" s="47" t="s">
        <v>5</v>
      </c>
      <c r="CK9" s="47"/>
      <c r="CL9" s="47"/>
      <c r="CM9" s="474"/>
      <c r="CN9" s="47"/>
      <c r="CO9" s="47" t="s">
        <v>6</v>
      </c>
      <c r="CP9" s="47"/>
      <c r="CQ9" s="47"/>
      <c r="CR9" s="474"/>
      <c r="CS9" s="47"/>
      <c r="CT9" s="47" t="s">
        <v>7</v>
      </c>
      <c r="CU9" s="47"/>
      <c r="CV9" s="47"/>
      <c r="CW9" s="474"/>
      <c r="CX9" s="47"/>
      <c r="CY9" s="47" t="s">
        <v>8</v>
      </c>
      <c r="CZ9" s="47"/>
      <c r="DA9" s="47"/>
      <c r="DB9" s="474"/>
      <c r="DC9" s="47"/>
      <c r="DD9" s="47" t="s">
        <v>9</v>
      </c>
      <c r="DE9" s="47"/>
      <c r="DF9" s="47"/>
      <c r="DG9" s="474"/>
      <c r="DH9" s="47"/>
      <c r="DI9" s="47" t="s">
        <v>10</v>
      </c>
      <c r="DJ9" s="47"/>
      <c r="DK9" s="47"/>
      <c r="DL9" s="474"/>
      <c r="DM9" s="47"/>
      <c r="DN9" s="47" t="s">
        <v>11</v>
      </c>
      <c r="DO9" s="47"/>
      <c r="DP9" s="47"/>
      <c r="DQ9" s="474"/>
      <c r="DR9" s="47"/>
      <c r="DS9" s="47" t="s">
        <v>12</v>
      </c>
      <c r="DT9" s="47"/>
      <c r="DU9" s="47"/>
      <c r="DV9" s="474"/>
      <c r="DW9" s="47"/>
      <c r="DX9" s="47" t="s">
        <v>13</v>
      </c>
      <c r="DY9" s="47"/>
      <c r="DZ9" s="47"/>
      <c r="EA9" s="474"/>
      <c r="EB9" s="47"/>
      <c r="EC9" s="47" t="s">
        <v>14</v>
      </c>
      <c r="ED9" s="47"/>
      <c r="EE9" s="47"/>
      <c r="EF9" s="474"/>
      <c r="EG9" s="47"/>
      <c r="EH9" s="47" t="s">
        <v>15</v>
      </c>
      <c r="EI9" s="47"/>
      <c r="EJ9" s="47"/>
      <c r="EK9" s="474"/>
      <c r="EL9" s="47"/>
      <c r="EM9" s="47" t="s">
        <v>16</v>
      </c>
      <c r="EN9" s="47"/>
      <c r="EO9" s="47"/>
      <c r="EP9" s="144"/>
    </row>
    <row r="10" spans="3:151" ht="14.25" customHeight="1" x14ac:dyDescent="0.3">
      <c r="C10" s="489" t="s">
        <v>18</v>
      </c>
      <c r="D10" s="490"/>
      <c r="E10" s="219"/>
      <c r="F10" s="220"/>
      <c r="G10" s="491"/>
      <c r="H10" s="491" t="s">
        <v>20</v>
      </c>
      <c r="I10" s="491"/>
      <c r="J10" s="491"/>
      <c r="K10" s="220"/>
      <c r="L10" s="491"/>
      <c r="M10" s="491"/>
      <c r="N10" s="491"/>
      <c r="O10" s="491"/>
      <c r="P10" s="220"/>
      <c r="Q10" s="491"/>
      <c r="R10" s="491"/>
      <c r="S10" s="491"/>
      <c r="T10" s="491"/>
      <c r="U10" s="220"/>
      <c r="V10" s="491"/>
      <c r="W10" s="491"/>
      <c r="X10" s="491"/>
      <c r="Y10" s="491"/>
      <c r="Z10" s="220"/>
      <c r="AA10" s="491"/>
      <c r="AB10" s="491"/>
      <c r="AC10" s="491"/>
      <c r="AD10" s="491"/>
      <c r="AE10" s="220"/>
      <c r="AF10" s="491"/>
      <c r="AG10" s="491"/>
      <c r="AH10" s="491"/>
      <c r="AI10" s="491"/>
      <c r="AJ10" s="220"/>
      <c r="AK10" s="491"/>
      <c r="AL10" s="491"/>
      <c r="AM10" s="491"/>
      <c r="AN10" s="491"/>
      <c r="AO10" s="220"/>
      <c r="AP10" s="491"/>
      <c r="AQ10" s="491"/>
      <c r="AR10" s="491"/>
      <c r="AS10" s="491"/>
      <c r="AT10" s="220"/>
      <c r="AU10" s="491"/>
      <c r="AV10" s="491"/>
      <c r="AW10" s="491"/>
      <c r="AX10" s="491"/>
      <c r="AY10" s="220"/>
      <c r="AZ10" s="491"/>
      <c r="BA10" s="491"/>
      <c r="BB10" s="491"/>
      <c r="BC10" s="491"/>
      <c r="BD10" s="220"/>
      <c r="BE10" s="491"/>
      <c r="BF10" s="491"/>
      <c r="BG10" s="491"/>
      <c r="BH10" s="491"/>
      <c r="BI10" s="220"/>
      <c r="BJ10" s="491"/>
      <c r="BK10" s="491"/>
      <c r="BL10" s="491"/>
      <c r="BM10" s="491"/>
      <c r="BN10" s="220"/>
      <c r="BO10" s="491"/>
      <c r="BP10" s="491"/>
      <c r="BQ10" s="491"/>
      <c r="BR10" s="491"/>
      <c r="BS10" s="220"/>
      <c r="BT10" s="491"/>
      <c r="BU10" s="491"/>
      <c r="BV10" s="491"/>
      <c r="BW10" s="491"/>
      <c r="BX10" s="220"/>
      <c r="BY10" s="491"/>
      <c r="BZ10" s="491" t="s">
        <v>45</v>
      </c>
      <c r="CA10" s="491"/>
      <c r="CB10" s="491"/>
      <c r="CC10" s="220"/>
      <c r="CD10" s="491"/>
      <c r="CE10" s="491"/>
      <c r="CF10" s="491"/>
      <c r="CG10" s="491"/>
      <c r="CH10" s="220"/>
      <c r="CI10" s="491"/>
      <c r="CJ10" s="491"/>
      <c r="CK10" s="491"/>
      <c r="CL10" s="491"/>
      <c r="CM10" s="220"/>
      <c r="CN10" s="491"/>
      <c r="CO10" s="491"/>
      <c r="CP10" s="491"/>
      <c r="CQ10" s="491"/>
      <c r="CR10" s="220"/>
      <c r="CS10" s="491"/>
      <c r="CT10" s="491"/>
      <c r="CU10" s="491"/>
      <c r="CV10" s="491"/>
      <c r="CW10" s="220"/>
      <c r="CX10" s="491"/>
      <c r="CY10" s="491"/>
      <c r="CZ10" s="491"/>
      <c r="DA10" s="491"/>
      <c r="DB10" s="220"/>
      <c r="DC10" s="491"/>
      <c r="DD10" s="491"/>
      <c r="DE10" s="491"/>
      <c r="DF10" s="491"/>
      <c r="DG10" s="220"/>
      <c r="DH10" s="491"/>
      <c r="DI10" s="491"/>
      <c r="DJ10" s="491"/>
      <c r="DK10" s="491"/>
      <c r="DL10" s="220"/>
      <c r="DM10" s="491"/>
      <c r="DN10" s="491"/>
      <c r="DO10" s="491"/>
      <c r="DP10" s="491"/>
      <c r="DQ10" s="220"/>
      <c r="DR10" s="491"/>
      <c r="DS10" s="491"/>
      <c r="DT10" s="491"/>
      <c r="DU10" s="491"/>
      <c r="DV10" s="220"/>
      <c r="DW10" s="491"/>
      <c r="DX10" s="491"/>
      <c r="DY10" s="491"/>
      <c r="DZ10" s="491"/>
      <c r="EA10" s="220"/>
      <c r="EB10" s="491"/>
      <c r="EC10" s="491"/>
      <c r="ED10" s="491"/>
      <c r="EE10" s="491"/>
      <c r="EF10" s="220"/>
      <c r="EG10" s="491"/>
      <c r="EH10" s="491"/>
      <c r="EI10" s="491"/>
      <c r="EJ10" s="491"/>
      <c r="EK10" s="220"/>
      <c r="EL10" s="491"/>
      <c r="EM10" s="491"/>
      <c r="EN10" s="491"/>
      <c r="EO10" s="492"/>
      <c r="EP10" s="144"/>
      <c r="EU10" s="42"/>
    </row>
    <row r="11" spans="3:151" x14ac:dyDescent="0.3">
      <c r="C11" s="144"/>
      <c r="E11" s="493"/>
      <c r="F11" s="494"/>
      <c r="K11" s="494"/>
      <c r="P11" s="494"/>
      <c r="U11" s="494"/>
      <c r="Z11" s="494"/>
      <c r="AE11" s="494"/>
      <c r="AJ11" s="494"/>
      <c r="AO11" s="494"/>
      <c r="AT11" s="494"/>
      <c r="AY11" s="494"/>
      <c r="BD11" s="494"/>
      <c r="BI11" s="494"/>
      <c r="BN11" s="494"/>
      <c r="BS11" s="494"/>
      <c r="BX11" s="494"/>
      <c r="CC11" s="494"/>
      <c r="CH11" s="494"/>
      <c r="CM11" s="494"/>
      <c r="CR11" s="494"/>
      <c r="CW11" s="494"/>
      <c r="DB11" s="494"/>
      <c r="DG11" s="494"/>
      <c r="DL11" s="494"/>
      <c r="DQ11" s="494"/>
      <c r="DV11" s="494"/>
      <c r="EA11" s="494"/>
      <c r="EF11" s="494"/>
      <c r="EK11" s="494"/>
      <c r="EP11" s="144"/>
    </row>
    <row r="12" spans="3:151" x14ac:dyDescent="0.3">
      <c r="C12" s="144"/>
      <c r="E12" s="493"/>
      <c r="F12" s="494"/>
      <c r="K12" s="494"/>
      <c r="P12" s="494"/>
      <c r="U12" s="494"/>
      <c r="Z12" s="494"/>
      <c r="AE12" s="494"/>
      <c r="AJ12" s="494"/>
      <c r="AO12" s="494"/>
      <c r="AT12" s="494"/>
      <c r="AY12" s="494"/>
      <c r="BD12" s="494"/>
      <c r="BI12" s="494"/>
      <c r="BN12" s="494"/>
      <c r="BS12" s="494"/>
      <c r="BX12" s="494"/>
      <c r="CC12" s="494"/>
      <c r="CH12" s="494"/>
      <c r="CM12" s="494"/>
      <c r="CR12" s="494"/>
      <c r="CW12" s="494"/>
      <c r="DB12" s="494"/>
      <c r="DG12" s="494"/>
      <c r="DL12" s="494"/>
      <c r="DQ12" s="494"/>
      <c r="DV12" s="494"/>
      <c r="EA12" s="494"/>
      <c r="EF12" s="494"/>
      <c r="EK12" s="494"/>
      <c r="EP12" s="144"/>
    </row>
    <row r="13" spans="3:151" s="42" customFormat="1" x14ac:dyDescent="0.3">
      <c r="C13" s="234" t="s">
        <v>38</v>
      </c>
      <c r="E13" s="495"/>
      <c r="F13" s="496"/>
      <c r="H13" s="42">
        <f>+H14+H21</f>
        <v>-3400000</v>
      </c>
      <c r="K13" s="496"/>
      <c r="M13" s="497">
        <f>+M14+M21</f>
        <v>1030450</v>
      </c>
      <c r="P13" s="496"/>
      <c r="R13" s="497">
        <f>+R14+R21</f>
        <v>-592737</v>
      </c>
      <c r="U13" s="496"/>
      <c r="W13" s="497">
        <f>+W14+W21</f>
        <v>3367677</v>
      </c>
      <c r="Z13" s="496"/>
      <c r="AB13" s="497">
        <f>+AB14+AB21</f>
        <v>2072474</v>
      </c>
      <c r="AE13" s="496"/>
      <c r="AG13" s="497">
        <f>+AG14+AG21</f>
        <v>-3444064</v>
      </c>
      <c r="AJ13" s="496"/>
      <c r="AL13" s="497">
        <f>+AL14+AL21</f>
        <v>-6180235</v>
      </c>
      <c r="AO13" s="496"/>
      <c r="AQ13" s="497">
        <f>+AQ14+AQ21</f>
        <v>-7686538</v>
      </c>
      <c r="AT13" s="496"/>
      <c r="AV13" s="497">
        <f>+AV14+AV21</f>
        <v>-9814498</v>
      </c>
      <c r="AY13" s="496"/>
      <c r="BA13" s="497">
        <f>+BA14+BA21</f>
        <v>-4357236</v>
      </c>
      <c r="BD13" s="496"/>
      <c r="BF13" s="497">
        <f>+BF14+BF21</f>
        <v>-4717097</v>
      </c>
      <c r="BI13" s="496"/>
      <c r="BK13" s="497">
        <f>+BK14+BK21</f>
        <v>0</v>
      </c>
      <c r="BL13" s="497"/>
      <c r="BM13" s="497"/>
      <c r="BN13" s="498"/>
      <c r="BO13" s="497"/>
      <c r="BP13" s="497">
        <f>+BP14+BP21</f>
        <v>0</v>
      </c>
      <c r="BS13" s="496"/>
      <c r="BU13" s="42">
        <f>+BU14+BU21</f>
        <v>-30321804</v>
      </c>
      <c r="BX13" s="496"/>
      <c r="BZ13" s="499">
        <f>+BZ14+BZ21</f>
        <v>-7954770</v>
      </c>
      <c r="CC13" s="496"/>
      <c r="CE13" s="497">
        <f>+CE14+CE21</f>
        <v>9415800</v>
      </c>
      <c r="CH13" s="496"/>
      <c r="CJ13" s="497">
        <f>+CJ14+CJ21</f>
        <v>-6660753</v>
      </c>
      <c r="CM13" s="496"/>
      <c r="CO13" s="497">
        <f>+CO14+CO21</f>
        <v>5151867</v>
      </c>
      <c r="CR13" s="496"/>
      <c r="CT13" s="497">
        <f>+CT14+CT21</f>
        <v>-7112395</v>
      </c>
      <c r="CW13" s="496"/>
      <c r="CY13" s="497">
        <f>+CY14+CY21</f>
        <v>-2312355</v>
      </c>
      <c r="DB13" s="496"/>
      <c r="DD13" s="497">
        <f>+DD14+DD21</f>
        <v>2272137</v>
      </c>
      <c r="DG13" s="496"/>
      <c r="DI13" s="497">
        <f>+DI14+DI21</f>
        <v>-3832432</v>
      </c>
      <c r="DL13" s="496"/>
      <c r="DN13" s="497">
        <f>+DN14+DN21</f>
        <v>-3742209</v>
      </c>
      <c r="DQ13" s="496"/>
      <c r="DS13" s="497">
        <f>+DS14+DS21</f>
        <v>-1384946</v>
      </c>
      <c r="DV13" s="496"/>
      <c r="DX13" s="497">
        <f>+DX14+DX21</f>
        <v>429685</v>
      </c>
      <c r="EA13" s="496"/>
      <c r="EC13" s="497">
        <f>+EC14+EC21</f>
        <v>2124947</v>
      </c>
      <c r="ED13" s="497"/>
      <c r="EE13" s="497"/>
      <c r="EF13" s="498"/>
      <c r="EG13" s="497"/>
      <c r="EH13" s="497">
        <f>+EH14+EH21</f>
        <v>-2304116</v>
      </c>
      <c r="EK13" s="496"/>
      <c r="EM13" s="42">
        <f>+EM14+EM21</f>
        <v>-7775601</v>
      </c>
      <c r="EP13" s="234"/>
    </row>
    <row r="14" spans="3:151" x14ac:dyDescent="0.3">
      <c r="C14" s="144" t="s">
        <v>286</v>
      </c>
      <c r="E14" s="493"/>
      <c r="F14" s="494"/>
      <c r="G14" s="500"/>
      <c r="H14" s="214">
        <f>SUM(H15:H19)</f>
        <v>-3400000</v>
      </c>
      <c r="I14" s="501"/>
      <c r="K14" s="494"/>
      <c r="L14" s="500"/>
      <c r="M14" s="502">
        <f>SUM(M15:M19)</f>
        <v>991750</v>
      </c>
      <c r="N14" s="501"/>
      <c r="P14" s="494"/>
      <c r="Q14" s="500"/>
      <c r="R14" s="502">
        <f>SUM(R15:R19)</f>
        <v>-782200</v>
      </c>
      <c r="S14" s="501"/>
      <c r="U14" s="494"/>
      <c r="V14" s="500"/>
      <c r="W14" s="502">
        <f>SUM(W15:W19)</f>
        <v>3595840</v>
      </c>
      <c r="X14" s="501"/>
      <c r="Z14" s="494"/>
      <c r="AA14" s="500"/>
      <c r="AB14" s="502">
        <f>SUM(AB15:AB19)</f>
        <v>1356310</v>
      </c>
      <c r="AC14" s="501"/>
      <c r="AE14" s="494"/>
      <c r="AF14" s="500"/>
      <c r="AG14" s="502">
        <f>SUM(AG15:AG19)</f>
        <v>-2727900</v>
      </c>
      <c r="AH14" s="501"/>
      <c r="AJ14" s="494"/>
      <c r="AK14" s="500"/>
      <c r="AL14" s="502">
        <f>SUM(AL15:AL19)</f>
        <v>-6274210</v>
      </c>
      <c r="AM14" s="501"/>
      <c r="AO14" s="494"/>
      <c r="AP14" s="500"/>
      <c r="AQ14" s="502">
        <f>SUM(AQ15:AQ19)</f>
        <v>-7656310</v>
      </c>
      <c r="AR14" s="501"/>
      <c r="AT14" s="494"/>
      <c r="AU14" s="500"/>
      <c r="AV14" s="502">
        <f>SUM(AV15:AV19)</f>
        <v>-9756090</v>
      </c>
      <c r="AW14" s="501"/>
      <c r="AY14" s="494"/>
      <c r="AZ14" s="500"/>
      <c r="BA14" s="502">
        <f>SUM(BA15:BA19)</f>
        <v>-4431750</v>
      </c>
      <c r="BB14" s="501"/>
      <c r="BD14" s="494"/>
      <c r="BE14" s="500"/>
      <c r="BF14" s="502">
        <f>SUM(BF15:BF19)</f>
        <v>-4590780</v>
      </c>
      <c r="BG14" s="501"/>
      <c r="BI14" s="494"/>
      <c r="BJ14" s="500"/>
      <c r="BK14" s="502">
        <f>SUM(BK15:BK19)</f>
        <v>0</v>
      </c>
      <c r="BL14" s="501"/>
      <c r="BN14" s="494"/>
      <c r="BO14" s="500"/>
      <c r="BP14" s="503">
        <f>SUM(BP15:BP19)</f>
        <v>0</v>
      </c>
      <c r="BQ14" s="501"/>
      <c r="BS14" s="494"/>
      <c r="BT14" s="500"/>
      <c r="BU14" s="214">
        <f>SUM(BU15:BU19)</f>
        <v>-30275340</v>
      </c>
      <c r="BV14" s="501"/>
      <c r="BX14" s="494"/>
      <c r="BY14" s="500"/>
      <c r="BZ14" s="504">
        <f>SUM(BZ15:BZ19)</f>
        <v>-8007020</v>
      </c>
      <c r="CA14" s="501"/>
      <c r="CC14" s="494"/>
      <c r="CD14" s="500"/>
      <c r="CE14" s="502">
        <f>SUM(CE15:CE19)</f>
        <v>2663300</v>
      </c>
      <c r="CF14" s="501"/>
      <c r="CH14" s="494"/>
      <c r="CI14" s="500"/>
      <c r="CJ14" s="502">
        <f>SUM(CJ15:CJ19)</f>
        <v>83680</v>
      </c>
      <c r="CK14" s="501"/>
      <c r="CM14" s="494"/>
      <c r="CN14" s="500"/>
      <c r="CO14" s="502">
        <f>SUM(CO15:CO19)</f>
        <v>5155820</v>
      </c>
      <c r="CP14" s="501"/>
      <c r="CR14" s="494"/>
      <c r="CS14" s="500"/>
      <c r="CT14" s="502">
        <f>SUM(CT15:CT19)</f>
        <v>-6892610</v>
      </c>
      <c r="CU14" s="501"/>
      <c r="CW14" s="494"/>
      <c r="CX14" s="500"/>
      <c r="CY14" s="502">
        <f>SUM(CY15:CY19)</f>
        <v>-2536130</v>
      </c>
      <c r="CZ14" s="501"/>
      <c r="DB14" s="494"/>
      <c r="DC14" s="500"/>
      <c r="DD14" s="502">
        <f>SUM(DD15:DD19)</f>
        <v>-329200</v>
      </c>
      <c r="DE14" s="501"/>
      <c r="DG14" s="494"/>
      <c r="DH14" s="500"/>
      <c r="DI14" s="502">
        <f>SUM(DI15:DI19)</f>
        <v>-3215700</v>
      </c>
      <c r="DJ14" s="501"/>
      <c r="DL14" s="494"/>
      <c r="DM14" s="500"/>
      <c r="DN14" s="502">
        <f>SUM(DN15:DN19)</f>
        <v>-1759060</v>
      </c>
      <c r="DO14" s="501"/>
      <c r="DQ14" s="494"/>
      <c r="DR14" s="500"/>
      <c r="DS14" s="502">
        <f>SUM(DS15:DS19)</f>
        <v>-1386320</v>
      </c>
      <c r="DT14" s="501"/>
      <c r="DV14" s="494"/>
      <c r="DW14" s="500"/>
      <c r="DX14" s="502">
        <f>SUM(DX15:DX19)</f>
        <v>459040</v>
      </c>
      <c r="DY14" s="501"/>
      <c r="EA14" s="494"/>
      <c r="EB14" s="500"/>
      <c r="EC14" s="502">
        <f>SUM(EC15:EC19)</f>
        <v>1594210</v>
      </c>
      <c r="ED14" s="501"/>
      <c r="EF14" s="494"/>
      <c r="EG14" s="500"/>
      <c r="EH14" s="503">
        <f>SUM(EH15:EH19)</f>
        <v>-1844050</v>
      </c>
      <c r="EI14" s="501"/>
      <c r="EK14" s="494"/>
      <c r="EL14" s="500"/>
      <c r="EM14" s="214">
        <f>SUM(EM15:EM19)</f>
        <v>-7757180</v>
      </c>
      <c r="EN14" s="501"/>
      <c r="EP14" s="144"/>
      <c r="ES14" s="42"/>
      <c r="ET14" s="42"/>
      <c r="EU14" s="42"/>
    </row>
    <row r="15" spans="3:151" hidden="1" x14ac:dyDescent="0.3">
      <c r="C15" s="271" t="s">
        <v>287</v>
      </c>
      <c r="D15" s="272"/>
      <c r="E15" s="493"/>
      <c r="F15" s="494"/>
      <c r="G15" s="494"/>
      <c r="H15" s="505">
        <v>0</v>
      </c>
      <c r="I15" s="506"/>
      <c r="K15" s="494"/>
      <c r="L15" s="494"/>
      <c r="M15" s="507">
        <v>0</v>
      </c>
      <c r="N15" s="506"/>
      <c r="P15" s="494"/>
      <c r="Q15" s="494"/>
      <c r="R15" s="507">
        <v>0</v>
      </c>
      <c r="S15" s="506"/>
      <c r="U15" s="494"/>
      <c r="V15" s="494"/>
      <c r="W15" s="507">
        <v>0</v>
      </c>
      <c r="X15" s="506"/>
      <c r="Z15" s="494"/>
      <c r="AA15" s="494"/>
      <c r="AB15" s="507">
        <v>0</v>
      </c>
      <c r="AC15" s="506"/>
      <c r="AE15" s="494"/>
      <c r="AF15" s="494"/>
      <c r="AG15" s="507">
        <v>0</v>
      </c>
      <c r="AH15" s="506"/>
      <c r="AJ15" s="494"/>
      <c r="AK15" s="494"/>
      <c r="AL15" s="507">
        <v>0</v>
      </c>
      <c r="AM15" s="506"/>
      <c r="AO15" s="494"/>
      <c r="AP15" s="494"/>
      <c r="AQ15" s="507">
        <v>0</v>
      </c>
      <c r="AR15" s="506"/>
      <c r="AT15" s="494"/>
      <c r="AU15" s="494"/>
      <c r="AV15" s="507">
        <v>0</v>
      </c>
      <c r="AW15" s="506"/>
      <c r="AY15" s="494"/>
      <c r="AZ15" s="494"/>
      <c r="BA15" s="507">
        <v>0</v>
      </c>
      <c r="BB15" s="506"/>
      <c r="BD15" s="494"/>
      <c r="BE15" s="494"/>
      <c r="BF15" s="507">
        <v>0</v>
      </c>
      <c r="BG15" s="506"/>
      <c r="BI15" s="494"/>
      <c r="BJ15" s="494"/>
      <c r="BK15" s="507">
        <v>0</v>
      </c>
      <c r="BL15" s="506"/>
      <c r="BN15" s="494"/>
      <c r="BO15" s="494"/>
      <c r="BP15" s="507">
        <v>0</v>
      </c>
      <c r="BQ15" s="506"/>
      <c r="BS15" s="494"/>
      <c r="BT15" s="494"/>
      <c r="BU15" s="507">
        <f>SUM(M15:BP15)</f>
        <v>0</v>
      </c>
      <c r="BV15" s="506"/>
      <c r="BX15" s="494"/>
      <c r="BY15" s="494"/>
      <c r="BZ15" s="505">
        <v>0</v>
      </c>
      <c r="CA15" s="506"/>
      <c r="CC15" s="494"/>
      <c r="CD15" s="494"/>
      <c r="CE15" s="507">
        <v>0</v>
      </c>
      <c r="CF15" s="506"/>
      <c r="CH15" s="494"/>
      <c r="CI15" s="494"/>
      <c r="CJ15" s="507">
        <v>0</v>
      </c>
      <c r="CK15" s="506"/>
      <c r="CM15" s="494"/>
      <c r="CN15" s="494"/>
      <c r="CO15" s="507">
        <v>0</v>
      </c>
      <c r="CP15" s="506"/>
      <c r="CR15" s="494"/>
      <c r="CS15" s="494"/>
      <c r="CT15" s="507">
        <v>0</v>
      </c>
      <c r="CU15" s="506"/>
      <c r="CW15" s="494"/>
      <c r="CX15" s="494"/>
      <c r="CY15" s="507">
        <v>0</v>
      </c>
      <c r="CZ15" s="506"/>
      <c r="DB15" s="494"/>
      <c r="DC15" s="494"/>
      <c r="DD15" s="507">
        <v>0</v>
      </c>
      <c r="DE15" s="506"/>
      <c r="DG15" s="494"/>
      <c r="DH15" s="494"/>
      <c r="DI15" s="507">
        <v>0</v>
      </c>
      <c r="DJ15" s="506"/>
      <c r="DL15" s="494"/>
      <c r="DM15" s="494"/>
      <c r="DN15" s="507">
        <v>0</v>
      </c>
      <c r="DO15" s="506"/>
      <c r="DQ15" s="494"/>
      <c r="DR15" s="494"/>
      <c r="DS15" s="507">
        <v>0</v>
      </c>
      <c r="DT15" s="506"/>
      <c r="DV15" s="494"/>
      <c r="DW15" s="494"/>
      <c r="DX15" s="507">
        <v>0</v>
      </c>
      <c r="DY15" s="506"/>
      <c r="EA15" s="494"/>
      <c r="EB15" s="494"/>
      <c r="EC15" s="507">
        <v>0</v>
      </c>
      <c r="ED15" s="506"/>
      <c r="EF15" s="494"/>
      <c r="EG15" s="494"/>
      <c r="EH15" s="507">
        <v>0</v>
      </c>
      <c r="EI15" s="506"/>
      <c r="EK15" s="494"/>
      <c r="EL15" s="494"/>
      <c r="EM15" s="507">
        <f>SUM(CE15:DS15)</f>
        <v>0</v>
      </c>
      <c r="EN15" s="506"/>
      <c r="EP15" s="144"/>
      <c r="ES15" s="42"/>
      <c r="ET15" s="42"/>
      <c r="EU15" s="42"/>
    </row>
    <row r="16" spans="3:151" x14ac:dyDescent="0.3">
      <c r="C16" s="271" t="s">
        <v>288</v>
      </c>
      <c r="D16" s="272"/>
      <c r="E16" s="493"/>
      <c r="F16" s="494"/>
      <c r="G16" s="494"/>
      <c r="H16" s="505">
        <v>4315600</v>
      </c>
      <c r="I16" s="506"/>
      <c r="K16" s="494"/>
      <c r="L16" s="494"/>
      <c r="M16" s="507">
        <v>116050</v>
      </c>
      <c r="N16" s="506"/>
      <c r="P16" s="494"/>
      <c r="Q16" s="494"/>
      <c r="R16" s="507">
        <v>-87250</v>
      </c>
      <c r="S16" s="506"/>
      <c r="U16" s="494"/>
      <c r="V16" s="494"/>
      <c r="W16" s="507">
        <v>-412150</v>
      </c>
      <c r="X16" s="506"/>
      <c r="Z16" s="494"/>
      <c r="AA16" s="494"/>
      <c r="AB16" s="507">
        <v>-273850</v>
      </c>
      <c r="AC16" s="506"/>
      <c r="AE16" s="494"/>
      <c r="AF16" s="494"/>
      <c r="AG16" s="507">
        <v>2237000</v>
      </c>
      <c r="AH16" s="506"/>
      <c r="AJ16" s="494"/>
      <c r="AK16" s="494"/>
      <c r="AL16" s="507">
        <v>-480000</v>
      </c>
      <c r="AM16" s="506"/>
      <c r="AO16" s="494"/>
      <c r="AP16" s="494"/>
      <c r="AQ16" s="507">
        <v>515800</v>
      </c>
      <c r="AR16" s="506"/>
      <c r="AT16" s="494"/>
      <c r="AU16" s="494"/>
      <c r="AV16" s="507">
        <v>-2126560</v>
      </c>
      <c r="AW16" s="506"/>
      <c r="AY16" s="494"/>
      <c r="AZ16" s="494"/>
      <c r="BA16" s="507" t="s">
        <v>289</v>
      </c>
      <c r="BB16" s="506"/>
      <c r="BD16" s="508"/>
      <c r="BE16" s="494"/>
      <c r="BF16" s="507">
        <v>-80940</v>
      </c>
      <c r="BG16" s="506"/>
      <c r="BI16" s="494"/>
      <c r="BJ16" s="494"/>
      <c r="BK16" s="507">
        <v>0</v>
      </c>
      <c r="BL16" s="506"/>
      <c r="BN16" s="494"/>
      <c r="BO16" s="494"/>
      <c r="BP16" s="508">
        <v>0</v>
      </c>
      <c r="BQ16" s="506"/>
      <c r="BS16" s="494"/>
      <c r="BT16" s="494"/>
      <c r="BU16" s="507">
        <f>SUM(M16:BP16)</f>
        <v>-591900</v>
      </c>
      <c r="BV16" s="506"/>
      <c r="BX16" s="494"/>
      <c r="BY16" s="494"/>
      <c r="BZ16" s="505">
        <v>-6650500</v>
      </c>
      <c r="CA16" s="506"/>
      <c r="CC16" s="494"/>
      <c r="CD16" s="494"/>
      <c r="CE16" s="507">
        <v>-656100</v>
      </c>
      <c r="CF16" s="506"/>
      <c r="CH16" s="494"/>
      <c r="CI16" s="494"/>
      <c r="CJ16" s="507">
        <v>-2009690</v>
      </c>
      <c r="CK16" s="506"/>
      <c r="CM16" s="494"/>
      <c r="CN16" s="494"/>
      <c r="CO16" s="507">
        <v>-85680</v>
      </c>
      <c r="CP16" s="506"/>
      <c r="CR16" s="494"/>
      <c r="CS16" s="494"/>
      <c r="CT16" s="507">
        <v>-1117300</v>
      </c>
      <c r="CU16" s="506"/>
      <c r="CW16" s="494"/>
      <c r="CX16" s="494"/>
      <c r="CY16" s="507">
        <v>63870</v>
      </c>
      <c r="CZ16" s="506"/>
      <c r="DB16" s="494"/>
      <c r="DC16" s="494"/>
      <c r="DD16" s="507">
        <v>0</v>
      </c>
      <c r="DE16" s="506"/>
      <c r="DG16" s="494"/>
      <c r="DH16" s="494"/>
      <c r="DI16" s="507">
        <v>1327030</v>
      </c>
      <c r="DJ16" s="506"/>
      <c r="DL16" s="494"/>
      <c r="DM16" s="494"/>
      <c r="DN16" s="507">
        <v>34120</v>
      </c>
      <c r="DO16" s="506"/>
      <c r="DQ16" s="494"/>
      <c r="DR16" s="494"/>
      <c r="DS16" s="507">
        <v>-557000</v>
      </c>
      <c r="DT16" s="506"/>
      <c r="DV16" s="508"/>
      <c r="DW16" s="494"/>
      <c r="DX16" s="507">
        <v>-2215030</v>
      </c>
      <c r="DY16" s="506"/>
      <c r="EA16" s="494"/>
      <c r="EB16" s="494"/>
      <c r="EC16" s="507">
        <v>-683870</v>
      </c>
      <c r="ED16" s="506"/>
      <c r="EF16" s="494"/>
      <c r="EG16" s="494"/>
      <c r="EH16" s="508">
        <v>-750850</v>
      </c>
      <c r="EI16" s="506"/>
      <c r="EK16" s="494"/>
      <c r="EL16" s="494"/>
      <c r="EM16" s="507">
        <f>SUM(CE16:DX16)</f>
        <v>-5215780</v>
      </c>
      <c r="EN16" s="506"/>
      <c r="EP16" s="144"/>
      <c r="ES16" s="42"/>
      <c r="ET16" s="42"/>
      <c r="EU16" s="42"/>
    </row>
    <row r="17" spans="3:151" x14ac:dyDescent="0.3">
      <c r="C17" s="271" t="s">
        <v>290</v>
      </c>
      <c r="D17" s="272"/>
      <c r="E17" s="493"/>
      <c r="F17" s="494"/>
      <c r="G17" s="494"/>
      <c r="H17" s="509">
        <v>-3056380</v>
      </c>
      <c r="I17" s="506"/>
      <c r="K17" s="494"/>
      <c r="L17" s="494"/>
      <c r="M17" s="508">
        <v>-235230</v>
      </c>
      <c r="N17" s="506"/>
      <c r="P17" s="494"/>
      <c r="Q17" s="494"/>
      <c r="R17" s="508">
        <v>2089070</v>
      </c>
      <c r="S17" s="506"/>
      <c r="U17" s="494"/>
      <c r="V17" s="494"/>
      <c r="W17" s="508">
        <v>-35840</v>
      </c>
      <c r="X17" s="506"/>
      <c r="Z17" s="494"/>
      <c r="AA17" s="494"/>
      <c r="AB17" s="508">
        <v>-1734900</v>
      </c>
      <c r="AC17" s="506"/>
      <c r="AE17" s="494"/>
      <c r="AF17" s="494"/>
      <c r="AG17" s="508">
        <v>-1755260</v>
      </c>
      <c r="AH17" s="506"/>
      <c r="AJ17" s="494"/>
      <c r="AK17" s="494"/>
      <c r="AL17" s="508">
        <v>-2644800</v>
      </c>
      <c r="AM17" s="506"/>
      <c r="AO17" s="494"/>
      <c r="AP17" s="494"/>
      <c r="AQ17" s="508">
        <v>-2098170</v>
      </c>
      <c r="AR17" s="506"/>
      <c r="AT17" s="494"/>
      <c r="AU17" s="494"/>
      <c r="AV17" s="508">
        <v>-3141870</v>
      </c>
      <c r="AW17" s="506"/>
      <c r="AY17" s="494"/>
      <c r="AZ17" s="494"/>
      <c r="BA17" s="508">
        <v>-1224730</v>
      </c>
      <c r="BB17" s="506"/>
      <c r="BD17" s="494"/>
      <c r="BE17" s="494"/>
      <c r="BF17" s="508">
        <v>1656290</v>
      </c>
      <c r="BG17" s="506"/>
      <c r="BI17" s="494"/>
      <c r="BJ17" s="494"/>
      <c r="BK17" s="508">
        <v>0</v>
      </c>
      <c r="BL17" s="506"/>
      <c r="BN17" s="494"/>
      <c r="BO17" s="494"/>
      <c r="BP17" s="508">
        <v>0</v>
      </c>
      <c r="BQ17" s="506"/>
      <c r="BS17" s="494"/>
      <c r="BT17" s="494"/>
      <c r="BU17" s="508">
        <f>SUM(M17:BP17)</f>
        <v>-9125440</v>
      </c>
      <c r="BV17" s="506"/>
      <c r="BX17" s="494"/>
      <c r="BY17" s="494"/>
      <c r="BZ17" s="509">
        <v>1826080</v>
      </c>
      <c r="CA17" s="506"/>
      <c r="CC17" s="494"/>
      <c r="CD17" s="494"/>
      <c r="CE17" s="508">
        <v>90400</v>
      </c>
      <c r="CF17" s="506"/>
      <c r="CH17" s="494"/>
      <c r="CI17" s="494"/>
      <c r="CJ17" s="508">
        <v>-535630</v>
      </c>
      <c r="CK17" s="506"/>
      <c r="CM17" s="494"/>
      <c r="CN17" s="494"/>
      <c r="CO17" s="508">
        <v>7519560</v>
      </c>
      <c r="CP17" s="506"/>
      <c r="CR17" s="494"/>
      <c r="CS17" s="494"/>
      <c r="CT17" s="508">
        <v>-2051100</v>
      </c>
      <c r="CU17" s="506"/>
      <c r="CW17" s="494"/>
      <c r="CX17" s="494"/>
      <c r="CY17" s="508">
        <v>-3139640</v>
      </c>
      <c r="CZ17" s="506"/>
      <c r="DB17" s="494"/>
      <c r="DC17" s="494"/>
      <c r="DD17" s="508">
        <v>-641700</v>
      </c>
      <c r="DE17" s="506"/>
      <c r="DG17" s="494"/>
      <c r="DH17" s="494"/>
      <c r="DI17" s="508">
        <v>173400</v>
      </c>
      <c r="DJ17" s="506"/>
      <c r="DL17" s="494"/>
      <c r="DM17" s="494"/>
      <c r="DN17" s="508">
        <v>-1391570</v>
      </c>
      <c r="DO17" s="506"/>
      <c r="DQ17" s="494"/>
      <c r="DR17" s="494"/>
      <c r="DS17" s="508">
        <v>-2287990</v>
      </c>
      <c r="DT17" s="506"/>
      <c r="DV17" s="494"/>
      <c r="DW17" s="494"/>
      <c r="DX17" s="508">
        <v>-469350</v>
      </c>
      <c r="DY17" s="506"/>
      <c r="EA17" s="494"/>
      <c r="EB17" s="494"/>
      <c r="EC17" s="508">
        <v>1787880</v>
      </c>
      <c r="ED17" s="506"/>
      <c r="EF17" s="494"/>
      <c r="EG17" s="494"/>
      <c r="EH17" s="508">
        <v>2771820</v>
      </c>
      <c r="EI17" s="506"/>
      <c r="EK17" s="494"/>
      <c r="EL17" s="494"/>
      <c r="EM17" s="508">
        <f>SUM(CE17:DX17)</f>
        <v>-2733620</v>
      </c>
      <c r="EN17" s="506"/>
      <c r="EP17" s="144"/>
      <c r="ES17" s="42"/>
      <c r="ET17" s="42"/>
      <c r="EU17" s="42"/>
    </row>
    <row r="18" spans="3:151" x14ac:dyDescent="0.3">
      <c r="C18" s="271" t="s">
        <v>291</v>
      </c>
      <c r="D18" s="272"/>
      <c r="E18" s="493"/>
      <c r="F18" s="494"/>
      <c r="G18" s="494"/>
      <c r="H18" s="509">
        <v>-948160</v>
      </c>
      <c r="I18" s="506"/>
      <c r="K18" s="494"/>
      <c r="L18" s="494"/>
      <c r="M18" s="508">
        <v>5265800</v>
      </c>
      <c r="N18" s="506"/>
      <c r="P18" s="494"/>
      <c r="Q18" s="494"/>
      <c r="R18" s="508">
        <v>476980</v>
      </c>
      <c r="S18" s="506"/>
      <c r="U18" s="494"/>
      <c r="V18" s="494"/>
      <c r="W18" s="508">
        <v>695270</v>
      </c>
      <c r="X18" s="506"/>
      <c r="Z18" s="494"/>
      <c r="AA18" s="494"/>
      <c r="AB18" s="508">
        <v>699650</v>
      </c>
      <c r="AC18" s="506"/>
      <c r="AE18" s="494"/>
      <c r="AF18" s="494"/>
      <c r="AG18" s="508">
        <v>-250000</v>
      </c>
      <c r="AH18" s="506"/>
      <c r="AJ18" s="494"/>
      <c r="AK18" s="494"/>
      <c r="AL18" s="508">
        <v>-1149410</v>
      </c>
      <c r="AM18" s="506"/>
      <c r="AO18" s="494"/>
      <c r="AP18" s="494"/>
      <c r="AQ18" s="508">
        <v>-4730970</v>
      </c>
      <c r="AR18" s="506"/>
      <c r="AT18" s="494"/>
      <c r="AU18" s="494"/>
      <c r="AV18" s="508">
        <v>-774580</v>
      </c>
      <c r="AW18" s="506"/>
      <c r="AY18" s="494"/>
      <c r="AZ18" s="494"/>
      <c r="BA18" s="508">
        <v>217600</v>
      </c>
      <c r="BB18" s="506"/>
      <c r="BD18" s="494"/>
      <c r="BE18" s="494"/>
      <c r="BF18" s="508">
        <v>-5298650</v>
      </c>
      <c r="BG18" s="506"/>
      <c r="BI18" s="494"/>
      <c r="BJ18" s="494"/>
      <c r="BK18" s="508">
        <v>0</v>
      </c>
      <c r="BL18" s="506"/>
      <c r="BN18" s="494"/>
      <c r="BO18" s="494"/>
      <c r="BP18" s="508">
        <v>0</v>
      </c>
      <c r="BQ18" s="506"/>
      <c r="BS18" s="494"/>
      <c r="BT18" s="494"/>
      <c r="BU18" s="508">
        <f>SUM(M18:BP18)</f>
        <v>-4848310</v>
      </c>
      <c r="BV18" s="506"/>
      <c r="BX18" s="494"/>
      <c r="BY18" s="494"/>
      <c r="BZ18" s="509">
        <v>-4782480</v>
      </c>
      <c r="CA18" s="506"/>
      <c r="CC18" s="494"/>
      <c r="CD18" s="494"/>
      <c r="CE18" s="508">
        <v>-200000</v>
      </c>
      <c r="CF18" s="506"/>
      <c r="CH18" s="494"/>
      <c r="CI18" s="494"/>
      <c r="CJ18" s="508">
        <v>-580000</v>
      </c>
      <c r="CK18" s="506"/>
      <c r="CM18" s="494"/>
      <c r="CN18" s="494"/>
      <c r="CO18" s="508">
        <v>-1200000</v>
      </c>
      <c r="CP18" s="506"/>
      <c r="CR18" s="494"/>
      <c r="CS18" s="494"/>
      <c r="CT18" s="508">
        <v>-1531850</v>
      </c>
      <c r="CU18" s="506"/>
      <c r="CW18" s="494"/>
      <c r="CX18" s="494"/>
      <c r="CY18" s="508">
        <v>-960000</v>
      </c>
      <c r="CZ18" s="506"/>
      <c r="DB18" s="494"/>
      <c r="DC18" s="494"/>
      <c r="DD18" s="508">
        <v>1512500</v>
      </c>
      <c r="DE18" s="506"/>
      <c r="DG18" s="494"/>
      <c r="DH18" s="494"/>
      <c r="DI18" s="508">
        <v>-2093400</v>
      </c>
      <c r="DJ18" s="506"/>
      <c r="DL18" s="494"/>
      <c r="DM18" s="494"/>
      <c r="DN18" s="508">
        <v>-654690</v>
      </c>
      <c r="DO18" s="506"/>
      <c r="DQ18" s="494"/>
      <c r="DR18" s="494"/>
      <c r="DS18" s="508">
        <v>-1050590</v>
      </c>
      <c r="DT18" s="506"/>
      <c r="DV18" s="494"/>
      <c r="DW18" s="494"/>
      <c r="DX18" s="508">
        <v>2970970</v>
      </c>
      <c r="DY18" s="506"/>
      <c r="EA18" s="494"/>
      <c r="EB18" s="494"/>
      <c r="EC18" s="508">
        <v>-328400</v>
      </c>
      <c r="ED18" s="506"/>
      <c r="EF18" s="494"/>
      <c r="EG18" s="494"/>
      <c r="EH18" s="508">
        <v>-667020</v>
      </c>
      <c r="EI18" s="506"/>
      <c r="EK18" s="494"/>
      <c r="EL18" s="494"/>
      <c r="EM18" s="508">
        <f>SUM(CE18:DX18)</f>
        <v>-3787060</v>
      </c>
      <c r="EN18" s="506"/>
      <c r="EP18" s="144"/>
      <c r="ES18" s="42"/>
      <c r="ET18" s="42"/>
      <c r="EU18" s="42"/>
    </row>
    <row r="19" spans="3:151" x14ac:dyDescent="0.3">
      <c r="C19" s="271" t="s">
        <v>292</v>
      </c>
      <c r="D19" s="272"/>
      <c r="E19" s="493"/>
      <c r="F19" s="494"/>
      <c r="G19" s="494"/>
      <c r="H19" s="510">
        <v>-3711060</v>
      </c>
      <c r="I19" s="506"/>
      <c r="K19" s="494"/>
      <c r="L19" s="494"/>
      <c r="M19" s="511">
        <v>-4154870</v>
      </c>
      <c r="N19" s="506"/>
      <c r="P19" s="494"/>
      <c r="Q19" s="494"/>
      <c r="R19" s="511">
        <v>-3261000</v>
      </c>
      <c r="S19" s="506"/>
      <c r="U19" s="494"/>
      <c r="V19" s="494"/>
      <c r="W19" s="511">
        <v>3348560</v>
      </c>
      <c r="X19" s="506"/>
      <c r="Z19" s="494"/>
      <c r="AA19" s="494"/>
      <c r="AB19" s="511">
        <v>2665410</v>
      </c>
      <c r="AC19" s="506"/>
      <c r="AE19" s="494"/>
      <c r="AF19" s="494"/>
      <c r="AG19" s="511">
        <v>-2959640</v>
      </c>
      <c r="AH19" s="506"/>
      <c r="AJ19" s="494"/>
      <c r="AK19" s="494"/>
      <c r="AL19" s="511">
        <v>-2000000</v>
      </c>
      <c r="AM19" s="506"/>
      <c r="AO19" s="494"/>
      <c r="AP19" s="494"/>
      <c r="AQ19" s="511">
        <v>-1342970</v>
      </c>
      <c r="AR19" s="506"/>
      <c r="AT19" s="494"/>
      <c r="AU19" s="494"/>
      <c r="AV19" s="511">
        <v>-3713080</v>
      </c>
      <c r="AW19" s="506"/>
      <c r="AY19" s="494"/>
      <c r="AZ19" s="494"/>
      <c r="BA19" s="511">
        <v>-3424620</v>
      </c>
      <c r="BB19" s="506"/>
      <c r="BD19" s="494"/>
      <c r="BE19" s="494"/>
      <c r="BF19" s="511">
        <v>-867480</v>
      </c>
      <c r="BG19" s="506"/>
      <c r="BI19" s="494"/>
      <c r="BJ19" s="494"/>
      <c r="BK19" s="511">
        <v>0</v>
      </c>
      <c r="BL19" s="506"/>
      <c r="BN19" s="494"/>
      <c r="BO19" s="494"/>
      <c r="BP19" s="511">
        <v>0</v>
      </c>
      <c r="BQ19" s="506"/>
      <c r="BS19" s="494"/>
      <c r="BT19" s="494"/>
      <c r="BU19" s="511">
        <f>SUM(M19:BP19)</f>
        <v>-15709690</v>
      </c>
      <c r="BV19" s="506"/>
      <c r="BX19" s="494"/>
      <c r="BY19" s="494"/>
      <c r="BZ19" s="510">
        <v>1599880</v>
      </c>
      <c r="CA19" s="506"/>
      <c r="CC19" s="494"/>
      <c r="CD19" s="494"/>
      <c r="CE19" s="511">
        <v>3429000</v>
      </c>
      <c r="CF19" s="506"/>
      <c r="CH19" s="494"/>
      <c r="CI19" s="494"/>
      <c r="CJ19" s="511">
        <v>3209000</v>
      </c>
      <c r="CK19" s="506"/>
      <c r="CM19" s="494"/>
      <c r="CN19" s="494"/>
      <c r="CO19" s="511">
        <v>-1078060</v>
      </c>
      <c r="CP19" s="506"/>
      <c r="CR19" s="494"/>
      <c r="CS19" s="494"/>
      <c r="CT19" s="511">
        <v>-2192360</v>
      </c>
      <c r="CU19" s="506"/>
      <c r="CW19" s="494"/>
      <c r="CX19" s="494"/>
      <c r="CY19" s="511">
        <v>1499640</v>
      </c>
      <c r="CZ19" s="506"/>
      <c r="DB19" s="494"/>
      <c r="DC19" s="494"/>
      <c r="DD19" s="511">
        <v>-1200000</v>
      </c>
      <c r="DE19" s="506"/>
      <c r="DG19" s="494"/>
      <c r="DH19" s="494"/>
      <c r="DI19" s="511">
        <v>-2622730</v>
      </c>
      <c r="DJ19" s="506"/>
      <c r="DL19" s="494"/>
      <c r="DM19" s="494"/>
      <c r="DN19" s="511">
        <v>253080</v>
      </c>
      <c r="DO19" s="506"/>
      <c r="DQ19" s="494"/>
      <c r="DR19" s="494"/>
      <c r="DS19" s="511">
        <v>2509260</v>
      </c>
      <c r="DT19" s="506"/>
      <c r="DV19" s="494"/>
      <c r="DW19" s="494"/>
      <c r="DX19" s="511">
        <v>172450</v>
      </c>
      <c r="DY19" s="506"/>
      <c r="EA19" s="494"/>
      <c r="EB19" s="494"/>
      <c r="EC19" s="511">
        <v>818600</v>
      </c>
      <c r="ED19" s="506"/>
      <c r="EF19" s="494"/>
      <c r="EG19" s="494"/>
      <c r="EH19" s="511">
        <v>-3198000</v>
      </c>
      <c r="EI19" s="506"/>
      <c r="EK19" s="494"/>
      <c r="EL19" s="494"/>
      <c r="EM19" s="511">
        <f>SUM(CE19:DX19)</f>
        <v>3979280</v>
      </c>
      <c r="EN19" s="506"/>
      <c r="EP19" s="144"/>
      <c r="ES19" s="42"/>
      <c r="ET19" s="42"/>
      <c r="EU19" s="42"/>
    </row>
    <row r="20" spans="3:151" x14ac:dyDescent="0.3">
      <c r="C20" s="144"/>
      <c r="E20" s="493"/>
      <c r="F20" s="494"/>
      <c r="G20" s="494"/>
      <c r="I20" s="506"/>
      <c r="K20" s="494"/>
      <c r="L20" s="494"/>
      <c r="N20" s="506"/>
      <c r="P20" s="494"/>
      <c r="Q20" s="494"/>
      <c r="S20" s="506"/>
      <c r="U20" s="494"/>
      <c r="V20" s="494"/>
      <c r="X20" s="506"/>
      <c r="Z20" s="494"/>
      <c r="AA20" s="494"/>
      <c r="AC20" s="506"/>
      <c r="AE20" s="494"/>
      <c r="AF20" s="494"/>
      <c r="AH20" s="506"/>
      <c r="AJ20" s="494"/>
      <c r="AK20" s="494"/>
      <c r="AM20" s="506"/>
      <c r="AO20" s="494"/>
      <c r="AP20" s="494"/>
      <c r="AR20" s="506"/>
      <c r="AT20" s="494"/>
      <c r="AU20" s="494"/>
      <c r="AW20" s="506"/>
      <c r="AY20" s="494"/>
      <c r="AZ20" s="494"/>
      <c r="BB20" s="506"/>
      <c r="BD20" s="494"/>
      <c r="BE20" s="494"/>
      <c r="BG20" s="506"/>
      <c r="BI20" s="494"/>
      <c r="BJ20" s="494"/>
      <c r="BL20" s="506"/>
      <c r="BN20" s="494"/>
      <c r="BO20" s="494"/>
      <c r="BQ20" s="506"/>
      <c r="BS20" s="494"/>
      <c r="BT20" s="494"/>
      <c r="BV20" s="506"/>
      <c r="BX20" s="494"/>
      <c r="BY20" s="494"/>
      <c r="BZ20" s="512"/>
      <c r="CA20" s="506"/>
      <c r="CC20" s="494"/>
      <c r="CD20" s="494"/>
      <c r="CF20" s="506"/>
      <c r="CH20" s="494"/>
      <c r="CI20" s="494"/>
      <c r="CK20" s="506"/>
      <c r="CM20" s="494"/>
      <c r="CN20" s="494"/>
      <c r="CP20" s="506"/>
      <c r="CR20" s="494"/>
      <c r="CS20" s="494"/>
      <c r="CU20" s="506"/>
      <c r="CW20" s="494"/>
      <c r="CX20" s="494"/>
      <c r="CZ20" s="506"/>
      <c r="DB20" s="494"/>
      <c r="DC20" s="494"/>
      <c r="DE20" s="506"/>
      <c r="DG20" s="494"/>
      <c r="DH20" s="494"/>
      <c r="DJ20" s="506"/>
      <c r="DL20" s="494"/>
      <c r="DM20" s="494"/>
      <c r="DO20" s="506"/>
      <c r="DQ20" s="494"/>
      <c r="DR20" s="494"/>
      <c r="DT20" s="506"/>
      <c r="DV20" s="494"/>
      <c r="DW20" s="494"/>
      <c r="DY20" s="506"/>
      <c r="EA20" s="494"/>
      <c r="EB20" s="494"/>
      <c r="ED20" s="506"/>
      <c r="EF20" s="494"/>
      <c r="EG20" s="494"/>
      <c r="EI20" s="506"/>
      <c r="EK20" s="494"/>
      <c r="EL20" s="494"/>
      <c r="EN20" s="506"/>
      <c r="EP20" s="144"/>
      <c r="ES20" s="42"/>
      <c r="ET20" s="42"/>
      <c r="EU20" s="42"/>
    </row>
    <row r="21" spans="3:151" x14ac:dyDescent="0.3">
      <c r="C21" s="275" t="s">
        <v>293</v>
      </c>
      <c r="D21" s="272"/>
      <c r="E21" s="493"/>
      <c r="F21" s="494"/>
      <c r="G21" s="513"/>
      <c r="H21" s="514">
        <v>0</v>
      </c>
      <c r="I21" s="515"/>
      <c r="K21" s="494"/>
      <c r="L21" s="513"/>
      <c r="M21" s="277">
        <v>38700</v>
      </c>
      <c r="N21" s="515"/>
      <c r="P21" s="494"/>
      <c r="Q21" s="513"/>
      <c r="R21" s="277">
        <v>189463</v>
      </c>
      <c r="S21" s="515"/>
      <c r="U21" s="494"/>
      <c r="V21" s="513"/>
      <c r="W21" s="277">
        <v>-228163</v>
      </c>
      <c r="X21" s="515"/>
      <c r="Z21" s="494"/>
      <c r="AA21" s="513"/>
      <c r="AB21" s="277">
        <v>716164</v>
      </c>
      <c r="AC21" s="515"/>
      <c r="AE21" s="494"/>
      <c r="AF21" s="513"/>
      <c r="AG21" s="277">
        <v>-716164</v>
      </c>
      <c r="AH21" s="515"/>
      <c r="AJ21" s="494"/>
      <c r="AK21" s="513"/>
      <c r="AL21" s="277">
        <v>93975</v>
      </c>
      <c r="AM21" s="515"/>
      <c r="AO21" s="494"/>
      <c r="AP21" s="513"/>
      <c r="AQ21" s="277">
        <v>-30228</v>
      </c>
      <c r="AR21" s="515"/>
      <c r="AT21" s="494"/>
      <c r="AU21" s="513"/>
      <c r="AV21" s="277">
        <v>-58408</v>
      </c>
      <c r="AW21" s="515"/>
      <c r="AY21" s="494"/>
      <c r="AZ21" s="513"/>
      <c r="BA21" s="277">
        <v>74514</v>
      </c>
      <c r="BB21" s="515"/>
      <c r="BD21" s="494"/>
      <c r="BE21" s="513"/>
      <c r="BF21" s="277">
        <v>-126317</v>
      </c>
      <c r="BG21" s="515"/>
      <c r="BI21" s="494"/>
      <c r="BJ21" s="513"/>
      <c r="BK21" s="277">
        <v>0</v>
      </c>
      <c r="BL21" s="515"/>
      <c r="BN21" s="494"/>
      <c r="BO21" s="513"/>
      <c r="BP21" s="277">
        <v>0</v>
      </c>
      <c r="BQ21" s="515"/>
      <c r="BS21" s="494"/>
      <c r="BT21" s="513"/>
      <c r="BU21" s="277">
        <f>SUM(M21:BP21)</f>
        <v>-46464</v>
      </c>
      <c r="BV21" s="515"/>
      <c r="BX21" s="494"/>
      <c r="BY21" s="513"/>
      <c r="BZ21" s="514">
        <v>52250</v>
      </c>
      <c r="CA21" s="515"/>
      <c r="CC21" s="494"/>
      <c r="CD21" s="513"/>
      <c r="CE21" s="277">
        <v>6752500</v>
      </c>
      <c r="CF21" s="515"/>
      <c r="CH21" s="494"/>
      <c r="CI21" s="513"/>
      <c r="CJ21" s="277">
        <v>-6744433</v>
      </c>
      <c r="CK21" s="515"/>
      <c r="CM21" s="494"/>
      <c r="CN21" s="513"/>
      <c r="CO21" s="277">
        <v>-3953</v>
      </c>
      <c r="CP21" s="515"/>
      <c r="CR21" s="494"/>
      <c r="CS21" s="513"/>
      <c r="CT21" s="277">
        <v>-219785</v>
      </c>
      <c r="CU21" s="515"/>
      <c r="CW21" s="494"/>
      <c r="CX21" s="513"/>
      <c r="CY21" s="277">
        <v>223775</v>
      </c>
      <c r="CZ21" s="515"/>
      <c r="DB21" s="494"/>
      <c r="DC21" s="513"/>
      <c r="DD21" s="277">
        <v>2601337</v>
      </c>
      <c r="DE21" s="515"/>
      <c r="DG21" s="494"/>
      <c r="DH21" s="513"/>
      <c r="DI21" s="277">
        <v>-616732</v>
      </c>
      <c r="DJ21" s="515"/>
      <c r="DL21" s="494"/>
      <c r="DM21" s="513"/>
      <c r="DN21" s="277">
        <v>-1983149</v>
      </c>
      <c r="DO21" s="515"/>
      <c r="DQ21" s="494"/>
      <c r="DR21" s="513"/>
      <c r="DS21" s="277">
        <v>1374</v>
      </c>
      <c r="DT21" s="515"/>
      <c r="DV21" s="494"/>
      <c r="DW21" s="513"/>
      <c r="DX21" s="277">
        <v>-29355</v>
      </c>
      <c r="DY21" s="515"/>
      <c r="EA21" s="494"/>
      <c r="EB21" s="513"/>
      <c r="EC21" s="277">
        <v>530737</v>
      </c>
      <c r="ED21" s="515"/>
      <c r="EF21" s="494"/>
      <c r="EG21" s="513"/>
      <c r="EH21" s="277">
        <v>-460066</v>
      </c>
      <c r="EI21" s="515"/>
      <c r="EK21" s="494"/>
      <c r="EL21" s="513"/>
      <c r="EM21" s="277">
        <f t="shared" ref="EM21" si="0">SUM(CE21:DX21)</f>
        <v>-18421</v>
      </c>
      <c r="EN21" s="515"/>
      <c r="EP21" s="144"/>
      <c r="ES21" s="42"/>
      <c r="ET21" s="42"/>
      <c r="EU21" s="42"/>
    </row>
    <row r="22" spans="3:151" x14ac:dyDescent="0.3">
      <c r="C22" s="144"/>
      <c r="E22" s="493"/>
      <c r="F22" s="516"/>
      <c r="G22" s="517"/>
      <c r="K22" s="494"/>
      <c r="P22" s="494"/>
      <c r="U22" s="494"/>
      <c r="Z22" s="494"/>
      <c r="AE22" s="494"/>
      <c r="AJ22" s="494"/>
      <c r="AO22" s="494"/>
      <c r="AT22" s="494"/>
      <c r="AY22" s="494"/>
      <c r="BD22" s="494"/>
      <c r="BI22" s="494"/>
      <c r="BN22" s="494"/>
      <c r="BS22" s="494"/>
      <c r="BX22" s="494"/>
      <c r="BZ22" s="512"/>
      <c r="CC22" s="494"/>
      <c r="CH22" s="494"/>
      <c r="CM22" s="494"/>
      <c r="CR22" s="494"/>
      <c r="CW22" s="494"/>
      <c r="DB22" s="494"/>
      <c r="DG22" s="494"/>
      <c r="DL22" s="494"/>
      <c r="DQ22" s="494"/>
      <c r="DV22" s="494"/>
      <c r="EA22" s="494"/>
      <c r="EF22" s="494"/>
      <c r="EK22" s="494"/>
      <c r="EP22" s="144"/>
      <c r="ES22" s="42"/>
      <c r="ET22" s="42"/>
      <c r="EU22" s="42"/>
    </row>
    <row r="23" spans="3:151" s="42" customFormat="1" x14ac:dyDescent="0.3">
      <c r="C23" s="234" t="s">
        <v>39</v>
      </c>
      <c r="E23" s="495"/>
      <c r="F23" s="518"/>
      <c r="G23" s="519"/>
      <c r="H23" s="42">
        <f>H24+H30+H35</f>
        <v>227774514</v>
      </c>
      <c r="K23" s="496"/>
      <c r="M23" s="42">
        <f>M24+M30+M35</f>
        <v>20015505</v>
      </c>
      <c r="P23" s="496"/>
      <c r="R23" s="42">
        <f>R24+R30+R35</f>
        <v>25455403</v>
      </c>
      <c r="U23" s="496"/>
      <c r="W23" s="42">
        <f>W24+W30+W35</f>
        <v>23742808</v>
      </c>
      <c r="Z23" s="496"/>
      <c r="AB23" s="42">
        <f>AB24+AB30+AB35</f>
        <v>45716848</v>
      </c>
      <c r="AE23" s="496"/>
      <c r="AG23" s="42">
        <f>AG24+AG30+AG35</f>
        <v>29377866</v>
      </c>
      <c r="AJ23" s="496"/>
      <c r="AL23" s="42">
        <f>AL24+AL30+AL35</f>
        <v>33075335</v>
      </c>
      <c r="AO23" s="496"/>
      <c r="AQ23" s="42">
        <f>AQ24+AQ30+AQ35</f>
        <v>28660775</v>
      </c>
      <c r="AT23" s="496"/>
      <c r="AV23" s="42">
        <f>AV24+AV30+AV35</f>
        <v>30014600</v>
      </c>
      <c r="AY23" s="496"/>
      <c r="BA23" s="42">
        <f>BA24+BA30+BA35</f>
        <v>14711827</v>
      </c>
      <c r="BD23" s="496"/>
      <c r="BF23" s="42">
        <f>BF24+BF30+BF35</f>
        <v>16486408</v>
      </c>
      <c r="BI23" s="496"/>
      <c r="BK23" s="42">
        <f>BK24+BK30+BK35</f>
        <v>0</v>
      </c>
      <c r="BN23" s="496"/>
      <c r="BP23" s="42">
        <f>BP24+BP30+BP35</f>
        <v>0</v>
      </c>
      <c r="BS23" s="496"/>
      <c r="BU23" s="42">
        <f>BU24+BU30+BU35</f>
        <v>267257375</v>
      </c>
      <c r="BX23" s="496"/>
      <c r="BZ23" s="499">
        <f>BZ24+BZ30+BZ35</f>
        <v>228921382</v>
      </c>
      <c r="CC23" s="496"/>
      <c r="CE23" s="42">
        <f>CE24+CE30+CE35</f>
        <v>26656371</v>
      </c>
      <c r="CH23" s="496"/>
      <c r="CJ23" s="42">
        <f>CJ24+CJ30+CJ35</f>
        <v>26132793</v>
      </c>
      <c r="CM23" s="496"/>
      <c r="CO23" s="42">
        <f>CO24+CO30+CO35</f>
        <v>23736909</v>
      </c>
      <c r="CR23" s="496"/>
      <c r="CT23" s="42">
        <f>CT24+CT30+CT35</f>
        <v>28680625</v>
      </c>
      <c r="CW23" s="496"/>
      <c r="CY23" s="42">
        <f>CY24+CY30+CY35</f>
        <v>23457599</v>
      </c>
      <c r="DB23" s="496"/>
      <c r="DD23" s="42">
        <f>DD24+DD30+DD35</f>
        <v>21280959</v>
      </c>
      <c r="DG23" s="496"/>
      <c r="DI23" s="42">
        <f>DI24+DI30+DI35</f>
        <v>27957835</v>
      </c>
      <c r="DL23" s="496"/>
      <c r="DN23" s="42">
        <f>DN24+DN30+DN35</f>
        <v>19605231</v>
      </c>
      <c r="DQ23" s="496"/>
      <c r="DS23" s="42">
        <f>DS24+DS30+DS35</f>
        <v>20296122</v>
      </c>
      <c r="DV23" s="496"/>
      <c r="DX23" s="42">
        <f>DX24+DX30+DX35</f>
        <v>-39139018</v>
      </c>
      <c r="EA23" s="496"/>
      <c r="EC23" s="42">
        <f>EC24+EC30+EC35</f>
        <v>25287603</v>
      </c>
      <c r="EF23" s="496"/>
      <c r="EH23" s="42">
        <f>EH24+EH30+EH35</f>
        <v>24968353</v>
      </c>
      <c r="EK23" s="496"/>
      <c r="EM23" s="42">
        <f>EM24+EM30+EM35</f>
        <v>178665426</v>
      </c>
      <c r="EP23" s="234"/>
    </row>
    <row r="24" spans="3:151" x14ac:dyDescent="0.3">
      <c r="C24" s="144" t="s">
        <v>294</v>
      </c>
      <c r="E24" s="493"/>
      <c r="F24" s="516"/>
      <c r="G24" s="520"/>
      <c r="H24" s="214">
        <f>SUM(H25:H28)</f>
        <v>227688000</v>
      </c>
      <c r="I24" s="501"/>
      <c r="K24" s="494"/>
      <c r="L24" s="500"/>
      <c r="M24" s="214">
        <f>SUM(M25:M28)</f>
        <v>19978246</v>
      </c>
      <c r="N24" s="501"/>
      <c r="P24" s="494"/>
      <c r="Q24" s="500"/>
      <c r="R24" s="214">
        <f>SUM(R25:R28)</f>
        <v>25370100</v>
      </c>
      <c r="S24" s="501"/>
      <c r="U24" s="494"/>
      <c r="V24" s="500"/>
      <c r="W24" s="214">
        <f>SUM(W25:W28)</f>
        <v>23778856</v>
      </c>
      <c r="X24" s="501"/>
      <c r="Z24" s="494"/>
      <c r="AA24" s="500"/>
      <c r="AB24" s="214">
        <f>SUM(AB25:AB28)</f>
        <v>45716848</v>
      </c>
      <c r="AC24" s="501"/>
      <c r="AE24" s="494"/>
      <c r="AF24" s="500"/>
      <c r="AG24" s="214">
        <f>SUM(AG25:AG28)</f>
        <v>29232670</v>
      </c>
      <c r="AH24" s="501"/>
      <c r="AJ24" s="494"/>
      <c r="AK24" s="500"/>
      <c r="AL24" s="214">
        <f>SUM(AL25:AL28)</f>
        <v>33220531</v>
      </c>
      <c r="AM24" s="501"/>
      <c r="AO24" s="494"/>
      <c r="AP24" s="500"/>
      <c r="AQ24" s="214">
        <f>SUM(AQ25:AQ28)</f>
        <v>28605582</v>
      </c>
      <c r="AR24" s="501"/>
      <c r="AT24" s="494"/>
      <c r="AU24" s="500"/>
      <c r="AV24" s="214">
        <f>SUM(AV25:AV28)</f>
        <v>30069793</v>
      </c>
      <c r="AW24" s="501"/>
      <c r="AY24" s="494"/>
      <c r="AZ24" s="500"/>
      <c r="BA24" s="214">
        <f>SUM(BA25:BA28)</f>
        <v>14711827</v>
      </c>
      <c r="BB24" s="501"/>
      <c r="BD24" s="494"/>
      <c r="BE24" s="500"/>
      <c r="BF24" s="214">
        <f>SUM(BF25:BF28)</f>
        <v>16486408</v>
      </c>
      <c r="BG24" s="501"/>
      <c r="BI24" s="494"/>
      <c r="BJ24" s="500"/>
      <c r="BK24" s="214">
        <f>SUM(BK25:BK28)</f>
        <v>0</v>
      </c>
      <c r="BL24" s="501"/>
      <c r="BN24" s="494"/>
      <c r="BO24" s="500"/>
      <c r="BP24" s="214">
        <f>SUM(BP25:BP28)</f>
        <v>0</v>
      </c>
      <c r="BQ24" s="501"/>
      <c r="BS24" s="494"/>
      <c r="BT24" s="500"/>
      <c r="BU24" s="214">
        <f>SUM(BU25:BU28)</f>
        <v>267170861</v>
      </c>
      <c r="BV24" s="501"/>
      <c r="BX24" s="494"/>
      <c r="BY24" s="500"/>
      <c r="BZ24" s="504">
        <f>SUM(BZ25:BZ28)</f>
        <v>228559729</v>
      </c>
      <c r="CA24" s="501"/>
      <c r="CC24" s="494"/>
      <c r="CD24" s="500"/>
      <c r="CE24" s="214">
        <f>SUM(CE25:CE28)</f>
        <v>26533639</v>
      </c>
      <c r="CF24" s="501"/>
      <c r="CH24" s="494"/>
      <c r="CI24" s="500"/>
      <c r="CJ24" s="214">
        <f>SUM(CJ25:CJ28)</f>
        <v>26055503</v>
      </c>
      <c r="CK24" s="501"/>
      <c r="CM24" s="494"/>
      <c r="CN24" s="500"/>
      <c r="CO24" s="214">
        <f>SUM(CO25:CO28)</f>
        <v>23681234</v>
      </c>
      <c r="CP24" s="501"/>
      <c r="CR24" s="494"/>
      <c r="CS24" s="500"/>
      <c r="CT24" s="214">
        <f>SUM(CT25:CT28)</f>
        <v>28661100</v>
      </c>
      <c r="CU24" s="501"/>
      <c r="CW24" s="494"/>
      <c r="CX24" s="500"/>
      <c r="CY24" s="214">
        <f>SUM(CY25:CY28)</f>
        <v>23342406</v>
      </c>
      <c r="CZ24" s="501"/>
      <c r="DB24" s="494"/>
      <c r="DC24" s="500"/>
      <c r="DD24" s="214">
        <f>SUM(DD25:DD28)</f>
        <v>21441003</v>
      </c>
      <c r="DE24" s="501"/>
      <c r="DG24" s="494"/>
      <c r="DH24" s="500"/>
      <c r="DI24" s="214">
        <f>SUM(DI25:DI28)</f>
        <v>27882872</v>
      </c>
      <c r="DJ24" s="501"/>
      <c r="DL24" s="494"/>
      <c r="DM24" s="500"/>
      <c r="DN24" s="214">
        <f>SUM(DN25:DN28)</f>
        <v>19576600</v>
      </c>
      <c r="DO24" s="501"/>
      <c r="DQ24" s="494"/>
      <c r="DR24" s="500"/>
      <c r="DS24" s="214">
        <f>SUM(DS25:DS28)</f>
        <v>20282793</v>
      </c>
      <c r="DT24" s="501"/>
      <c r="DV24" s="494"/>
      <c r="DW24" s="500"/>
      <c r="DX24" s="214">
        <f>SUM(DX25:DX28)</f>
        <v>-39151262</v>
      </c>
      <c r="DY24" s="501"/>
      <c r="EA24" s="494"/>
      <c r="EB24" s="500"/>
      <c r="EC24" s="214">
        <f>SUM(EC25:EC28)</f>
        <v>25073273</v>
      </c>
      <c r="ED24" s="501"/>
      <c r="EF24" s="494"/>
      <c r="EG24" s="500"/>
      <c r="EH24" s="214">
        <f>SUM(EH25:EH28)</f>
        <v>25180568</v>
      </c>
      <c r="EI24" s="501"/>
      <c r="EK24" s="494"/>
      <c r="EL24" s="500"/>
      <c r="EM24" s="214">
        <f>SUM(EM25:EM28)</f>
        <v>178305888</v>
      </c>
      <c r="EN24" s="501"/>
      <c r="EP24" s="144"/>
      <c r="ES24" s="42"/>
      <c r="ET24" s="42"/>
      <c r="EU24" s="42"/>
    </row>
    <row r="25" spans="3:151" x14ac:dyDescent="0.3">
      <c r="C25" s="144" t="s">
        <v>295</v>
      </c>
      <c r="E25" s="521" t="s">
        <v>296</v>
      </c>
      <c r="F25" s="522"/>
      <c r="G25" s="522"/>
      <c r="H25" s="507">
        <f>[40]Domlongtermissues!G13+[40]Domlongtermissues!G23</f>
        <v>344012000</v>
      </c>
      <c r="I25" s="506"/>
      <c r="K25" s="494"/>
      <c r="L25" s="494"/>
      <c r="M25" s="507">
        <f>[40]Domlongtermissues!L13</f>
        <v>23849866</v>
      </c>
      <c r="N25" s="506"/>
      <c r="P25" s="494"/>
      <c r="Q25" s="494"/>
      <c r="R25" s="507">
        <f>[40]Domlongtermissues!Q13</f>
        <v>30102790</v>
      </c>
      <c r="S25" s="506"/>
      <c r="U25" s="494"/>
      <c r="V25" s="494"/>
      <c r="W25" s="507">
        <f>[40]Domlongtermissues!V13</f>
        <v>29395127</v>
      </c>
      <c r="X25" s="506"/>
      <c r="Z25" s="494"/>
      <c r="AA25" s="494"/>
      <c r="AB25" s="507">
        <f>[40]Domlongtermissues!AA13</f>
        <v>52376510</v>
      </c>
      <c r="AC25" s="506"/>
      <c r="AE25" s="494"/>
      <c r="AF25" s="494"/>
      <c r="AG25" s="507">
        <f>[40]Domlongtermissues!AF13</f>
        <v>35558950</v>
      </c>
      <c r="AH25" s="506"/>
      <c r="AJ25" s="494"/>
      <c r="AK25" s="494"/>
      <c r="AL25" s="507">
        <f>[40]Domlongtermissues!AK13</f>
        <v>38933593</v>
      </c>
      <c r="AM25" s="506"/>
      <c r="AO25" s="494"/>
      <c r="AP25" s="494"/>
      <c r="AQ25" s="507">
        <f>[40]Domlongtermissues!AP13</f>
        <v>34472211</v>
      </c>
      <c r="AR25" s="506"/>
      <c r="AT25" s="494"/>
      <c r="AU25" s="494"/>
      <c r="AV25" s="507">
        <f>[40]Domlongtermissues!AU13</f>
        <v>36098316</v>
      </c>
      <c r="AW25" s="506"/>
      <c r="AY25" s="494"/>
      <c r="AZ25" s="494"/>
      <c r="BA25" s="507">
        <f>[40]Domlongtermissues!AZ13</f>
        <v>18873846</v>
      </c>
      <c r="BB25" s="506"/>
      <c r="BD25" s="494"/>
      <c r="BE25" s="494"/>
      <c r="BF25" s="507">
        <f>[40]Domlongtermissues!BE13</f>
        <v>19538777</v>
      </c>
      <c r="BG25" s="506"/>
      <c r="BI25" s="494"/>
      <c r="BJ25" s="494"/>
      <c r="BK25" s="507">
        <f>[40]Domlongtermissues!BJ13</f>
        <v>0</v>
      </c>
      <c r="BL25" s="506"/>
      <c r="BN25" s="494"/>
      <c r="BO25" s="494"/>
      <c r="BP25" s="507">
        <f>[40]Domlongtermissues!BO13</f>
        <v>0</v>
      </c>
      <c r="BQ25" s="506"/>
      <c r="BS25" s="494"/>
      <c r="BT25" s="494"/>
      <c r="BU25" s="507">
        <f>[40]Domlongtermissues!BT13</f>
        <v>319199986</v>
      </c>
      <c r="BV25" s="506"/>
      <c r="BX25" s="494"/>
      <c r="BY25" s="494"/>
      <c r="BZ25" s="505">
        <f>+[40]Domlongtermissues!BY13</f>
        <v>337762752</v>
      </c>
      <c r="CA25" s="506"/>
      <c r="CC25" s="494"/>
      <c r="CD25" s="494"/>
      <c r="CE25" s="507">
        <f>[40]Domlongtermissues!CD13</f>
        <v>32347333</v>
      </c>
      <c r="CF25" s="506"/>
      <c r="CH25" s="494"/>
      <c r="CI25" s="494"/>
      <c r="CJ25" s="507">
        <f>[40]Domlongtermissues!CI13</f>
        <v>30897412</v>
      </c>
      <c r="CK25" s="506"/>
      <c r="CM25" s="494"/>
      <c r="CN25" s="494"/>
      <c r="CO25" s="507">
        <f>[40]Domlongtermissues!CN13</f>
        <v>27576195</v>
      </c>
      <c r="CP25" s="506"/>
      <c r="CR25" s="494"/>
      <c r="CS25" s="494"/>
      <c r="CT25" s="507">
        <f>[40]Domlongtermissues!CS13</f>
        <v>32976789</v>
      </c>
      <c r="CU25" s="506"/>
      <c r="CW25" s="494"/>
      <c r="CX25" s="494"/>
      <c r="CY25" s="507">
        <f>[40]Domlongtermissues!CX13</f>
        <v>27670253</v>
      </c>
      <c r="CZ25" s="506"/>
      <c r="DB25" s="494"/>
      <c r="DC25" s="494"/>
      <c r="DD25" s="507">
        <f>[40]Domlongtermissues!DC13</f>
        <v>25324462</v>
      </c>
      <c r="DE25" s="506"/>
      <c r="DG25" s="494"/>
      <c r="DH25" s="494"/>
      <c r="DI25" s="507">
        <f>[40]Domlongtermissues!DH13</f>
        <v>33828275</v>
      </c>
      <c r="DJ25" s="506"/>
      <c r="DL25" s="494"/>
      <c r="DM25" s="494"/>
      <c r="DN25" s="507">
        <f>[40]Domlongtermissues!DM13</f>
        <v>23303905</v>
      </c>
      <c r="DO25" s="506"/>
      <c r="DQ25" s="494"/>
      <c r="DR25" s="494"/>
      <c r="DS25" s="507">
        <f>[40]Domlongtermissues!DR13</f>
        <v>24962859</v>
      </c>
      <c r="DT25" s="506"/>
      <c r="DV25" s="494"/>
      <c r="DW25" s="494"/>
      <c r="DX25" s="507">
        <f>[40]Domlongtermissues!DW13</f>
        <v>21654275</v>
      </c>
      <c r="DY25" s="506"/>
      <c r="EA25" s="494"/>
      <c r="EB25" s="494"/>
      <c r="EC25" s="507">
        <f>[40]Domlongtermissues!EB13</f>
        <v>28691924</v>
      </c>
      <c r="ED25" s="506"/>
      <c r="EF25" s="494"/>
      <c r="EG25" s="494"/>
      <c r="EH25" s="507">
        <f>[40]Domlongtermissues!EG13</f>
        <v>28529070</v>
      </c>
      <c r="EI25" s="506"/>
      <c r="EK25" s="494"/>
      <c r="EL25" s="494"/>
      <c r="EM25" s="507">
        <f>[40]Domlongtermissues!EL13</f>
        <v>280541758</v>
      </c>
      <c r="EN25" s="506"/>
      <c r="EP25" s="144"/>
      <c r="ES25" s="42"/>
      <c r="ET25" s="42"/>
      <c r="EU25" s="42"/>
    </row>
    <row r="26" spans="3:151" x14ac:dyDescent="0.3">
      <c r="C26" s="144" t="s">
        <v>297</v>
      </c>
      <c r="E26" s="521" t="s">
        <v>296</v>
      </c>
      <c r="F26" s="522"/>
      <c r="G26" s="522"/>
      <c r="H26" s="508">
        <f>-[40]Domlongtermissues!G19</f>
        <v>-44612000</v>
      </c>
      <c r="I26" s="506"/>
      <c r="K26" s="494"/>
      <c r="L26" s="494"/>
      <c r="M26" s="508">
        <f>-[40]Domlongtermissues!L19</f>
        <v>-3357671</v>
      </c>
      <c r="N26" s="506"/>
      <c r="P26" s="494"/>
      <c r="Q26" s="494"/>
      <c r="R26" s="508">
        <f>-[40]Domlongtermissues!Q19</f>
        <v>-4348042</v>
      </c>
      <c r="S26" s="506"/>
      <c r="U26" s="494"/>
      <c r="V26" s="494"/>
      <c r="W26" s="508">
        <f>-[40]Domlongtermissues!V19</f>
        <v>-5199615</v>
      </c>
      <c r="X26" s="506"/>
      <c r="Z26" s="494"/>
      <c r="AA26" s="494"/>
      <c r="AB26" s="508">
        <f>-[40]Domlongtermissues!AA19</f>
        <v>-6163152</v>
      </c>
      <c r="AC26" s="506"/>
      <c r="AE26" s="494"/>
      <c r="AF26" s="494"/>
      <c r="AG26" s="508">
        <f>-[40]Domlongtermissues!AF19</f>
        <v>-5523545</v>
      </c>
      <c r="AH26" s="506"/>
      <c r="AJ26" s="494"/>
      <c r="AK26" s="494"/>
      <c r="AL26" s="508">
        <f>-[40]Domlongtermissues!AK19</f>
        <v>-5238994</v>
      </c>
      <c r="AM26" s="506"/>
      <c r="AO26" s="494"/>
      <c r="AP26" s="494"/>
      <c r="AQ26" s="508">
        <f>-[40]Domlongtermissues!AP19</f>
        <v>-5173710</v>
      </c>
      <c r="AR26" s="506"/>
      <c r="AT26" s="494"/>
      <c r="AU26" s="494"/>
      <c r="AV26" s="508">
        <f>-[40]Domlongtermissues!AU19</f>
        <v>-5207637</v>
      </c>
      <c r="AW26" s="506"/>
      <c r="AY26" s="494"/>
      <c r="AZ26" s="494"/>
      <c r="BA26" s="508">
        <f>-[40]Domlongtermissues!AZ19</f>
        <v>-3616198</v>
      </c>
      <c r="BB26" s="506"/>
      <c r="BD26" s="494"/>
      <c r="BE26" s="494"/>
      <c r="BF26" s="508">
        <f>-[40]Domlongtermissues!BE19</f>
        <v>-2710299</v>
      </c>
      <c r="BG26" s="506"/>
      <c r="BI26" s="494"/>
      <c r="BJ26" s="494"/>
      <c r="BK26" s="508">
        <f>-[40]Domlongtermissues!BJ19</f>
        <v>0</v>
      </c>
      <c r="BL26" s="506"/>
      <c r="BN26" s="494"/>
      <c r="BO26" s="494"/>
      <c r="BP26" s="508">
        <f>-[40]Domlongtermissues!BO19</f>
        <v>0</v>
      </c>
      <c r="BQ26" s="506"/>
      <c r="BS26" s="494"/>
      <c r="BT26" s="494"/>
      <c r="BU26" s="508">
        <f>-[40]Domlongtermissues!BT19</f>
        <v>-46538863</v>
      </c>
      <c r="BV26" s="506"/>
      <c r="BX26" s="494"/>
      <c r="BY26" s="494"/>
      <c r="BZ26" s="509">
        <f>-[40]Domlongtermissues!BY19</f>
        <v>-47829626</v>
      </c>
      <c r="CA26" s="506"/>
      <c r="CC26" s="494"/>
      <c r="CD26" s="494"/>
      <c r="CE26" s="508">
        <f>-[40]Domlongtermissues!CD19</f>
        <v>-5645039</v>
      </c>
      <c r="CF26" s="506"/>
      <c r="CH26" s="494"/>
      <c r="CI26" s="494"/>
      <c r="CJ26" s="508">
        <f>-[40]Domlongtermissues!CI19</f>
        <v>-4477496</v>
      </c>
      <c r="CK26" s="506"/>
      <c r="CM26" s="494"/>
      <c r="CN26" s="494"/>
      <c r="CO26" s="508">
        <f>-[40]Domlongtermissues!CN19</f>
        <v>-3697051</v>
      </c>
      <c r="CP26" s="506"/>
      <c r="CR26" s="494"/>
      <c r="CS26" s="494"/>
      <c r="CT26" s="508">
        <f>-[40]Domlongtermissues!CS19</f>
        <v>-4028774</v>
      </c>
      <c r="CU26" s="506"/>
      <c r="CW26" s="494"/>
      <c r="CX26" s="494"/>
      <c r="CY26" s="508">
        <f>-[40]Domlongtermissues!CX19</f>
        <v>-4063950</v>
      </c>
      <c r="CZ26" s="506"/>
      <c r="DB26" s="494"/>
      <c r="DC26" s="494"/>
      <c r="DD26" s="508">
        <f>-[40]Domlongtermissues!DC19</f>
        <v>-3732222</v>
      </c>
      <c r="DE26" s="506"/>
      <c r="DG26" s="494"/>
      <c r="DH26" s="494"/>
      <c r="DI26" s="508">
        <f>-[40]Domlongtermissues!DH19</f>
        <v>-5478270</v>
      </c>
      <c r="DJ26" s="506"/>
      <c r="DL26" s="494"/>
      <c r="DM26" s="494"/>
      <c r="DN26" s="508">
        <f>-[40]Domlongtermissues!DM19</f>
        <v>-3339881</v>
      </c>
      <c r="DO26" s="506"/>
      <c r="DQ26" s="494"/>
      <c r="DR26" s="494"/>
      <c r="DS26" s="508">
        <f>-[40]Domlongtermissues!DR19</f>
        <v>-4186870</v>
      </c>
      <c r="DT26" s="506"/>
      <c r="DV26" s="494"/>
      <c r="DW26" s="494"/>
      <c r="DX26" s="508">
        <f>-[40]Domlongtermissues!DW19</f>
        <v>-2875651</v>
      </c>
      <c r="DY26" s="506"/>
      <c r="EA26" s="494"/>
      <c r="EB26" s="494"/>
      <c r="EC26" s="508">
        <f>-[40]Domlongtermissues!EB19</f>
        <v>-3208682</v>
      </c>
      <c r="ED26" s="506"/>
      <c r="EF26" s="494"/>
      <c r="EG26" s="494"/>
      <c r="EH26" s="508">
        <f>-[40]Domlongtermissues!EG19</f>
        <v>-3095740</v>
      </c>
      <c r="EI26" s="506"/>
      <c r="EK26" s="494"/>
      <c r="EL26" s="494"/>
      <c r="EM26" s="508">
        <f>-[40]Domlongtermissues!EL19</f>
        <v>-41525204</v>
      </c>
      <c r="EN26" s="506"/>
      <c r="EP26" s="144"/>
      <c r="ES26" s="42"/>
      <c r="ET26" s="42"/>
      <c r="EU26" s="42"/>
    </row>
    <row r="27" spans="3:151" x14ac:dyDescent="0.3">
      <c r="C27" s="144" t="s">
        <v>298</v>
      </c>
      <c r="E27" s="521" t="s">
        <v>299</v>
      </c>
      <c r="F27" s="522"/>
      <c r="G27" s="522"/>
      <c r="H27" s="511">
        <f>-[40]Domredemp!G13</f>
        <v>-71712000</v>
      </c>
      <c r="I27" s="506"/>
      <c r="K27" s="494"/>
      <c r="L27" s="494"/>
      <c r="M27" s="511">
        <f>-[40]Domredemp!L13</f>
        <v>-513949</v>
      </c>
      <c r="N27" s="506"/>
      <c r="P27" s="494"/>
      <c r="Q27" s="494"/>
      <c r="R27" s="508">
        <f>-[40]Domredemp!Q13</f>
        <v>-384648</v>
      </c>
      <c r="S27" s="506"/>
      <c r="U27" s="494"/>
      <c r="V27" s="494"/>
      <c r="W27" s="508">
        <f>-[40]Domredemp!V13</f>
        <v>-416656</v>
      </c>
      <c r="X27" s="506"/>
      <c r="Z27" s="494"/>
      <c r="AA27" s="494"/>
      <c r="AB27" s="508">
        <f>-[40]Domredemp!AA13</f>
        <v>-496510</v>
      </c>
      <c r="AC27" s="506"/>
      <c r="AE27" s="494"/>
      <c r="AF27" s="494"/>
      <c r="AG27" s="508">
        <f>-[40]Domredemp!AF13</f>
        <v>-802735</v>
      </c>
      <c r="AH27" s="506"/>
      <c r="AJ27" s="494"/>
      <c r="AK27" s="494"/>
      <c r="AL27" s="511">
        <f>-[40]Domredemp!AK13</f>
        <v>-474068</v>
      </c>
      <c r="AM27" s="506"/>
      <c r="AO27" s="494"/>
      <c r="AP27" s="494"/>
      <c r="AQ27" s="511">
        <f>-[40]Domredemp!AP13</f>
        <v>-692919</v>
      </c>
      <c r="AR27" s="506"/>
      <c r="AT27" s="494"/>
      <c r="AU27" s="494"/>
      <c r="AV27" s="511">
        <f>-[40]Domredemp!AU13</f>
        <v>-820886</v>
      </c>
      <c r="AW27" s="506"/>
      <c r="AY27" s="494"/>
      <c r="AZ27" s="494"/>
      <c r="BA27" s="511">
        <f>-[40]Domredemp!AZ13</f>
        <v>-545821</v>
      </c>
      <c r="BB27" s="506"/>
      <c r="BD27" s="494"/>
      <c r="BE27" s="494"/>
      <c r="BF27" s="511">
        <f>-[40]Domredemp!BE13</f>
        <v>-342070</v>
      </c>
      <c r="BG27" s="506"/>
      <c r="BI27" s="494"/>
      <c r="BJ27" s="494"/>
      <c r="BK27" s="511">
        <f>-[40]Domredemp!BJ13</f>
        <v>0</v>
      </c>
      <c r="BL27" s="506"/>
      <c r="BN27" s="494"/>
      <c r="BO27" s="494"/>
      <c r="BP27" s="510">
        <f>-[40]Domredemp!BO13</f>
        <v>0</v>
      </c>
      <c r="BQ27" s="506"/>
      <c r="BS27" s="494"/>
      <c r="BT27" s="494"/>
      <c r="BU27" s="511">
        <f>-[40]Domredemp!BT13</f>
        <v>-5490262</v>
      </c>
      <c r="BV27" s="506"/>
      <c r="BX27" s="494"/>
      <c r="BY27" s="494"/>
      <c r="BZ27" s="510">
        <f>-[40]Domredemp!BY13</f>
        <v>-61373397</v>
      </c>
      <c r="CA27" s="506"/>
      <c r="CC27" s="494"/>
      <c r="CD27" s="494"/>
      <c r="CE27" s="510">
        <f>-[40]Domredemp!CD13</f>
        <v>-168655</v>
      </c>
      <c r="CF27" s="506"/>
      <c r="CH27" s="494"/>
      <c r="CI27" s="494"/>
      <c r="CJ27" s="510">
        <f>-[40]Domredemp!CI13</f>
        <v>-364413</v>
      </c>
      <c r="CK27" s="506"/>
      <c r="CM27" s="494"/>
      <c r="CN27" s="494"/>
      <c r="CO27" s="508">
        <f>-[40]Domredemp!CN13</f>
        <v>-197910</v>
      </c>
      <c r="CP27" s="506"/>
      <c r="CR27" s="494"/>
      <c r="CS27" s="494"/>
      <c r="CT27" s="508">
        <f>-[40]Domredemp!CS13</f>
        <v>-286915</v>
      </c>
      <c r="CU27" s="506"/>
      <c r="CW27" s="494"/>
      <c r="CX27" s="494"/>
      <c r="CY27" s="508">
        <f>-[40]Domredemp!CX13</f>
        <v>-263897</v>
      </c>
      <c r="CZ27" s="506"/>
      <c r="DB27" s="494"/>
      <c r="DC27" s="494"/>
      <c r="DD27" s="511">
        <f>-[40]Domredemp!DC13</f>
        <v>-151237</v>
      </c>
      <c r="DE27" s="506"/>
      <c r="DG27" s="494"/>
      <c r="DH27" s="494"/>
      <c r="DI27" s="511">
        <f>-[40]Domredemp!DH13</f>
        <v>-467133</v>
      </c>
      <c r="DJ27" s="506"/>
      <c r="DL27" s="494"/>
      <c r="DM27" s="494"/>
      <c r="DN27" s="511">
        <f>-[40]Domredemp!DM13</f>
        <v>-387424</v>
      </c>
      <c r="DO27" s="506"/>
      <c r="DQ27" s="494"/>
      <c r="DR27" s="494"/>
      <c r="DS27" s="510">
        <f>-[40]Domredemp!DR13</f>
        <v>-493196</v>
      </c>
      <c r="DT27" s="506"/>
      <c r="DV27" s="494"/>
      <c r="DW27" s="494"/>
      <c r="DX27" s="511">
        <f>-[40]Domredemp!DW13</f>
        <v>-57929886</v>
      </c>
      <c r="DY27" s="506"/>
      <c r="EA27" s="494"/>
      <c r="EB27" s="494"/>
      <c r="EC27" s="510">
        <f>-[40]Domredemp!EB13</f>
        <v>-409969</v>
      </c>
      <c r="ED27" s="506"/>
      <c r="EF27" s="494"/>
      <c r="EG27" s="494"/>
      <c r="EH27" s="510">
        <f>-[40]Domredemp!EG13</f>
        <v>-252762</v>
      </c>
      <c r="EI27" s="506"/>
      <c r="EK27" s="494"/>
      <c r="EL27" s="494"/>
      <c r="EM27" s="511">
        <f>-[40]Domredemp!EL13</f>
        <v>-60710666</v>
      </c>
      <c r="EN27" s="506"/>
      <c r="EP27" s="144"/>
      <c r="ES27" s="42"/>
      <c r="ET27" s="42"/>
      <c r="EU27" s="42"/>
    </row>
    <row r="28" spans="3:151" hidden="1" x14ac:dyDescent="0.3">
      <c r="C28" s="144" t="s">
        <v>300</v>
      </c>
      <c r="E28" s="521">
        <v>4.2</v>
      </c>
      <c r="F28" s="522"/>
      <c r="G28" s="522"/>
      <c r="H28" s="511">
        <f>-[40]Domredemp!G16+[40]Domredemp!G192</f>
        <v>0</v>
      </c>
      <c r="I28" s="506"/>
      <c r="K28" s="494"/>
      <c r="L28" s="494"/>
      <c r="M28" s="511">
        <f>-[40]Domredemp!L16+[40]Domredemp!L192</f>
        <v>0</v>
      </c>
      <c r="N28" s="506"/>
      <c r="P28" s="494"/>
      <c r="Q28" s="494"/>
      <c r="R28" s="511">
        <f>-[40]Domredemp!Q16+[40]Domredemp!Q192</f>
        <v>0</v>
      </c>
      <c r="S28" s="506"/>
      <c r="U28" s="494"/>
      <c r="V28" s="494"/>
      <c r="W28" s="511">
        <f>-[40]Domredemp!V16+[40]Domredemp!V192</f>
        <v>0</v>
      </c>
      <c r="X28" s="506"/>
      <c r="Z28" s="494"/>
      <c r="AA28" s="494"/>
      <c r="AB28" s="511">
        <f>-[40]Domredemp!AA16+[40]Domredemp!AA192</f>
        <v>0</v>
      </c>
      <c r="AC28" s="506"/>
      <c r="AE28" s="494"/>
      <c r="AF28" s="494"/>
      <c r="AG28" s="511">
        <f>-[40]Domredemp!AF16+[40]Domredemp!AF192</f>
        <v>0</v>
      </c>
      <c r="AH28" s="506"/>
      <c r="AJ28" s="494"/>
      <c r="AK28" s="494"/>
      <c r="AL28" s="511">
        <f>-[40]Domredemp!AK16+[40]Domredemp!AK192</f>
        <v>0</v>
      </c>
      <c r="AM28" s="506"/>
      <c r="AO28" s="494"/>
      <c r="AP28" s="494"/>
      <c r="AQ28" s="511">
        <f>-[40]Domredemp!AP16+[40]Domredemp!AP192</f>
        <v>0</v>
      </c>
      <c r="AR28" s="506"/>
      <c r="AT28" s="494"/>
      <c r="AU28" s="494"/>
      <c r="AV28" s="511">
        <f>-[40]Domredemp!AU16+[40]Domredemp!AU192</f>
        <v>0</v>
      </c>
      <c r="AW28" s="506"/>
      <c r="AY28" s="494"/>
      <c r="AZ28" s="494"/>
      <c r="BA28" s="511">
        <f>-[40]Domredemp!AZ16+[40]Domredemp!AZ192</f>
        <v>0</v>
      </c>
      <c r="BB28" s="506"/>
      <c r="BD28" s="494"/>
      <c r="BE28" s="494"/>
      <c r="BF28" s="511">
        <f>-[40]Domredemp!BE16+[40]Domredemp!BE192</f>
        <v>0</v>
      </c>
      <c r="BG28" s="506"/>
      <c r="BI28" s="494"/>
      <c r="BJ28" s="494"/>
      <c r="BK28" s="511">
        <f>-[40]Domredemp!BJ16+[40]Domredemp!BJ192</f>
        <v>0</v>
      </c>
      <c r="BL28" s="506"/>
      <c r="BN28" s="494"/>
      <c r="BO28" s="494"/>
      <c r="BP28" s="511">
        <f>-[40]Domredemp!BO16+[40]Domredemp!BO192</f>
        <v>0</v>
      </c>
      <c r="BQ28" s="506"/>
      <c r="BS28" s="494"/>
      <c r="BT28" s="494"/>
      <c r="BU28" s="511">
        <f>-[40]Domredemp!BT16+[40]Domredemp!BT192</f>
        <v>0</v>
      </c>
      <c r="BV28" s="506"/>
      <c r="BX28" s="494"/>
      <c r="BY28" s="494"/>
      <c r="BZ28" s="510">
        <v>0</v>
      </c>
      <c r="CA28" s="506"/>
      <c r="CC28" s="494"/>
      <c r="CD28" s="494"/>
      <c r="CE28" s="511">
        <f>-[40]Domredemp!CD16+[40]Domredemp!CD192</f>
        <v>0</v>
      </c>
      <c r="CF28" s="506"/>
      <c r="CH28" s="494"/>
      <c r="CI28" s="494"/>
      <c r="CJ28" s="511">
        <f>-[40]Domredemp!CI16+[40]Domredemp!CI192</f>
        <v>0</v>
      </c>
      <c r="CK28" s="506"/>
      <c r="CM28" s="494"/>
      <c r="CN28" s="494"/>
      <c r="CO28" s="511">
        <f>-[40]Domredemp!CN16+[40]Domredemp!CN192</f>
        <v>0</v>
      </c>
      <c r="CP28" s="506"/>
      <c r="CR28" s="494"/>
      <c r="CS28" s="494"/>
      <c r="CT28" s="511">
        <f>-[40]Domredemp!CS16+[40]Domredemp!CS192</f>
        <v>0</v>
      </c>
      <c r="CU28" s="506"/>
      <c r="CW28" s="494"/>
      <c r="CX28" s="494"/>
      <c r="CY28" s="511">
        <f>-[40]Domredemp!CX16+[40]Domredemp!CX192</f>
        <v>0</v>
      </c>
      <c r="CZ28" s="506"/>
      <c r="DB28" s="494"/>
      <c r="DC28" s="494"/>
      <c r="DD28" s="511">
        <f>-[40]Domredemp!DC16+[40]Domredemp!DC192</f>
        <v>0</v>
      </c>
      <c r="DE28" s="506"/>
      <c r="DG28" s="494"/>
      <c r="DH28" s="494"/>
      <c r="DI28" s="511">
        <f>-[40]Domredemp!DH16+[40]Domredemp!DH192</f>
        <v>0</v>
      </c>
      <c r="DJ28" s="506"/>
      <c r="DL28" s="494"/>
      <c r="DM28" s="494"/>
      <c r="DN28" s="511">
        <f>-[40]Domredemp!DM16+[40]Domredemp!DM192</f>
        <v>0</v>
      </c>
      <c r="DO28" s="506"/>
      <c r="DQ28" s="494"/>
      <c r="DR28" s="494"/>
      <c r="DS28" s="511">
        <f>-[40]Domredemp!DR16+[40]Domredemp!DR192</f>
        <v>0</v>
      </c>
      <c r="DT28" s="506"/>
      <c r="DV28" s="494"/>
      <c r="DW28" s="494"/>
      <c r="DX28" s="511">
        <f>-[40]Domredemp!DW16+[40]Domredemp!DW192</f>
        <v>0</v>
      </c>
      <c r="DY28" s="506"/>
      <c r="EA28" s="494"/>
      <c r="EB28" s="494"/>
      <c r="EC28" s="511">
        <f>-[40]Domredemp!EB16+[40]Domredemp!EB192</f>
        <v>0</v>
      </c>
      <c r="ED28" s="506"/>
      <c r="EF28" s="494"/>
      <c r="EG28" s="494"/>
      <c r="EH28" s="511">
        <f>-[40]Domredemp!EG16+[40]Domredemp!EG192</f>
        <v>0</v>
      </c>
      <c r="EI28" s="506"/>
      <c r="EK28" s="494"/>
      <c r="EL28" s="494"/>
      <c r="EM28" s="511">
        <f>-[40]Domredemp!EL16+[40]Domredemp!EL192</f>
        <v>0</v>
      </c>
      <c r="EN28" s="506"/>
      <c r="EP28" s="144"/>
      <c r="ES28" s="42"/>
      <c r="ET28" s="42"/>
      <c r="EU28" s="42"/>
    </row>
    <row r="29" spans="3:151" x14ac:dyDescent="0.3">
      <c r="C29" s="144"/>
      <c r="E29" s="523"/>
      <c r="F29" s="524"/>
      <c r="G29" s="524"/>
      <c r="I29" s="506"/>
      <c r="K29" s="494"/>
      <c r="L29" s="494"/>
      <c r="N29" s="506"/>
      <c r="P29" s="494"/>
      <c r="Q29" s="494"/>
      <c r="R29" s="214"/>
      <c r="S29" s="506"/>
      <c r="U29" s="494"/>
      <c r="V29" s="494"/>
      <c r="W29" s="214"/>
      <c r="X29" s="506"/>
      <c r="Z29" s="494"/>
      <c r="AA29" s="494"/>
      <c r="AB29" s="214"/>
      <c r="AC29" s="506"/>
      <c r="AE29" s="494"/>
      <c r="AF29" s="494"/>
      <c r="AG29" s="214"/>
      <c r="AH29" s="506"/>
      <c r="AJ29" s="494"/>
      <c r="AK29" s="494"/>
      <c r="AM29" s="506"/>
      <c r="AO29" s="494"/>
      <c r="AP29" s="494"/>
      <c r="AR29" s="506"/>
      <c r="AT29" s="494"/>
      <c r="AU29" s="494"/>
      <c r="AW29" s="506"/>
      <c r="AY29" s="494"/>
      <c r="AZ29" s="494"/>
      <c r="BB29" s="506"/>
      <c r="BD29" s="494"/>
      <c r="BE29" s="494"/>
      <c r="BG29" s="506"/>
      <c r="BI29" s="494"/>
      <c r="BJ29" s="494"/>
      <c r="BL29" s="506"/>
      <c r="BN29" s="494"/>
      <c r="BO29" s="494"/>
      <c r="BQ29" s="506"/>
      <c r="BS29" s="494"/>
      <c r="BT29" s="494"/>
      <c r="BV29" s="506"/>
      <c r="BX29" s="494"/>
      <c r="BY29" s="494"/>
      <c r="BZ29" s="512"/>
      <c r="CA29" s="506"/>
      <c r="CC29" s="494"/>
      <c r="CD29" s="494"/>
      <c r="CF29" s="506"/>
      <c r="CH29" s="494"/>
      <c r="CI29" s="494"/>
      <c r="CK29" s="506"/>
      <c r="CM29" s="494"/>
      <c r="CN29" s="494"/>
      <c r="CO29" s="214"/>
      <c r="CP29" s="506"/>
      <c r="CR29" s="494"/>
      <c r="CS29" s="494"/>
      <c r="CT29" s="214"/>
      <c r="CU29" s="506"/>
      <c r="CW29" s="494"/>
      <c r="CX29" s="494"/>
      <c r="CY29" s="214"/>
      <c r="CZ29" s="506"/>
      <c r="DB29" s="494"/>
      <c r="DC29" s="494"/>
      <c r="DE29" s="506"/>
      <c r="DG29" s="494"/>
      <c r="DH29" s="494"/>
      <c r="DJ29" s="506"/>
      <c r="DL29" s="494"/>
      <c r="DM29" s="494"/>
      <c r="DO29" s="506"/>
      <c r="DQ29" s="494"/>
      <c r="DR29" s="494"/>
      <c r="DT29" s="506"/>
      <c r="DV29" s="494"/>
      <c r="DW29" s="494"/>
      <c r="DY29" s="506"/>
      <c r="EA29" s="494"/>
      <c r="EB29" s="494"/>
      <c r="ED29" s="506"/>
      <c r="EF29" s="494"/>
      <c r="EG29" s="494"/>
      <c r="EI29" s="506"/>
      <c r="EK29" s="494"/>
      <c r="EL29" s="494"/>
      <c r="EN29" s="506"/>
      <c r="EP29" s="144"/>
      <c r="ES29" s="42"/>
      <c r="ET29" s="42"/>
      <c r="EU29" s="42"/>
    </row>
    <row r="30" spans="3:151" x14ac:dyDescent="0.3">
      <c r="C30" s="144" t="s">
        <v>301</v>
      </c>
      <c r="E30" s="523"/>
      <c r="F30" s="524"/>
      <c r="G30" s="524"/>
      <c r="H30" s="136">
        <f>SUM(H31:H33)</f>
        <v>86514</v>
      </c>
      <c r="I30" s="506"/>
      <c r="K30" s="494"/>
      <c r="L30" s="494"/>
      <c r="M30" s="136">
        <f>SUM(M31:M33)</f>
        <v>37259</v>
      </c>
      <c r="N30" s="506"/>
      <c r="P30" s="494"/>
      <c r="Q30" s="494"/>
      <c r="R30" s="136">
        <f>SUM(R31:R33)</f>
        <v>39042</v>
      </c>
      <c r="S30" s="506"/>
      <c r="U30" s="494"/>
      <c r="V30" s="494"/>
      <c r="W30" s="136">
        <f>SUM(W31:W33)</f>
        <v>10213</v>
      </c>
      <c r="X30" s="506"/>
      <c r="Z30" s="494"/>
      <c r="AA30" s="494"/>
      <c r="AB30" s="136">
        <f>SUM(AB31:AB33)</f>
        <v>0</v>
      </c>
      <c r="AC30" s="506"/>
      <c r="AE30" s="494"/>
      <c r="AF30" s="494"/>
      <c r="AG30" s="136">
        <f>SUM(AG31:AG33)</f>
        <v>0</v>
      </c>
      <c r="AH30" s="506"/>
      <c r="AJ30" s="494"/>
      <c r="AK30" s="494"/>
      <c r="AL30" s="136">
        <f>SUM(AL31:AL33)</f>
        <v>0</v>
      </c>
      <c r="AM30" s="506"/>
      <c r="AO30" s="494"/>
      <c r="AP30" s="494"/>
      <c r="AQ30" s="136">
        <f>SUM(AQ31:AQ33)</f>
        <v>0</v>
      </c>
      <c r="AR30" s="506"/>
      <c r="AT30" s="494"/>
      <c r="AU30" s="494"/>
      <c r="AV30" s="136">
        <f>SUM(AV31:AV33)</f>
        <v>0</v>
      </c>
      <c r="AW30" s="506"/>
      <c r="AY30" s="494"/>
      <c r="AZ30" s="494"/>
      <c r="BA30" s="136">
        <f>SUM(BA31:BA33)</f>
        <v>0</v>
      </c>
      <c r="BB30" s="506"/>
      <c r="BD30" s="494"/>
      <c r="BE30" s="494"/>
      <c r="BF30" s="136">
        <f>SUM(BF31:BF33)</f>
        <v>0</v>
      </c>
      <c r="BG30" s="506"/>
      <c r="BI30" s="494"/>
      <c r="BJ30" s="494"/>
      <c r="BK30" s="136">
        <f>SUM(BK31:BK33)</f>
        <v>0</v>
      </c>
      <c r="BL30" s="506"/>
      <c r="BN30" s="494"/>
      <c r="BO30" s="494"/>
      <c r="BP30" s="136">
        <f>SUM(BP31:BP33)</f>
        <v>0</v>
      </c>
      <c r="BQ30" s="506"/>
      <c r="BS30" s="494"/>
      <c r="BT30" s="494"/>
      <c r="BU30" s="136">
        <f>SUM(BU31:BU33)</f>
        <v>86514</v>
      </c>
      <c r="BV30" s="506"/>
      <c r="BX30" s="494"/>
      <c r="BY30" s="494"/>
      <c r="BZ30" s="512">
        <f>SUM(BZ31:BZ33)</f>
        <v>361653</v>
      </c>
      <c r="CA30" s="506"/>
      <c r="CC30" s="494"/>
      <c r="CD30" s="494"/>
      <c r="CE30" s="136">
        <f>SUM(CE31:CE33)</f>
        <v>122732</v>
      </c>
      <c r="CF30" s="506"/>
      <c r="CH30" s="494"/>
      <c r="CI30" s="494"/>
      <c r="CJ30" s="136">
        <f>SUM(CJ31:CJ33)</f>
        <v>77290</v>
      </c>
      <c r="CK30" s="506"/>
      <c r="CM30" s="494"/>
      <c r="CN30" s="494"/>
      <c r="CO30" s="136">
        <f>SUM(CO31:CO33)</f>
        <v>55675</v>
      </c>
      <c r="CP30" s="506"/>
      <c r="CR30" s="494"/>
      <c r="CS30" s="494"/>
      <c r="CT30" s="136">
        <f>SUM(CT31:CT33)</f>
        <v>19525</v>
      </c>
      <c r="CU30" s="506"/>
      <c r="CW30" s="494"/>
      <c r="CX30" s="494"/>
      <c r="CY30" s="136">
        <f>SUM(CY31:CY33)</f>
        <v>115193</v>
      </c>
      <c r="CZ30" s="506"/>
      <c r="DB30" s="494"/>
      <c r="DC30" s="494"/>
      <c r="DD30" s="136">
        <f>SUM(DD31:DD33)</f>
        <v>-160044</v>
      </c>
      <c r="DE30" s="506"/>
      <c r="DG30" s="494"/>
      <c r="DH30" s="494"/>
      <c r="DI30" s="136">
        <f>SUM(DI31:DI33)</f>
        <v>74963</v>
      </c>
      <c r="DJ30" s="506"/>
      <c r="DL30" s="494"/>
      <c r="DM30" s="494"/>
      <c r="DN30" s="136">
        <f>SUM(DN31:DN33)</f>
        <v>28631</v>
      </c>
      <c r="DO30" s="506"/>
      <c r="DQ30" s="494"/>
      <c r="DR30" s="494"/>
      <c r="DS30" s="136">
        <f>SUM(DS31:DS33)</f>
        <v>13329</v>
      </c>
      <c r="DT30" s="506"/>
      <c r="DV30" s="494"/>
      <c r="DW30" s="494"/>
      <c r="DX30" s="136">
        <f>SUM(DX31:DX33)</f>
        <v>12244</v>
      </c>
      <c r="DY30" s="506"/>
      <c r="EA30" s="494"/>
      <c r="EB30" s="494"/>
      <c r="EC30" s="136">
        <f>SUM(EC31:EC33)</f>
        <v>124085</v>
      </c>
      <c r="ED30" s="506"/>
      <c r="EF30" s="494"/>
      <c r="EG30" s="494"/>
      <c r="EH30" s="136">
        <f>SUM(EH31:EH33)</f>
        <v>-121970</v>
      </c>
      <c r="EI30" s="506"/>
      <c r="EK30" s="494"/>
      <c r="EL30" s="494"/>
      <c r="EM30" s="136">
        <f>SUM(EM31:EM33)</f>
        <v>359538</v>
      </c>
      <c r="EN30" s="506"/>
      <c r="EP30" s="144"/>
      <c r="ES30" s="42"/>
      <c r="ET30" s="42"/>
      <c r="EU30" s="42"/>
    </row>
    <row r="31" spans="3:151" x14ac:dyDescent="0.3">
      <c r="C31" s="144" t="s">
        <v>302</v>
      </c>
      <c r="E31" s="521" t="s">
        <v>296</v>
      </c>
      <c r="F31" s="522"/>
      <c r="G31" s="522"/>
      <c r="H31" s="507">
        <f>[40]Domlongtermissues!G14</f>
        <v>8874774</v>
      </c>
      <c r="I31" s="506"/>
      <c r="K31" s="494"/>
      <c r="L31" s="494"/>
      <c r="M31" s="507">
        <f>[40]Domlongtermissues!L14</f>
        <v>3409508</v>
      </c>
      <c r="N31" s="506"/>
      <c r="P31" s="494"/>
      <c r="Q31" s="494"/>
      <c r="R31" s="507">
        <f>[40]Domlongtermissues!Q14</f>
        <v>4054354</v>
      </c>
      <c r="S31" s="506"/>
      <c r="U31" s="494"/>
      <c r="V31" s="494"/>
      <c r="W31" s="507">
        <f>[40]Domlongtermissues!V14</f>
        <v>1410912</v>
      </c>
      <c r="X31" s="506"/>
      <c r="Z31" s="494"/>
      <c r="AA31" s="494"/>
      <c r="AB31" s="507">
        <f>[40]Domlongtermissues!AA14</f>
        <v>0</v>
      </c>
      <c r="AC31" s="506"/>
      <c r="AE31" s="494"/>
      <c r="AF31" s="494"/>
      <c r="AG31" s="507">
        <f>[40]Domlongtermissues!AF14</f>
        <v>0</v>
      </c>
      <c r="AH31" s="506"/>
      <c r="AJ31" s="494"/>
      <c r="AK31" s="494"/>
      <c r="AL31" s="507">
        <f>[40]Domlongtermissues!AK14</f>
        <v>0</v>
      </c>
      <c r="AM31" s="506"/>
      <c r="AO31" s="494"/>
      <c r="AP31" s="494"/>
      <c r="AQ31" s="507">
        <f>[40]Domlongtermissues!AP14</f>
        <v>0</v>
      </c>
      <c r="AR31" s="506"/>
      <c r="AT31" s="494"/>
      <c r="AU31" s="494"/>
      <c r="AV31" s="507">
        <f>[40]Domlongtermissues!AU14</f>
        <v>0</v>
      </c>
      <c r="AW31" s="506"/>
      <c r="AY31" s="494"/>
      <c r="AZ31" s="494"/>
      <c r="BA31" s="507">
        <f>[40]Domlongtermissues!AZ14</f>
        <v>0</v>
      </c>
      <c r="BB31" s="506"/>
      <c r="BD31" s="494"/>
      <c r="BE31" s="494"/>
      <c r="BF31" s="507">
        <f>[40]Domlongtermissues!BE14</f>
        <v>0</v>
      </c>
      <c r="BG31" s="506"/>
      <c r="BI31" s="494"/>
      <c r="BJ31" s="494"/>
      <c r="BK31" s="507">
        <f>[40]Domlongtermissues!BJ14</f>
        <v>0</v>
      </c>
      <c r="BL31" s="506"/>
      <c r="BN31" s="494"/>
      <c r="BO31" s="494"/>
      <c r="BP31" s="507">
        <f>[40]Domlongtermissues!BO14</f>
        <v>0</v>
      </c>
      <c r="BQ31" s="506"/>
      <c r="BS31" s="494"/>
      <c r="BT31" s="494"/>
      <c r="BU31" s="507">
        <f>[40]Domlongtermissues!BT14</f>
        <v>8874774</v>
      </c>
      <c r="BV31" s="506"/>
      <c r="BX31" s="494"/>
      <c r="BY31" s="494"/>
      <c r="BZ31" s="505">
        <f>+[40]Domlongtermissues!BY14</f>
        <v>53972577</v>
      </c>
      <c r="CA31" s="506"/>
      <c r="CC31" s="494"/>
      <c r="CD31" s="494"/>
      <c r="CE31" s="507">
        <f>[40]Domlongtermissues!CD14</f>
        <v>11663028</v>
      </c>
      <c r="CF31" s="506"/>
      <c r="CH31" s="494"/>
      <c r="CI31" s="494"/>
      <c r="CJ31" s="507">
        <f>[40]Domlongtermissues!CI14</f>
        <v>3767776</v>
      </c>
      <c r="CK31" s="506"/>
      <c r="CM31" s="494"/>
      <c r="CN31" s="494"/>
      <c r="CO31" s="507">
        <f>[40]Domlongtermissues!CN14</f>
        <v>7710681</v>
      </c>
      <c r="CP31" s="506"/>
      <c r="CR31" s="494"/>
      <c r="CS31" s="494"/>
      <c r="CT31" s="507">
        <f>[40]Domlongtermissues!CS14</f>
        <v>3456518</v>
      </c>
      <c r="CU31" s="506"/>
      <c r="CW31" s="494"/>
      <c r="CX31" s="494"/>
      <c r="CY31" s="507">
        <f>[40]Domlongtermissues!CX14</f>
        <v>4835965</v>
      </c>
      <c r="CZ31" s="506"/>
      <c r="DB31" s="494"/>
      <c r="DC31" s="494"/>
      <c r="DD31" s="507">
        <f>[40]Domlongtermissues!DC14</f>
        <v>2187184</v>
      </c>
      <c r="DE31" s="506"/>
      <c r="DG31" s="494"/>
      <c r="DH31" s="494"/>
      <c r="DI31" s="507">
        <f>[40]Domlongtermissues!DH14</f>
        <v>5017820</v>
      </c>
      <c r="DJ31" s="506"/>
      <c r="DL31" s="494"/>
      <c r="DM31" s="494"/>
      <c r="DN31" s="507">
        <f>[40]Domlongtermissues!DM14</f>
        <v>4108885</v>
      </c>
      <c r="DO31" s="506"/>
      <c r="DQ31" s="494"/>
      <c r="DR31" s="494"/>
      <c r="DS31" s="507">
        <f>[40]Domlongtermissues!DR14</f>
        <v>3708680</v>
      </c>
      <c r="DT31" s="506"/>
      <c r="DV31" s="494"/>
      <c r="DW31" s="494"/>
      <c r="DX31" s="507">
        <f>[40]Domlongtermissues!DW14</f>
        <v>2673022</v>
      </c>
      <c r="DY31" s="506"/>
      <c r="EA31" s="494"/>
      <c r="EB31" s="494"/>
      <c r="EC31" s="507">
        <f>[40]Domlongtermissues!EB14</f>
        <v>3014010</v>
      </c>
      <c r="ED31" s="506"/>
      <c r="EF31" s="494"/>
      <c r="EG31" s="494"/>
      <c r="EH31" s="507">
        <f>[40]Domlongtermissues!EG14</f>
        <v>1829008</v>
      </c>
      <c r="EI31" s="506"/>
      <c r="EK31" s="494"/>
      <c r="EL31" s="494"/>
      <c r="EM31" s="507">
        <f>[40]Domlongtermissues!EL14</f>
        <v>49129559</v>
      </c>
      <c r="EN31" s="506"/>
      <c r="EP31" s="144"/>
      <c r="ES31" s="42"/>
      <c r="ET31" s="42"/>
      <c r="EU31" s="42"/>
    </row>
    <row r="32" spans="3:151" x14ac:dyDescent="0.3">
      <c r="C32" s="144" t="s">
        <v>303</v>
      </c>
      <c r="E32" s="521" t="s">
        <v>296</v>
      </c>
      <c r="F32" s="522"/>
      <c r="G32" s="522"/>
      <c r="H32" s="508">
        <f>-[40]Domlongtermissues!G183</f>
        <v>-1093260</v>
      </c>
      <c r="I32" s="506"/>
      <c r="K32" s="494"/>
      <c r="L32" s="494"/>
      <c r="M32" s="508">
        <f>-[40]Domlongtermissues!L183</f>
        <v>-337249</v>
      </c>
      <c r="N32" s="506"/>
      <c r="P32" s="494"/>
      <c r="Q32" s="494"/>
      <c r="R32" s="508">
        <f>-[40]Domlongtermissues!Q183</f>
        <v>-605312</v>
      </c>
      <c r="S32" s="506"/>
      <c r="U32" s="494"/>
      <c r="V32" s="494"/>
      <c r="W32" s="508">
        <f>-[40]Domlongtermissues!V183</f>
        <v>-150699</v>
      </c>
      <c r="X32" s="506"/>
      <c r="Z32" s="494"/>
      <c r="AA32" s="494"/>
      <c r="AB32" s="508">
        <f>-[40]Domlongtermissues!AA183</f>
        <v>0</v>
      </c>
      <c r="AC32" s="506"/>
      <c r="AE32" s="494"/>
      <c r="AF32" s="494"/>
      <c r="AG32" s="508">
        <f>-[40]Domlongtermissues!AF183</f>
        <v>0</v>
      </c>
      <c r="AH32" s="506"/>
      <c r="AJ32" s="494"/>
      <c r="AK32" s="494"/>
      <c r="AL32" s="508">
        <f>-[40]Domlongtermissues!AK183</f>
        <v>0</v>
      </c>
      <c r="AM32" s="506"/>
      <c r="AO32" s="494"/>
      <c r="AP32" s="494"/>
      <c r="AQ32" s="508">
        <f>-[40]Domlongtermissues!AP183</f>
        <v>0</v>
      </c>
      <c r="AR32" s="506"/>
      <c r="AT32" s="494"/>
      <c r="AU32" s="494"/>
      <c r="AV32" s="508">
        <f>-[40]Domlongtermissues!AU183</f>
        <v>0</v>
      </c>
      <c r="AW32" s="506"/>
      <c r="AY32" s="494"/>
      <c r="AZ32" s="494"/>
      <c r="BA32" s="508">
        <f>-[40]Domlongtermissues!AZ183</f>
        <v>0</v>
      </c>
      <c r="BB32" s="506"/>
      <c r="BD32" s="494"/>
      <c r="BE32" s="494"/>
      <c r="BF32" s="508">
        <f>-[40]Domlongtermissues!BE183</f>
        <v>0</v>
      </c>
      <c r="BG32" s="506"/>
      <c r="BI32" s="494"/>
      <c r="BJ32" s="494"/>
      <c r="BK32" s="508">
        <f>-[40]Domlongtermissues!BJ183</f>
        <v>0</v>
      </c>
      <c r="BL32" s="506"/>
      <c r="BN32" s="494"/>
      <c r="BO32" s="494"/>
      <c r="BP32" s="508">
        <f>-[40]Domlongtermissues!BO183</f>
        <v>0</v>
      </c>
      <c r="BQ32" s="506"/>
      <c r="BS32" s="494"/>
      <c r="BT32" s="494"/>
      <c r="BU32" s="508">
        <f>-[40]Domlongtermissues!BT183</f>
        <v>-1093260</v>
      </c>
      <c r="BV32" s="506"/>
      <c r="BX32" s="494"/>
      <c r="BY32" s="494"/>
      <c r="BZ32" s="509">
        <f>-[40]Domlongtermissues!BY183</f>
        <v>-5585924</v>
      </c>
      <c r="CA32" s="506"/>
      <c r="CC32" s="494"/>
      <c r="CD32" s="494"/>
      <c r="CE32" s="508">
        <f>-[40]Domlongtermissues!CD183</f>
        <v>-1360296</v>
      </c>
      <c r="CF32" s="506"/>
      <c r="CH32" s="494"/>
      <c r="CI32" s="494"/>
      <c r="CJ32" s="508">
        <f>-[40]Domlongtermissues!CI183</f>
        <v>-515486</v>
      </c>
      <c r="CK32" s="506"/>
      <c r="CM32" s="494"/>
      <c r="CN32" s="494"/>
      <c r="CO32" s="508">
        <f>-[40]Domlongtermissues!CN183</f>
        <v>-670006</v>
      </c>
      <c r="CP32" s="506"/>
      <c r="CR32" s="494"/>
      <c r="CS32" s="494"/>
      <c r="CT32" s="508">
        <f>-[40]Domlongtermissues!CS183</f>
        <v>-271993</v>
      </c>
      <c r="CU32" s="506"/>
      <c r="CW32" s="494"/>
      <c r="CX32" s="494"/>
      <c r="CY32" s="508">
        <f>-[40]Domlongtermissues!CX183</f>
        <v>-350772</v>
      </c>
      <c r="CZ32" s="506"/>
      <c r="DB32" s="494"/>
      <c r="DC32" s="494"/>
      <c r="DD32" s="508">
        <f>-[40]Domlongtermissues!DC183</f>
        <v>-77228</v>
      </c>
      <c r="DE32" s="506"/>
      <c r="DG32" s="494"/>
      <c r="DH32" s="494"/>
      <c r="DI32" s="508">
        <f>-[40]Domlongtermissues!DH183</f>
        <v>-682857</v>
      </c>
      <c r="DJ32" s="506"/>
      <c r="DL32" s="494"/>
      <c r="DM32" s="494"/>
      <c r="DN32" s="508">
        <f>-[40]Domlongtermissues!DM183</f>
        <v>-605254</v>
      </c>
      <c r="DO32" s="506"/>
      <c r="DQ32" s="494"/>
      <c r="DR32" s="494"/>
      <c r="DS32" s="508">
        <f>-[40]Domlongtermissues!DR183</f>
        <v>-375351</v>
      </c>
      <c r="DT32" s="506"/>
      <c r="DV32" s="494"/>
      <c r="DW32" s="494"/>
      <c r="DX32" s="508">
        <f>-[40]Domlongtermissues!DW183</f>
        <v>-335778</v>
      </c>
      <c r="DY32" s="506"/>
      <c r="EA32" s="494"/>
      <c r="EB32" s="494"/>
      <c r="EC32" s="508">
        <f>-[40]Domlongtermissues!EB183</f>
        <v>-274925</v>
      </c>
      <c r="ED32" s="506"/>
      <c r="EF32" s="494"/>
      <c r="EG32" s="494"/>
      <c r="EH32" s="508">
        <f>-[40]Domlongtermissues!EG183</f>
        <v>-65978</v>
      </c>
      <c r="EI32" s="506"/>
      <c r="EK32" s="494"/>
      <c r="EL32" s="494"/>
      <c r="EM32" s="508">
        <f>-[40]Domlongtermissues!EL183</f>
        <v>-5245021</v>
      </c>
      <c r="EN32" s="506"/>
      <c r="EP32" s="144"/>
      <c r="ES32" s="42"/>
      <c r="ET32" s="42"/>
      <c r="EU32" s="42"/>
    </row>
    <row r="33" spans="3:151" x14ac:dyDescent="0.3">
      <c r="C33" s="144" t="s">
        <v>304</v>
      </c>
      <c r="E33" s="521" t="s">
        <v>299</v>
      </c>
      <c r="F33" s="522"/>
      <c r="G33" s="522"/>
      <c r="H33" s="511">
        <f>-[40]Domredemp!G14+[40]Domredemp!CD99</f>
        <v>-7695000</v>
      </c>
      <c r="I33" s="506"/>
      <c r="K33" s="494"/>
      <c r="L33" s="494"/>
      <c r="M33" s="511">
        <f>-[40]Domredemp!L14+[40]Domredemp!L99</f>
        <v>-3035000</v>
      </c>
      <c r="N33" s="506"/>
      <c r="P33" s="494"/>
      <c r="Q33" s="494"/>
      <c r="R33" s="511">
        <f>-[40]Domredemp!Q14+[40]Domredemp!Q99</f>
        <v>-3410000</v>
      </c>
      <c r="S33" s="506"/>
      <c r="U33" s="494"/>
      <c r="V33" s="494"/>
      <c r="W33" s="511">
        <f>-[40]Domredemp!V14+[40]Domredemp!V99</f>
        <v>-1250000</v>
      </c>
      <c r="X33" s="506"/>
      <c r="Z33" s="494"/>
      <c r="AA33" s="494"/>
      <c r="AB33" s="511">
        <f>-[40]Domredemp!AA14+[40]Domredemp!AA99</f>
        <v>0</v>
      </c>
      <c r="AC33" s="506"/>
      <c r="AE33" s="494"/>
      <c r="AF33" s="494"/>
      <c r="AG33" s="511">
        <f>-[40]Domredemp!AF14+[40]Domredemp!AF99</f>
        <v>0</v>
      </c>
      <c r="AH33" s="506"/>
      <c r="AJ33" s="494"/>
      <c r="AK33" s="494"/>
      <c r="AL33" s="511">
        <f>-[40]Domredemp!AK14+[40]Domredemp!AK99</f>
        <v>0</v>
      </c>
      <c r="AM33" s="506"/>
      <c r="AO33" s="494"/>
      <c r="AP33" s="494"/>
      <c r="AQ33" s="511">
        <f>-[40]Domredemp!AP14+[40]Domredemp!AP99</f>
        <v>0</v>
      </c>
      <c r="AR33" s="506"/>
      <c r="AT33" s="494"/>
      <c r="AU33" s="494"/>
      <c r="AV33" s="511">
        <f>-[40]Domredemp!AU14+[40]Domredemp!AU99</f>
        <v>0</v>
      </c>
      <c r="AW33" s="506"/>
      <c r="AY33" s="494"/>
      <c r="AZ33" s="494"/>
      <c r="BA33" s="511">
        <f>-[40]Domredemp!AZ14+[40]Domredemp!AZ99</f>
        <v>0</v>
      </c>
      <c r="BB33" s="506"/>
      <c r="BD33" s="494"/>
      <c r="BE33" s="494"/>
      <c r="BF33" s="511">
        <f>-[40]Domredemp!BE14+[40]Domredemp!BE99</f>
        <v>0</v>
      </c>
      <c r="BG33" s="506"/>
      <c r="BI33" s="494"/>
      <c r="BJ33" s="494"/>
      <c r="BK33" s="511">
        <f>-[40]Domredemp!BJ14+[40]Domredemp!BJ99</f>
        <v>0</v>
      </c>
      <c r="BL33" s="506"/>
      <c r="BN33" s="494"/>
      <c r="BO33" s="494"/>
      <c r="BP33" s="511">
        <f>-[40]Domredemp!BO14+[40]Domredemp!BO99</f>
        <v>0</v>
      </c>
      <c r="BQ33" s="506"/>
      <c r="BS33" s="494"/>
      <c r="BT33" s="494"/>
      <c r="BU33" s="511">
        <f>-[40]Domredemp!BT14+[40]Domredemp!BT99</f>
        <v>-7695000</v>
      </c>
      <c r="BV33" s="506"/>
      <c r="BX33" s="494"/>
      <c r="BY33" s="494"/>
      <c r="BZ33" s="510">
        <f>-[40]Domredemp!BY14+[40]Domredemp!BY99</f>
        <v>-48025000</v>
      </c>
      <c r="CA33" s="506"/>
      <c r="CC33" s="494"/>
      <c r="CD33" s="494"/>
      <c r="CE33" s="511">
        <f>-[40]Domredemp!CD14+[40]Domredemp!CD99</f>
        <v>-10180000</v>
      </c>
      <c r="CF33" s="506"/>
      <c r="CH33" s="494"/>
      <c r="CI33" s="494"/>
      <c r="CJ33" s="511">
        <f>-[40]Domredemp!CI14+[40]Domredemp!CI99</f>
        <v>-3175000</v>
      </c>
      <c r="CK33" s="506"/>
      <c r="CM33" s="494"/>
      <c r="CN33" s="494"/>
      <c r="CO33" s="511">
        <f>-[40]Domredemp!CN14+[40]Domredemp!CN99</f>
        <v>-6985000</v>
      </c>
      <c r="CP33" s="506"/>
      <c r="CR33" s="494"/>
      <c r="CS33" s="494"/>
      <c r="CT33" s="511">
        <f>-[40]Domredemp!CS14+[40]Domredemp!CS99</f>
        <v>-3165000</v>
      </c>
      <c r="CU33" s="506"/>
      <c r="CW33" s="494"/>
      <c r="CX33" s="494"/>
      <c r="CY33" s="511">
        <f>-[40]Domredemp!CX14+[40]Domredemp!CX99</f>
        <v>-4370000</v>
      </c>
      <c r="CZ33" s="506"/>
      <c r="DB33" s="494"/>
      <c r="DC33" s="494"/>
      <c r="DD33" s="511">
        <f>-[40]Domredemp!DC14+[40]Domredemp!DC99</f>
        <v>-2270000</v>
      </c>
      <c r="DE33" s="506"/>
      <c r="DG33" s="494"/>
      <c r="DH33" s="494"/>
      <c r="DI33" s="511">
        <f>-[40]Domredemp!DH14+[40]Domredemp!DH99</f>
        <v>-4260000</v>
      </c>
      <c r="DJ33" s="506"/>
      <c r="DL33" s="494"/>
      <c r="DM33" s="494"/>
      <c r="DN33" s="511">
        <f>-[40]Domredemp!DM14+[40]Domredemp!DM99</f>
        <v>-3475000</v>
      </c>
      <c r="DO33" s="506"/>
      <c r="DQ33" s="494"/>
      <c r="DR33" s="494"/>
      <c r="DS33" s="511">
        <f>-[40]Domredemp!DR14+[40]Domredemp!DR99</f>
        <v>-3320000</v>
      </c>
      <c r="DT33" s="506"/>
      <c r="DV33" s="494"/>
      <c r="DW33" s="494"/>
      <c r="DX33" s="511">
        <f>-[40]Domredemp!DW14+[40]Domredemp!DW99</f>
        <v>-2325000</v>
      </c>
      <c r="DY33" s="506"/>
      <c r="EA33" s="494"/>
      <c r="EB33" s="494"/>
      <c r="EC33" s="511">
        <f>-[40]Domredemp!EB14+[40]Domredemp!EB99</f>
        <v>-2615000</v>
      </c>
      <c r="ED33" s="506"/>
      <c r="EF33" s="494"/>
      <c r="EG33" s="494"/>
      <c r="EH33" s="511">
        <f>-[40]Domredemp!EG14+[40]Domredemp!HD99</f>
        <v>-1885000</v>
      </c>
      <c r="EI33" s="506"/>
      <c r="EK33" s="494"/>
      <c r="EL33" s="494"/>
      <c r="EM33" s="511">
        <f>-[40]Domredemp!EL14+[40]Domredemp!HI99</f>
        <v>-43525000</v>
      </c>
      <c r="EN33" s="506"/>
      <c r="EP33" s="144"/>
      <c r="ES33" s="42"/>
      <c r="ET33" s="42"/>
      <c r="EU33" s="42"/>
    </row>
    <row r="34" spans="3:151" x14ac:dyDescent="0.3">
      <c r="C34" s="144"/>
      <c r="E34" s="521"/>
      <c r="F34" s="522"/>
      <c r="G34" s="522"/>
      <c r="I34" s="506"/>
      <c r="K34" s="494"/>
      <c r="L34" s="494"/>
      <c r="N34" s="506"/>
      <c r="P34" s="494"/>
      <c r="Q34" s="494"/>
      <c r="S34" s="506"/>
      <c r="U34" s="494"/>
      <c r="V34" s="494"/>
      <c r="X34" s="506"/>
      <c r="Z34" s="494"/>
      <c r="AA34" s="494"/>
      <c r="AC34" s="506"/>
      <c r="AE34" s="494"/>
      <c r="AF34" s="494"/>
      <c r="AH34" s="506"/>
      <c r="AJ34" s="494"/>
      <c r="AK34" s="494"/>
      <c r="AM34" s="506"/>
      <c r="AO34" s="494"/>
      <c r="AP34" s="494"/>
      <c r="AR34" s="506"/>
      <c r="AT34" s="494"/>
      <c r="AU34" s="494"/>
      <c r="AW34" s="506"/>
      <c r="AY34" s="494"/>
      <c r="AZ34" s="494"/>
      <c r="BB34" s="506"/>
      <c r="BD34" s="494"/>
      <c r="BE34" s="494"/>
      <c r="BG34" s="506"/>
      <c r="BI34" s="494"/>
      <c r="BJ34" s="494"/>
      <c r="BL34" s="506"/>
      <c r="BN34" s="494"/>
      <c r="BO34" s="494"/>
      <c r="BQ34" s="506"/>
      <c r="BS34" s="494"/>
      <c r="BT34" s="494"/>
      <c r="BV34" s="506"/>
      <c r="BX34" s="494"/>
      <c r="BY34" s="494"/>
      <c r="BZ34" s="512"/>
      <c r="CA34" s="506"/>
      <c r="CC34" s="494"/>
      <c r="CD34" s="494"/>
      <c r="CF34" s="506"/>
      <c r="CH34" s="494"/>
      <c r="CI34" s="494"/>
      <c r="CK34" s="506"/>
      <c r="CM34" s="494"/>
      <c r="CN34" s="494"/>
      <c r="CP34" s="506"/>
      <c r="CR34" s="494"/>
      <c r="CS34" s="494"/>
      <c r="CU34" s="506"/>
      <c r="CW34" s="494"/>
      <c r="CX34" s="494"/>
      <c r="CZ34" s="506"/>
      <c r="DB34" s="494"/>
      <c r="DC34" s="494"/>
      <c r="DE34" s="506"/>
      <c r="DG34" s="494"/>
      <c r="DH34" s="494"/>
      <c r="DJ34" s="506"/>
      <c r="DL34" s="494"/>
      <c r="DM34" s="494"/>
      <c r="DO34" s="506"/>
      <c r="DQ34" s="494"/>
      <c r="DR34" s="494"/>
      <c r="DT34" s="506"/>
      <c r="DV34" s="494"/>
      <c r="DW34" s="494"/>
      <c r="DY34" s="506"/>
      <c r="EA34" s="494"/>
      <c r="EB34" s="494"/>
      <c r="ED34" s="506"/>
      <c r="EF34" s="494"/>
      <c r="EG34" s="494"/>
      <c r="EI34" s="506"/>
      <c r="EK34" s="494"/>
      <c r="EL34" s="494"/>
      <c r="EN34" s="506"/>
      <c r="EP34" s="144"/>
      <c r="ES34" s="42"/>
      <c r="ET34" s="42"/>
      <c r="EU34" s="42"/>
    </row>
    <row r="35" spans="3:151" x14ac:dyDescent="0.3">
      <c r="C35" s="144" t="s">
        <v>305</v>
      </c>
      <c r="E35" s="523"/>
      <c r="F35" s="524"/>
      <c r="G35" s="524"/>
      <c r="H35" s="136">
        <f>SUM(H36:H37)</f>
        <v>0</v>
      </c>
      <c r="I35" s="506"/>
      <c r="K35" s="494"/>
      <c r="L35" s="494"/>
      <c r="M35" s="136">
        <f>SUM(M36:M37)</f>
        <v>0</v>
      </c>
      <c r="N35" s="506"/>
      <c r="P35" s="494"/>
      <c r="Q35" s="494"/>
      <c r="R35" s="136">
        <f>SUM(R36:R37)</f>
        <v>46261</v>
      </c>
      <c r="S35" s="506"/>
      <c r="U35" s="494"/>
      <c r="V35" s="494"/>
      <c r="W35" s="136">
        <f>SUM(W36:W37)</f>
        <v>-46261</v>
      </c>
      <c r="X35" s="506"/>
      <c r="Z35" s="494"/>
      <c r="AA35" s="494"/>
      <c r="AB35" s="136">
        <f>SUM(AB36:AB37)</f>
        <v>0</v>
      </c>
      <c r="AC35" s="506"/>
      <c r="AE35" s="494"/>
      <c r="AF35" s="494"/>
      <c r="AG35" s="136">
        <f>SUM(AG36:AG37)</f>
        <v>145196</v>
      </c>
      <c r="AH35" s="506"/>
      <c r="AJ35" s="494"/>
      <c r="AK35" s="494"/>
      <c r="AL35" s="136">
        <f>SUM(AL36:AL37)</f>
        <v>-145196</v>
      </c>
      <c r="AM35" s="506"/>
      <c r="AO35" s="494"/>
      <c r="AP35" s="494"/>
      <c r="AQ35" s="136">
        <f>SUM(AQ36:AQ37)</f>
        <v>55193</v>
      </c>
      <c r="AR35" s="506"/>
      <c r="AT35" s="494"/>
      <c r="AU35" s="494"/>
      <c r="AV35" s="136">
        <f>SUM(AV36:AV37)</f>
        <v>-55193</v>
      </c>
      <c r="AW35" s="506"/>
      <c r="AY35" s="494"/>
      <c r="AZ35" s="494"/>
      <c r="BA35" s="136">
        <f>SUM(BA36:BA37)</f>
        <v>0</v>
      </c>
      <c r="BB35" s="506"/>
      <c r="BD35" s="494"/>
      <c r="BE35" s="494"/>
      <c r="BF35" s="136">
        <f>SUM(BF36:BF37)</f>
        <v>0</v>
      </c>
      <c r="BG35" s="506"/>
      <c r="BI35" s="494"/>
      <c r="BJ35" s="494"/>
      <c r="BK35" s="136">
        <f>SUM(BK36:BK37)</f>
        <v>0</v>
      </c>
      <c r="BL35" s="506"/>
      <c r="BN35" s="494"/>
      <c r="BO35" s="494"/>
      <c r="BP35" s="136">
        <f>SUM(BP36:BP37)</f>
        <v>0</v>
      </c>
      <c r="BQ35" s="506"/>
      <c r="BS35" s="494"/>
      <c r="BT35" s="494"/>
      <c r="BU35" s="136">
        <f>SUM(BU36:BU37)</f>
        <v>0</v>
      </c>
      <c r="BV35" s="506"/>
      <c r="BX35" s="494"/>
      <c r="BY35" s="494"/>
      <c r="BZ35" s="512">
        <f>SUM(BZ36:BZ37)</f>
        <v>0</v>
      </c>
      <c r="CA35" s="506"/>
      <c r="CC35" s="494"/>
      <c r="CD35" s="494"/>
      <c r="CE35" s="136">
        <f>SUM(CE36:CE37)</f>
        <v>0</v>
      </c>
      <c r="CF35" s="506"/>
      <c r="CH35" s="494"/>
      <c r="CI35" s="494"/>
      <c r="CJ35" s="136">
        <f>SUM(CJ36:CJ37)</f>
        <v>0</v>
      </c>
      <c r="CK35" s="506"/>
      <c r="CM35" s="494"/>
      <c r="CN35" s="494"/>
      <c r="CO35" s="136">
        <f>SUM(CO36:CO37)</f>
        <v>0</v>
      </c>
      <c r="CP35" s="506"/>
      <c r="CR35" s="494"/>
      <c r="CS35" s="494"/>
      <c r="CT35" s="136">
        <f>SUM(CT36:CT37)</f>
        <v>0</v>
      </c>
      <c r="CU35" s="506"/>
      <c r="CW35" s="494"/>
      <c r="CX35" s="494"/>
      <c r="CY35" s="136">
        <f>SUM(CY36:CY37)</f>
        <v>0</v>
      </c>
      <c r="CZ35" s="506"/>
      <c r="DB35" s="494"/>
      <c r="DC35" s="494"/>
      <c r="DD35" s="136">
        <f>SUM(DD36:DD37)</f>
        <v>0</v>
      </c>
      <c r="DE35" s="506"/>
      <c r="DG35" s="494"/>
      <c r="DH35" s="494"/>
      <c r="DI35" s="136">
        <f>SUM(DI36:DI37)</f>
        <v>0</v>
      </c>
      <c r="DJ35" s="506"/>
      <c r="DL35" s="494"/>
      <c r="DM35" s="494"/>
      <c r="DN35" s="136">
        <f>SUM(DN36:DN37)</f>
        <v>0</v>
      </c>
      <c r="DO35" s="506"/>
      <c r="DQ35" s="494"/>
      <c r="DR35" s="494"/>
      <c r="DS35" s="136">
        <f>SUM(DS36:DS37)</f>
        <v>0</v>
      </c>
      <c r="DT35" s="506"/>
      <c r="DV35" s="494"/>
      <c r="DW35" s="494"/>
      <c r="DX35" s="136">
        <f>SUM(DX36:DX37)</f>
        <v>0</v>
      </c>
      <c r="DY35" s="506"/>
      <c r="EA35" s="494"/>
      <c r="EB35" s="494"/>
      <c r="EC35" s="136">
        <f>SUM(EC36:EC37)</f>
        <v>90245</v>
      </c>
      <c r="ED35" s="506"/>
      <c r="EF35" s="494"/>
      <c r="EG35" s="494"/>
      <c r="EH35" s="136">
        <f>SUM(EH36:EH37)</f>
        <v>-90245</v>
      </c>
      <c r="EI35" s="506"/>
      <c r="EK35" s="494"/>
      <c r="EL35" s="494"/>
      <c r="EM35" s="136">
        <f>SUM(EM36:EM37)</f>
        <v>0</v>
      </c>
      <c r="EN35" s="506"/>
      <c r="EP35" s="144"/>
      <c r="ES35" s="42"/>
      <c r="ET35" s="42"/>
      <c r="EU35" s="42"/>
    </row>
    <row r="36" spans="3:151" x14ac:dyDescent="0.3">
      <c r="C36" s="144" t="s">
        <v>306</v>
      </c>
      <c r="E36" s="521" t="s">
        <v>296</v>
      </c>
      <c r="F36" s="522"/>
      <c r="G36" s="522"/>
      <c r="H36" s="507">
        <f>[40]Domlongtermissues!G15</f>
        <v>8349673</v>
      </c>
      <c r="I36" s="506"/>
      <c r="K36" s="494"/>
      <c r="L36" s="494"/>
      <c r="M36" s="507">
        <f>[40]Domlongtermissues!L15</f>
        <v>827198</v>
      </c>
      <c r="N36" s="506"/>
      <c r="P36" s="494"/>
      <c r="Q36" s="494"/>
      <c r="R36" s="507">
        <f>[40]Domlongtermissues!Q15</f>
        <v>3114442</v>
      </c>
      <c r="S36" s="506"/>
      <c r="U36" s="494"/>
      <c r="V36" s="494"/>
      <c r="W36" s="507">
        <f>[40]Domlongtermissues!V15</f>
        <v>860933</v>
      </c>
      <c r="X36" s="506"/>
      <c r="Z36" s="494"/>
      <c r="AA36" s="494"/>
      <c r="AB36" s="507">
        <f>[40]Domlongtermissues!AA15</f>
        <v>95339</v>
      </c>
      <c r="AC36" s="506"/>
      <c r="AE36" s="494"/>
      <c r="AF36" s="494"/>
      <c r="AG36" s="507">
        <f>[40]Domlongtermissues!AF15</f>
        <v>2945441</v>
      </c>
      <c r="AH36" s="506"/>
      <c r="AJ36" s="494"/>
      <c r="AK36" s="494"/>
      <c r="AL36" s="507">
        <f>[40]Domlongtermissues!AK15</f>
        <v>506320</v>
      </c>
      <c r="AM36" s="506"/>
      <c r="AO36" s="494"/>
      <c r="AP36" s="494"/>
      <c r="AQ36" s="507">
        <f>[40]Domlongtermissues!AP15</f>
        <v>513226</v>
      </c>
      <c r="AR36" s="506"/>
      <c r="AT36" s="494"/>
      <c r="AU36" s="494"/>
      <c r="AV36" s="507">
        <f>[40]Domlongtermissues!AU15</f>
        <v>532749</v>
      </c>
      <c r="AW36" s="506"/>
      <c r="AY36" s="494"/>
      <c r="AZ36" s="494"/>
      <c r="BA36" s="507">
        <f>[40]Domlongtermissues!AZ15</f>
        <v>328260</v>
      </c>
      <c r="BB36" s="506"/>
      <c r="BD36" s="494"/>
      <c r="BE36" s="494"/>
      <c r="BF36" s="507">
        <f>[40]Domlongtermissues!BE15</f>
        <v>29969</v>
      </c>
      <c r="BG36" s="506"/>
      <c r="BI36" s="494"/>
      <c r="BJ36" s="494"/>
      <c r="BK36" s="507">
        <f>[40]Domlongtermissues!BJ15</f>
        <v>0</v>
      </c>
      <c r="BL36" s="506"/>
      <c r="BN36" s="494"/>
      <c r="BO36" s="494"/>
      <c r="BP36" s="507">
        <f>[40]Domlongtermissues!BO15</f>
        <v>0</v>
      </c>
      <c r="BQ36" s="506"/>
      <c r="BS36" s="494"/>
      <c r="BT36" s="494"/>
      <c r="BU36" s="507">
        <f>[40]Domlongtermissues!BT15</f>
        <v>9753877</v>
      </c>
      <c r="BV36" s="506"/>
      <c r="BX36" s="494"/>
      <c r="BY36" s="494"/>
      <c r="BZ36" s="505">
        <f>+[40]Domlongtermissues!BY15</f>
        <v>7476976</v>
      </c>
      <c r="CA36" s="506"/>
      <c r="CC36" s="494"/>
      <c r="CD36" s="494"/>
      <c r="CE36" s="507">
        <f>[40]Domlongtermissues!CD15</f>
        <v>195061</v>
      </c>
      <c r="CF36" s="506"/>
      <c r="CH36" s="494"/>
      <c r="CI36" s="494"/>
      <c r="CJ36" s="507">
        <f>[40]Domlongtermissues!CI15</f>
        <v>0</v>
      </c>
      <c r="CK36" s="506"/>
      <c r="CM36" s="494"/>
      <c r="CN36" s="494"/>
      <c r="CO36" s="507">
        <f>[40]Domlongtermissues!CN15</f>
        <v>956108</v>
      </c>
      <c r="CP36" s="506"/>
      <c r="CR36" s="494"/>
      <c r="CS36" s="494"/>
      <c r="CT36" s="507">
        <f>[40]Domlongtermissues!CS15</f>
        <v>380371</v>
      </c>
      <c r="CU36" s="506"/>
      <c r="CW36" s="494"/>
      <c r="CX36" s="494"/>
      <c r="CY36" s="507">
        <f>[40]Domlongtermissues!CX15</f>
        <v>83879</v>
      </c>
      <c r="CZ36" s="506"/>
      <c r="DB36" s="494"/>
      <c r="DC36" s="494"/>
      <c r="DD36" s="507">
        <f>[40]Domlongtermissues!DC15</f>
        <v>27624</v>
      </c>
      <c r="DE36" s="506"/>
      <c r="DG36" s="494"/>
      <c r="DH36" s="494"/>
      <c r="DI36" s="507">
        <f>[40]Domlongtermissues!DH15</f>
        <v>481602</v>
      </c>
      <c r="DJ36" s="506"/>
      <c r="DL36" s="494"/>
      <c r="DM36" s="494"/>
      <c r="DN36" s="507">
        <f>[40]Domlongtermissues!DM15</f>
        <v>1204105</v>
      </c>
      <c r="DO36" s="506"/>
      <c r="DQ36" s="494"/>
      <c r="DR36" s="494"/>
      <c r="DS36" s="507">
        <f>[40]Domlongtermissues!DR15</f>
        <v>342784</v>
      </c>
      <c r="DT36" s="506"/>
      <c r="DV36" s="494"/>
      <c r="DW36" s="494"/>
      <c r="DX36" s="507">
        <f>[40]Domlongtermissues!DW15</f>
        <v>0</v>
      </c>
      <c r="DY36" s="506"/>
      <c r="EA36" s="494"/>
      <c r="EB36" s="494"/>
      <c r="EC36" s="507">
        <f>[40]Domlongtermissues!EB15</f>
        <v>772365</v>
      </c>
      <c r="ED36" s="506"/>
      <c r="EF36" s="494"/>
      <c r="EG36" s="494"/>
      <c r="EH36" s="507">
        <f>[40]Domlongtermissues!EG15</f>
        <v>3033077</v>
      </c>
      <c r="EI36" s="506"/>
      <c r="EK36" s="494"/>
      <c r="EL36" s="494"/>
      <c r="EM36" s="507">
        <f>[40]Domlongtermissues!EL15</f>
        <v>3671534</v>
      </c>
      <c r="EN36" s="506"/>
      <c r="EP36" s="144"/>
      <c r="ES36" s="42"/>
      <c r="ET36" s="42"/>
      <c r="EU36" s="42"/>
    </row>
    <row r="37" spans="3:151" x14ac:dyDescent="0.3">
      <c r="C37" s="144" t="s">
        <v>307</v>
      </c>
      <c r="E37" s="521" t="s">
        <v>299</v>
      </c>
      <c r="F37" s="522"/>
      <c r="G37" s="522"/>
      <c r="H37" s="511">
        <f>-[40]Domredemp!G15</f>
        <v>-8349673</v>
      </c>
      <c r="I37" s="506"/>
      <c r="K37" s="494"/>
      <c r="L37" s="494"/>
      <c r="M37" s="511">
        <f>-[40]Domredemp!L15</f>
        <v>-827198</v>
      </c>
      <c r="N37" s="506"/>
      <c r="P37" s="494"/>
      <c r="Q37" s="494"/>
      <c r="R37" s="511">
        <f>-[40]Domredemp!Q15</f>
        <v>-3068181</v>
      </c>
      <c r="S37" s="506"/>
      <c r="U37" s="494"/>
      <c r="V37" s="494"/>
      <c r="W37" s="511">
        <f>-[40]Domredemp!V15</f>
        <v>-907194</v>
      </c>
      <c r="X37" s="506"/>
      <c r="Z37" s="494"/>
      <c r="AA37" s="494"/>
      <c r="AB37" s="511">
        <f>-[40]Domredemp!AA15</f>
        <v>-95339</v>
      </c>
      <c r="AC37" s="506"/>
      <c r="AE37" s="494"/>
      <c r="AF37" s="494"/>
      <c r="AG37" s="511">
        <f>-[40]Domredemp!AF15</f>
        <v>-2800245</v>
      </c>
      <c r="AH37" s="506"/>
      <c r="AJ37" s="494"/>
      <c r="AK37" s="494"/>
      <c r="AL37" s="511">
        <f>-[40]Domredemp!AK15</f>
        <v>-651516</v>
      </c>
      <c r="AM37" s="506"/>
      <c r="AO37" s="494"/>
      <c r="AP37" s="494"/>
      <c r="AQ37" s="511">
        <f>-[40]Domredemp!AP15</f>
        <v>-458033</v>
      </c>
      <c r="AR37" s="506"/>
      <c r="AT37" s="494"/>
      <c r="AU37" s="494"/>
      <c r="AV37" s="511">
        <f>-[40]Domredemp!AU15</f>
        <v>-587942</v>
      </c>
      <c r="AW37" s="506"/>
      <c r="AY37" s="494"/>
      <c r="AZ37" s="494"/>
      <c r="BA37" s="511">
        <f>-[40]Domredemp!AZ15</f>
        <v>-328260</v>
      </c>
      <c r="BB37" s="506"/>
      <c r="BD37" s="494"/>
      <c r="BE37" s="494"/>
      <c r="BF37" s="511">
        <f>-[40]Domredemp!BE15</f>
        <v>-29969</v>
      </c>
      <c r="BG37" s="506"/>
      <c r="BI37" s="494"/>
      <c r="BJ37" s="494"/>
      <c r="BK37" s="511">
        <f>-[40]Domredemp!BJ15</f>
        <v>0</v>
      </c>
      <c r="BL37" s="506"/>
      <c r="BN37" s="494"/>
      <c r="BO37" s="494"/>
      <c r="BP37" s="511">
        <f>-[40]Domredemp!BO15</f>
        <v>0</v>
      </c>
      <c r="BQ37" s="506"/>
      <c r="BS37" s="494"/>
      <c r="BT37" s="494"/>
      <c r="BU37" s="511">
        <f>-[40]Domredemp!BT15</f>
        <v>-9753877</v>
      </c>
      <c r="BV37" s="506"/>
      <c r="BX37" s="494"/>
      <c r="BY37" s="494"/>
      <c r="BZ37" s="510">
        <f>-[40]Domredemp!BY15</f>
        <v>-7476976</v>
      </c>
      <c r="CA37" s="506"/>
      <c r="CC37" s="494"/>
      <c r="CD37" s="494"/>
      <c r="CE37" s="511">
        <f>-[40]Domredemp!CD15</f>
        <v>-195061</v>
      </c>
      <c r="CF37" s="506"/>
      <c r="CH37" s="494"/>
      <c r="CI37" s="494"/>
      <c r="CJ37" s="511">
        <f>-[40]Domredemp!CI15</f>
        <v>0</v>
      </c>
      <c r="CK37" s="506"/>
      <c r="CM37" s="494"/>
      <c r="CN37" s="494"/>
      <c r="CO37" s="511">
        <f>-[40]Domredemp!CN15</f>
        <v>-956108</v>
      </c>
      <c r="CP37" s="506"/>
      <c r="CR37" s="494"/>
      <c r="CS37" s="494"/>
      <c r="CT37" s="511">
        <f>-[40]Domredemp!CS15</f>
        <v>-380371</v>
      </c>
      <c r="CU37" s="506"/>
      <c r="CW37" s="494"/>
      <c r="CX37" s="494"/>
      <c r="CY37" s="511">
        <f>-[40]Domredemp!CX15</f>
        <v>-83879</v>
      </c>
      <c r="CZ37" s="506"/>
      <c r="DB37" s="494"/>
      <c r="DC37" s="494"/>
      <c r="DD37" s="511">
        <f>-[40]Domredemp!DC15</f>
        <v>-27624</v>
      </c>
      <c r="DE37" s="506"/>
      <c r="DG37" s="494"/>
      <c r="DH37" s="494"/>
      <c r="DI37" s="511">
        <f>-[40]Domredemp!DH15</f>
        <v>-481602</v>
      </c>
      <c r="DJ37" s="506"/>
      <c r="DL37" s="494"/>
      <c r="DM37" s="494"/>
      <c r="DN37" s="511">
        <f>-[40]Domredemp!DM15</f>
        <v>-1204105</v>
      </c>
      <c r="DO37" s="506"/>
      <c r="DQ37" s="494"/>
      <c r="DR37" s="494"/>
      <c r="DS37" s="511">
        <f>-[40]Domredemp!DR15</f>
        <v>-342784</v>
      </c>
      <c r="DT37" s="506"/>
      <c r="DV37" s="494"/>
      <c r="DW37" s="494"/>
      <c r="DX37" s="511">
        <f>-[40]Domredemp!DW15</f>
        <v>0</v>
      </c>
      <c r="DY37" s="506"/>
      <c r="EA37" s="494"/>
      <c r="EB37" s="494"/>
      <c r="EC37" s="511">
        <f>-[40]Domredemp!EB15</f>
        <v>-682120</v>
      </c>
      <c r="ED37" s="506"/>
      <c r="EF37" s="494"/>
      <c r="EG37" s="494"/>
      <c r="EH37" s="511">
        <f>-[40]Domredemp!EG15</f>
        <v>-3123322</v>
      </c>
      <c r="EI37" s="506"/>
      <c r="EK37" s="494"/>
      <c r="EL37" s="494"/>
      <c r="EM37" s="511">
        <f>-[40]Domredemp!EL15</f>
        <v>-3671534</v>
      </c>
      <c r="EN37" s="506"/>
      <c r="EP37" s="144"/>
      <c r="ES37" s="42"/>
      <c r="ET37" s="42"/>
      <c r="EU37" s="42"/>
    </row>
    <row r="38" spans="3:151" x14ac:dyDescent="0.3">
      <c r="C38" s="144"/>
      <c r="E38" s="523"/>
      <c r="F38" s="524"/>
      <c r="G38" s="525"/>
      <c r="H38" s="277"/>
      <c r="I38" s="515"/>
      <c r="K38" s="494"/>
      <c r="L38" s="513"/>
      <c r="M38" s="277"/>
      <c r="N38" s="515"/>
      <c r="P38" s="494"/>
      <c r="Q38" s="513"/>
      <c r="R38" s="277"/>
      <c r="S38" s="515"/>
      <c r="U38" s="494"/>
      <c r="V38" s="513"/>
      <c r="W38" s="277"/>
      <c r="X38" s="515"/>
      <c r="Z38" s="494"/>
      <c r="AA38" s="513"/>
      <c r="AB38" s="277"/>
      <c r="AC38" s="515"/>
      <c r="AE38" s="494"/>
      <c r="AF38" s="513"/>
      <c r="AG38" s="277"/>
      <c r="AH38" s="515"/>
      <c r="AJ38" s="494"/>
      <c r="AK38" s="513"/>
      <c r="AL38" s="277"/>
      <c r="AM38" s="515"/>
      <c r="AO38" s="494"/>
      <c r="AP38" s="513"/>
      <c r="AQ38" s="277"/>
      <c r="AR38" s="515"/>
      <c r="AT38" s="494"/>
      <c r="AU38" s="513"/>
      <c r="AV38" s="277"/>
      <c r="AW38" s="515"/>
      <c r="AY38" s="494"/>
      <c r="AZ38" s="513"/>
      <c r="BA38" s="277"/>
      <c r="BB38" s="515"/>
      <c r="BD38" s="494"/>
      <c r="BE38" s="513"/>
      <c r="BF38" s="277"/>
      <c r="BG38" s="515"/>
      <c r="BI38" s="494"/>
      <c r="BJ38" s="513"/>
      <c r="BK38" s="277"/>
      <c r="BL38" s="515"/>
      <c r="BN38" s="494"/>
      <c r="BO38" s="513"/>
      <c r="BP38" s="277"/>
      <c r="BQ38" s="515"/>
      <c r="BS38" s="494"/>
      <c r="BT38" s="513"/>
      <c r="BU38" s="277"/>
      <c r="BV38" s="515"/>
      <c r="BX38" s="494"/>
      <c r="BY38" s="513"/>
      <c r="BZ38" s="514"/>
      <c r="CA38" s="515"/>
      <c r="CC38" s="494"/>
      <c r="CD38" s="513"/>
      <c r="CE38" s="277"/>
      <c r="CF38" s="515"/>
      <c r="CH38" s="494"/>
      <c r="CI38" s="513"/>
      <c r="CJ38" s="277"/>
      <c r="CK38" s="515"/>
      <c r="CM38" s="494"/>
      <c r="CN38" s="513"/>
      <c r="CO38" s="277"/>
      <c r="CP38" s="515"/>
      <c r="CR38" s="494"/>
      <c r="CS38" s="513"/>
      <c r="CT38" s="277"/>
      <c r="CU38" s="515"/>
      <c r="CW38" s="494"/>
      <c r="CX38" s="513"/>
      <c r="CY38" s="277"/>
      <c r="CZ38" s="515"/>
      <c r="DB38" s="494"/>
      <c r="DC38" s="513"/>
      <c r="DD38" s="277"/>
      <c r="DE38" s="515"/>
      <c r="DG38" s="494"/>
      <c r="DH38" s="513"/>
      <c r="DI38" s="277"/>
      <c r="DJ38" s="515"/>
      <c r="DL38" s="494"/>
      <c r="DM38" s="513"/>
      <c r="DN38" s="277"/>
      <c r="DO38" s="515"/>
      <c r="DQ38" s="494"/>
      <c r="DR38" s="513"/>
      <c r="DS38" s="277"/>
      <c r="DT38" s="515"/>
      <c r="DV38" s="494"/>
      <c r="DW38" s="513"/>
      <c r="DX38" s="277"/>
      <c r="DY38" s="515"/>
      <c r="EA38" s="494"/>
      <c r="EB38" s="513"/>
      <c r="EC38" s="277"/>
      <c r="ED38" s="515"/>
      <c r="EF38" s="494"/>
      <c r="EG38" s="513"/>
      <c r="EH38" s="277"/>
      <c r="EI38" s="515"/>
      <c r="EK38" s="494"/>
      <c r="EL38" s="513"/>
      <c r="EM38" s="277"/>
      <c r="EN38" s="515"/>
      <c r="EP38" s="144"/>
      <c r="ES38" s="42"/>
      <c r="ET38" s="42"/>
      <c r="EU38" s="42"/>
    </row>
    <row r="39" spans="3:151" x14ac:dyDescent="0.3">
      <c r="C39" s="144"/>
      <c r="E39" s="523"/>
      <c r="F39" s="524"/>
      <c r="G39" s="526"/>
      <c r="K39" s="494"/>
      <c r="P39" s="494"/>
      <c r="U39" s="494"/>
      <c r="Z39" s="494"/>
      <c r="AE39" s="494"/>
      <c r="AJ39" s="494"/>
      <c r="AO39" s="494"/>
      <c r="AT39" s="494"/>
      <c r="AY39" s="494"/>
      <c r="BD39" s="494"/>
      <c r="BI39" s="494"/>
      <c r="BN39" s="494"/>
      <c r="BS39" s="494"/>
      <c r="BX39" s="494"/>
      <c r="BZ39" s="512"/>
      <c r="CC39" s="494"/>
      <c r="CH39" s="494"/>
      <c r="CM39" s="494"/>
      <c r="CR39" s="494"/>
      <c r="CW39" s="494"/>
      <c r="DB39" s="494"/>
      <c r="DG39" s="494"/>
      <c r="DL39" s="494"/>
      <c r="DQ39" s="494"/>
      <c r="DV39" s="494"/>
      <c r="EA39" s="494"/>
      <c r="EF39" s="494"/>
      <c r="EK39" s="494"/>
      <c r="EP39" s="144"/>
      <c r="ES39" s="42"/>
      <c r="ET39" s="42"/>
      <c r="EU39" s="42"/>
    </row>
    <row r="40" spans="3:151" s="42" customFormat="1" x14ac:dyDescent="0.3">
      <c r="C40" s="234" t="s">
        <v>308</v>
      </c>
      <c r="E40" s="521" t="s">
        <v>309</v>
      </c>
      <c r="F40" s="522"/>
      <c r="G40" s="527"/>
      <c r="H40" s="42">
        <f>+H41+H48+H55</f>
        <v>58059400</v>
      </c>
      <c r="K40" s="496"/>
      <c r="L40" s="527"/>
      <c r="M40" s="42">
        <f>+M41+M48+M55</f>
        <v>46626420</v>
      </c>
      <c r="P40" s="496"/>
      <c r="Q40" s="527"/>
      <c r="R40" s="42">
        <f>+R41+R48+R55</f>
        <v>-15761600</v>
      </c>
      <c r="U40" s="496"/>
      <c r="V40" s="527"/>
      <c r="W40" s="42">
        <f>+W41+W48+W55</f>
        <v>0</v>
      </c>
      <c r="Z40" s="496"/>
      <c r="AA40" s="527"/>
      <c r="AB40" s="42">
        <f>+AB41+AB48+AB55</f>
        <v>0</v>
      </c>
      <c r="AE40" s="496"/>
      <c r="AF40" s="527"/>
      <c r="AG40" s="42">
        <f>+AG41+AG48+AG55</f>
        <v>0</v>
      </c>
      <c r="AJ40" s="496"/>
      <c r="AK40" s="527"/>
      <c r="AL40" s="42">
        <f>+AL41+AL48+AL55</f>
        <v>6790681</v>
      </c>
      <c r="AO40" s="496"/>
      <c r="AP40" s="527"/>
      <c r="AQ40" s="42">
        <f>+AQ41+AQ48+AQ55</f>
        <v>0</v>
      </c>
      <c r="AT40" s="496"/>
      <c r="AU40" s="527"/>
      <c r="AV40" s="42">
        <f>+AV41+AV48+AV55</f>
        <v>0</v>
      </c>
      <c r="AY40" s="496"/>
      <c r="AZ40" s="527"/>
      <c r="BA40" s="42">
        <f>+BA41+BA48+BA55</f>
        <v>5451574</v>
      </c>
      <c r="BD40" s="496"/>
      <c r="BE40" s="527"/>
      <c r="BF40" s="42">
        <f>+BF41+BF48+BF55</f>
        <v>5596913</v>
      </c>
      <c r="BI40" s="496"/>
      <c r="BJ40" s="527"/>
      <c r="BK40" s="42">
        <f>+BK41+BK48+BK55</f>
        <v>0</v>
      </c>
      <c r="BN40" s="496"/>
      <c r="BO40" s="527"/>
      <c r="BP40" s="42">
        <f>+BP41+BP48+BP55</f>
        <v>0</v>
      </c>
      <c r="BS40" s="496"/>
      <c r="BT40" s="527"/>
      <c r="BU40" s="42">
        <f>+BU41+BU48+BU55</f>
        <v>48703988</v>
      </c>
      <c r="BX40" s="496"/>
      <c r="BY40" s="527"/>
      <c r="BZ40" s="499">
        <f>+BZ41+BZ48+BZ55</f>
        <v>27396681</v>
      </c>
      <c r="CC40" s="496"/>
      <c r="CD40" s="527"/>
      <c r="CE40" s="42">
        <f>+CE41+CE48+CE55</f>
        <v>0</v>
      </c>
      <c r="CH40" s="496"/>
      <c r="CI40" s="527"/>
      <c r="CJ40" s="42">
        <f>+CJ41+CJ48+CJ55</f>
        <v>-6054</v>
      </c>
      <c r="CM40" s="496"/>
      <c r="CN40" s="527"/>
      <c r="CO40" s="42">
        <f>+CO41+CO48+CO55</f>
        <v>14088400</v>
      </c>
      <c r="CR40" s="496"/>
      <c r="CS40" s="527"/>
      <c r="CT40" s="42">
        <f>+CT41+CT48+CT55</f>
        <v>0</v>
      </c>
      <c r="CW40" s="496"/>
      <c r="CX40" s="527"/>
      <c r="CY40" s="42">
        <f>+CY41+CY48+CY55</f>
        <v>0</v>
      </c>
      <c r="DB40" s="496"/>
      <c r="DC40" s="527"/>
      <c r="DD40" s="42">
        <f>+DD41+DD48+DD55</f>
        <v>-3912780</v>
      </c>
      <c r="DG40" s="496"/>
      <c r="DH40" s="527"/>
      <c r="DI40" s="42">
        <f>+DI41+DI48+DI55</f>
        <v>0</v>
      </c>
      <c r="DL40" s="496"/>
      <c r="DM40" s="527"/>
      <c r="DN40" s="42">
        <f>+DN41+DN48+DN55</f>
        <v>6098240</v>
      </c>
      <c r="DQ40" s="496"/>
      <c r="DR40" s="527"/>
      <c r="DS40" s="42">
        <f>+DS41+DS48+DS55</f>
        <v>0</v>
      </c>
      <c r="DV40" s="496"/>
      <c r="DW40" s="527"/>
      <c r="DX40" s="42">
        <f>+DX41+DX48+DX55</f>
        <v>0</v>
      </c>
      <c r="EA40" s="496"/>
      <c r="EB40" s="527"/>
      <c r="EC40" s="42">
        <f>+EC41+EC48+EC55</f>
        <v>0</v>
      </c>
      <c r="EF40" s="496"/>
      <c r="EG40" s="527"/>
      <c r="EH40" s="42">
        <f>+EH41+EH48+EH55</f>
        <v>11128875</v>
      </c>
      <c r="EK40" s="496"/>
      <c r="EL40" s="527"/>
      <c r="EM40" s="42">
        <f>+EM41+EM48+EM55</f>
        <v>16267806</v>
      </c>
      <c r="EP40" s="234"/>
    </row>
    <row r="41" spans="3:151" x14ac:dyDescent="0.3">
      <c r="C41" s="144" t="s">
        <v>294</v>
      </c>
      <c r="E41" s="523"/>
      <c r="F41" s="524"/>
      <c r="G41" s="528"/>
      <c r="H41" s="214">
        <f>SUM(H42:H46)</f>
        <v>58059400</v>
      </c>
      <c r="I41" s="501"/>
      <c r="K41" s="494"/>
      <c r="L41" s="528"/>
      <c r="M41" s="214">
        <f>SUM(M42:M46)</f>
        <v>46626420</v>
      </c>
      <c r="N41" s="501"/>
      <c r="P41" s="494"/>
      <c r="Q41" s="528"/>
      <c r="R41" s="214">
        <f>SUM(R42:R46)</f>
        <v>-15761600</v>
      </c>
      <c r="S41" s="501"/>
      <c r="U41" s="494"/>
      <c r="V41" s="528"/>
      <c r="W41" s="214">
        <f>SUM(W42:W46)</f>
        <v>0</v>
      </c>
      <c r="X41" s="501"/>
      <c r="Z41" s="494"/>
      <c r="AA41" s="528"/>
      <c r="AB41" s="214">
        <f>SUM(AB42:AB46)</f>
        <v>0</v>
      </c>
      <c r="AC41" s="501"/>
      <c r="AE41" s="494"/>
      <c r="AF41" s="528"/>
      <c r="AG41" s="214">
        <f>SUM(AG42:AG46)</f>
        <v>0</v>
      </c>
      <c r="AH41" s="501"/>
      <c r="AJ41" s="494"/>
      <c r="AK41" s="528"/>
      <c r="AL41" s="214">
        <f>SUM(AL42:AL46)</f>
        <v>6790681</v>
      </c>
      <c r="AM41" s="501"/>
      <c r="AO41" s="494"/>
      <c r="AP41" s="528"/>
      <c r="AQ41" s="214">
        <f>SUM(AQ42:AQ46)</f>
        <v>0</v>
      </c>
      <c r="AR41" s="501"/>
      <c r="AT41" s="494"/>
      <c r="AU41" s="528"/>
      <c r="AV41" s="214">
        <f>SUM(AV42:AV46)</f>
        <v>0</v>
      </c>
      <c r="AW41" s="501"/>
      <c r="AY41" s="494"/>
      <c r="AZ41" s="528"/>
      <c r="BA41" s="214">
        <f>SUM(BA42:BA46)</f>
        <v>5451574</v>
      </c>
      <c r="BB41" s="501"/>
      <c r="BD41" s="494"/>
      <c r="BE41" s="528"/>
      <c r="BF41" s="214">
        <f>SUM(BF42:BF46)</f>
        <v>5596913</v>
      </c>
      <c r="BG41" s="501"/>
      <c r="BI41" s="494"/>
      <c r="BJ41" s="528"/>
      <c r="BK41" s="214">
        <f>SUM(BK42:BK46)</f>
        <v>0</v>
      </c>
      <c r="BL41" s="501"/>
      <c r="BN41" s="494"/>
      <c r="BO41" s="528"/>
      <c r="BP41" s="214">
        <f>SUM(BP42:BP46)</f>
        <v>0</v>
      </c>
      <c r="BQ41" s="501"/>
      <c r="BS41" s="494"/>
      <c r="BT41" s="528"/>
      <c r="BU41" s="214">
        <f>SUM(BU42:BU46)</f>
        <v>48703988</v>
      </c>
      <c r="BV41" s="501"/>
      <c r="BX41" s="494"/>
      <c r="BY41" s="528"/>
      <c r="BZ41" s="504">
        <f>SUM(BZ42:BZ46)</f>
        <v>27396681</v>
      </c>
      <c r="CA41" s="501"/>
      <c r="CC41" s="494"/>
      <c r="CD41" s="528"/>
      <c r="CE41" s="214">
        <f>SUM(CE42:CE46)</f>
        <v>0</v>
      </c>
      <c r="CF41" s="501"/>
      <c r="CH41" s="494"/>
      <c r="CI41" s="528"/>
      <c r="CJ41" s="214">
        <f>SUM(CJ42:CJ46)</f>
        <v>-6054</v>
      </c>
      <c r="CK41" s="501"/>
      <c r="CM41" s="494"/>
      <c r="CN41" s="528"/>
      <c r="CO41" s="214">
        <f>SUM(CO42:CO46)</f>
        <v>14088400</v>
      </c>
      <c r="CP41" s="501"/>
      <c r="CR41" s="494"/>
      <c r="CS41" s="528"/>
      <c r="CT41" s="214">
        <f>SUM(CT42:CT46)</f>
        <v>0</v>
      </c>
      <c r="CU41" s="501"/>
      <c r="CW41" s="494"/>
      <c r="CX41" s="528"/>
      <c r="CY41" s="214">
        <f>SUM(CY42:CY46)</f>
        <v>0</v>
      </c>
      <c r="CZ41" s="501"/>
      <c r="DB41" s="494"/>
      <c r="DC41" s="528"/>
      <c r="DD41" s="214">
        <f>SUM(DD42:DD46)</f>
        <v>-3912780</v>
      </c>
      <c r="DE41" s="501"/>
      <c r="DG41" s="494"/>
      <c r="DH41" s="528"/>
      <c r="DI41" s="214">
        <f>SUM(DI42:DI46)</f>
        <v>0</v>
      </c>
      <c r="DJ41" s="501"/>
      <c r="DL41" s="494"/>
      <c r="DM41" s="528"/>
      <c r="DN41" s="214">
        <f>SUM(DN42:DN46)</f>
        <v>6098240</v>
      </c>
      <c r="DO41" s="501"/>
      <c r="DQ41" s="494"/>
      <c r="DR41" s="528"/>
      <c r="DS41" s="214">
        <f>SUM(DS42:DS46)</f>
        <v>0</v>
      </c>
      <c r="DT41" s="501"/>
      <c r="DV41" s="494"/>
      <c r="DW41" s="528"/>
      <c r="DX41" s="214">
        <f>SUM(DX42:DX46)</f>
        <v>0</v>
      </c>
      <c r="DY41" s="501"/>
      <c r="EA41" s="494"/>
      <c r="EB41" s="528"/>
      <c r="EC41" s="214">
        <f>SUM(EC42:EC46)</f>
        <v>0</v>
      </c>
      <c r="ED41" s="501"/>
      <c r="EF41" s="494"/>
      <c r="EG41" s="528"/>
      <c r="EH41" s="214">
        <f>SUM(EH42:EH46)</f>
        <v>11128875</v>
      </c>
      <c r="EI41" s="501"/>
      <c r="EK41" s="494"/>
      <c r="EL41" s="528"/>
      <c r="EM41" s="214">
        <f>SUM(EM42:EM46)</f>
        <v>16267806</v>
      </c>
      <c r="EN41" s="501"/>
      <c r="EP41" s="144"/>
      <c r="ES41" s="42"/>
      <c r="ET41" s="42"/>
      <c r="EU41" s="42"/>
    </row>
    <row r="42" spans="3:151" x14ac:dyDescent="0.3">
      <c r="C42" s="144" t="s">
        <v>295</v>
      </c>
      <c r="E42" s="493"/>
      <c r="F42" s="516"/>
      <c r="G42" s="516"/>
      <c r="H42" s="507">
        <f>+[40]Foreigndebt!G17</f>
        <v>73821000</v>
      </c>
      <c r="I42" s="506"/>
      <c r="K42" s="494"/>
      <c r="L42" s="516"/>
      <c r="M42" s="507">
        <f>+[40]Foreigndebt!L17</f>
        <v>46626420</v>
      </c>
      <c r="N42" s="506"/>
      <c r="P42" s="494"/>
      <c r="Q42" s="516"/>
      <c r="R42" s="507">
        <f>+[40]Foreigndebt!Q17</f>
        <v>0</v>
      </c>
      <c r="S42" s="506"/>
      <c r="U42" s="494"/>
      <c r="V42" s="516"/>
      <c r="W42" s="507">
        <f>+[40]Foreigndebt!V17</f>
        <v>0</v>
      </c>
      <c r="X42" s="506"/>
      <c r="Z42" s="494"/>
      <c r="AA42" s="516"/>
      <c r="AB42" s="507">
        <f>+[40]Foreigndebt!AA17</f>
        <v>0</v>
      </c>
      <c r="AC42" s="506"/>
      <c r="AE42" s="494"/>
      <c r="AF42" s="516"/>
      <c r="AG42" s="507">
        <f>+[40]Foreigndebt!AF17</f>
        <v>0</v>
      </c>
      <c r="AH42" s="506"/>
      <c r="AJ42" s="494"/>
      <c r="AK42" s="516"/>
      <c r="AL42" s="507">
        <f>+[40]Foreigndebt!AK17</f>
        <v>6790681</v>
      </c>
      <c r="AM42" s="506"/>
      <c r="AO42" s="494"/>
      <c r="AP42" s="516"/>
      <c r="AQ42" s="507">
        <f>+[40]Foreigndebt!AP17</f>
        <v>0</v>
      </c>
      <c r="AR42" s="506"/>
      <c r="AT42" s="494"/>
      <c r="AU42" s="516"/>
      <c r="AV42" s="507">
        <f>+[40]Foreigndebt!AU17</f>
        <v>0</v>
      </c>
      <c r="AW42" s="506"/>
      <c r="AY42" s="494"/>
      <c r="AZ42" s="516"/>
      <c r="BA42" s="507">
        <f>+[40]Foreigndebt!AZ17</f>
        <v>5451574</v>
      </c>
      <c r="BB42" s="506"/>
      <c r="BD42" s="494"/>
      <c r="BE42" s="516"/>
      <c r="BF42" s="507">
        <f>+[40]Foreigndebt!BE17</f>
        <v>5596913</v>
      </c>
      <c r="BG42" s="506"/>
      <c r="BI42" s="494"/>
      <c r="BJ42" s="516"/>
      <c r="BK42" s="507">
        <f>+[40]Foreigndebt!BJ17</f>
        <v>0</v>
      </c>
      <c r="BL42" s="506"/>
      <c r="BN42" s="494"/>
      <c r="BO42" s="516"/>
      <c r="BP42" s="507">
        <f>+[40]Foreigndebt!BO17</f>
        <v>0</v>
      </c>
      <c r="BQ42" s="506"/>
      <c r="BS42" s="494"/>
      <c r="BT42" s="516"/>
      <c r="BU42" s="507">
        <f>+[40]Foreigndebt!BT17</f>
        <v>64465588</v>
      </c>
      <c r="BV42" s="506"/>
      <c r="BX42" s="494"/>
      <c r="BY42" s="516"/>
      <c r="BZ42" s="505">
        <f>[40]Foreigndebt!BY13</f>
        <v>31315515</v>
      </c>
      <c r="CA42" s="506"/>
      <c r="CC42" s="494"/>
      <c r="CD42" s="516"/>
      <c r="CE42" s="507">
        <f>+[40]Foreigndebt!CD17</f>
        <v>0</v>
      </c>
      <c r="CF42" s="506"/>
      <c r="CH42" s="494"/>
      <c r="CI42" s="516"/>
      <c r="CJ42" s="507">
        <f>+[40]Foreigndebt!CI17</f>
        <v>0</v>
      </c>
      <c r="CK42" s="506"/>
      <c r="CM42" s="494"/>
      <c r="CN42" s="516"/>
      <c r="CO42" s="507">
        <f>+[40]Foreigndebt!CN17</f>
        <v>14088400</v>
      </c>
      <c r="CP42" s="506"/>
      <c r="CR42" s="494"/>
      <c r="CS42" s="516"/>
      <c r="CT42" s="507">
        <f>+[40]Foreigndebt!CS17</f>
        <v>0</v>
      </c>
      <c r="CU42" s="506"/>
      <c r="CW42" s="494"/>
      <c r="CX42" s="516"/>
      <c r="CY42" s="507">
        <f>+[40]Foreigndebt!CX17</f>
        <v>0</v>
      </c>
      <c r="CZ42" s="506"/>
      <c r="DB42" s="494"/>
      <c r="DC42" s="516"/>
      <c r="DD42" s="507">
        <f>+[40]Foreigndebt!DC17</f>
        <v>0</v>
      </c>
      <c r="DE42" s="506"/>
      <c r="DG42" s="494"/>
      <c r="DH42" s="516"/>
      <c r="DI42" s="507">
        <f>+[40]Foreigndebt!DH17</f>
        <v>0</v>
      </c>
      <c r="DJ42" s="506"/>
      <c r="DL42" s="494"/>
      <c r="DM42" s="516"/>
      <c r="DN42" s="507">
        <f>+[40]Foreigndebt!DM17</f>
        <v>6098240</v>
      </c>
      <c r="DO42" s="506"/>
      <c r="DQ42" s="494"/>
      <c r="DR42" s="516"/>
      <c r="DS42" s="507">
        <f>+[40]Foreigndebt!DR17</f>
        <v>0</v>
      </c>
      <c r="DT42" s="506"/>
      <c r="DV42" s="494"/>
      <c r="DW42" s="516"/>
      <c r="DX42" s="507">
        <f>+[40]Foreigndebt!DW17</f>
        <v>0</v>
      </c>
      <c r="DY42" s="506"/>
      <c r="EA42" s="494"/>
      <c r="EB42" s="516"/>
      <c r="EC42" s="507">
        <f>+[40]Foreigndebt!EB17</f>
        <v>0</v>
      </c>
      <c r="ED42" s="506"/>
      <c r="EF42" s="494"/>
      <c r="EG42" s="516"/>
      <c r="EH42" s="507">
        <f>+[40]Foreigndebt!EG17</f>
        <v>11128875</v>
      </c>
      <c r="EI42" s="506"/>
      <c r="EK42" s="494"/>
      <c r="EL42" s="516"/>
      <c r="EM42" s="507">
        <f>+[40]Foreigndebt!EL17</f>
        <v>20186640</v>
      </c>
      <c r="EN42" s="506"/>
      <c r="EP42" s="144"/>
      <c r="ES42" s="42"/>
      <c r="ET42" s="42"/>
      <c r="EU42" s="42"/>
    </row>
    <row r="43" spans="3:151" ht="12.75" hidden="1" customHeight="1" x14ac:dyDescent="0.3">
      <c r="C43" s="144" t="s">
        <v>297</v>
      </c>
      <c r="E43" s="493"/>
      <c r="F43" s="516"/>
      <c r="G43" s="516"/>
      <c r="H43" s="508">
        <f>-[40]Foreigndebt!G19</f>
        <v>0</v>
      </c>
      <c r="I43" s="506"/>
      <c r="K43" s="494"/>
      <c r="L43" s="516"/>
      <c r="M43" s="508">
        <f>-[40]Foreigndebt!L19</f>
        <v>0</v>
      </c>
      <c r="N43" s="506"/>
      <c r="P43" s="494"/>
      <c r="Q43" s="516"/>
      <c r="R43" s="508">
        <f>-[40]Foreigndebt!Q19</f>
        <v>0</v>
      </c>
      <c r="S43" s="506"/>
      <c r="U43" s="494"/>
      <c r="V43" s="516"/>
      <c r="W43" s="508">
        <f>-[40]Foreigndebt!V19</f>
        <v>0</v>
      </c>
      <c r="X43" s="506"/>
      <c r="Z43" s="494"/>
      <c r="AA43" s="516"/>
      <c r="AB43" s="508">
        <f>-[40]Foreigndebt!AA19</f>
        <v>0</v>
      </c>
      <c r="AC43" s="506"/>
      <c r="AE43" s="494"/>
      <c r="AF43" s="516"/>
      <c r="AG43" s="508">
        <f>-[40]Foreigndebt!AF19</f>
        <v>0</v>
      </c>
      <c r="AH43" s="506"/>
      <c r="AJ43" s="494"/>
      <c r="AK43" s="516"/>
      <c r="AL43" s="508">
        <f>-[40]Foreigndebt!AK19</f>
        <v>0</v>
      </c>
      <c r="AM43" s="506"/>
      <c r="AO43" s="494"/>
      <c r="AP43" s="516"/>
      <c r="AQ43" s="508">
        <f>-[40]Foreigndebt!AP19</f>
        <v>0</v>
      </c>
      <c r="AR43" s="506"/>
      <c r="AT43" s="494"/>
      <c r="AU43" s="516"/>
      <c r="AV43" s="508">
        <f>-[40]Foreigndebt!AU19</f>
        <v>0</v>
      </c>
      <c r="AW43" s="506"/>
      <c r="AY43" s="494"/>
      <c r="AZ43" s="516"/>
      <c r="BA43" s="508">
        <f>-[40]Foreigndebt!AZ19</f>
        <v>0</v>
      </c>
      <c r="BB43" s="506"/>
      <c r="BD43" s="494"/>
      <c r="BE43" s="516"/>
      <c r="BF43" s="508">
        <f>-[40]Foreigndebt!BE19</f>
        <v>0</v>
      </c>
      <c r="BG43" s="506"/>
      <c r="BI43" s="494"/>
      <c r="BJ43" s="516"/>
      <c r="BK43" s="508">
        <f>-[40]Foreigndebt!BJ19</f>
        <v>0</v>
      </c>
      <c r="BL43" s="506"/>
      <c r="BN43" s="494"/>
      <c r="BO43" s="516"/>
      <c r="BP43" s="508">
        <f>-[40]Foreigndebt!BO19</f>
        <v>0</v>
      </c>
      <c r="BQ43" s="506"/>
      <c r="BS43" s="494"/>
      <c r="BT43" s="516"/>
      <c r="BU43" s="508">
        <f>-[40]Foreigndebt!BT19</f>
        <v>0</v>
      </c>
      <c r="BV43" s="506"/>
      <c r="BX43" s="494"/>
      <c r="BY43" s="516"/>
      <c r="BZ43" s="509">
        <f>-[40]Foreigndebt!BY19</f>
        <v>0</v>
      </c>
      <c r="CA43" s="506"/>
      <c r="CC43" s="494"/>
      <c r="CD43" s="516"/>
      <c r="CE43" s="508">
        <f>-[40]Foreigndebt!CD19</f>
        <v>0</v>
      </c>
      <c r="CF43" s="506"/>
      <c r="CH43" s="494"/>
      <c r="CI43" s="516"/>
      <c r="CJ43" s="508">
        <f>-[40]Foreigndebt!CI19</f>
        <v>0</v>
      </c>
      <c r="CK43" s="506"/>
      <c r="CM43" s="494"/>
      <c r="CN43" s="516"/>
      <c r="CO43" s="508">
        <f>-[40]Foreigndebt!CN19</f>
        <v>0</v>
      </c>
      <c r="CP43" s="506"/>
      <c r="CR43" s="494"/>
      <c r="CS43" s="516"/>
      <c r="CT43" s="508">
        <f>-[40]Foreigndebt!CS19</f>
        <v>0</v>
      </c>
      <c r="CU43" s="506"/>
      <c r="CW43" s="494"/>
      <c r="CX43" s="516"/>
      <c r="CY43" s="508">
        <f>-[40]Foreigndebt!CX19</f>
        <v>0</v>
      </c>
      <c r="CZ43" s="506"/>
      <c r="DB43" s="494"/>
      <c r="DC43" s="516"/>
      <c r="DD43" s="508">
        <f>-[40]Foreigndebt!DC19</f>
        <v>0</v>
      </c>
      <c r="DE43" s="506"/>
      <c r="DG43" s="494"/>
      <c r="DH43" s="516"/>
      <c r="DI43" s="508">
        <f>-[40]Foreigndebt!DH19</f>
        <v>0</v>
      </c>
      <c r="DJ43" s="506"/>
      <c r="DL43" s="494"/>
      <c r="DM43" s="516"/>
      <c r="DN43" s="508">
        <f>-[40]Foreigndebt!DM19</f>
        <v>0</v>
      </c>
      <c r="DO43" s="506"/>
      <c r="DQ43" s="494"/>
      <c r="DR43" s="516"/>
      <c r="DS43" s="508">
        <f>-[40]Foreigndebt!DR19</f>
        <v>0</v>
      </c>
      <c r="DT43" s="506"/>
      <c r="DV43" s="494"/>
      <c r="DW43" s="516"/>
      <c r="DX43" s="508">
        <f>-[40]Foreigndebt!DW19</f>
        <v>0</v>
      </c>
      <c r="DY43" s="506"/>
      <c r="EA43" s="494"/>
      <c r="EB43" s="516"/>
      <c r="EC43" s="508">
        <f>-[40]Foreigndebt!EB19</f>
        <v>0</v>
      </c>
      <c r="ED43" s="506"/>
      <c r="EF43" s="494"/>
      <c r="EG43" s="516"/>
      <c r="EH43" s="508">
        <f>-[40]Foreigndebt!EG19</f>
        <v>0</v>
      </c>
      <c r="EI43" s="506"/>
      <c r="EK43" s="494"/>
      <c r="EL43" s="516"/>
      <c r="EM43" s="508">
        <f>-[40]Foreigndebt!EL19</f>
        <v>0</v>
      </c>
      <c r="EN43" s="506"/>
      <c r="EP43" s="144"/>
      <c r="ES43" s="42"/>
      <c r="ET43" s="42"/>
      <c r="EU43" s="42"/>
    </row>
    <row r="44" spans="3:151" x14ac:dyDescent="0.3">
      <c r="C44" s="144" t="s">
        <v>298</v>
      </c>
      <c r="E44" s="493"/>
      <c r="F44" s="516"/>
      <c r="G44" s="516"/>
      <c r="H44" s="508"/>
      <c r="I44" s="506"/>
      <c r="K44" s="494"/>
      <c r="L44" s="516"/>
      <c r="M44" s="508"/>
      <c r="N44" s="506"/>
      <c r="P44" s="494"/>
      <c r="Q44" s="516"/>
      <c r="R44" s="508"/>
      <c r="S44" s="506"/>
      <c r="U44" s="494"/>
      <c r="V44" s="516"/>
      <c r="W44" s="508"/>
      <c r="X44" s="506"/>
      <c r="Z44" s="494"/>
      <c r="AA44" s="516"/>
      <c r="AB44" s="508"/>
      <c r="AC44" s="506"/>
      <c r="AE44" s="494"/>
      <c r="AF44" s="516"/>
      <c r="AG44" s="508"/>
      <c r="AH44" s="506"/>
      <c r="AJ44" s="494"/>
      <c r="AK44" s="516"/>
      <c r="AL44" s="508"/>
      <c r="AM44" s="506"/>
      <c r="AO44" s="494"/>
      <c r="AP44" s="516"/>
      <c r="AQ44" s="508"/>
      <c r="AR44" s="506"/>
      <c r="AT44" s="494"/>
      <c r="AU44" s="516"/>
      <c r="AV44" s="508"/>
      <c r="AW44" s="506"/>
      <c r="AY44" s="494"/>
      <c r="AZ44" s="516"/>
      <c r="BA44" s="508"/>
      <c r="BB44" s="506"/>
      <c r="BD44" s="494"/>
      <c r="BE44" s="516"/>
      <c r="BF44" s="508"/>
      <c r="BG44" s="506"/>
      <c r="BI44" s="494"/>
      <c r="BJ44" s="516"/>
      <c r="BK44" s="508"/>
      <c r="BL44" s="506"/>
      <c r="BN44" s="494"/>
      <c r="BO44" s="516"/>
      <c r="BP44" s="508"/>
      <c r="BQ44" s="506"/>
      <c r="BS44" s="494"/>
      <c r="BT44" s="516"/>
      <c r="BU44" s="508"/>
      <c r="BV44" s="506"/>
      <c r="BX44" s="494"/>
      <c r="BY44" s="516"/>
      <c r="BZ44" s="509"/>
      <c r="CA44" s="506"/>
      <c r="CC44" s="494"/>
      <c r="CD44" s="516"/>
      <c r="CE44" s="508"/>
      <c r="CF44" s="506"/>
      <c r="CH44" s="494"/>
      <c r="CI44" s="516"/>
      <c r="CJ44" s="508"/>
      <c r="CK44" s="506"/>
      <c r="CM44" s="494"/>
      <c r="CN44" s="516"/>
      <c r="CO44" s="508"/>
      <c r="CP44" s="506"/>
      <c r="CR44" s="494"/>
      <c r="CS44" s="516"/>
      <c r="CT44" s="508"/>
      <c r="CU44" s="506"/>
      <c r="CW44" s="494"/>
      <c r="CX44" s="516"/>
      <c r="CY44" s="508"/>
      <c r="CZ44" s="506"/>
      <c r="DB44" s="494"/>
      <c r="DC44" s="516"/>
      <c r="DD44" s="508"/>
      <c r="DE44" s="506"/>
      <c r="DG44" s="494"/>
      <c r="DH44" s="516"/>
      <c r="DI44" s="508"/>
      <c r="DJ44" s="506"/>
      <c r="DL44" s="494"/>
      <c r="DM44" s="516"/>
      <c r="DN44" s="508"/>
      <c r="DO44" s="506"/>
      <c r="DQ44" s="494"/>
      <c r="DR44" s="516"/>
      <c r="DS44" s="508"/>
      <c r="DT44" s="506"/>
      <c r="DV44" s="494"/>
      <c r="DW44" s="516"/>
      <c r="DX44" s="508"/>
      <c r="DY44" s="506"/>
      <c r="EA44" s="494"/>
      <c r="EB44" s="516"/>
      <c r="EC44" s="508"/>
      <c r="ED44" s="506"/>
      <c r="EF44" s="494"/>
      <c r="EG44" s="516"/>
      <c r="EH44" s="508"/>
      <c r="EI44" s="506"/>
      <c r="EK44" s="494"/>
      <c r="EL44" s="516"/>
      <c r="EM44" s="508"/>
      <c r="EN44" s="506"/>
      <c r="EP44" s="144"/>
      <c r="ES44" s="42"/>
      <c r="ET44" s="42"/>
      <c r="EU44" s="42"/>
    </row>
    <row r="45" spans="3:151" x14ac:dyDescent="0.3">
      <c r="C45" s="271" t="s">
        <v>310</v>
      </c>
      <c r="E45" s="493"/>
      <c r="F45" s="516"/>
      <c r="G45" s="516"/>
      <c r="H45" s="508">
        <f>-[40]Foreigndebt!G118</f>
        <v>-7115000</v>
      </c>
      <c r="I45" s="506"/>
      <c r="K45" s="494"/>
      <c r="L45" s="516"/>
      <c r="M45" s="508">
        <f>-[40]Foreigndebt!L118</f>
        <v>0</v>
      </c>
      <c r="N45" s="506"/>
      <c r="P45" s="494"/>
      <c r="Q45" s="516"/>
      <c r="R45" s="508">
        <f>-[40]Foreigndebt!Q118</f>
        <v>-7115000</v>
      </c>
      <c r="S45" s="506"/>
      <c r="U45" s="494"/>
      <c r="V45" s="516"/>
      <c r="W45" s="508">
        <f>-[40]Foreigndebt!V118</f>
        <v>0</v>
      </c>
      <c r="X45" s="506"/>
      <c r="Z45" s="494"/>
      <c r="AA45" s="516"/>
      <c r="AB45" s="508">
        <f>-[40]Foreigndebt!AA118</f>
        <v>0</v>
      </c>
      <c r="AC45" s="506"/>
      <c r="AE45" s="494"/>
      <c r="AF45" s="516"/>
      <c r="AG45" s="508">
        <f>-[40]Foreigndebt!AF118</f>
        <v>0</v>
      </c>
      <c r="AH45" s="506"/>
      <c r="AJ45" s="494"/>
      <c r="AK45" s="516"/>
      <c r="AL45" s="508">
        <f>-[40]Foreigndebt!AK118</f>
        <v>0</v>
      </c>
      <c r="AM45" s="506"/>
      <c r="AO45" s="494"/>
      <c r="AP45" s="516"/>
      <c r="AQ45" s="508">
        <f>-[40]Foreigndebt!AP118</f>
        <v>0</v>
      </c>
      <c r="AR45" s="506"/>
      <c r="AT45" s="494"/>
      <c r="AU45" s="516"/>
      <c r="AV45" s="508">
        <f>-[40]Foreigndebt!AU118</f>
        <v>0</v>
      </c>
      <c r="AW45" s="506"/>
      <c r="AY45" s="494"/>
      <c r="AZ45" s="516"/>
      <c r="BA45" s="508">
        <f>-[40]Foreigndebt!AZ118</f>
        <v>0</v>
      </c>
      <c r="BB45" s="506"/>
      <c r="BD45" s="494"/>
      <c r="BE45" s="516"/>
      <c r="BF45" s="508">
        <f>-[40]Foreigndebt!BE118</f>
        <v>0</v>
      </c>
      <c r="BG45" s="506"/>
      <c r="BI45" s="494"/>
      <c r="BJ45" s="516"/>
      <c r="BK45" s="508">
        <f>-[40]Foreigndebt!BJ118</f>
        <v>0</v>
      </c>
      <c r="BL45" s="506"/>
      <c r="BN45" s="494"/>
      <c r="BO45" s="516"/>
      <c r="BP45" s="508">
        <f>-[40]Foreigndebt!BO118</f>
        <v>0</v>
      </c>
      <c r="BQ45" s="506"/>
      <c r="BS45" s="494"/>
      <c r="BT45" s="516"/>
      <c r="BU45" s="508">
        <f>-[40]Foreigndebt!BT118</f>
        <v>-7115000</v>
      </c>
      <c r="BV45" s="506"/>
      <c r="BX45" s="494"/>
      <c r="BY45" s="516"/>
      <c r="BZ45" s="509">
        <f>-[40]Foreigndebt!BY118</f>
        <v>-1995428</v>
      </c>
      <c r="CA45" s="506"/>
      <c r="CC45" s="494"/>
      <c r="CD45" s="516"/>
      <c r="CE45" s="508">
        <f>-[40]Foreigndebt!CD118</f>
        <v>0</v>
      </c>
      <c r="CF45" s="506"/>
      <c r="CH45" s="494"/>
      <c r="CI45" s="516"/>
      <c r="CJ45" s="508">
        <f>-[40]Foreigndebt!CI118</f>
        <v>-1940</v>
      </c>
      <c r="CK45" s="506"/>
      <c r="CM45" s="494"/>
      <c r="CN45" s="516"/>
      <c r="CO45" s="508">
        <f>-[40]Foreigndebt!CN118</f>
        <v>0</v>
      </c>
      <c r="CP45" s="506"/>
      <c r="CR45" s="494"/>
      <c r="CS45" s="516"/>
      <c r="CT45" s="508">
        <f>-[40]Foreigndebt!CS118</f>
        <v>0</v>
      </c>
      <c r="CU45" s="506"/>
      <c r="CW45" s="494"/>
      <c r="CX45" s="516"/>
      <c r="CY45" s="508">
        <f>-[40]Foreigndebt!CX118</f>
        <v>0</v>
      </c>
      <c r="CZ45" s="506"/>
      <c r="DB45" s="494"/>
      <c r="DC45" s="516"/>
      <c r="DD45" s="508">
        <f>-[40]Foreigndebt!DC118</f>
        <v>-1993488</v>
      </c>
      <c r="DE45" s="506"/>
      <c r="DG45" s="494"/>
      <c r="DH45" s="516"/>
      <c r="DI45" s="508">
        <f>-[40]Foreigndebt!DH118</f>
        <v>0</v>
      </c>
      <c r="DJ45" s="506"/>
      <c r="DL45" s="494"/>
      <c r="DM45" s="516"/>
      <c r="DN45" s="508">
        <f>-[40]Foreigndebt!DM118</f>
        <v>0</v>
      </c>
      <c r="DO45" s="506"/>
      <c r="DQ45" s="494"/>
      <c r="DR45" s="516"/>
      <c r="DS45" s="508">
        <f>-[40]Foreigndebt!DR118</f>
        <v>0</v>
      </c>
      <c r="DT45" s="506"/>
      <c r="DV45" s="494"/>
      <c r="DW45" s="516"/>
      <c r="DX45" s="508">
        <f>-[40]Foreigndebt!DW118</f>
        <v>0</v>
      </c>
      <c r="DY45" s="506"/>
      <c r="EA45" s="494"/>
      <c r="EB45" s="516"/>
      <c r="EC45" s="508">
        <f>-[40]Foreigndebt!EB118</f>
        <v>0</v>
      </c>
      <c r="ED45" s="506"/>
      <c r="EF45" s="494"/>
      <c r="EG45" s="516"/>
      <c r="EH45" s="508">
        <f>-[40]Foreigndebt!EG118</f>
        <v>0</v>
      </c>
      <c r="EI45" s="506"/>
      <c r="EK45" s="494"/>
      <c r="EL45" s="516"/>
      <c r="EM45" s="508">
        <f>-[40]Foreigndebt!EL118</f>
        <v>-1995428</v>
      </c>
      <c r="EN45" s="506"/>
      <c r="EP45" s="144"/>
      <c r="ES45" s="42"/>
      <c r="ET45" s="42"/>
      <c r="EU45" s="42"/>
    </row>
    <row r="46" spans="3:151" x14ac:dyDescent="0.3">
      <c r="C46" s="271" t="s">
        <v>311</v>
      </c>
      <c r="E46" s="493"/>
      <c r="F46" s="516"/>
      <c r="G46" s="516"/>
      <c r="H46" s="511">
        <f>-[40]Foreigndebt!G119</f>
        <v>-8646600</v>
      </c>
      <c r="I46" s="506"/>
      <c r="K46" s="494"/>
      <c r="L46" s="516"/>
      <c r="M46" s="511">
        <f>-[40]Foreigndebt!L119</f>
        <v>0</v>
      </c>
      <c r="N46" s="506"/>
      <c r="P46" s="494"/>
      <c r="Q46" s="516"/>
      <c r="R46" s="511">
        <f>-[40]Foreigndebt!Q119</f>
        <v>-8646600</v>
      </c>
      <c r="S46" s="506"/>
      <c r="U46" s="494"/>
      <c r="V46" s="516"/>
      <c r="W46" s="511">
        <f>-[40]Foreigndebt!V119</f>
        <v>0</v>
      </c>
      <c r="X46" s="506"/>
      <c r="Z46" s="494"/>
      <c r="AA46" s="516"/>
      <c r="AB46" s="511">
        <f>-[40]Foreigndebt!AA119</f>
        <v>0</v>
      </c>
      <c r="AC46" s="506"/>
      <c r="AE46" s="494"/>
      <c r="AF46" s="516"/>
      <c r="AG46" s="511">
        <f>-[40]Foreigndebt!AF119</f>
        <v>0</v>
      </c>
      <c r="AH46" s="506"/>
      <c r="AJ46" s="494"/>
      <c r="AK46" s="516"/>
      <c r="AL46" s="511">
        <f>-[40]Foreigndebt!AK119</f>
        <v>0</v>
      </c>
      <c r="AM46" s="506"/>
      <c r="AO46" s="494"/>
      <c r="AP46" s="516"/>
      <c r="AQ46" s="511">
        <f>-[40]Foreigndebt!AP119</f>
        <v>0</v>
      </c>
      <c r="AR46" s="506"/>
      <c r="AT46" s="494"/>
      <c r="AU46" s="516"/>
      <c r="AV46" s="511">
        <f>-[40]Foreigndebt!AU119</f>
        <v>0</v>
      </c>
      <c r="AW46" s="506"/>
      <c r="AY46" s="494"/>
      <c r="AZ46" s="516"/>
      <c r="BA46" s="511">
        <f>-[40]Foreigndebt!AZ119</f>
        <v>0</v>
      </c>
      <c r="BB46" s="506"/>
      <c r="BD46" s="494"/>
      <c r="BE46" s="516"/>
      <c r="BF46" s="511">
        <f>-[40]Foreigndebt!BE119</f>
        <v>0</v>
      </c>
      <c r="BG46" s="506"/>
      <c r="BI46" s="494"/>
      <c r="BJ46" s="516"/>
      <c r="BK46" s="511">
        <f>-[40]Foreigndebt!BJ119</f>
        <v>0</v>
      </c>
      <c r="BL46" s="506"/>
      <c r="BN46" s="494"/>
      <c r="BO46" s="516"/>
      <c r="BP46" s="511">
        <f>-[40]Foreigndebt!BO119</f>
        <v>0</v>
      </c>
      <c r="BQ46" s="506"/>
      <c r="BS46" s="494"/>
      <c r="BT46" s="516"/>
      <c r="BU46" s="511">
        <f>-[40]Foreigndebt!BT119</f>
        <v>-8646600</v>
      </c>
      <c r="BV46" s="506"/>
      <c r="BX46" s="494"/>
      <c r="BY46" s="516"/>
      <c r="BZ46" s="510">
        <f>-[40]Foreigndebt!BY119</f>
        <v>-1923406</v>
      </c>
      <c r="CA46" s="506"/>
      <c r="CC46" s="494"/>
      <c r="CD46" s="516"/>
      <c r="CE46" s="511">
        <f>-[40]Foreigndebt!CD119</f>
        <v>0</v>
      </c>
      <c r="CF46" s="506"/>
      <c r="CH46" s="494"/>
      <c r="CI46" s="516"/>
      <c r="CJ46" s="511">
        <f>-[40]Foreigndebt!CI119</f>
        <v>-4114</v>
      </c>
      <c r="CK46" s="506"/>
      <c r="CM46" s="494"/>
      <c r="CN46" s="516"/>
      <c r="CO46" s="511">
        <f>-[40]Foreigndebt!CN119</f>
        <v>0</v>
      </c>
      <c r="CP46" s="506"/>
      <c r="CR46" s="494"/>
      <c r="CS46" s="516"/>
      <c r="CT46" s="511">
        <f>-[40]Foreigndebt!CS119</f>
        <v>0</v>
      </c>
      <c r="CU46" s="506"/>
      <c r="CW46" s="494"/>
      <c r="CX46" s="516"/>
      <c r="CY46" s="511">
        <f>-[40]Foreigndebt!CX119</f>
        <v>0</v>
      </c>
      <c r="CZ46" s="506"/>
      <c r="DB46" s="494"/>
      <c r="DC46" s="516"/>
      <c r="DD46" s="511">
        <f>-[40]Foreigndebt!DC119</f>
        <v>-1919292</v>
      </c>
      <c r="DE46" s="506"/>
      <c r="DG46" s="494"/>
      <c r="DH46" s="516"/>
      <c r="DI46" s="511">
        <f>-[40]Foreigndebt!DH119</f>
        <v>0</v>
      </c>
      <c r="DJ46" s="506"/>
      <c r="DL46" s="494"/>
      <c r="DM46" s="516"/>
      <c r="DN46" s="511">
        <f>-[40]Foreigndebt!DM119</f>
        <v>0</v>
      </c>
      <c r="DO46" s="506"/>
      <c r="DQ46" s="494"/>
      <c r="DR46" s="516"/>
      <c r="DS46" s="511">
        <f>-[40]Foreigndebt!DR119</f>
        <v>0</v>
      </c>
      <c r="DT46" s="506"/>
      <c r="DV46" s="494"/>
      <c r="DW46" s="516"/>
      <c r="DX46" s="511">
        <f>-[40]Foreigndebt!DW119</f>
        <v>0</v>
      </c>
      <c r="DY46" s="506"/>
      <c r="EA46" s="494"/>
      <c r="EB46" s="516"/>
      <c r="EC46" s="511">
        <f>-[40]Foreigndebt!EB119</f>
        <v>0</v>
      </c>
      <c r="ED46" s="506"/>
      <c r="EF46" s="494"/>
      <c r="EG46" s="516"/>
      <c r="EH46" s="511">
        <f>-[40]Foreigndebt!EG119</f>
        <v>0</v>
      </c>
      <c r="EI46" s="506"/>
      <c r="EK46" s="494"/>
      <c r="EL46" s="516"/>
      <c r="EM46" s="511">
        <f>-[40]Foreigndebt!EL119</f>
        <v>-1923406</v>
      </c>
      <c r="EN46" s="506"/>
      <c r="EP46" s="144"/>
      <c r="ES46" s="42"/>
      <c r="ET46" s="42"/>
      <c r="EU46" s="42"/>
    </row>
    <row r="47" spans="3:151" ht="13.9" hidden="1" customHeight="1" x14ac:dyDescent="0.3">
      <c r="C47" s="144"/>
      <c r="E47" s="493"/>
      <c r="F47" s="516"/>
      <c r="G47" s="516"/>
      <c r="I47" s="506"/>
      <c r="K47" s="494"/>
      <c r="L47" s="516"/>
      <c r="N47" s="506"/>
      <c r="P47" s="494"/>
      <c r="Q47" s="516"/>
      <c r="S47" s="506"/>
      <c r="U47" s="494"/>
      <c r="V47" s="516"/>
      <c r="X47" s="506"/>
      <c r="Z47" s="494"/>
      <c r="AA47" s="516"/>
      <c r="AC47" s="506"/>
      <c r="AE47" s="494"/>
      <c r="AF47" s="516"/>
      <c r="AH47" s="506"/>
      <c r="AJ47" s="494"/>
      <c r="AK47" s="516"/>
      <c r="AM47" s="506"/>
      <c r="AO47" s="494"/>
      <c r="AP47" s="516"/>
      <c r="AR47" s="506"/>
      <c r="AT47" s="494"/>
      <c r="AU47" s="516"/>
      <c r="AW47" s="506"/>
      <c r="AY47" s="494"/>
      <c r="AZ47" s="516"/>
      <c r="BB47" s="506"/>
      <c r="BD47" s="494"/>
      <c r="BE47" s="516"/>
      <c r="BG47" s="506"/>
      <c r="BI47" s="494"/>
      <c r="BJ47" s="516"/>
      <c r="BL47" s="506"/>
      <c r="BN47" s="494"/>
      <c r="BO47" s="516"/>
      <c r="BQ47" s="506"/>
      <c r="BS47" s="494"/>
      <c r="BT47" s="516"/>
      <c r="BV47" s="506"/>
      <c r="BX47" s="494"/>
      <c r="BY47" s="516"/>
      <c r="BZ47" s="512"/>
      <c r="CA47" s="506"/>
      <c r="CC47" s="494"/>
      <c r="CD47" s="516"/>
      <c r="CF47" s="506"/>
      <c r="CH47" s="494"/>
      <c r="CI47" s="516"/>
      <c r="CK47" s="506"/>
      <c r="CM47" s="494"/>
      <c r="CN47" s="516"/>
      <c r="CP47" s="506"/>
      <c r="CR47" s="494"/>
      <c r="CS47" s="516"/>
      <c r="CU47" s="506"/>
      <c r="CW47" s="494"/>
      <c r="CX47" s="516"/>
      <c r="CZ47" s="506"/>
      <c r="DB47" s="494"/>
      <c r="DC47" s="516"/>
      <c r="DE47" s="506"/>
      <c r="DG47" s="494"/>
      <c r="DH47" s="516"/>
      <c r="DJ47" s="506"/>
      <c r="DL47" s="494"/>
      <c r="DM47" s="516"/>
      <c r="DO47" s="506"/>
      <c r="DQ47" s="494"/>
      <c r="DR47" s="516"/>
      <c r="DT47" s="506"/>
      <c r="DV47" s="494"/>
      <c r="DW47" s="516"/>
      <c r="DY47" s="506"/>
      <c r="EA47" s="494"/>
      <c r="EB47" s="516"/>
      <c r="ED47" s="506"/>
      <c r="EF47" s="494"/>
      <c r="EG47" s="516"/>
      <c r="EI47" s="506"/>
      <c r="EK47" s="494"/>
      <c r="EL47" s="516"/>
      <c r="EN47" s="506"/>
      <c r="EP47" s="144"/>
      <c r="ES47" s="42"/>
      <c r="ET47" s="42"/>
      <c r="EU47" s="42"/>
    </row>
    <row r="48" spans="3:151" ht="13.9" hidden="1" customHeight="1" x14ac:dyDescent="0.3">
      <c r="C48" s="144" t="s">
        <v>301</v>
      </c>
      <c r="E48" s="493"/>
      <c r="F48" s="516"/>
      <c r="G48" s="516"/>
      <c r="H48" s="136">
        <f>SUM(H49:H53)</f>
        <v>0</v>
      </c>
      <c r="I48" s="506"/>
      <c r="K48" s="494"/>
      <c r="L48" s="516"/>
      <c r="M48" s="136">
        <f>SUM(M49:M53)</f>
        <v>0</v>
      </c>
      <c r="N48" s="506"/>
      <c r="P48" s="494"/>
      <c r="Q48" s="516"/>
      <c r="R48" s="136">
        <f>SUM(R49:R53)</f>
        <v>0</v>
      </c>
      <c r="S48" s="506"/>
      <c r="U48" s="494"/>
      <c r="V48" s="516"/>
      <c r="W48" s="136">
        <f>SUM(W49:W53)</f>
        <v>0</v>
      </c>
      <c r="X48" s="506"/>
      <c r="Z48" s="494"/>
      <c r="AA48" s="516"/>
      <c r="AB48" s="136">
        <f>SUM(AB49:AB53)</f>
        <v>0</v>
      </c>
      <c r="AC48" s="506"/>
      <c r="AE48" s="494"/>
      <c r="AF48" s="516"/>
      <c r="AG48" s="136">
        <f>SUM(AG49:AG53)</f>
        <v>0</v>
      </c>
      <c r="AH48" s="506"/>
      <c r="AJ48" s="494"/>
      <c r="AK48" s="516"/>
      <c r="AL48" s="136">
        <f>SUM(AL49:AL53)</f>
        <v>0</v>
      </c>
      <c r="AM48" s="506"/>
      <c r="AO48" s="494"/>
      <c r="AP48" s="516"/>
      <c r="AQ48" s="136">
        <f>SUM(AQ49:AQ53)</f>
        <v>0</v>
      </c>
      <c r="AR48" s="506"/>
      <c r="AT48" s="494"/>
      <c r="AU48" s="516"/>
      <c r="AV48" s="136">
        <f>SUM(AV49:AV53)</f>
        <v>0</v>
      </c>
      <c r="AW48" s="506"/>
      <c r="AY48" s="494"/>
      <c r="AZ48" s="516"/>
      <c r="BA48" s="136">
        <f>SUM(BA49:BA53)</f>
        <v>0</v>
      </c>
      <c r="BB48" s="506"/>
      <c r="BD48" s="494"/>
      <c r="BE48" s="516"/>
      <c r="BF48" s="136">
        <f>SUM(BF49:BF53)</f>
        <v>0</v>
      </c>
      <c r="BG48" s="506"/>
      <c r="BI48" s="494"/>
      <c r="BJ48" s="516"/>
      <c r="BK48" s="136">
        <f>SUM(BK49:BK53)</f>
        <v>0</v>
      </c>
      <c r="BL48" s="506"/>
      <c r="BN48" s="494"/>
      <c r="BO48" s="516"/>
      <c r="BP48" s="136">
        <f>SUM(BP49:BP53)</f>
        <v>0</v>
      </c>
      <c r="BQ48" s="506"/>
      <c r="BS48" s="494"/>
      <c r="BT48" s="516"/>
      <c r="BU48" s="136">
        <f>SUM(BU49:BU53)</f>
        <v>0</v>
      </c>
      <c r="BV48" s="506"/>
      <c r="BX48" s="494"/>
      <c r="BY48" s="516"/>
      <c r="BZ48" s="512">
        <f>SUM(BZ49:BZ53)</f>
        <v>0</v>
      </c>
      <c r="CA48" s="506"/>
      <c r="CC48" s="494"/>
      <c r="CD48" s="516"/>
      <c r="CE48" s="136">
        <f>SUM(CE49:CE53)</f>
        <v>0</v>
      </c>
      <c r="CF48" s="506"/>
      <c r="CH48" s="494"/>
      <c r="CI48" s="516"/>
      <c r="CJ48" s="136">
        <f>SUM(CJ49:CJ53)</f>
        <v>0</v>
      </c>
      <c r="CK48" s="506"/>
      <c r="CM48" s="494"/>
      <c r="CN48" s="516"/>
      <c r="CO48" s="136">
        <f>SUM(CO49:CO53)</f>
        <v>0</v>
      </c>
      <c r="CP48" s="506"/>
      <c r="CR48" s="494"/>
      <c r="CS48" s="516"/>
      <c r="CT48" s="136">
        <f>SUM(CT49:CT53)</f>
        <v>0</v>
      </c>
      <c r="CU48" s="506"/>
      <c r="CW48" s="494"/>
      <c r="CX48" s="516"/>
      <c r="CY48" s="136">
        <f>SUM(CY49:CY53)</f>
        <v>0</v>
      </c>
      <c r="CZ48" s="506"/>
      <c r="DB48" s="494"/>
      <c r="DC48" s="516"/>
      <c r="DD48" s="136">
        <f>SUM(DD49:DD53)</f>
        <v>0</v>
      </c>
      <c r="DE48" s="506"/>
      <c r="DG48" s="494"/>
      <c r="DH48" s="516"/>
      <c r="DI48" s="136">
        <f>SUM(DI49:DI53)</f>
        <v>0</v>
      </c>
      <c r="DJ48" s="506"/>
      <c r="DL48" s="494"/>
      <c r="DM48" s="516"/>
      <c r="DN48" s="136">
        <f>SUM(DN49:DN53)</f>
        <v>0</v>
      </c>
      <c r="DO48" s="506"/>
      <c r="DQ48" s="494"/>
      <c r="DR48" s="516"/>
      <c r="DS48" s="136">
        <f>SUM(DS49:DS53)</f>
        <v>0</v>
      </c>
      <c r="DT48" s="506"/>
      <c r="DV48" s="494"/>
      <c r="DW48" s="516"/>
      <c r="DX48" s="136">
        <f>SUM(DX49:DX53)</f>
        <v>0</v>
      </c>
      <c r="DY48" s="506"/>
      <c r="EA48" s="494"/>
      <c r="EB48" s="516"/>
      <c r="EC48" s="136">
        <f>SUM(EC49:EC53)</f>
        <v>0</v>
      </c>
      <c r="ED48" s="506"/>
      <c r="EF48" s="494"/>
      <c r="EG48" s="516"/>
      <c r="EH48" s="136">
        <f>SUM(EH49:EH53)</f>
        <v>0</v>
      </c>
      <c r="EI48" s="506"/>
      <c r="EK48" s="494"/>
      <c r="EL48" s="516"/>
      <c r="EM48" s="136">
        <f>SUM(EM49:EM53)</f>
        <v>0</v>
      </c>
      <c r="EN48" s="506"/>
      <c r="EP48" s="144"/>
      <c r="ES48" s="42"/>
      <c r="ET48" s="42"/>
      <c r="EU48" s="42"/>
    </row>
    <row r="49" spans="3:151" ht="13.9" hidden="1" customHeight="1" x14ac:dyDescent="0.3">
      <c r="C49" s="144" t="s">
        <v>295</v>
      </c>
      <c r="E49" s="493"/>
      <c r="F49" s="516"/>
      <c r="G49" s="516"/>
      <c r="H49" s="507">
        <f>[40]Foreigndebt!G72</f>
        <v>0</v>
      </c>
      <c r="I49" s="506"/>
      <c r="K49" s="494"/>
      <c r="L49" s="516"/>
      <c r="M49" s="507">
        <f>[40]Foreigndebt!L72</f>
        <v>0</v>
      </c>
      <c r="N49" s="506"/>
      <c r="P49" s="494"/>
      <c r="Q49" s="516"/>
      <c r="R49" s="507">
        <f>[40]Foreigndebt!Q72</f>
        <v>0</v>
      </c>
      <c r="S49" s="506"/>
      <c r="U49" s="494"/>
      <c r="V49" s="516"/>
      <c r="W49" s="507">
        <f>[40]Foreigndebt!V72</f>
        <v>0</v>
      </c>
      <c r="X49" s="506"/>
      <c r="Z49" s="494"/>
      <c r="AA49" s="516"/>
      <c r="AB49" s="507">
        <f>[40]Foreigndebt!AA72</f>
        <v>0</v>
      </c>
      <c r="AC49" s="506"/>
      <c r="AE49" s="494"/>
      <c r="AF49" s="516"/>
      <c r="AG49" s="507">
        <f>[40]Foreigndebt!AF72</f>
        <v>0</v>
      </c>
      <c r="AH49" s="506"/>
      <c r="AJ49" s="494"/>
      <c r="AK49" s="516"/>
      <c r="AL49" s="507">
        <f>[40]Foreigndebt!AK72</f>
        <v>0</v>
      </c>
      <c r="AM49" s="506"/>
      <c r="AO49" s="494"/>
      <c r="AP49" s="516"/>
      <c r="AQ49" s="507">
        <f>[40]Foreigndebt!AP72</f>
        <v>0</v>
      </c>
      <c r="AR49" s="506"/>
      <c r="AT49" s="494"/>
      <c r="AU49" s="516"/>
      <c r="AV49" s="507">
        <f>[40]Foreigndebt!AU72</f>
        <v>0</v>
      </c>
      <c r="AW49" s="506"/>
      <c r="AY49" s="494"/>
      <c r="AZ49" s="516"/>
      <c r="BA49" s="507">
        <f>[40]Foreigndebt!AZ72</f>
        <v>0</v>
      </c>
      <c r="BB49" s="506"/>
      <c r="BD49" s="494"/>
      <c r="BE49" s="516"/>
      <c r="BF49" s="507">
        <f>[40]Foreigndebt!BE72</f>
        <v>0</v>
      </c>
      <c r="BG49" s="506"/>
      <c r="BI49" s="494"/>
      <c r="BJ49" s="516"/>
      <c r="BK49" s="507">
        <f>[40]Foreigndebt!BJ72</f>
        <v>0</v>
      </c>
      <c r="BL49" s="506"/>
      <c r="BN49" s="494"/>
      <c r="BO49" s="516"/>
      <c r="BP49" s="507">
        <f>[40]Foreigndebt!BO72</f>
        <v>0</v>
      </c>
      <c r="BQ49" s="506"/>
      <c r="BS49" s="494"/>
      <c r="BT49" s="516"/>
      <c r="BU49" s="507">
        <f>[40]Foreigndebt!BT72</f>
        <v>0</v>
      </c>
      <c r="BV49" s="506"/>
      <c r="BX49" s="494"/>
      <c r="BY49" s="516"/>
      <c r="BZ49" s="505">
        <f>[40]Foreigndebt!BY73</f>
        <v>0</v>
      </c>
      <c r="CA49" s="506"/>
      <c r="CC49" s="494"/>
      <c r="CD49" s="516"/>
      <c r="CE49" s="507">
        <f>[40]Foreigndebt!CD72</f>
        <v>0</v>
      </c>
      <c r="CF49" s="506"/>
      <c r="CH49" s="494"/>
      <c r="CI49" s="516"/>
      <c r="CJ49" s="507">
        <f>[40]Foreigndebt!CI72</f>
        <v>0</v>
      </c>
      <c r="CK49" s="506"/>
      <c r="CM49" s="494"/>
      <c r="CN49" s="516"/>
      <c r="CO49" s="507">
        <f>[40]Foreigndebt!CN72</f>
        <v>0</v>
      </c>
      <c r="CP49" s="506"/>
      <c r="CR49" s="494"/>
      <c r="CS49" s="516"/>
      <c r="CT49" s="507">
        <f>[40]Foreigndebt!CS72</f>
        <v>0</v>
      </c>
      <c r="CU49" s="506"/>
      <c r="CW49" s="494"/>
      <c r="CX49" s="516"/>
      <c r="CY49" s="507">
        <f>[40]Foreigndebt!CX72</f>
        <v>0</v>
      </c>
      <c r="CZ49" s="506"/>
      <c r="DB49" s="494"/>
      <c r="DC49" s="516"/>
      <c r="DD49" s="507">
        <f>[40]Foreigndebt!DC72</f>
        <v>0</v>
      </c>
      <c r="DE49" s="506"/>
      <c r="DG49" s="494"/>
      <c r="DH49" s="516"/>
      <c r="DI49" s="507">
        <f>[40]Foreigndebt!DH72</f>
        <v>0</v>
      </c>
      <c r="DJ49" s="506"/>
      <c r="DL49" s="494"/>
      <c r="DM49" s="516"/>
      <c r="DN49" s="507">
        <f>[40]Foreigndebt!DM72</f>
        <v>0</v>
      </c>
      <c r="DO49" s="506"/>
      <c r="DQ49" s="494"/>
      <c r="DR49" s="516"/>
      <c r="DS49" s="507">
        <f>[40]Foreigndebt!DR72</f>
        <v>0</v>
      </c>
      <c r="DT49" s="506"/>
      <c r="DV49" s="494"/>
      <c r="DW49" s="516"/>
      <c r="DX49" s="507">
        <f>[40]Foreigndebt!DW72</f>
        <v>0</v>
      </c>
      <c r="DY49" s="506"/>
      <c r="EA49" s="494"/>
      <c r="EB49" s="516"/>
      <c r="EC49" s="507">
        <f>[40]Foreigndebt!EB72</f>
        <v>0</v>
      </c>
      <c r="ED49" s="506"/>
      <c r="EF49" s="494"/>
      <c r="EG49" s="516"/>
      <c r="EH49" s="507">
        <f>[40]Foreigndebt!EG72</f>
        <v>0</v>
      </c>
      <c r="EI49" s="506"/>
      <c r="EK49" s="494"/>
      <c r="EL49" s="516"/>
      <c r="EM49" s="507">
        <f>[40]Foreigndebt!EL72</f>
        <v>0</v>
      </c>
      <c r="EN49" s="506"/>
      <c r="EP49" s="144"/>
      <c r="ES49" s="42"/>
      <c r="ET49" s="42"/>
      <c r="EU49" s="42"/>
    </row>
    <row r="50" spans="3:151" ht="13.9" hidden="1" customHeight="1" x14ac:dyDescent="0.3">
      <c r="C50" s="144" t="s">
        <v>297</v>
      </c>
      <c r="E50" s="493"/>
      <c r="F50" s="516"/>
      <c r="G50" s="516"/>
      <c r="H50" s="508">
        <f>-[40]Foreigndebt!G74</f>
        <v>0</v>
      </c>
      <c r="I50" s="506"/>
      <c r="K50" s="494"/>
      <c r="L50" s="516"/>
      <c r="M50" s="508">
        <f>-[40]Foreigndebt!L74</f>
        <v>0</v>
      </c>
      <c r="N50" s="506"/>
      <c r="P50" s="494"/>
      <c r="Q50" s="516"/>
      <c r="R50" s="508">
        <f>-[40]Foreigndebt!Q74</f>
        <v>0</v>
      </c>
      <c r="S50" s="506"/>
      <c r="U50" s="494"/>
      <c r="V50" s="516"/>
      <c r="W50" s="508">
        <f>-[40]Foreigndebt!V74</f>
        <v>0</v>
      </c>
      <c r="X50" s="506"/>
      <c r="Z50" s="494"/>
      <c r="AA50" s="516"/>
      <c r="AB50" s="508">
        <f>-[40]Foreigndebt!AA74</f>
        <v>0</v>
      </c>
      <c r="AC50" s="506"/>
      <c r="AE50" s="494"/>
      <c r="AF50" s="516"/>
      <c r="AG50" s="508">
        <f>-[40]Foreigndebt!AF74</f>
        <v>0</v>
      </c>
      <c r="AH50" s="506"/>
      <c r="AJ50" s="494"/>
      <c r="AK50" s="516"/>
      <c r="AL50" s="508">
        <f>-[40]Foreigndebt!AK74</f>
        <v>0</v>
      </c>
      <c r="AM50" s="506"/>
      <c r="AO50" s="494"/>
      <c r="AP50" s="516"/>
      <c r="AQ50" s="508">
        <f>-[40]Foreigndebt!AP74</f>
        <v>0</v>
      </c>
      <c r="AR50" s="506"/>
      <c r="AT50" s="494"/>
      <c r="AU50" s="516"/>
      <c r="AV50" s="508">
        <f>-[40]Foreigndebt!AU74</f>
        <v>0</v>
      </c>
      <c r="AW50" s="506"/>
      <c r="AY50" s="494"/>
      <c r="AZ50" s="516"/>
      <c r="BA50" s="508">
        <f>-[40]Foreigndebt!AZ74</f>
        <v>0</v>
      </c>
      <c r="BB50" s="506"/>
      <c r="BD50" s="494"/>
      <c r="BE50" s="516"/>
      <c r="BF50" s="508">
        <f>-[40]Foreigndebt!BE74</f>
        <v>0</v>
      </c>
      <c r="BG50" s="506"/>
      <c r="BI50" s="494"/>
      <c r="BJ50" s="516"/>
      <c r="BK50" s="508">
        <f>-[40]Foreigndebt!BJ74</f>
        <v>0</v>
      </c>
      <c r="BL50" s="506"/>
      <c r="BN50" s="494"/>
      <c r="BO50" s="516"/>
      <c r="BP50" s="508">
        <f>-[40]Foreigndebt!BO74</f>
        <v>0</v>
      </c>
      <c r="BQ50" s="506"/>
      <c r="BS50" s="494"/>
      <c r="BT50" s="516"/>
      <c r="BU50" s="508">
        <f>-[40]Foreigndebt!BT74</f>
        <v>0</v>
      </c>
      <c r="BV50" s="506"/>
      <c r="BX50" s="494"/>
      <c r="BY50" s="516"/>
      <c r="BZ50" s="509">
        <v>0</v>
      </c>
      <c r="CA50" s="506"/>
      <c r="CC50" s="494"/>
      <c r="CD50" s="516"/>
      <c r="CE50" s="508">
        <f>-[40]Foreigndebt!CD74</f>
        <v>0</v>
      </c>
      <c r="CF50" s="506"/>
      <c r="CH50" s="494"/>
      <c r="CI50" s="516"/>
      <c r="CJ50" s="508">
        <f>-[40]Foreigndebt!CI74</f>
        <v>0</v>
      </c>
      <c r="CK50" s="506"/>
      <c r="CM50" s="494"/>
      <c r="CN50" s="516"/>
      <c r="CO50" s="508">
        <f>-[40]Foreigndebt!CN74</f>
        <v>0</v>
      </c>
      <c r="CP50" s="506"/>
      <c r="CR50" s="494"/>
      <c r="CS50" s="516"/>
      <c r="CT50" s="508">
        <f>-[40]Foreigndebt!CS74</f>
        <v>0</v>
      </c>
      <c r="CU50" s="506"/>
      <c r="CW50" s="494"/>
      <c r="CX50" s="516"/>
      <c r="CY50" s="508">
        <f>-[40]Foreigndebt!CX74</f>
        <v>0</v>
      </c>
      <c r="CZ50" s="506"/>
      <c r="DB50" s="494"/>
      <c r="DC50" s="516"/>
      <c r="DD50" s="508">
        <f>-[40]Foreigndebt!DC74</f>
        <v>0</v>
      </c>
      <c r="DE50" s="506"/>
      <c r="DG50" s="494"/>
      <c r="DH50" s="516"/>
      <c r="DI50" s="508">
        <f>-[40]Foreigndebt!DH74</f>
        <v>0</v>
      </c>
      <c r="DJ50" s="506"/>
      <c r="DL50" s="494"/>
      <c r="DM50" s="516"/>
      <c r="DN50" s="508">
        <f>-[40]Foreigndebt!DM74</f>
        <v>0</v>
      </c>
      <c r="DO50" s="506"/>
      <c r="DQ50" s="494"/>
      <c r="DR50" s="516"/>
      <c r="DS50" s="508">
        <f>-[40]Foreigndebt!DR74</f>
        <v>0</v>
      </c>
      <c r="DT50" s="506"/>
      <c r="DV50" s="494"/>
      <c r="DW50" s="516"/>
      <c r="DX50" s="508">
        <f>-[40]Foreigndebt!DW74</f>
        <v>0</v>
      </c>
      <c r="DY50" s="506"/>
      <c r="EA50" s="494"/>
      <c r="EB50" s="516"/>
      <c r="EC50" s="508">
        <f>-[40]Foreigndebt!EB74</f>
        <v>0</v>
      </c>
      <c r="ED50" s="506"/>
      <c r="EF50" s="494"/>
      <c r="EG50" s="516"/>
      <c r="EH50" s="508">
        <f>-[40]Foreigndebt!EG74</f>
        <v>0</v>
      </c>
      <c r="EI50" s="506"/>
      <c r="EK50" s="494"/>
      <c r="EL50" s="516"/>
      <c r="EM50" s="508">
        <f>-[40]Foreigndebt!EL74</f>
        <v>0</v>
      </c>
      <c r="EN50" s="506"/>
      <c r="EP50" s="144"/>
      <c r="ES50" s="42"/>
      <c r="ET50" s="42"/>
      <c r="EU50" s="42"/>
    </row>
    <row r="51" spans="3:151" ht="13.9" hidden="1" customHeight="1" x14ac:dyDescent="0.3">
      <c r="C51" s="144" t="s">
        <v>312</v>
      </c>
      <c r="E51" s="493"/>
      <c r="F51" s="516"/>
      <c r="G51" s="516"/>
      <c r="H51" s="508"/>
      <c r="I51" s="506"/>
      <c r="K51" s="494"/>
      <c r="L51" s="516"/>
      <c r="M51" s="508"/>
      <c r="N51" s="506"/>
      <c r="P51" s="494"/>
      <c r="Q51" s="516"/>
      <c r="R51" s="508"/>
      <c r="S51" s="506"/>
      <c r="U51" s="494"/>
      <c r="V51" s="516"/>
      <c r="W51" s="508"/>
      <c r="X51" s="506"/>
      <c r="Z51" s="494"/>
      <c r="AA51" s="516"/>
      <c r="AB51" s="508"/>
      <c r="AC51" s="506"/>
      <c r="AE51" s="494"/>
      <c r="AF51" s="516"/>
      <c r="AG51" s="508"/>
      <c r="AH51" s="506"/>
      <c r="AJ51" s="494"/>
      <c r="AK51" s="516"/>
      <c r="AL51" s="508"/>
      <c r="AM51" s="506"/>
      <c r="AO51" s="494"/>
      <c r="AP51" s="516"/>
      <c r="AQ51" s="508"/>
      <c r="AR51" s="506"/>
      <c r="AT51" s="494"/>
      <c r="AU51" s="516"/>
      <c r="AV51" s="508"/>
      <c r="AW51" s="506"/>
      <c r="AY51" s="494"/>
      <c r="AZ51" s="516"/>
      <c r="BA51" s="508"/>
      <c r="BB51" s="506"/>
      <c r="BD51" s="494"/>
      <c r="BE51" s="516"/>
      <c r="BF51" s="508"/>
      <c r="BG51" s="506"/>
      <c r="BI51" s="494"/>
      <c r="BJ51" s="516"/>
      <c r="BK51" s="508"/>
      <c r="BL51" s="506"/>
      <c r="BN51" s="494"/>
      <c r="BO51" s="516"/>
      <c r="BP51" s="508"/>
      <c r="BQ51" s="506"/>
      <c r="BS51" s="494"/>
      <c r="BT51" s="516"/>
      <c r="BU51" s="508"/>
      <c r="BV51" s="506"/>
      <c r="BX51" s="494"/>
      <c r="BY51" s="516"/>
      <c r="BZ51" s="509"/>
      <c r="CA51" s="506"/>
      <c r="CC51" s="494"/>
      <c r="CD51" s="516"/>
      <c r="CE51" s="508"/>
      <c r="CF51" s="506"/>
      <c r="CH51" s="494"/>
      <c r="CI51" s="516"/>
      <c r="CJ51" s="508"/>
      <c r="CK51" s="506"/>
      <c r="CM51" s="494"/>
      <c r="CN51" s="516"/>
      <c r="CO51" s="508"/>
      <c r="CP51" s="506"/>
      <c r="CR51" s="494"/>
      <c r="CS51" s="516"/>
      <c r="CT51" s="508"/>
      <c r="CU51" s="506"/>
      <c r="CW51" s="494"/>
      <c r="CX51" s="516"/>
      <c r="CY51" s="508"/>
      <c r="CZ51" s="506"/>
      <c r="DB51" s="494"/>
      <c r="DC51" s="516"/>
      <c r="DD51" s="508"/>
      <c r="DE51" s="506"/>
      <c r="DG51" s="494"/>
      <c r="DH51" s="516"/>
      <c r="DI51" s="508"/>
      <c r="DJ51" s="506"/>
      <c r="DL51" s="494"/>
      <c r="DM51" s="516"/>
      <c r="DN51" s="508"/>
      <c r="DO51" s="506"/>
      <c r="DQ51" s="494"/>
      <c r="DR51" s="516"/>
      <c r="DS51" s="508"/>
      <c r="DT51" s="506"/>
      <c r="DV51" s="494"/>
      <c r="DW51" s="516"/>
      <c r="DX51" s="508"/>
      <c r="DY51" s="506"/>
      <c r="EA51" s="494"/>
      <c r="EB51" s="516"/>
      <c r="EC51" s="508"/>
      <c r="ED51" s="506"/>
      <c r="EF51" s="494"/>
      <c r="EG51" s="516"/>
      <c r="EH51" s="508"/>
      <c r="EI51" s="506"/>
      <c r="EK51" s="494"/>
      <c r="EL51" s="516"/>
      <c r="EM51" s="508"/>
      <c r="EN51" s="506"/>
      <c r="EP51" s="144"/>
      <c r="ES51" s="42"/>
      <c r="ET51" s="42"/>
      <c r="EU51" s="42"/>
    </row>
    <row r="52" spans="3:151" ht="13.9" hidden="1" customHeight="1" x14ac:dyDescent="0.3">
      <c r="C52" s="271" t="s">
        <v>313</v>
      </c>
      <c r="E52" s="493"/>
      <c r="F52" s="516"/>
      <c r="G52" s="516"/>
      <c r="H52" s="508">
        <f>-[40]Foreigndebt!G166</f>
        <v>0</v>
      </c>
      <c r="I52" s="506"/>
      <c r="K52" s="494"/>
      <c r="L52" s="516"/>
      <c r="M52" s="508">
        <f>-[40]Foreigndebt!L166</f>
        <v>0</v>
      </c>
      <c r="N52" s="506"/>
      <c r="P52" s="494"/>
      <c r="Q52" s="516"/>
      <c r="R52" s="508">
        <f>-[40]Foreigndebt!Q166</f>
        <v>0</v>
      </c>
      <c r="S52" s="506"/>
      <c r="U52" s="494"/>
      <c r="V52" s="516"/>
      <c r="W52" s="508">
        <f>-[40]Foreigndebt!V166</f>
        <v>0</v>
      </c>
      <c r="X52" s="506"/>
      <c r="Z52" s="494"/>
      <c r="AA52" s="516"/>
      <c r="AB52" s="508">
        <f>-[40]Foreigndebt!AA166</f>
        <v>0</v>
      </c>
      <c r="AC52" s="506"/>
      <c r="AE52" s="494"/>
      <c r="AF52" s="516"/>
      <c r="AG52" s="508">
        <f>-[40]Foreigndebt!AF166</f>
        <v>0</v>
      </c>
      <c r="AH52" s="506"/>
      <c r="AJ52" s="494"/>
      <c r="AK52" s="516"/>
      <c r="AL52" s="508">
        <f>-[40]Foreigndebt!AK166</f>
        <v>0</v>
      </c>
      <c r="AM52" s="506"/>
      <c r="AO52" s="494"/>
      <c r="AP52" s="516"/>
      <c r="AQ52" s="508">
        <f>-[40]Foreigndebt!AP166</f>
        <v>0</v>
      </c>
      <c r="AR52" s="506"/>
      <c r="AT52" s="494"/>
      <c r="AU52" s="516"/>
      <c r="AV52" s="508">
        <f>-[40]Foreigndebt!AU166</f>
        <v>0</v>
      </c>
      <c r="AW52" s="506"/>
      <c r="AY52" s="494"/>
      <c r="AZ52" s="516"/>
      <c r="BA52" s="508">
        <f>-[40]Foreigndebt!AZ166</f>
        <v>0</v>
      </c>
      <c r="BB52" s="506"/>
      <c r="BD52" s="494"/>
      <c r="BE52" s="516"/>
      <c r="BF52" s="508">
        <f>-[40]Foreigndebt!BE166</f>
        <v>0</v>
      </c>
      <c r="BG52" s="506"/>
      <c r="BI52" s="494"/>
      <c r="BJ52" s="516"/>
      <c r="BK52" s="508">
        <f>-[40]Foreigndebt!BJ166</f>
        <v>0</v>
      </c>
      <c r="BL52" s="506"/>
      <c r="BN52" s="494"/>
      <c r="BO52" s="516"/>
      <c r="BP52" s="508">
        <f>-[40]Foreigndebt!BO166</f>
        <v>0</v>
      </c>
      <c r="BQ52" s="506"/>
      <c r="BS52" s="494"/>
      <c r="BT52" s="516"/>
      <c r="BU52" s="508">
        <f>-[40]Foreigndebt!BT166</f>
        <v>0</v>
      </c>
      <c r="BV52" s="506"/>
      <c r="BX52" s="494"/>
      <c r="BY52" s="516"/>
      <c r="BZ52" s="509">
        <f>-[40]Foreigndebt!BY166</f>
        <v>0</v>
      </c>
      <c r="CA52" s="506"/>
      <c r="CC52" s="494"/>
      <c r="CD52" s="516"/>
      <c r="CE52" s="508">
        <f>-[40]Foreigndebt!CD166</f>
        <v>0</v>
      </c>
      <c r="CF52" s="506"/>
      <c r="CH52" s="494"/>
      <c r="CI52" s="516"/>
      <c r="CJ52" s="508">
        <f>-[40]Foreigndebt!CI166</f>
        <v>0</v>
      </c>
      <c r="CK52" s="506"/>
      <c r="CM52" s="494"/>
      <c r="CN52" s="516"/>
      <c r="CO52" s="508">
        <f>-[40]Foreigndebt!CN166</f>
        <v>0</v>
      </c>
      <c r="CP52" s="506"/>
      <c r="CR52" s="494"/>
      <c r="CS52" s="516"/>
      <c r="CT52" s="508">
        <f>-[40]Foreigndebt!CS166</f>
        <v>0</v>
      </c>
      <c r="CU52" s="506"/>
      <c r="CW52" s="494"/>
      <c r="CX52" s="516"/>
      <c r="CY52" s="508">
        <f>-[40]Foreigndebt!CX166</f>
        <v>0</v>
      </c>
      <c r="CZ52" s="506"/>
      <c r="DB52" s="494"/>
      <c r="DC52" s="516"/>
      <c r="DD52" s="508">
        <f>-[40]Foreigndebt!DC166</f>
        <v>0</v>
      </c>
      <c r="DE52" s="506"/>
      <c r="DG52" s="494"/>
      <c r="DH52" s="516"/>
      <c r="DI52" s="508">
        <f>-[40]Foreigndebt!DH166</f>
        <v>0</v>
      </c>
      <c r="DJ52" s="506"/>
      <c r="DL52" s="494"/>
      <c r="DM52" s="516"/>
      <c r="DN52" s="508">
        <f>-[40]Foreigndebt!DM166</f>
        <v>0</v>
      </c>
      <c r="DO52" s="506"/>
      <c r="DQ52" s="494"/>
      <c r="DR52" s="516"/>
      <c r="DS52" s="508">
        <f>-[40]Foreigndebt!DR166</f>
        <v>0</v>
      </c>
      <c r="DT52" s="506"/>
      <c r="DV52" s="494"/>
      <c r="DW52" s="516"/>
      <c r="DX52" s="508">
        <f>-[40]Foreigndebt!DW166</f>
        <v>0</v>
      </c>
      <c r="DY52" s="506"/>
      <c r="EA52" s="494"/>
      <c r="EB52" s="516"/>
      <c r="EC52" s="508">
        <f>-[40]Foreigndebt!EB166</f>
        <v>0</v>
      </c>
      <c r="ED52" s="506"/>
      <c r="EF52" s="494"/>
      <c r="EG52" s="516"/>
      <c r="EH52" s="508">
        <f>-[40]Foreigndebt!EG166</f>
        <v>0</v>
      </c>
      <c r="EI52" s="506"/>
      <c r="EK52" s="494"/>
      <c r="EL52" s="516"/>
      <c r="EM52" s="508">
        <f>-[40]Foreigndebt!EL166</f>
        <v>0</v>
      </c>
      <c r="EN52" s="506"/>
      <c r="EP52" s="144"/>
      <c r="ES52" s="42"/>
      <c r="ET52" s="42"/>
      <c r="EU52" s="42"/>
    </row>
    <row r="53" spans="3:151" ht="13.9" hidden="1" customHeight="1" x14ac:dyDescent="0.3">
      <c r="C53" s="271" t="s">
        <v>314</v>
      </c>
      <c r="E53" s="493"/>
      <c r="F53" s="516"/>
      <c r="G53" s="516"/>
      <c r="H53" s="511">
        <f>-[40]Foreigndebt!G167</f>
        <v>0</v>
      </c>
      <c r="I53" s="506"/>
      <c r="K53" s="494"/>
      <c r="L53" s="516"/>
      <c r="M53" s="511">
        <f>-[40]Foreigndebt!L167</f>
        <v>0</v>
      </c>
      <c r="N53" s="506"/>
      <c r="P53" s="494"/>
      <c r="Q53" s="516"/>
      <c r="R53" s="511">
        <f>-[40]Foreigndebt!Q167</f>
        <v>0</v>
      </c>
      <c r="S53" s="506"/>
      <c r="U53" s="494"/>
      <c r="V53" s="516"/>
      <c r="W53" s="511">
        <f>-[40]Foreigndebt!V167</f>
        <v>0</v>
      </c>
      <c r="X53" s="506"/>
      <c r="Z53" s="494"/>
      <c r="AA53" s="516"/>
      <c r="AB53" s="511">
        <f>-[40]Foreigndebt!AA167</f>
        <v>0</v>
      </c>
      <c r="AC53" s="506"/>
      <c r="AE53" s="494"/>
      <c r="AF53" s="516"/>
      <c r="AG53" s="511">
        <f>-[40]Foreigndebt!AF167</f>
        <v>0</v>
      </c>
      <c r="AH53" s="506"/>
      <c r="AJ53" s="494"/>
      <c r="AK53" s="516"/>
      <c r="AL53" s="511">
        <f>-[40]Foreigndebt!AK167</f>
        <v>0</v>
      </c>
      <c r="AM53" s="506"/>
      <c r="AO53" s="494"/>
      <c r="AP53" s="516"/>
      <c r="AQ53" s="511">
        <f>-[40]Foreigndebt!AP167</f>
        <v>0</v>
      </c>
      <c r="AR53" s="506"/>
      <c r="AT53" s="494"/>
      <c r="AU53" s="516"/>
      <c r="AV53" s="511">
        <f>-[40]Foreigndebt!AU167</f>
        <v>0</v>
      </c>
      <c r="AW53" s="506"/>
      <c r="AY53" s="494"/>
      <c r="AZ53" s="516"/>
      <c r="BA53" s="511">
        <f>-[40]Foreigndebt!AZ167</f>
        <v>0</v>
      </c>
      <c r="BB53" s="506"/>
      <c r="BD53" s="494"/>
      <c r="BE53" s="516"/>
      <c r="BF53" s="511">
        <f>-[40]Foreigndebt!BE167</f>
        <v>0</v>
      </c>
      <c r="BG53" s="506"/>
      <c r="BI53" s="494"/>
      <c r="BJ53" s="516"/>
      <c r="BK53" s="511">
        <f>-[40]Foreigndebt!BJ167</f>
        <v>0</v>
      </c>
      <c r="BL53" s="506"/>
      <c r="BN53" s="494"/>
      <c r="BO53" s="516"/>
      <c r="BP53" s="511">
        <f>-[40]Foreigndebt!BO167</f>
        <v>0</v>
      </c>
      <c r="BQ53" s="506"/>
      <c r="BS53" s="494"/>
      <c r="BT53" s="516"/>
      <c r="BU53" s="511">
        <f>-[40]Foreigndebt!BT167</f>
        <v>0</v>
      </c>
      <c r="BV53" s="506"/>
      <c r="BX53" s="494"/>
      <c r="BY53" s="516"/>
      <c r="BZ53" s="510">
        <f>-[40]Foreigndebt!BY167</f>
        <v>0</v>
      </c>
      <c r="CA53" s="506"/>
      <c r="CC53" s="494"/>
      <c r="CD53" s="516"/>
      <c r="CE53" s="511">
        <f>-[40]Foreigndebt!CD167</f>
        <v>0</v>
      </c>
      <c r="CF53" s="506"/>
      <c r="CH53" s="494"/>
      <c r="CI53" s="516"/>
      <c r="CJ53" s="511">
        <f>-[40]Foreigndebt!CI167</f>
        <v>0</v>
      </c>
      <c r="CK53" s="506"/>
      <c r="CM53" s="494"/>
      <c r="CN53" s="516"/>
      <c r="CO53" s="511">
        <f>-[40]Foreigndebt!CN167</f>
        <v>0</v>
      </c>
      <c r="CP53" s="506"/>
      <c r="CR53" s="494"/>
      <c r="CS53" s="516"/>
      <c r="CT53" s="511">
        <f>-[40]Foreigndebt!CS167</f>
        <v>0</v>
      </c>
      <c r="CU53" s="506"/>
      <c r="CW53" s="494"/>
      <c r="CX53" s="516"/>
      <c r="CY53" s="511">
        <f>-[40]Foreigndebt!CX167</f>
        <v>0</v>
      </c>
      <c r="CZ53" s="506"/>
      <c r="DB53" s="494"/>
      <c r="DC53" s="516"/>
      <c r="DD53" s="511">
        <f>-[40]Foreigndebt!DC167</f>
        <v>0</v>
      </c>
      <c r="DE53" s="506"/>
      <c r="DG53" s="494"/>
      <c r="DH53" s="516"/>
      <c r="DI53" s="511">
        <f>-[40]Foreigndebt!DH167</f>
        <v>0</v>
      </c>
      <c r="DJ53" s="506"/>
      <c r="DL53" s="494"/>
      <c r="DM53" s="516"/>
      <c r="DN53" s="511">
        <f>-[40]Foreigndebt!DM167</f>
        <v>0</v>
      </c>
      <c r="DO53" s="506"/>
      <c r="DQ53" s="494"/>
      <c r="DR53" s="516"/>
      <c r="DS53" s="511">
        <f>-[40]Foreigndebt!DR167</f>
        <v>0</v>
      </c>
      <c r="DT53" s="506"/>
      <c r="DV53" s="494"/>
      <c r="DW53" s="516"/>
      <c r="DX53" s="511">
        <f>-[40]Foreigndebt!DW167</f>
        <v>0</v>
      </c>
      <c r="DY53" s="506"/>
      <c r="EA53" s="494"/>
      <c r="EB53" s="516"/>
      <c r="EC53" s="511">
        <f>-[40]Foreigndebt!EB167</f>
        <v>0</v>
      </c>
      <c r="ED53" s="506"/>
      <c r="EF53" s="494"/>
      <c r="EG53" s="516"/>
      <c r="EH53" s="511">
        <f>-[40]Foreigndebt!EG167</f>
        <v>0</v>
      </c>
      <c r="EI53" s="506"/>
      <c r="EK53" s="494"/>
      <c r="EL53" s="516"/>
      <c r="EM53" s="511">
        <f>-[40]Foreigndebt!EL167</f>
        <v>0</v>
      </c>
      <c r="EN53" s="506"/>
      <c r="EP53" s="144"/>
      <c r="ES53" s="42"/>
      <c r="ET53" s="42"/>
      <c r="EU53" s="42"/>
    </row>
    <row r="54" spans="3:151" ht="13.9" hidden="1" customHeight="1" x14ac:dyDescent="0.3">
      <c r="C54" s="144"/>
      <c r="E54" s="493"/>
      <c r="F54" s="516"/>
      <c r="G54" s="516"/>
      <c r="I54" s="506"/>
      <c r="K54" s="494"/>
      <c r="L54" s="516"/>
      <c r="N54" s="506"/>
      <c r="P54" s="494"/>
      <c r="Q54" s="516"/>
      <c r="S54" s="506"/>
      <c r="U54" s="494"/>
      <c r="V54" s="516"/>
      <c r="X54" s="506"/>
      <c r="Z54" s="494"/>
      <c r="AA54" s="516"/>
      <c r="AC54" s="506"/>
      <c r="AE54" s="494"/>
      <c r="AF54" s="516"/>
      <c r="AH54" s="506"/>
      <c r="AJ54" s="494"/>
      <c r="AK54" s="516"/>
      <c r="AM54" s="506"/>
      <c r="AO54" s="494"/>
      <c r="AP54" s="516"/>
      <c r="AR54" s="506"/>
      <c r="AT54" s="494"/>
      <c r="AU54" s="516"/>
      <c r="AW54" s="506"/>
      <c r="AY54" s="494"/>
      <c r="AZ54" s="516"/>
      <c r="BB54" s="506"/>
      <c r="BD54" s="494"/>
      <c r="BE54" s="516"/>
      <c r="BG54" s="506"/>
      <c r="BI54" s="494"/>
      <c r="BJ54" s="516"/>
      <c r="BL54" s="506"/>
      <c r="BN54" s="494"/>
      <c r="BO54" s="516"/>
      <c r="BQ54" s="506"/>
      <c r="BS54" s="494"/>
      <c r="BT54" s="516"/>
      <c r="BV54" s="506"/>
      <c r="BX54" s="494"/>
      <c r="BY54" s="516"/>
      <c r="BZ54" s="512"/>
      <c r="CA54" s="506"/>
      <c r="CC54" s="494"/>
      <c r="CD54" s="516"/>
      <c r="CF54" s="506"/>
      <c r="CH54" s="494"/>
      <c r="CI54" s="516"/>
      <c r="CK54" s="506"/>
      <c r="CM54" s="494"/>
      <c r="CN54" s="516"/>
      <c r="CP54" s="506"/>
      <c r="CR54" s="494"/>
      <c r="CS54" s="516"/>
      <c r="CU54" s="506"/>
      <c r="CW54" s="494"/>
      <c r="CX54" s="516"/>
      <c r="CZ54" s="506"/>
      <c r="DB54" s="494"/>
      <c r="DC54" s="516"/>
      <c r="DE54" s="506"/>
      <c r="DG54" s="494"/>
      <c r="DH54" s="516"/>
      <c r="DJ54" s="506"/>
      <c r="DL54" s="494"/>
      <c r="DM54" s="516"/>
      <c r="DO54" s="506"/>
      <c r="DQ54" s="494"/>
      <c r="DR54" s="516"/>
      <c r="DT54" s="506"/>
      <c r="DV54" s="494"/>
      <c r="DW54" s="516"/>
      <c r="DY54" s="506"/>
      <c r="EA54" s="494"/>
      <c r="EB54" s="516"/>
      <c r="ED54" s="506"/>
      <c r="EF54" s="494"/>
      <c r="EG54" s="516"/>
      <c r="EI54" s="506"/>
      <c r="EK54" s="494"/>
      <c r="EL54" s="516"/>
      <c r="EN54" s="506"/>
      <c r="EP54" s="144"/>
      <c r="ES54" s="42"/>
      <c r="ET54" s="42"/>
      <c r="EU54" s="42"/>
    </row>
    <row r="55" spans="3:151" ht="12.75" hidden="1" customHeight="1" x14ac:dyDescent="0.3">
      <c r="C55" s="144" t="s">
        <v>315</v>
      </c>
      <c r="E55" s="493"/>
      <c r="F55" s="516"/>
      <c r="G55" s="516"/>
      <c r="H55" s="136">
        <v>0</v>
      </c>
      <c r="I55" s="506"/>
      <c r="K55" s="494"/>
      <c r="L55" s="516"/>
      <c r="M55" s="136">
        <f>SUM(M56:M60)</f>
        <v>0</v>
      </c>
      <c r="N55" s="506"/>
      <c r="P55" s="494"/>
      <c r="Q55" s="516"/>
      <c r="R55" s="136">
        <f>SUM(R56:R60)</f>
        <v>0</v>
      </c>
      <c r="S55" s="506"/>
      <c r="U55" s="494"/>
      <c r="V55" s="516"/>
      <c r="W55" s="136">
        <f>SUM(W56:W60)</f>
        <v>0</v>
      </c>
      <c r="X55" s="506"/>
      <c r="Z55" s="494"/>
      <c r="AA55" s="516"/>
      <c r="AB55" s="136">
        <f>SUM(AB56:AB60)</f>
        <v>0</v>
      </c>
      <c r="AC55" s="506"/>
      <c r="AE55" s="494"/>
      <c r="AF55" s="516"/>
      <c r="AG55" s="136">
        <f>SUM(AG56:AG60)</f>
        <v>0</v>
      </c>
      <c r="AH55" s="506"/>
      <c r="AJ55" s="494"/>
      <c r="AK55" s="516"/>
      <c r="AL55" s="136">
        <f>SUM(AL56:AL60)</f>
        <v>0</v>
      </c>
      <c r="AM55" s="506"/>
      <c r="AO55" s="494"/>
      <c r="AP55" s="516"/>
      <c r="AQ55" s="136">
        <f>SUM(AQ56:AQ60)</f>
        <v>0</v>
      </c>
      <c r="AR55" s="506"/>
      <c r="AT55" s="494"/>
      <c r="AU55" s="516"/>
      <c r="AV55" s="136">
        <f>SUM(AV56:AV60)</f>
        <v>0</v>
      </c>
      <c r="AW55" s="506"/>
      <c r="AY55" s="494"/>
      <c r="AZ55" s="516"/>
      <c r="BA55" s="136">
        <f>SUM(BA56:BA60)</f>
        <v>0</v>
      </c>
      <c r="BB55" s="506"/>
      <c r="BD55" s="494"/>
      <c r="BE55" s="516"/>
      <c r="BF55" s="136">
        <f>SUM(BF56:BF60)</f>
        <v>0</v>
      </c>
      <c r="BG55" s="506"/>
      <c r="BI55" s="494"/>
      <c r="BJ55" s="516"/>
      <c r="BK55" s="136">
        <f>SUM(BK56:BK60)</f>
        <v>0</v>
      </c>
      <c r="BL55" s="506"/>
      <c r="BN55" s="494"/>
      <c r="BO55" s="516"/>
      <c r="BP55" s="136">
        <f>SUM(BP56:BP60)</f>
        <v>0</v>
      </c>
      <c r="BQ55" s="506"/>
      <c r="BS55" s="494"/>
      <c r="BT55" s="516"/>
      <c r="BU55" s="136">
        <f>SUM(BU56:BU60)</f>
        <v>0</v>
      </c>
      <c r="BV55" s="506"/>
      <c r="BX55" s="494"/>
      <c r="BY55" s="516"/>
      <c r="BZ55" s="512">
        <v>0</v>
      </c>
      <c r="CA55" s="506"/>
      <c r="CC55" s="494"/>
      <c r="CD55" s="516"/>
      <c r="CE55" s="136">
        <f>SUM(CE56:CE60)</f>
        <v>0</v>
      </c>
      <c r="CF55" s="506"/>
      <c r="CH55" s="494"/>
      <c r="CI55" s="516"/>
      <c r="CJ55" s="136">
        <f>SUM(CJ56:CJ60)</f>
        <v>0</v>
      </c>
      <c r="CK55" s="506"/>
      <c r="CM55" s="494"/>
      <c r="CN55" s="516"/>
      <c r="CO55" s="136">
        <f>SUM(CO56:CO60)</f>
        <v>0</v>
      </c>
      <c r="CP55" s="506"/>
      <c r="CR55" s="494"/>
      <c r="CS55" s="516"/>
      <c r="CT55" s="136">
        <f>SUM(CT56:CT60)</f>
        <v>0</v>
      </c>
      <c r="CU55" s="506"/>
      <c r="CW55" s="494"/>
      <c r="CX55" s="516"/>
      <c r="CY55" s="136">
        <f>SUM(CY56:CY60)</f>
        <v>0</v>
      </c>
      <c r="CZ55" s="506"/>
      <c r="DB55" s="494"/>
      <c r="DC55" s="516"/>
      <c r="DD55" s="136">
        <f>SUM(DD56:DD60)</f>
        <v>0</v>
      </c>
      <c r="DE55" s="506"/>
      <c r="DG55" s="494"/>
      <c r="DH55" s="516"/>
      <c r="DI55" s="136">
        <f>SUM(DI56:DI60)</f>
        <v>0</v>
      </c>
      <c r="DJ55" s="506"/>
      <c r="DL55" s="494"/>
      <c r="DM55" s="516"/>
      <c r="DN55" s="136">
        <f>SUM(DN56:DN60)</f>
        <v>0</v>
      </c>
      <c r="DO55" s="506"/>
      <c r="DQ55" s="494"/>
      <c r="DR55" s="516"/>
      <c r="DS55" s="136">
        <f>SUM(DS56:DS60)</f>
        <v>0</v>
      </c>
      <c r="DT55" s="506"/>
      <c r="DV55" s="494"/>
      <c r="DW55" s="516"/>
      <c r="DX55" s="136">
        <f>SUM(DX56:DX60)</f>
        <v>0</v>
      </c>
      <c r="DY55" s="506"/>
      <c r="EA55" s="494"/>
      <c r="EB55" s="516"/>
      <c r="EC55" s="136">
        <f>SUM(EC56:EC60)</f>
        <v>0</v>
      </c>
      <c r="ED55" s="506"/>
      <c r="EF55" s="494"/>
      <c r="EG55" s="516"/>
      <c r="EH55" s="136">
        <f>SUM(EH56:EH60)</f>
        <v>0</v>
      </c>
      <c r="EI55" s="506"/>
      <c r="EK55" s="494"/>
      <c r="EL55" s="516"/>
      <c r="EM55" s="136">
        <f>SUM(EM56:EM60)</f>
        <v>0</v>
      </c>
      <c r="EN55" s="506"/>
      <c r="EP55" s="144"/>
      <c r="ES55" s="42"/>
      <c r="ET55" s="42"/>
      <c r="EU55" s="42"/>
    </row>
    <row r="56" spans="3:151" ht="13.9" hidden="1" customHeight="1" x14ac:dyDescent="0.3">
      <c r="C56" s="144" t="s">
        <v>295</v>
      </c>
      <c r="E56" s="493"/>
      <c r="F56" s="516"/>
      <c r="G56" s="516"/>
      <c r="H56" s="507">
        <v>0</v>
      </c>
      <c r="I56" s="506"/>
      <c r="K56" s="494"/>
      <c r="L56" s="516"/>
      <c r="M56" s="507">
        <f>[40]Foreigndebt!L82</f>
        <v>0</v>
      </c>
      <c r="N56" s="506"/>
      <c r="P56" s="494"/>
      <c r="Q56" s="516"/>
      <c r="R56" s="507">
        <f>[40]Foreigndebt!Q82</f>
        <v>0</v>
      </c>
      <c r="S56" s="506"/>
      <c r="U56" s="494"/>
      <c r="V56" s="516"/>
      <c r="W56" s="507">
        <f>[40]Foreigndebt!V82</f>
        <v>0</v>
      </c>
      <c r="X56" s="506"/>
      <c r="Z56" s="494"/>
      <c r="AA56" s="516"/>
      <c r="AB56" s="507">
        <f>[40]Foreigndebt!AA82</f>
        <v>0</v>
      </c>
      <c r="AC56" s="506"/>
      <c r="AE56" s="494"/>
      <c r="AF56" s="516"/>
      <c r="AG56" s="507">
        <f>[40]Foreigndebt!AF82</f>
        <v>0</v>
      </c>
      <c r="AH56" s="506"/>
      <c r="AJ56" s="494"/>
      <c r="AK56" s="516"/>
      <c r="AL56" s="507">
        <f>[40]Foreigndebt!AK82</f>
        <v>0</v>
      </c>
      <c r="AM56" s="506"/>
      <c r="AO56" s="494"/>
      <c r="AP56" s="516"/>
      <c r="AQ56" s="507">
        <f>[40]Foreigndebt!AP82</f>
        <v>0</v>
      </c>
      <c r="AR56" s="506"/>
      <c r="AT56" s="494"/>
      <c r="AU56" s="516"/>
      <c r="AV56" s="507">
        <f>[40]Foreigndebt!AU82</f>
        <v>0</v>
      </c>
      <c r="AW56" s="506"/>
      <c r="AY56" s="494"/>
      <c r="AZ56" s="516"/>
      <c r="BA56" s="507">
        <f>[40]Foreigndebt!AZ82</f>
        <v>0</v>
      </c>
      <c r="BB56" s="506"/>
      <c r="BD56" s="494"/>
      <c r="BE56" s="516"/>
      <c r="BF56" s="507">
        <f>[40]Foreigndebt!BE82</f>
        <v>0</v>
      </c>
      <c r="BG56" s="506"/>
      <c r="BI56" s="494"/>
      <c r="BJ56" s="516"/>
      <c r="BK56" s="507">
        <f>[40]Foreigndebt!BJ82</f>
        <v>0</v>
      </c>
      <c r="BL56" s="506"/>
      <c r="BN56" s="494"/>
      <c r="BO56" s="516"/>
      <c r="BP56" s="507">
        <f>[40]Foreigndebt!BO82</f>
        <v>0</v>
      </c>
      <c r="BQ56" s="506"/>
      <c r="BS56" s="494"/>
      <c r="BT56" s="516"/>
      <c r="BU56" s="507">
        <f>[40]Foreigndebt!BT82</f>
        <v>0</v>
      </c>
      <c r="BV56" s="506"/>
      <c r="BX56" s="494"/>
      <c r="BY56" s="516"/>
      <c r="BZ56" s="505">
        <v>0</v>
      </c>
      <c r="CA56" s="506"/>
      <c r="CC56" s="494"/>
      <c r="CD56" s="516"/>
      <c r="CE56" s="507">
        <f>[40]Foreigndebt!CD82</f>
        <v>0</v>
      </c>
      <c r="CF56" s="506"/>
      <c r="CH56" s="494"/>
      <c r="CI56" s="516"/>
      <c r="CJ56" s="507">
        <f>[40]Foreigndebt!CI82</f>
        <v>0</v>
      </c>
      <c r="CK56" s="506"/>
      <c r="CM56" s="494"/>
      <c r="CN56" s="516"/>
      <c r="CO56" s="507">
        <f>[40]Foreigndebt!CN82</f>
        <v>0</v>
      </c>
      <c r="CP56" s="506"/>
      <c r="CR56" s="494"/>
      <c r="CS56" s="516"/>
      <c r="CT56" s="507">
        <f>[40]Foreigndebt!CS82</f>
        <v>0</v>
      </c>
      <c r="CU56" s="506"/>
      <c r="CW56" s="494"/>
      <c r="CX56" s="516"/>
      <c r="CY56" s="507">
        <f>[40]Foreigndebt!CX82</f>
        <v>0</v>
      </c>
      <c r="CZ56" s="506"/>
      <c r="DB56" s="494"/>
      <c r="DC56" s="516"/>
      <c r="DD56" s="507">
        <f>[40]Foreigndebt!DC82</f>
        <v>0</v>
      </c>
      <c r="DE56" s="506"/>
      <c r="DG56" s="494"/>
      <c r="DH56" s="516"/>
      <c r="DI56" s="507">
        <f>[40]Foreigndebt!DH82</f>
        <v>0</v>
      </c>
      <c r="DJ56" s="506"/>
      <c r="DL56" s="494"/>
      <c r="DM56" s="516"/>
      <c r="DN56" s="507">
        <f>[40]Foreigndebt!DM82</f>
        <v>0</v>
      </c>
      <c r="DO56" s="506"/>
      <c r="DQ56" s="494"/>
      <c r="DR56" s="516"/>
      <c r="DS56" s="507">
        <f>[40]Foreigndebt!DR82</f>
        <v>0</v>
      </c>
      <c r="DT56" s="506"/>
      <c r="DV56" s="494"/>
      <c r="DW56" s="516"/>
      <c r="DX56" s="507">
        <f>[40]Foreigndebt!DW82</f>
        <v>0</v>
      </c>
      <c r="DY56" s="506"/>
      <c r="EA56" s="494"/>
      <c r="EB56" s="516"/>
      <c r="EC56" s="507">
        <f>[40]Foreigndebt!EB82</f>
        <v>0</v>
      </c>
      <c r="ED56" s="506"/>
      <c r="EF56" s="494"/>
      <c r="EG56" s="516"/>
      <c r="EH56" s="507">
        <f>[40]Foreigndebt!EG82</f>
        <v>0</v>
      </c>
      <c r="EI56" s="506"/>
      <c r="EK56" s="494"/>
      <c r="EL56" s="516"/>
      <c r="EM56" s="507">
        <f>[40]Foreigndebt!EL82</f>
        <v>0</v>
      </c>
      <c r="EN56" s="506"/>
      <c r="EP56" s="144"/>
      <c r="ES56" s="42"/>
      <c r="ET56" s="42"/>
      <c r="EU56" s="42"/>
    </row>
    <row r="57" spans="3:151" ht="13.9" hidden="1" customHeight="1" x14ac:dyDescent="0.3">
      <c r="C57" s="144" t="s">
        <v>297</v>
      </c>
      <c r="E57" s="493"/>
      <c r="F57" s="516"/>
      <c r="G57" s="516"/>
      <c r="H57" s="508">
        <v>0</v>
      </c>
      <c r="I57" s="506"/>
      <c r="K57" s="494"/>
      <c r="L57" s="516"/>
      <c r="M57" s="508">
        <f>-[40]Foreigndebt!L84</f>
        <v>0</v>
      </c>
      <c r="N57" s="506"/>
      <c r="P57" s="494"/>
      <c r="Q57" s="516"/>
      <c r="R57" s="508">
        <f>-[40]Foreigndebt!Q84</f>
        <v>0</v>
      </c>
      <c r="S57" s="506"/>
      <c r="U57" s="494"/>
      <c r="V57" s="516"/>
      <c r="W57" s="508">
        <f>-[40]Foreigndebt!V84</f>
        <v>0</v>
      </c>
      <c r="X57" s="506"/>
      <c r="Z57" s="494"/>
      <c r="AA57" s="516"/>
      <c r="AB57" s="508">
        <f>-[40]Foreigndebt!AA84</f>
        <v>0</v>
      </c>
      <c r="AC57" s="506"/>
      <c r="AE57" s="494"/>
      <c r="AF57" s="516"/>
      <c r="AG57" s="508">
        <f>-[40]Foreigndebt!AF84</f>
        <v>0</v>
      </c>
      <c r="AH57" s="506"/>
      <c r="AJ57" s="494"/>
      <c r="AK57" s="516"/>
      <c r="AL57" s="508">
        <f>-[40]Foreigndebt!AK84</f>
        <v>0</v>
      </c>
      <c r="AM57" s="506"/>
      <c r="AO57" s="494"/>
      <c r="AP57" s="516"/>
      <c r="AQ57" s="508">
        <f>-[40]Foreigndebt!AP84</f>
        <v>0</v>
      </c>
      <c r="AR57" s="506"/>
      <c r="AT57" s="494"/>
      <c r="AU57" s="516"/>
      <c r="AV57" s="508">
        <f>-[40]Foreigndebt!AU84</f>
        <v>0</v>
      </c>
      <c r="AW57" s="506"/>
      <c r="AY57" s="494"/>
      <c r="AZ57" s="516"/>
      <c r="BA57" s="508">
        <f>-[40]Foreigndebt!AZ84</f>
        <v>0</v>
      </c>
      <c r="BB57" s="506"/>
      <c r="BD57" s="494"/>
      <c r="BE57" s="516"/>
      <c r="BF57" s="508">
        <f>-[40]Foreigndebt!BE84</f>
        <v>0</v>
      </c>
      <c r="BG57" s="506"/>
      <c r="BI57" s="494"/>
      <c r="BJ57" s="516"/>
      <c r="BK57" s="508">
        <f>-[40]Foreigndebt!BJ84</f>
        <v>0</v>
      </c>
      <c r="BL57" s="506"/>
      <c r="BN57" s="494"/>
      <c r="BO57" s="516"/>
      <c r="BP57" s="508">
        <f>-[40]Foreigndebt!BO84</f>
        <v>0</v>
      </c>
      <c r="BQ57" s="506"/>
      <c r="BS57" s="494"/>
      <c r="BT57" s="516"/>
      <c r="BU57" s="508">
        <f>-[40]Foreigndebt!BT84</f>
        <v>0</v>
      </c>
      <c r="BV57" s="506"/>
      <c r="BX57" s="494"/>
      <c r="BY57" s="516"/>
      <c r="BZ57" s="509">
        <v>0</v>
      </c>
      <c r="CA57" s="506"/>
      <c r="CC57" s="494"/>
      <c r="CD57" s="516"/>
      <c r="CE57" s="508">
        <f>-[40]Foreigndebt!CD84</f>
        <v>0</v>
      </c>
      <c r="CF57" s="506"/>
      <c r="CH57" s="494"/>
      <c r="CI57" s="516"/>
      <c r="CJ57" s="508">
        <f>-[40]Foreigndebt!CI84</f>
        <v>0</v>
      </c>
      <c r="CK57" s="506"/>
      <c r="CM57" s="494"/>
      <c r="CN57" s="516"/>
      <c r="CO57" s="508">
        <f>-[40]Foreigndebt!CN84</f>
        <v>0</v>
      </c>
      <c r="CP57" s="506"/>
      <c r="CR57" s="494"/>
      <c r="CS57" s="516"/>
      <c r="CT57" s="508">
        <f>-[40]Foreigndebt!CS84</f>
        <v>0</v>
      </c>
      <c r="CU57" s="506"/>
      <c r="CW57" s="494"/>
      <c r="CX57" s="516"/>
      <c r="CY57" s="508">
        <f>-[40]Foreigndebt!CX84</f>
        <v>0</v>
      </c>
      <c r="CZ57" s="506"/>
      <c r="DB57" s="494"/>
      <c r="DC57" s="516"/>
      <c r="DD57" s="508">
        <f>-[40]Foreigndebt!DC84</f>
        <v>0</v>
      </c>
      <c r="DE57" s="506"/>
      <c r="DG57" s="494"/>
      <c r="DH57" s="516"/>
      <c r="DI57" s="508">
        <f>-[40]Foreigndebt!DH84</f>
        <v>0</v>
      </c>
      <c r="DJ57" s="506"/>
      <c r="DL57" s="494"/>
      <c r="DM57" s="516"/>
      <c r="DN57" s="508">
        <f>-[40]Foreigndebt!DM84</f>
        <v>0</v>
      </c>
      <c r="DO57" s="506"/>
      <c r="DQ57" s="494"/>
      <c r="DR57" s="516"/>
      <c r="DS57" s="508">
        <f>-[40]Foreigndebt!DR84</f>
        <v>0</v>
      </c>
      <c r="DT57" s="506"/>
      <c r="DV57" s="494"/>
      <c r="DW57" s="516"/>
      <c r="DX57" s="508">
        <f>-[40]Foreigndebt!DW84</f>
        <v>0</v>
      </c>
      <c r="DY57" s="506"/>
      <c r="EA57" s="494"/>
      <c r="EB57" s="516"/>
      <c r="EC57" s="508">
        <f>-[40]Foreigndebt!EB84</f>
        <v>0</v>
      </c>
      <c r="ED57" s="506"/>
      <c r="EF57" s="494"/>
      <c r="EG57" s="516"/>
      <c r="EH57" s="508">
        <f>-[40]Foreigndebt!EG84</f>
        <v>0</v>
      </c>
      <c r="EI57" s="506"/>
      <c r="EK57" s="494"/>
      <c r="EL57" s="516"/>
      <c r="EM57" s="508">
        <f>-[40]Foreigndebt!EL84</f>
        <v>0</v>
      </c>
      <c r="EN57" s="506"/>
      <c r="EP57" s="144"/>
      <c r="ES57" s="42"/>
      <c r="ET57" s="42"/>
      <c r="EU57" s="42"/>
    </row>
    <row r="58" spans="3:151" ht="13.9" hidden="1" customHeight="1" x14ac:dyDescent="0.3">
      <c r="C58" s="144" t="s">
        <v>300</v>
      </c>
      <c r="E58" s="493"/>
      <c r="F58" s="516"/>
      <c r="G58" s="516"/>
      <c r="H58" s="508"/>
      <c r="I58" s="506"/>
      <c r="K58" s="494"/>
      <c r="L58" s="516"/>
      <c r="M58" s="508"/>
      <c r="N58" s="506"/>
      <c r="P58" s="494"/>
      <c r="Q58" s="516"/>
      <c r="R58" s="508"/>
      <c r="S58" s="506"/>
      <c r="U58" s="494"/>
      <c r="V58" s="516"/>
      <c r="W58" s="508"/>
      <c r="X58" s="506"/>
      <c r="Z58" s="494"/>
      <c r="AA58" s="516"/>
      <c r="AB58" s="508"/>
      <c r="AC58" s="506"/>
      <c r="AE58" s="494"/>
      <c r="AF58" s="516"/>
      <c r="AG58" s="508"/>
      <c r="AH58" s="506"/>
      <c r="AJ58" s="494"/>
      <c r="AK58" s="516"/>
      <c r="AL58" s="508"/>
      <c r="AM58" s="506"/>
      <c r="AO58" s="494"/>
      <c r="AP58" s="516"/>
      <c r="AQ58" s="508"/>
      <c r="AR58" s="506"/>
      <c r="AT58" s="494"/>
      <c r="AU58" s="516"/>
      <c r="AV58" s="508"/>
      <c r="AW58" s="506"/>
      <c r="AY58" s="494"/>
      <c r="AZ58" s="516"/>
      <c r="BA58" s="508"/>
      <c r="BB58" s="506"/>
      <c r="BD58" s="494"/>
      <c r="BE58" s="516"/>
      <c r="BF58" s="508"/>
      <c r="BG58" s="506"/>
      <c r="BI58" s="494"/>
      <c r="BJ58" s="516"/>
      <c r="BK58" s="508"/>
      <c r="BL58" s="506"/>
      <c r="BN58" s="494"/>
      <c r="BO58" s="516"/>
      <c r="BP58" s="508"/>
      <c r="BQ58" s="506"/>
      <c r="BS58" s="494"/>
      <c r="BT58" s="516"/>
      <c r="BU58" s="508"/>
      <c r="BV58" s="506"/>
      <c r="BX58" s="494"/>
      <c r="BY58" s="516"/>
      <c r="BZ58" s="509"/>
      <c r="CA58" s="506"/>
      <c r="CC58" s="494"/>
      <c r="CD58" s="516"/>
      <c r="CE58" s="508"/>
      <c r="CF58" s="506"/>
      <c r="CH58" s="494"/>
      <c r="CI58" s="516"/>
      <c r="CJ58" s="508"/>
      <c r="CK58" s="506"/>
      <c r="CM58" s="494"/>
      <c r="CN58" s="516"/>
      <c r="CO58" s="508"/>
      <c r="CP58" s="506"/>
      <c r="CR58" s="494"/>
      <c r="CS58" s="516"/>
      <c r="CT58" s="508"/>
      <c r="CU58" s="506"/>
      <c r="CW58" s="494"/>
      <c r="CX58" s="516"/>
      <c r="CY58" s="508"/>
      <c r="CZ58" s="506"/>
      <c r="DB58" s="494"/>
      <c r="DC58" s="516"/>
      <c r="DD58" s="508"/>
      <c r="DE58" s="506"/>
      <c r="DG58" s="494"/>
      <c r="DH58" s="516"/>
      <c r="DI58" s="508"/>
      <c r="DJ58" s="506"/>
      <c r="DL58" s="494"/>
      <c r="DM58" s="516"/>
      <c r="DN58" s="508"/>
      <c r="DO58" s="506"/>
      <c r="DQ58" s="494"/>
      <c r="DR58" s="516"/>
      <c r="DS58" s="508"/>
      <c r="DT58" s="506"/>
      <c r="DV58" s="494"/>
      <c r="DW58" s="516"/>
      <c r="DX58" s="508"/>
      <c r="DY58" s="506"/>
      <c r="EA58" s="494"/>
      <c r="EB58" s="516"/>
      <c r="EC58" s="508"/>
      <c r="ED58" s="506"/>
      <c r="EF58" s="494"/>
      <c r="EG58" s="516"/>
      <c r="EH58" s="508"/>
      <c r="EI58" s="506"/>
      <c r="EK58" s="494"/>
      <c r="EL58" s="516"/>
      <c r="EM58" s="508"/>
      <c r="EN58" s="506"/>
      <c r="EP58" s="144"/>
      <c r="ES58" s="42"/>
      <c r="ET58" s="42"/>
      <c r="EU58" s="42"/>
    </row>
    <row r="59" spans="3:151" ht="13.9" hidden="1" customHeight="1" x14ac:dyDescent="0.3">
      <c r="C59" s="271" t="s">
        <v>313</v>
      </c>
      <c r="E59" s="493"/>
      <c r="F59" s="516"/>
      <c r="G59" s="516"/>
      <c r="H59" s="508">
        <v>0</v>
      </c>
      <c r="I59" s="506"/>
      <c r="K59" s="494"/>
      <c r="L59" s="516"/>
      <c r="M59" s="508">
        <f>-[40]Foreigndebt!L178</f>
        <v>0</v>
      </c>
      <c r="N59" s="506"/>
      <c r="P59" s="494"/>
      <c r="Q59" s="516"/>
      <c r="R59" s="508">
        <f>-[40]Foreigndebt!Q178</f>
        <v>0</v>
      </c>
      <c r="S59" s="506"/>
      <c r="U59" s="494"/>
      <c r="V59" s="516"/>
      <c r="W59" s="508">
        <f>-[40]Foreigndebt!V178</f>
        <v>0</v>
      </c>
      <c r="X59" s="506"/>
      <c r="Z59" s="494"/>
      <c r="AA59" s="516"/>
      <c r="AB59" s="508">
        <f>-[40]Foreigndebt!AA178</f>
        <v>0</v>
      </c>
      <c r="AC59" s="506"/>
      <c r="AE59" s="494"/>
      <c r="AF59" s="516"/>
      <c r="AG59" s="508">
        <f>-[40]Foreigndebt!AF178</f>
        <v>0</v>
      </c>
      <c r="AH59" s="506"/>
      <c r="AJ59" s="494"/>
      <c r="AK59" s="516"/>
      <c r="AL59" s="508">
        <f>-[40]Foreigndebt!AK178</f>
        <v>0</v>
      </c>
      <c r="AM59" s="506"/>
      <c r="AO59" s="494"/>
      <c r="AP59" s="516"/>
      <c r="AQ59" s="508">
        <f>-[40]Foreigndebt!AP178</f>
        <v>0</v>
      </c>
      <c r="AR59" s="506"/>
      <c r="AT59" s="494"/>
      <c r="AU59" s="516"/>
      <c r="AV59" s="508">
        <f>-[40]Foreigndebt!AU178</f>
        <v>0</v>
      </c>
      <c r="AW59" s="506"/>
      <c r="AY59" s="494"/>
      <c r="AZ59" s="516"/>
      <c r="BA59" s="508">
        <f>-[40]Foreigndebt!AZ178</f>
        <v>0</v>
      </c>
      <c r="BB59" s="506"/>
      <c r="BD59" s="494"/>
      <c r="BE59" s="516"/>
      <c r="BF59" s="508">
        <f>-[40]Foreigndebt!BE178</f>
        <v>0</v>
      </c>
      <c r="BG59" s="506"/>
      <c r="BI59" s="494"/>
      <c r="BJ59" s="516"/>
      <c r="BK59" s="508">
        <f>-[40]Foreigndebt!BJ178</f>
        <v>0</v>
      </c>
      <c r="BL59" s="506"/>
      <c r="BN59" s="494"/>
      <c r="BO59" s="516"/>
      <c r="BP59" s="508">
        <f>-[40]Foreigndebt!BO178</f>
        <v>0</v>
      </c>
      <c r="BQ59" s="506"/>
      <c r="BS59" s="494"/>
      <c r="BT59" s="516"/>
      <c r="BU59" s="508">
        <f>-[40]Foreigndebt!BT178</f>
        <v>0</v>
      </c>
      <c r="BV59" s="506"/>
      <c r="BX59" s="494"/>
      <c r="BY59" s="516"/>
      <c r="BZ59" s="509">
        <v>0</v>
      </c>
      <c r="CA59" s="506"/>
      <c r="CC59" s="494"/>
      <c r="CD59" s="516"/>
      <c r="CE59" s="508">
        <f>-[40]Foreigndebt!CD178</f>
        <v>0</v>
      </c>
      <c r="CF59" s="506"/>
      <c r="CH59" s="494"/>
      <c r="CI59" s="516"/>
      <c r="CJ59" s="508">
        <f>-[40]Foreigndebt!CI178</f>
        <v>0</v>
      </c>
      <c r="CK59" s="506"/>
      <c r="CM59" s="494"/>
      <c r="CN59" s="516"/>
      <c r="CO59" s="508">
        <f>-[40]Foreigndebt!CN178</f>
        <v>0</v>
      </c>
      <c r="CP59" s="506"/>
      <c r="CR59" s="494"/>
      <c r="CS59" s="516"/>
      <c r="CT59" s="508">
        <f>-[40]Foreigndebt!CS178</f>
        <v>0</v>
      </c>
      <c r="CU59" s="506"/>
      <c r="CW59" s="494"/>
      <c r="CX59" s="516"/>
      <c r="CY59" s="508">
        <f>-[40]Foreigndebt!CX178</f>
        <v>0</v>
      </c>
      <c r="CZ59" s="506"/>
      <c r="DB59" s="494"/>
      <c r="DC59" s="516"/>
      <c r="DD59" s="508">
        <f>-[40]Foreigndebt!DC178</f>
        <v>0</v>
      </c>
      <c r="DE59" s="506"/>
      <c r="DG59" s="494"/>
      <c r="DH59" s="516"/>
      <c r="DI59" s="508">
        <f>-[40]Foreigndebt!DH178</f>
        <v>0</v>
      </c>
      <c r="DJ59" s="506"/>
      <c r="DL59" s="494"/>
      <c r="DM59" s="516"/>
      <c r="DN59" s="508">
        <f>-[40]Foreigndebt!DM178</f>
        <v>0</v>
      </c>
      <c r="DO59" s="506"/>
      <c r="DQ59" s="494"/>
      <c r="DR59" s="516"/>
      <c r="DS59" s="508">
        <f>-[40]Foreigndebt!DR178</f>
        <v>0</v>
      </c>
      <c r="DT59" s="506"/>
      <c r="DV59" s="494"/>
      <c r="DW59" s="516"/>
      <c r="DX59" s="508">
        <f>-[40]Foreigndebt!DW178</f>
        <v>0</v>
      </c>
      <c r="DY59" s="506"/>
      <c r="EA59" s="494"/>
      <c r="EB59" s="516"/>
      <c r="EC59" s="508">
        <f>-[40]Foreigndebt!EB178</f>
        <v>0</v>
      </c>
      <c r="ED59" s="506"/>
      <c r="EF59" s="494"/>
      <c r="EG59" s="516"/>
      <c r="EH59" s="508">
        <f>-[40]Foreigndebt!EG178</f>
        <v>0</v>
      </c>
      <c r="EI59" s="506"/>
      <c r="EK59" s="494"/>
      <c r="EL59" s="516"/>
      <c r="EM59" s="508">
        <f>-[40]Foreigndebt!EL178</f>
        <v>0</v>
      </c>
      <c r="EN59" s="506"/>
      <c r="EP59" s="144"/>
      <c r="ES59" s="42"/>
      <c r="ET59" s="42"/>
      <c r="EU59" s="42"/>
    </row>
    <row r="60" spans="3:151" ht="13.9" hidden="1" customHeight="1" x14ac:dyDescent="0.3">
      <c r="C60" s="271" t="s">
        <v>314</v>
      </c>
      <c r="E60" s="493"/>
      <c r="F60" s="516"/>
      <c r="G60" s="516"/>
      <c r="H60" s="511">
        <v>0</v>
      </c>
      <c r="I60" s="506"/>
      <c r="K60" s="494"/>
      <c r="L60" s="516"/>
      <c r="M60" s="511">
        <f>-[40]Foreigndebt!L179</f>
        <v>0</v>
      </c>
      <c r="N60" s="506"/>
      <c r="P60" s="494"/>
      <c r="Q60" s="516"/>
      <c r="R60" s="511">
        <f>-[40]Foreigndebt!Q179</f>
        <v>0</v>
      </c>
      <c r="S60" s="506"/>
      <c r="U60" s="494"/>
      <c r="V60" s="516"/>
      <c r="W60" s="511">
        <f>-[40]Foreigndebt!V179</f>
        <v>0</v>
      </c>
      <c r="X60" s="506"/>
      <c r="Z60" s="494"/>
      <c r="AA60" s="516"/>
      <c r="AB60" s="511">
        <f>-[40]Foreigndebt!AA179</f>
        <v>0</v>
      </c>
      <c r="AC60" s="506"/>
      <c r="AE60" s="494"/>
      <c r="AF60" s="516"/>
      <c r="AG60" s="511">
        <f>-[40]Foreigndebt!AF179</f>
        <v>0</v>
      </c>
      <c r="AH60" s="506"/>
      <c r="AJ60" s="494"/>
      <c r="AK60" s="516"/>
      <c r="AL60" s="511">
        <f>-[40]Foreigndebt!AK179</f>
        <v>0</v>
      </c>
      <c r="AM60" s="506"/>
      <c r="AO60" s="494"/>
      <c r="AP60" s="516"/>
      <c r="AQ60" s="511">
        <f>-[40]Foreigndebt!AP179</f>
        <v>0</v>
      </c>
      <c r="AR60" s="506"/>
      <c r="AT60" s="494"/>
      <c r="AU60" s="516"/>
      <c r="AV60" s="511">
        <f>-[40]Foreigndebt!AU179</f>
        <v>0</v>
      </c>
      <c r="AW60" s="506"/>
      <c r="AY60" s="494"/>
      <c r="AZ60" s="516"/>
      <c r="BA60" s="511">
        <f>-[40]Foreigndebt!AZ179</f>
        <v>0</v>
      </c>
      <c r="BB60" s="506"/>
      <c r="BD60" s="494"/>
      <c r="BE60" s="516"/>
      <c r="BF60" s="511">
        <f>-[40]Foreigndebt!BE179</f>
        <v>0</v>
      </c>
      <c r="BG60" s="506"/>
      <c r="BI60" s="494"/>
      <c r="BJ60" s="516"/>
      <c r="BK60" s="511">
        <f>-[40]Foreigndebt!BJ179</f>
        <v>0</v>
      </c>
      <c r="BL60" s="506"/>
      <c r="BN60" s="494"/>
      <c r="BO60" s="516"/>
      <c r="BP60" s="511">
        <f>-[40]Foreigndebt!BO179</f>
        <v>0</v>
      </c>
      <c r="BQ60" s="506"/>
      <c r="BS60" s="494"/>
      <c r="BT60" s="516"/>
      <c r="BU60" s="511">
        <f>-[40]Foreigndebt!BT179</f>
        <v>0</v>
      </c>
      <c r="BV60" s="506"/>
      <c r="BX60" s="494"/>
      <c r="BY60" s="516"/>
      <c r="BZ60" s="510">
        <v>0</v>
      </c>
      <c r="CA60" s="506"/>
      <c r="CC60" s="494"/>
      <c r="CD60" s="516"/>
      <c r="CE60" s="511">
        <f>-[40]Foreigndebt!CD179</f>
        <v>0</v>
      </c>
      <c r="CF60" s="506"/>
      <c r="CH60" s="494"/>
      <c r="CI60" s="516"/>
      <c r="CJ60" s="511">
        <f>-[40]Foreigndebt!CI179</f>
        <v>0</v>
      </c>
      <c r="CK60" s="506"/>
      <c r="CM60" s="494"/>
      <c r="CN60" s="516"/>
      <c r="CO60" s="511">
        <f>-[40]Foreigndebt!CN179</f>
        <v>0</v>
      </c>
      <c r="CP60" s="506"/>
      <c r="CR60" s="494"/>
      <c r="CS60" s="516"/>
      <c r="CT60" s="511">
        <f>-[40]Foreigndebt!CS179</f>
        <v>0</v>
      </c>
      <c r="CU60" s="506"/>
      <c r="CW60" s="494"/>
      <c r="CX60" s="516"/>
      <c r="CY60" s="511">
        <f>-[40]Foreigndebt!CX179</f>
        <v>0</v>
      </c>
      <c r="CZ60" s="506"/>
      <c r="DB60" s="494"/>
      <c r="DC60" s="516"/>
      <c r="DD60" s="511">
        <f>-[40]Foreigndebt!DC179</f>
        <v>0</v>
      </c>
      <c r="DE60" s="506"/>
      <c r="DG60" s="494"/>
      <c r="DH60" s="516"/>
      <c r="DI60" s="511">
        <f>-[40]Foreigndebt!DH179</f>
        <v>0</v>
      </c>
      <c r="DJ60" s="506"/>
      <c r="DL60" s="494"/>
      <c r="DM60" s="516"/>
      <c r="DN60" s="511">
        <f>-[40]Foreigndebt!DM179</f>
        <v>0</v>
      </c>
      <c r="DO60" s="506"/>
      <c r="DQ60" s="494"/>
      <c r="DR60" s="516"/>
      <c r="DS60" s="511">
        <f>-[40]Foreigndebt!DR179</f>
        <v>0</v>
      </c>
      <c r="DT60" s="506"/>
      <c r="DV60" s="494"/>
      <c r="DW60" s="516"/>
      <c r="DX60" s="511">
        <f>-[40]Foreigndebt!DW179</f>
        <v>0</v>
      </c>
      <c r="DY60" s="506"/>
      <c r="EA60" s="494"/>
      <c r="EB60" s="516"/>
      <c r="EC60" s="511">
        <f>-[40]Foreigndebt!EB179</f>
        <v>0</v>
      </c>
      <c r="ED60" s="506"/>
      <c r="EF60" s="494"/>
      <c r="EG60" s="516"/>
      <c r="EH60" s="511">
        <f>-[40]Foreigndebt!EG179</f>
        <v>0</v>
      </c>
      <c r="EI60" s="506"/>
      <c r="EK60" s="494"/>
      <c r="EL60" s="516"/>
      <c r="EM60" s="511">
        <f>-[40]Foreigndebt!EL179</f>
        <v>0</v>
      </c>
      <c r="EN60" s="506"/>
      <c r="EP60" s="144"/>
      <c r="ES60" s="42"/>
      <c r="ET60" s="42"/>
      <c r="EU60" s="42"/>
    </row>
    <row r="61" spans="3:151" x14ac:dyDescent="0.3">
      <c r="C61" s="144"/>
      <c r="E61" s="493"/>
      <c r="F61" s="516"/>
      <c r="G61" s="529"/>
      <c r="H61" s="277"/>
      <c r="I61" s="515"/>
      <c r="K61" s="494"/>
      <c r="L61" s="529"/>
      <c r="M61" s="277"/>
      <c r="N61" s="515"/>
      <c r="P61" s="494"/>
      <c r="Q61" s="529"/>
      <c r="R61" s="277"/>
      <c r="S61" s="515"/>
      <c r="U61" s="494"/>
      <c r="V61" s="529"/>
      <c r="W61" s="277"/>
      <c r="X61" s="515"/>
      <c r="Z61" s="494"/>
      <c r="AA61" s="529"/>
      <c r="AB61" s="277"/>
      <c r="AC61" s="515"/>
      <c r="AE61" s="494"/>
      <c r="AF61" s="529"/>
      <c r="AG61" s="277"/>
      <c r="AH61" s="515"/>
      <c r="AJ61" s="494"/>
      <c r="AK61" s="529"/>
      <c r="AL61" s="277"/>
      <c r="AM61" s="515"/>
      <c r="AO61" s="494"/>
      <c r="AP61" s="529"/>
      <c r="AQ61" s="277"/>
      <c r="AR61" s="515"/>
      <c r="AT61" s="494"/>
      <c r="AU61" s="529"/>
      <c r="AV61" s="277"/>
      <c r="AW61" s="515"/>
      <c r="AY61" s="494"/>
      <c r="AZ61" s="529"/>
      <c r="BA61" s="277"/>
      <c r="BB61" s="515"/>
      <c r="BD61" s="494"/>
      <c r="BE61" s="529"/>
      <c r="BF61" s="277"/>
      <c r="BG61" s="515"/>
      <c r="BI61" s="494"/>
      <c r="BJ61" s="529"/>
      <c r="BK61" s="277"/>
      <c r="BL61" s="515"/>
      <c r="BN61" s="494"/>
      <c r="BO61" s="529"/>
      <c r="BP61" s="277"/>
      <c r="BQ61" s="515"/>
      <c r="BS61" s="494"/>
      <c r="BT61" s="529"/>
      <c r="BU61" s="277"/>
      <c r="BV61" s="515"/>
      <c r="BX61" s="494"/>
      <c r="BY61" s="529"/>
      <c r="BZ61" s="514"/>
      <c r="CA61" s="515"/>
      <c r="CC61" s="494"/>
      <c r="CD61" s="529"/>
      <c r="CE61" s="277"/>
      <c r="CF61" s="515"/>
      <c r="CH61" s="494"/>
      <c r="CI61" s="529"/>
      <c r="CJ61" s="277"/>
      <c r="CK61" s="515"/>
      <c r="CM61" s="494"/>
      <c r="CN61" s="529"/>
      <c r="CO61" s="277"/>
      <c r="CP61" s="515"/>
      <c r="CR61" s="494"/>
      <c r="CS61" s="529"/>
      <c r="CT61" s="277"/>
      <c r="CU61" s="515"/>
      <c r="CW61" s="494"/>
      <c r="CX61" s="529"/>
      <c r="CY61" s="277"/>
      <c r="CZ61" s="515"/>
      <c r="DB61" s="494"/>
      <c r="DC61" s="529"/>
      <c r="DD61" s="277"/>
      <c r="DE61" s="515"/>
      <c r="DG61" s="494"/>
      <c r="DH61" s="529"/>
      <c r="DI61" s="277"/>
      <c r="DJ61" s="515"/>
      <c r="DL61" s="494"/>
      <c r="DM61" s="529"/>
      <c r="DN61" s="277"/>
      <c r="DO61" s="515"/>
      <c r="DQ61" s="494"/>
      <c r="DR61" s="529"/>
      <c r="DS61" s="277"/>
      <c r="DT61" s="515"/>
      <c r="DV61" s="494"/>
      <c r="DW61" s="529"/>
      <c r="DX61" s="277"/>
      <c r="DY61" s="515"/>
      <c r="EA61" s="494"/>
      <c r="EB61" s="529"/>
      <c r="EC61" s="277"/>
      <c r="ED61" s="515"/>
      <c r="EF61" s="494"/>
      <c r="EG61" s="529"/>
      <c r="EH61" s="277"/>
      <c r="EI61" s="515"/>
      <c r="EK61" s="494"/>
      <c r="EL61" s="529"/>
      <c r="EM61" s="277"/>
      <c r="EN61" s="515"/>
      <c r="EP61" s="144"/>
      <c r="ES61" s="42"/>
      <c r="ET61" s="42"/>
      <c r="EU61" s="42"/>
    </row>
    <row r="62" spans="3:151" x14ac:dyDescent="0.3">
      <c r="C62" s="144"/>
      <c r="E62" s="493"/>
      <c r="F62" s="516"/>
      <c r="G62" s="517"/>
      <c r="K62" s="494"/>
      <c r="P62" s="494"/>
      <c r="U62" s="494"/>
      <c r="Z62" s="494"/>
      <c r="AE62" s="494"/>
      <c r="AJ62" s="494"/>
      <c r="AO62" s="494"/>
      <c r="AT62" s="494"/>
      <c r="AY62" s="494"/>
      <c r="BD62" s="494"/>
      <c r="BI62" s="494"/>
      <c r="BN62" s="494"/>
      <c r="BS62" s="494"/>
      <c r="BX62" s="494"/>
      <c r="BZ62" s="512"/>
      <c r="CC62" s="494"/>
      <c r="CH62" s="494"/>
      <c r="CM62" s="494"/>
      <c r="CR62" s="494"/>
      <c r="CW62" s="494"/>
      <c r="DB62" s="494"/>
      <c r="DG62" s="494"/>
      <c r="DL62" s="494"/>
      <c r="DQ62" s="494"/>
      <c r="DV62" s="494"/>
      <c r="EA62" s="494"/>
      <c r="EF62" s="494"/>
      <c r="EK62" s="494"/>
      <c r="EP62" s="144"/>
      <c r="ES62" s="42"/>
      <c r="ET62" s="42"/>
      <c r="EU62" s="42"/>
    </row>
    <row r="63" spans="3:151" s="42" customFormat="1" x14ac:dyDescent="0.3">
      <c r="C63" s="234" t="s">
        <v>316</v>
      </c>
      <c r="E63" s="521" t="s">
        <v>317</v>
      </c>
      <c r="F63" s="522"/>
      <c r="G63" s="527"/>
      <c r="H63" s="497">
        <f>SUM(H64:H69)</f>
        <v>41301787.13398695</v>
      </c>
      <c r="I63" s="497"/>
      <c r="J63" s="497"/>
      <c r="K63" s="498"/>
      <c r="L63" s="497"/>
      <c r="M63" s="42">
        <f>SUM(M64:M69)</f>
        <v>-22462869.771990001</v>
      </c>
      <c r="P63" s="496"/>
      <c r="R63" s="42">
        <f>SUM(R64:R69)</f>
        <v>8028973.5351800174</v>
      </c>
      <c r="U63" s="496"/>
      <c r="W63" s="42">
        <f>SUM(W64:W69)</f>
        <v>-100948773.75835001</v>
      </c>
      <c r="Z63" s="496"/>
      <c r="AB63" s="42">
        <f>SUM(AB64:AB69)</f>
        <v>81733465.921170026</v>
      </c>
      <c r="AE63" s="496"/>
      <c r="AG63" s="42">
        <f>SUM(AG64:AG69)</f>
        <v>16731515.334039986</v>
      </c>
      <c r="AJ63" s="496"/>
      <c r="AL63" s="42">
        <f>SUM(AL64:AL69)</f>
        <v>-30393086.078570008</v>
      </c>
      <c r="AO63" s="496"/>
      <c r="AQ63" s="42">
        <f>SUM(AQ64:AQ69)</f>
        <v>19590745.798259988</v>
      </c>
      <c r="AT63" s="496"/>
      <c r="AV63" s="42">
        <f>SUM(AV64:AV69)</f>
        <v>3320086.2674000114</v>
      </c>
      <c r="AY63" s="496"/>
      <c r="BA63" s="42">
        <f>SUM(BA64:BA69)</f>
        <v>-60776743.323530018</v>
      </c>
      <c r="BD63" s="496"/>
      <c r="BF63" s="42">
        <f>SUM(BF64:BF69)</f>
        <v>71434605.439150006</v>
      </c>
      <c r="BI63" s="496"/>
      <c r="BK63" s="42">
        <f>SUM(BK64:BK69)</f>
        <v>289962570</v>
      </c>
      <c r="BN63" s="496"/>
      <c r="BP63" s="42">
        <f>SUM(BP64:BP69)</f>
        <v>0</v>
      </c>
      <c r="BS63" s="496"/>
      <c r="BU63" s="42">
        <f>SUM(BU64:BU69)</f>
        <v>-13742080.637240008</v>
      </c>
      <c r="BX63" s="496"/>
      <c r="BZ63" s="499">
        <f>SUM(BZ64:BZ69)</f>
        <v>74771168.711030006</v>
      </c>
      <c r="CA63" s="497"/>
      <c r="CB63" s="497"/>
      <c r="CC63" s="498"/>
      <c r="CD63" s="497"/>
      <c r="CE63" s="497">
        <f>SUM(CE64:CE69)</f>
        <v>44290935.219140023</v>
      </c>
      <c r="CF63" s="497"/>
      <c r="CG63" s="497"/>
      <c r="CH63" s="498"/>
      <c r="CI63" s="497"/>
      <c r="CJ63" s="42">
        <f>SUM(CJ64:CJ69)</f>
        <v>-14022271.991829976</v>
      </c>
      <c r="CM63" s="496"/>
      <c r="CO63" s="42">
        <f>SUM(CO64:CO69)</f>
        <v>-106124988.63388997</v>
      </c>
      <c r="CR63" s="496"/>
      <c r="CT63" s="42">
        <f>SUM(CT64:CT69)</f>
        <v>111669585.09893996</v>
      </c>
      <c r="CW63" s="496"/>
      <c r="CY63" s="42">
        <f>SUM(CY64:CY69)</f>
        <v>18126075.986003995</v>
      </c>
      <c r="DB63" s="496"/>
      <c r="DD63" s="42">
        <f>SUM(DD64:DD69)</f>
        <v>-12357983.619869992</v>
      </c>
      <c r="DG63" s="496"/>
      <c r="DI63" s="42">
        <f>SUM(DI64:DI69)</f>
        <v>12671526.501660004</v>
      </c>
      <c r="DL63" s="496"/>
      <c r="DN63" s="42">
        <f>SUM(DN64:DN69)</f>
        <v>-179680.68023005128</v>
      </c>
      <c r="DQ63" s="496"/>
      <c r="DS63" s="42">
        <f>SUM(DS64:DS69)</f>
        <v>-60800389.438979983</v>
      </c>
      <c r="DV63" s="496"/>
      <c r="DX63" s="42">
        <f>SUM(DX64:DX69)</f>
        <v>104635309.54605</v>
      </c>
      <c r="EA63" s="496"/>
      <c r="EC63" s="42">
        <f>SUM(EC64:EC69)</f>
        <v>-24028968.173719943</v>
      </c>
      <c r="EF63" s="496"/>
      <c r="EH63" s="42">
        <f>SUM(EH64:EH69)</f>
        <v>7827946.861110026</v>
      </c>
      <c r="EK63" s="496"/>
      <c r="EM63" s="42">
        <f>SUM(EM64:EM69)</f>
        <v>97908117.986993998</v>
      </c>
      <c r="EP63" s="234"/>
      <c r="ET63" s="24"/>
    </row>
    <row r="64" spans="3:151" ht="12.75" customHeight="1" x14ac:dyDescent="0.3">
      <c r="C64" s="144" t="s">
        <v>318</v>
      </c>
      <c r="E64" s="493"/>
      <c r="F64" s="516"/>
      <c r="G64" s="520"/>
      <c r="H64" s="214">
        <f>+[40]Cashbalances!H12</f>
        <v>42077879</v>
      </c>
      <c r="I64" s="501"/>
      <c r="K64" s="494"/>
      <c r="L64" s="500"/>
      <c r="M64" s="214">
        <f>+[40]Cashbalances!M12</f>
        <v>-23712019</v>
      </c>
      <c r="N64" s="501"/>
      <c r="P64" s="494"/>
      <c r="Q64" s="500"/>
      <c r="R64" s="214">
        <f>+[40]Cashbalances!R12</f>
        <v>9974227</v>
      </c>
      <c r="S64" s="501"/>
      <c r="U64" s="494"/>
      <c r="V64" s="500"/>
      <c r="W64" s="214">
        <f>+[40]Cashbalances!W12</f>
        <v>-108076143</v>
      </c>
      <c r="X64" s="501"/>
      <c r="Z64" s="494"/>
      <c r="AA64" s="500"/>
      <c r="AB64" s="214">
        <f>+[40]Cashbalances!AB12</f>
        <v>35166890</v>
      </c>
      <c r="AC64" s="501"/>
      <c r="AE64" s="494"/>
      <c r="AF64" s="500"/>
      <c r="AG64" s="214">
        <f>+[40]Cashbalances!AG12</f>
        <v>62591281</v>
      </c>
      <c r="AH64" s="501"/>
      <c r="AJ64" s="494"/>
      <c r="AK64" s="500"/>
      <c r="AL64" s="214">
        <f>+[40]Cashbalances!AL12</f>
        <v>-29962642</v>
      </c>
      <c r="AM64" s="501"/>
      <c r="AO64" s="494"/>
      <c r="AP64" s="500"/>
      <c r="AQ64" s="214">
        <f>+[40]Cashbalances!AQ12</f>
        <v>16575160</v>
      </c>
      <c r="AR64" s="501"/>
      <c r="AT64" s="494"/>
      <c r="AU64" s="500"/>
      <c r="AV64" s="214">
        <f>+[40]Cashbalances!AV12</f>
        <v>3030911</v>
      </c>
      <c r="AW64" s="501"/>
      <c r="AY64" s="494"/>
      <c r="AZ64" s="500"/>
      <c r="BA64" s="214">
        <f>+[40]Cashbalances!BA12</f>
        <v>-56031570</v>
      </c>
      <c r="BB64" s="501"/>
      <c r="BD64" s="494"/>
      <c r="BE64" s="500"/>
      <c r="BF64" s="214">
        <f>+[40]Cashbalances!BF12</f>
        <v>74466214</v>
      </c>
      <c r="BG64" s="501"/>
      <c r="BI64" s="494"/>
      <c r="BJ64" s="500"/>
      <c r="BK64" s="214">
        <f>+[40]Cashbalances!BK12</f>
        <v>289962570</v>
      </c>
      <c r="BL64" s="501"/>
      <c r="BN64" s="494"/>
      <c r="BO64" s="500"/>
      <c r="BP64" s="214">
        <f>+[40]Cashbalances!BP12</f>
        <v>0</v>
      </c>
      <c r="BQ64" s="501"/>
      <c r="BS64" s="494"/>
      <c r="BT64" s="500"/>
      <c r="BU64" s="214">
        <f>+[40]Cashbalances!BU12</f>
        <v>-15977691</v>
      </c>
      <c r="BV64" s="501"/>
      <c r="BX64" s="494"/>
      <c r="BY64" s="500"/>
      <c r="BZ64" s="504">
        <f>+[40]Cashbalances!BZ12</f>
        <v>63618801</v>
      </c>
      <c r="CA64" s="501"/>
      <c r="CC64" s="494"/>
      <c r="CD64" s="500"/>
      <c r="CE64" s="502">
        <f>+[40]Cashbalances!CE12</f>
        <v>46082220</v>
      </c>
      <c r="CF64" s="530"/>
      <c r="CG64" s="531"/>
      <c r="CH64" s="532"/>
      <c r="CI64" s="533"/>
      <c r="CJ64" s="214">
        <f>+[40]Cashbalances!CJ12</f>
        <v>-13324945</v>
      </c>
      <c r="CK64" s="501"/>
      <c r="CM64" s="494"/>
      <c r="CN64" s="500"/>
      <c r="CO64" s="214">
        <f>+[40]Cashbalances!CO12</f>
        <v>-108017275</v>
      </c>
      <c r="CP64" s="501"/>
      <c r="CR64" s="494"/>
      <c r="CS64" s="500"/>
      <c r="CT64" s="214">
        <f>+[40]Cashbalances!CT12</f>
        <v>112130563</v>
      </c>
      <c r="CU64" s="501"/>
      <c r="CW64" s="494"/>
      <c r="CX64" s="500"/>
      <c r="CY64" s="214">
        <f>+[40]Cashbalances!CY12</f>
        <v>19378870</v>
      </c>
      <c r="CZ64" s="501"/>
      <c r="DB64" s="494"/>
      <c r="DC64" s="500"/>
      <c r="DD64" s="214">
        <f>+[40]Cashbalances!DD12</f>
        <v>-9089134</v>
      </c>
      <c r="DE64" s="501"/>
      <c r="DG64" s="494"/>
      <c r="DH64" s="500"/>
      <c r="DI64" s="214">
        <f>+[40]Cashbalances!DI12</f>
        <v>8656413</v>
      </c>
      <c r="DJ64" s="501"/>
      <c r="DL64" s="494"/>
      <c r="DM64" s="500"/>
      <c r="DN64" s="214">
        <f>+[40]Cashbalances!DN12</f>
        <v>-11758617</v>
      </c>
      <c r="DO64" s="501"/>
      <c r="DQ64" s="494"/>
      <c r="DR64" s="500"/>
      <c r="DS64" s="214">
        <f>+[40]Cashbalances!DS12</f>
        <v>-63824067</v>
      </c>
      <c r="DT64" s="501"/>
      <c r="DV64" s="494"/>
      <c r="DW64" s="500"/>
      <c r="DX64" s="214">
        <f>+[40]Cashbalances!DX12</f>
        <v>109696169</v>
      </c>
      <c r="DY64" s="501"/>
      <c r="EA64" s="494"/>
      <c r="EB64" s="500"/>
      <c r="EC64" s="214">
        <f>+[40]Cashbalances!EC12</f>
        <v>-26342016</v>
      </c>
      <c r="ED64" s="501"/>
      <c r="EF64" s="494"/>
      <c r="EG64" s="500"/>
      <c r="EH64" s="214">
        <f>+[40]Cashbalances!EH12</f>
        <v>30620</v>
      </c>
      <c r="EI64" s="501"/>
      <c r="EK64" s="494"/>
      <c r="EL64" s="500"/>
      <c r="EM64" s="214">
        <f>+[40]Cashbalances!EM12</f>
        <v>89930197</v>
      </c>
      <c r="EN64" s="501"/>
      <c r="EP64" s="144"/>
      <c r="ES64" s="42"/>
      <c r="ET64" s="42"/>
      <c r="EU64" s="42"/>
    </row>
    <row r="65" spans="3:151" ht="12.75" customHeight="1" x14ac:dyDescent="0.3">
      <c r="C65" s="144" t="s">
        <v>319</v>
      </c>
      <c r="E65" s="493"/>
      <c r="F65" s="516"/>
      <c r="G65" s="516"/>
      <c r="H65" s="136">
        <f>+[40]Cashbalances!H25</f>
        <v>0</v>
      </c>
      <c r="I65" s="506"/>
      <c r="K65" s="494"/>
      <c r="L65" s="494"/>
      <c r="M65" s="136">
        <f>+[40]Cashbalances!M25</f>
        <v>32499994</v>
      </c>
      <c r="N65" s="506"/>
      <c r="P65" s="494"/>
      <c r="Q65" s="494"/>
      <c r="R65" s="136">
        <f>+[40]Cashbalances!R25</f>
        <v>1683425</v>
      </c>
      <c r="S65" s="506"/>
      <c r="U65" s="494"/>
      <c r="V65" s="494"/>
      <c r="W65" s="136">
        <f>+[40]Cashbalances!W25</f>
        <v>3575832</v>
      </c>
      <c r="X65" s="506"/>
      <c r="Z65" s="494"/>
      <c r="AA65" s="494"/>
      <c r="AB65" s="136">
        <f>+[40]Cashbalances!AB25</f>
        <v>53727650</v>
      </c>
      <c r="AC65" s="506"/>
      <c r="AE65" s="494"/>
      <c r="AF65" s="494"/>
      <c r="AG65" s="136">
        <f>+[40]Cashbalances!AG25</f>
        <v>-54202159</v>
      </c>
      <c r="AH65" s="506"/>
      <c r="AJ65" s="494"/>
      <c r="AK65" s="494"/>
      <c r="AL65" s="136">
        <f>+[40]Cashbalances!AL25</f>
        <v>-3465898</v>
      </c>
      <c r="AM65" s="506"/>
      <c r="AO65" s="494"/>
      <c r="AP65" s="494"/>
      <c r="AQ65" s="136">
        <f>+[40]Cashbalances!AQ25</f>
        <v>8772236</v>
      </c>
      <c r="AR65" s="506"/>
      <c r="AT65" s="494"/>
      <c r="AU65" s="494"/>
      <c r="AV65" s="136">
        <f>+[40]Cashbalances!AV25</f>
        <v>-3753879</v>
      </c>
      <c r="AW65" s="506"/>
      <c r="AY65" s="494"/>
      <c r="AZ65" s="494"/>
      <c r="BA65" s="136">
        <f>+[40]Cashbalances!BA25</f>
        <v>-20434962</v>
      </c>
      <c r="BB65" s="506"/>
      <c r="BD65" s="494"/>
      <c r="BE65" s="494"/>
      <c r="BF65" s="136">
        <f>+[40]Cashbalances!BF25</f>
        <v>14593850</v>
      </c>
      <c r="BG65" s="506"/>
      <c r="BI65" s="494"/>
      <c r="BJ65" s="494"/>
      <c r="BK65" s="136">
        <f>+[40]Cashbalances!BK25</f>
        <v>0</v>
      </c>
      <c r="BL65" s="506"/>
      <c r="BN65" s="494"/>
      <c r="BO65" s="494"/>
      <c r="BP65" s="136">
        <f>+[40]Cashbalances!BP25</f>
        <v>0</v>
      </c>
      <c r="BQ65" s="506"/>
      <c r="BS65" s="494"/>
      <c r="BT65" s="494"/>
      <c r="BU65" s="136">
        <f>+[40]Cashbalances!BU25</f>
        <v>32996089</v>
      </c>
      <c r="BV65" s="506"/>
      <c r="BX65" s="494"/>
      <c r="BY65" s="494"/>
      <c r="BZ65" s="512">
        <f>+[40]Cashbalances!BZ25</f>
        <v>-17675966</v>
      </c>
      <c r="CA65" s="506"/>
      <c r="CC65" s="494"/>
      <c r="CD65" s="494"/>
      <c r="CE65" s="136">
        <f>+[40]Cashbalances!CE25</f>
        <v>-8786316</v>
      </c>
      <c r="CF65" s="506"/>
      <c r="CH65" s="494"/>
      <c r="CI65" s="494"/>
      <c r="CJ65" s="136">
        <f>+[40]Cashbalances!CJ25</f>
        <v>10103585</v>
      </c>
      <c r="CK65" s="506"/>
      <c r="CM65" s="494"/>
      <c r="CN65" s="494"/>
      <c r="CO65" s="136">
        <f>+[40]Cashbalances!CO25</f>
        <v>-1521846</v>
      </c>
      <c r="CP65" s="506"/>
      <c r="CR65" s="494"/>
      <c r="CS65" s="494"/>
      <c r="CT65" s="136">
        <f>+[40]Cashbalances!CT25</f>
        <v>6074461</v>
      </c>
      <c r="CU65" s="506"/>
      <c r="CW65" s="494"/>
      <c r="CX65" s="494"/>
      <c r="CY65" s="136">
        <f>+[40]Cashbalances!CY25</f>
        <v>516138</v>
      </c>
      <c r="CZ65" s="506"/>
      <c r="DB65" s="494"/>
      <c r="DC65" s="494"/>
      <c r="DD65" s="136">
        <f>+[40]Cashbalances!DD25</f>
        <v>-12799947</v>
      </c>
      <c r="DE65" s="506"/>
      <c r="DG65" s="494"/>
      <c r="DH65" s="494"/>
      <c r="DI65" s="136">
        <f>+[40]Cashbalances!DI25</f>
        <v>4934831</v>
      </c>
      <c r="DJ65" s="506"/>
      <c r="DL65" s="494"/>
      <c r="DM65" s="494"/>
      <c r="DN65" s="136">
        <f>+[40]Cashbalances!DN25</f>
        <v>-5282423</v>
      </c>
      <c r="DO65" s="506"/>
      <c r="DQ65" s="494"/>
      <c r="DR65" s="494"/>
      <c r="DS65" s="136">
        <f>+[40]Cashbalances!DS25</f>
        <v>2079416</v>
      </c>
      <c r="DT65" s="506"/>
      <c r="DV65" s="494"/>
      <c r="DW65" s="494"/>
      <c r="DX65" s="136">
        <f>+[40]Cashbalances!DX25</f>
        <v>-12244714</v>
      </c>
      <c r="DY65" s="506"/>
      <c r="EA65" s="494"/>
      <c r="EB65" s="494"/>
      <c r="EC65" s="136">
        <f>+[40]Cashbalances!EC25</f>
        <v>14186127</v>
      </c>
      <c r="ED65" s="506"/>
      <c r="EF65" s="494"/>
      <c r="EG65" s="494"/>
      <c r="EH65" s="136">
        <f>+[40]Cashbalances!EH25</f>
        <v>-14935278</v>
      </c>
      <c r="EI65" s="506"/>
      <c r="EK65" s="494"/>
      <c r="EL65" s="494"/>
      <c r="EM65" s="136">
        <f>+[40]Cashbalances!EM25</f>
        <v>-16926815</v>
      </c>
      <c r="EN65" s="506"/>
      <c r="EP65" s="144"/>
      <c r="ES65" s="42"/>
      <c r="ET65" s="42"/>
      <c r="EU65" s="42"/>
    </row>
    <row r="66" spans="3:151" ht="12.75" customHeight="1" x14ac:dyDescent="0.3">
      <c r="C66" s="271" t="s">
        <v>320</v>
      </c>
      <c r="E66" s="493"/>
      <c r="F66" s="516"/>
      <c r="G66" s="516"/>
      <c r="H66" s="136">
        <f>+[40]Cashbalances!H27</f>
        <v>0</v>
      </c>
      <c r="I66" s="506"/>
      <c r="K66" s="494"/>
      <c r="L66" s="494"/>
      <c r="M66" s="136">
        <f>[40]Cashbalances!M27</f>
        <v>0</v>
      </c>
      <c r="N66" s="506"/>
      <c r="P66" s="494"/>
      <c r="Q66" s="494"/>
      <c r="R66" s="136">
        <f>[40]Cashbalances!R27</f>
        <v>0</v>
      </c>
      <c r="S66" s="506"/>
      <c r="U66" s="494"/>
      <c r="V66" s="494"/>
      <c r="W66" s="136">
        <f>[40]Cashbalances!W27</f>
        <v>0</v>
      </c>
      <c r="X66" s="506"/>
      <c r="Z66" s="494"/>
      <c r="AA66" s="494"/>
      <c r="AB66" s="136">
        <f>[40]Cashbalances!AB27</f>
        <v>0</v>
      </c>
      <c r="AC66" s="506"/>
      <c r="AE66" s="494"/>
      <c r="AF66" s="494"/>
      <c r="AG66" s="136">
        <f>[40]Cashbalances!AG27</f>
        <v>0</v>
      </c>
      <c r="AH66" s="506"/>
      <c r="AJ66" s="494"/>
      <c r="AK66" s="494"/>
      <c r="AL66" s="136">
        <f>[40]Cashbalances!AL27</f>
        <v>0</v>
      </c>
      <c r="AM66" s="506"/>
      <c r="AO66" s="494"/>
      <c r="AP66" s="494"/>
      <c r="AQ66" s="136">
        <f>[40]Cashbalances!AQ27</f>
        <v>0</v>
      </c>
      <c r="AR66" s="506"/>
      <c r="AT66" s="494"/>
      <c r="AU66" s="494"/>
      <c r="AV66" s="136">
        <f>[40]Cashbalances!AV27</f>
        <v>0</v>
      </c>
      <c r="AW66" s="506"/>
      <c r="AY66" s="494"/>
      <c r="AZ66" s="494"/>
      <c r="BA66" s="136">
        <f>[40]Cashbalances!BA27</f>
        <v>0</v>
      </c>
      <c r="BB66" s="506"/>
      <c r="BD66" s="494"/>
      <c r="BE66" s="494"/>
      <c r="BF66" s="136">
        <f>[40]Cashbalances!BF27</f>
        <v>0</v>
      </c>
      <c r="BG66" s="506"/>
      <c r="BI66" s="494"/>
      <c r="BJ66" s="494"/>
      <c r="BK66" s="136">
        <f>[40]Cashbalances!BK27</f>
        <v>0</v>
      </c>
      <c r="BL66" s="506"/>
      <c r="BN66" s="494"/>
      <c r="BO66" s="494"/>
      <c r="BP66" s="136">
        <f>[40]Cashbalances!BP27</f>
        <v>0</v>
      </c>
      <c r="BQ66" s="506"/>
      <c r="BS66" s="494"/>
      <c r="BT66" s="494"/>
      <c r="BU66" s="136">
        <f>[40]Cashbalances!BU27</f>
        <v>0</v>
      </c>
      <c r="BV66" s="506"/>
      <c r="BX66" s="494"/>
      <c r="BY66" s="494"/>
      <c r="BZ66" s="512">
        <f>+[40]Cashbalances!BZ27</f>
        <v>3337965.9578001499</v>
      </c>
      <c r="CA66" s="506"/>
      <c r="CC66" s="494"/>
      <c r="CD66" s="494"/>
      <c r="CE66" s="136">
        <f>[40]Cashbalances!CE27</f>
        <v>0</v>
      </c>
      <c r="CF66" s="506"/>
      <c r="CH66" s="494"/>
      <c r="CI66" s="494"/>
      <c r="CJ66" s="136">
        <f>[40]Cashbalances!CJ27</f>
        <v>0</v>
      </c>
      <c r="CK66" s="506"/>
      <c r="CM66" s="494"/>
      <c r="CN66" s="494"/>
      <c r="CO66" s="136">
        <f>[40]Cashbalances!CO27</f>
        <v>0</v>
      </c>
      <c r="CP66" s="506"/>
      <c r="CR66" s="494"/>
      <c r="CS66" s="494"/>
      <c r="CT66" s="136">
        <f>[40]Cashbalances!CT27</f>
        <v>0</v>
      </c>
      <c r="CU66" s="506"/>
      <c r="CW66" s="494"/>
      <c r="CX66" s="494"/>
      <c r="CY66" s="136">
        <f>[40]Cashbalances!CY27</f>
        <v>0</v>
      </c>
      <c r="CZ66" s="506"/>
      <c r="DB66" s="494"/>
      <c r="DC66" s="494"/>
      <c r="DD66" s="136">
        <f>[40]Cashbalances!DD27</f>
        <v>0</v>
      </c>
      <c r="DE66" s="506"/>
      <c r="DG66" s="494"/>
      <c r="DH66" s="494"/>
      <c r="DI66" s="136">
        <f>[40]Cashbalances!DI27</f>
        <v>0</v>
      </c>
      <c r="DJ66" s="506"/>
      <c r="DL66" s="494"/>
      <c r="DM66" s="494"/>
      <c r="DN66" s="136">
        <f>[40]Cashbalances!DN27</f>
        <v>0</v>
      </c>
      <c r="DO66" s="506"/>
      <c r="DQ66" s="494"/>
      <c r="DR66" s="494"/>
      <c r="DS66" s="136">
        <f>[40]Cashbalances!DS27</f>
        <v>0</v>
      </c>
      <c r="DT66" s="506"/>
      <c r="DV66" s="494"/>
      <c r="DW66" s="494"/>
      <c r="DX66" s="136">
        <f>[40]Cashbalances!DX27</f>
        <v>0</v>
      </c>
      <c r="DY66" s="506"/>
      <c r="EA66" s="494"/>
      <c r="EB66" s="494"/>
      <c r="EC66" s="136">
        <f>[40]Cashbalances!EC27</f>
        <v>0</v>
      </c>
      <c r="ED66" s="506"/>
      <c r="EF66" s="494"/>
      <c r="EG66" s="494"/>
      <c r="EH66" s="136">
        <f>[40]Cashbalances!EH27</f>
        <v>4402225.7110300008</v>
      </c>
      <c r="EI66" s="506"/>
      <c r="EK66" s="494"/>
      <c r="EL66" s="494"/>
      <c r="EM66" s="136">
        <f>[40]Cashbalances!EM27</f>
        <v>0</v>
      </c>
      <c r="EN66" s="506"/>
      <c r="EP66" s="144"/>
      <c r="ES66" s="42"/>
      <c r="ET66" s="42"/>
      <c r="EU66" s="42"/>
    </row>
    <row r="67" spans="3:151" ht="12.75" customHeight="1" x14ac:dyDescent="0.3">
      <c r="C67" s="144" t="s">
        <v>321</v>
      </c>
      <c r="E67" s="493"/>
      <c r="F67" s="516"/>
      <c r="G67" s="516"/>
      <c r="H67" s="136">
        <f>+[40]Cashbalances!H29</f>
        <v>-776091.86601304996</v>
      </c>
      <c r="I67" s="506"/>
      <c r="K67" s="494"/>
      <c r="L67" s="494"/>
      <c r="M67" s="136">
        <f>+[40]Cashbalances!M29</f>
        <v>1585476</v>
      </c>
      <c r="N67" s="506"/>
      <c r="P67" s="494"/>
      <c r="Q67" s="494"/>
      <c r="R67" s="136">
        <f>+[40]Cashbalances!R29</f>
        <v>1883939</v>
      </c>
      <c r="S67" s="506"/>
      <c r="U67" s="494"/>
      <c r="V67" s="494"/>
      <c r="W67" s="136">
        <f>+[40]Cashbalances!W29</f>
        <v>1345</v>
      </c>
      <c r="X67" s="506"/>
      <c r="Z67" s="494"/>
      <c r="AA67" s="494"/>
      <c r="AB67" s="136">
        <f>+[40]Cashbalances!AB29</f>
        <v>7623</v>
      </c>
      <c r="AC67" s="506"/>
      <c r="AE67" s="494"/>
      <c r="AF67" s="494"/>
      <c r="AG67" s="136">
        <f>+[40]Cashbalances!AG29</f>
        <v>2785125</v>
      </c>
      <c r="AH67" s="506"/>
      <c r="AJ67" s="494"/>
      <c r="AK67" s="494"/>
      <c r="AL67" s="136">
        <f>+[40]Cashbalances!AL29</f>
        <v>4713582</v>
      </c>
      <c r="AM67" s="506"/>
      <c r="AO67" s="494"/>
      <c r="AP67" s="494"/>
      <c r="AQ67" s="136">
        <f>+[40]Cashbalances!AQ29</f>
        <v>1340721</v>
      </c>
      <c r="AR67" s="506"/>
      <c r="AT67" s="494"/>
      <c r="AU67" s="494"/>
      <c r="AV67" s="136">
        <f>+[40]Cashbalances!AV29</f>
        <v>1361987</v>
      </c>
      <c r="AW67" s="506"/>
      <c r="AY67" s="494"/>
      <c r="AZ67" s="494"/>
      <c r="BA67" s="136">
        <f>+[40]Cashbalances!BA29</f>
        <v>4840836</v>
      </c>
      <c r="BB67" s="506"/>
      <c r="BD67" s="494"/>
      <c r="BE67" s="494"/>
      <c r="BF67" s="136">
        <f>+[40]Cashbalances!BF29</f>
        <v>400240</v>
      </c>
      <c r="BG67" s="506"/>
      <c r="BI67" s="494"/>
      <c r="BJ67" s="494"/>
      <c r="BK67" s="136">
        <f>+[40]Cashbalances!BK29</f>
        <v>0</v>
      </c>
      <c r="BL67" s="506"/>
      <c r="BN67" s="494"/>
      <c r="BO67" s="494"/>
      <c r="BP67" s="136">
        <f>+[40]Cashbalances!BP29</f>
        <v>0</v>
      </c>
      <c r="BQ67" s="506"/>
      <c r="BS67" s="494"/>
      <c r="BT67" s="494"/>
      <c r="BU67" s="136">
        <f>+[40]Cashbalances!BU29</f>
        <v>18920874</v>
      </c>
      <c r="BV67" s="506"/>
      <c r="BX67" s="494"/>
      <c r="BY67" s="494"/>
      <c r="BZ67" s="512">
        <f>+[40]Cashbalances!BZ30</f>
        <v>25341605</v>
      </c>
      <c r="CA67" s="506"/>
      <c r="CC67" s="494"/>
      <c r="CD67" s="494"/>
      <c r="CE67" s="136">
        <f>+[40]Cashbalances!CE29</f>
        <v>1088487</v>
      </c>
      <c r="CF67" s="506"/>
      <c r="CH67" s="494"/>
      <c r="CI67" s="494"/>
      <c r="CJ67" s="136">
        <f>+[40]Cashbalances!CJ29</f>
        <v>1683039</v>
      </c>
      <c r="CK67" s="506"/>
      <c r="CM67" s="494"/>
      <c r="CN67" s="494"/>
      <c r="CO67" s="136">
        <f>+[40]Cashbalances!CO29</f>
        <v>239249</v>
      </c>
      <c r="CP67" s="506"/>
      <c r="CR67" s="494"/>
      <c r="CS67" s="494"/>
      <c r="CT67" s="136">
        <f>+[40]Cashbalances!CT29</f>
        <v>17656</v>
      </c>
      <c r="CU67" s="506"/>
      <c r="CW67" s="494"/>
      <c r="CX67" s="494"/>
      <c r="CY67" s="136">
        <f>+[40]Cashbalances!CY29</f>
        <v>1013935</v>
      </c>
      <c r="CZ67" s="506"/>
      <c r="DB67" s="494"/>
      <c r="DC67" s="494"/>
      <c r="DD67" s="136">
        <f>+[40]Cashbalances!DD29</f>
        <v>1111697</v>
      </c>
      <c r="DE67" s="506"/>
      <c r="DG67" s="494"/>
      <c r="DH67" s="494"/>
      <c r="DI67" s="136">
        <f>+[40]Cashbalances!DI29</f>
        <v>530072</v>
      </c>
      <c r="DJ67" s="506"/>
      <c r="DL67" s="494"/>
      <c r="DM67" s="494"/>
      <c r="DN67" s="136">
        <f>+[40]Cashbalances!DN29</f>
        <v>6511671</v>
      </c>
      <c r="DO67" s="506"/>
      <c r="DQ67" s="494"/>
      <c r="DR67" s="494"/>
      <c r="DS67" s="136">
        <f>+[40]Cashbalances!DS29</f>
        <v>560492</v>
      </c>
      <c r="DT67" s="506"/>
      <c r="DV67" s="494"/>
      <c r="DW67" s="494"/>
      <c r="DX67" s="136">
        <f>+[40]Cashbalances!DX29</f>
        <v>2756088</v>
      </c>
      <c r="DY67" s="506"/>
      <c r="EA67" s="494"/>
      <c r="EB67" s="494"/>
      <c r="EC67" s="136">
        <f>+[40]Cashbalances!EC29</f>
        <v>8032775</v>
      </c>
      <c r="ED67" s="506"/>
      <c r="EF67" s="494"/>
      <c r="EG67" s="494"/>
      <c r="EH67" s="136">
        <f>+[40]Cashbalances!EH29</f>
        <v>1796444</v>
      </c>
      <c r="EI67" s="506"/>
      <c r="EK67" s="494"/>
      <c r="EL67" s="494"/>
      <c r="EM67" s="136">
        <f>+[40]Cashbalances!EM29</f>
        <v>15512386</v>
      </c>
      <c r="EN67" s="506"/>
      <c r="EP67" s="144"/>
      <c r="ES67" s="42"/>
      <c r="ET67" s="42"/>
      <c r="EU67" s="42"/>
    </row>
    <row r="68" spans="3:151" ht="12.75" customHeight="1" x14ac:dyDescent="0.3">
      <c r="C68" s="144" t="s">
        <v>322</v>
      </c>
      <c r="E68" s="493"/>
      <c r="F68" s="516"/>
      <c r="G68" s="516"/>
      <c r="H68" s="136">
        <f>+[40]Cashbalances!H32</f>
        <v>0</v>
      </c>
      <c r="I68" s="506"/>
      <c r="K68" s="494"/>
      <c r="L68" s="494"/>
      <c r="M68" s="136">
        <f>+[40]Cashbalances!M32</f>
        <v>0</v>
      </c>
      <c r="N68" s="506"/>
      <c r="P68" s="494"/>
      <c r="Q68" s="494"/>
      <c r="R68" s="136">
        <f>+[40]Cashbalances!R32</f>
        <v>0</v>
      </c>
      <c r="S68" s="506"/>
      <c r="U68" s="494"/>
      <c r="V68" s="494"/>
      <c r="W68" s="136">
        <f>+[40]Cashbalances!W32</f>
        <v>-28311</v>
      </c>
      <c r="X68" s="506"/>
      <c r="Z68" s="494"/>
      <c r="AA68" s="494"/>
      <c r="AB68" s="136">
        <f>+[40]Cashbalances!AB32</f>
        <v>28311</v>
      </c>
      <c r="AC68" s="506"/>
      <c r="AE68" s="494"/>
      <c r="AF68" s="494"/>
      <c r="AG68" s="136">
        <f>+[40]Cashbalances!AG32</f>
        <v>-30170</v>
      </c>
      <c r="AH68" s="506"/>
      <c r="AJ68" s="494"/>
      <c r="AK68" s="494"/>
      <c r="AL68" s="136">
        <f>+[40]Cashbalances!AL32</f>
        <v>-107886</v>
      </c>
      <c r="AM68" s="506"/>
      <c r="AO68" s="494"/>
      <c r="AP68" s="494"/>
      <c r="AQ68" s="136">
        <f>+[40]Cashbalances!AQ32</f>
        <v>-962616</v>
      </c>
      <c r="AR68" s="506"/>
      <c r="AT68" s="494"/>
      <c r="AU68" s="494"/>
      <c r="AV68" s="136">
        <f>+[40]Cashbalances!AV32</f>
        <v>0</v>
      </c>
      <c r="AW68" s="506"/>
      <c r="AY68" s="494"/>
      <c r="AZ68" s="494"/>
      <c r="BA68" s="136">
        <f>+[40]Cashbalances!BA32</f>
        <v>0</v>
      </c>
      <c r="BB68" s="506"/>
      <c r="BD68" s="494"/>
      <c r="BE68" s="494"/>
      <c r="BF68" s="136">
        <f>+[40]Cashbalances!BF32</f>
        <v>0</v>
      </c>
      <c r="BG68" s="506"/>
      <c r="BI68" s="494"/>
      <c r="BJ68" s="494"/>
      <c r="BK68" s="136">
        <f>+[40]Cashbalances!BK32</f>
        <v>0</v>
      </c>
      <c r="BL68" s="506"/>
      <c r="BN68" s="494"/>
      <c r="BO68" s="494"/>
      <c r="BP68" s="136">
        <f>+[40]Cashbalances!BP32</f>
        <v>0</v>
      </c>
      <c r="BQ68" s="506"/>
      <c r="BS68" s="494"/>
      <c r="BT68" s="494"/>
      <c r="BU68" s="136">
        <f>+[40]Cashbalances!BU32</f>
        <v>-1100672</v>
      </c>
      <c r="BV68" s="506"/>
      <c r="BX68" s="494"/>
      <c r="BY68" s="494"/>
      <c r="BZ68" s="512">
        <f>+[40]Cashbalances!BZ32</f>
        <v>-915497</v>
      </c>
      <c r="CA68" s="506"/>
      <c r="CC68" s="494"/>
      <c r="CD68" s="494"/>
      <c r="CE68" s="531">
        <f>+[40]Cashbalances!CE32</f>
        <v>0</v>
      </c>
      <c r="CF68" s="534"/>
      <c r="CG68" s="531"/>
      <c r="CH68" s="532"/>
      <c r="CI68" s="532"/>
      <c r="CJ68" s="136">
        <f>+[40]Cashbalances!CJ32</f>
        <v>0</v>
      </c>
      <c r="CK68" s="506"/>
      <c r="CM68" s="494"/>
      <c r="CN68" s="494"/>
      <c r="CO68" s="136">
        <f>+[40]Cashbalances!CO32</f>
        <v>-34139</v>
      </c>
      <c r="CP68" s="506"/>
      <c r="CR68" s="494"/>
      <c r="CS68" s="494"/>
      <c r="CT68" s="136">
        <f>+[40]Cashbalances!CT32</f>
        <v>0</v>
      </c>
      <c r="CU68" s="506"/>
      <c r="CW68" s="494"/>
      <c r="CX68" s="494"/>
      <c r="CY68" s="136">
        <f>+[40]Cashbalances!CY32</f>
        <v>0</v>
      </c>
      <c r="CZ68" s="506"/>
      <c r="DB68" s="494"/>
      <c r="DC68" s="494"/>
      <c r="DD68" s="136">
        <f>+[40]Cashbalances!DD32</f>
        <v>-578417</v>
      </c>
      <c r="DE68" s="506"/>
      <c r="DG68" s="494"/>
      <c r="DH68" s="494"/>
      <c r="DI68" s="136">
        <f>+[40]Cashbalances!DI32</f>
        <v>0</v>
      </c>
      <c r="DJ68" s="506"/>
      <c r="DL68" s="494"/>
      <c r="DM68" s="494"/>
      <c r="DN68" s="136">
        <f>+[40]Cashbalances!DN32</f>
        <v>-266903</v>
      </c>
      <c r="DO68" s="506"/>
      <c r="DQ68" s="494"/>
      <c r="DR68" s="494"/>
      <c r="DS68" s="136">
        <f>+[40]Cashbalances!DS32</f>
        <v>0</v>
      </c>
      <c r="DT68" s="506"/>
      <c r="DV68" s="494"/>
      <c r="DW68" s="494"/>
      <c r="DX68" s="136">
        <f>+[40]Cashbalances!DX32</f>
        <v>0</v>
      </c>
      <c r="DY68" s="506"/>
      <c r="EA68" s="494"/>
      <c r="EB68" s="494"/>
      <c r="EC68" s="136">
        <f>+[40]Cashbalances!EC32</f>
        <v>-14320</v>
      </c>
      <c r="ED68" s="506"/>
      <c r="EF68" s="494"/>
      <c r="EG68" s="494"/>
      <c r="EH68" s="136">
        <f>+[40]Cashbalances!EH32</f>
        <v>-21718</v>
      </c>
      <c r="EI68" s="506"/>
      <c r="EK68" s="494"/>
      <c r="EL68" s="494"/>
      <c r="EM68" s="136">
        <f>+[40]Cashbalances!EM32</f>
        <v>-879459</v>
      </c>
      <c r="EN68" s="506"/>
      <c r="EP68" s="144"/>
      <c r="ES68" s="42"/>
      <c r="ET68" s="42"/>
      <c r="EU68" s="42"/>
    </row>
    <row r="69" spans="3:151" ht="12.75" customHeight="1" x14ac:dyDescent="0.3">
      <c r="C69" s="144" t="s">
        <v>323</v>
      </c>
      <c r="E69" s="493"/>
      <c r="F69" s="516"/>
      <c r="G69" s="529"/>
      <c r="H69" s="277">
        <f>+[40]Cashbalances!H35</f>
        <v>0</v>
      </c>
      <c r="I69" s="515"/>
      <c r="K69" s="494"/>
      <c r="L69" s="513"/>
      <c r="M69" s="277">
        <f>+[40]Cashbalances!M35</f>
        <v>-32836320.771990001</v>
      </c>
      <c r="N69" s="515"/>
      <c r="P69" s="494"/>
      <c r="Q69" s="513"/>
      <c r="R69" s="277">
        <f>+[40]Cashbalances!R35</f>
        <v>-5512617.4648199826</v>
      </c>
      <c r="S69" s="515"/>
      <c r="U69" s="494"/>
      <c r="V69" s="513"/>
      <c r="W69" s="277">
        <f>+[40]Cashbalances!W35</f>
        <v>3578503.2416499853</v>
      </c>
      <c r="X69" s="515"/>
      <c r="Z69" s="494"/>
      <c r="AA69" s="513"/>
      <c r="AB69" s="277">
        <f>+[40]Cashbalances!AB35</f>
        <v>-7197008.0788299739</v>
      </c>
      <c r="AC69" s="515"/>
      <c r="AE69" s="494"/>
      <c r="AF69" s="513"/>
      <c r="AG69" s="277">
        <f>+[40]Cashbalances!AG35</f>
        <v>5587438.3340399861</v>
      </c>
      <c r="AH69" s="515"/>
      <c r="AJ69" s="494"/>
      <c r="AK69" s="513"/>
      <c r="AL69" s="277">
        <f>+[40]Cashbalances!AL35</f>
        <v>-1570242.0785700083</v>
      </c>
      <c r="AM69" s="515"/>
      <c r="AO69" s="494"/>
      <c r="AP69" s="513"/>
      <c r="AQ69" s="277">
        <f>+[40]Cashbalances!AQ35</f>
        <v>-6134755.2017400116</v>
      </c>
      <c r="AR69" s="515"/>
      <c r="AT69" s="494"/>
      <c r="AU69" s="513"/>
      <c r="AV69" s="277">
        <f>+[40]Cashbalances!AV35</f>
        <v>2681067.2674000114</v>
      </c>
      <c r="AW69" s="515"/>
      <c r="AY69" s="494"/>
      <c r="AZ69" s="513"/>
      <c r="BA69" s="277">
        <f>+[40]Cashbalances!BA35</f>
        <v>10848952.676469982</v>
      </c>
      <c r="BB69" s="515"/>
      <c r="BD69" s="494"/>
      <c r="BE69" s="513"/>
      <c r="BF69" s="277">
        <f>+[40]Cashbalances!BF35</f>
        <v>-18025698.560849994</v>
      </c>
      <c r="BG69" s="515"/>
      <c r="BI69" s="494"/>
      <c r="BJ69" s="513"/>
      <c r="BK69" s="277">
        <f>+[40]Cashbalances!BK35</f>
        <v>0</v>
      </c>
      <c r="BL69" s="515"/>
      <c r="BN69" s="494"/>
      <c r="BO69" s="513"/>
      <c r="BP69" s="277">
        <f>+[40]Cashbalances!BP35</f>
        <v>0</v>
      </c>
      <c r="BQ69" s="515"/>
      <c r="BS69" s="494"/>
      <c r="BT69" s="513"/>
      <c r="BU69" s="277">
        <f>+[40]Cashbalances!BU35</f>
        <v>-48580680.637240008</v>
      </c>
      <c r="BV69" s="515"/>
      <c r="BX69" s="494"/>
      <c r="BY69" s="513"/>
      <c r="BZ69" s="514">
        <f>+[40]Cashbalances!BZ35</f>
        <v>1064259.7532298565</v>
      </c>
      <c r="CA69" s="515"/>
      <c r="CC69" s="494"/>
      <c r="CD69" s="513"/>
      <c r="CE69" s="277">
        <f>+[40]Cashbalances!CE35</f>
        <v>5906544.219140023</v>
      </c>
      <c r="CF69" s="515"/>
      <c r="CH69" s="494"/>
      <c r="CI69" s="513"/>
      <c r="CJ69" s="277">
        <f>+[40]Cashbalances!CJ35</f>
        <v>-12483950.991829976</v>
      </c>
      <c r="CK69" s="515"/>
      <c r="CM69" s="494"/>
      <c r="CN69" s="513"/>
      <c r="CO69" s="277">
        <f>+[40]Cashbalances!CO35</f>
        <v>3209022.3661100268</v>
      </c>
      <c r="CP69" s="515"/>
      <c r="CR69" s="494"/>
      <c r="CS69" s="513"/>
      <c r="CT69" s="277">
        <f>+[40]Cashbalances!CT35</f>
        <v>-6553094.9010600448</v>
      </c>
      <c r="CU69" s="515"/>
      <c r="CW69" s="494"/>
      <c r="CX69" s="513"/>
      <c r="CY69" s="277">
        <f>+[40]Cashbalances!CY35</f>
        <v>-2782867.0139960051</v>
      </c>
      <c r="CZ69" s="515"/>
      <c r="DB69" s="494"/>
      <c r="DC69" s="513"/>
      <c r="DD69" s="277">
        <f>+[40]Cashbalances!DD35</f>
        <v>8997817.3801300079</v>
      </c>
      <c r="DE69" s="515"/>
      <c r="DG69" s="494"/>
      <c r="DH69" s="513"/>
      <c r="DI69" s="277">
        <f>+[40]Cashbalances!DI35</f>
        <v>-1449789.4983399957</v>
      </c>
      <c r="DJ69" s="515"/>
      <c r="DL69" s="494"/>
      <c r="DM69" s="513"/>
      <c r="DN69" s="277">
        <f>+[40]Cashbalances!DN35</f>
        <v>10616591.319769949</v>
      </c>
      <c r="DO69" s="515"/>
      <c r="DQ69" s="494"/>
      <c r="DR69" s="513"/>
      <c r="DS69" s="277">
        <f>+[40]Cashbalances!DS35</f>
        <v>383769.56102001667</v>
      </c>
      <c r="DT69" s="515"/>
      <c r="DV69" s="494"/>
      <c r="DW69" s="513"/>
      <c r="DX69" s="277">
        <f>+[40]Cashbalances!DX35</f>
        <v>4427766.5460499972</v>
      </c>
      <c r="DY69" s="515"/>
      <c r="EA69" s="494"/>
      <c r="EB69" s="513"/>
      <c r="EC69" s="277">
        <f>+[40]Cashbalances!EC35</f>
        <v>-19891534.173719943</v>
      </c>
      <c r="ED69" s="515"/>
      <c r="EF69" s="494"/>
      <c r="EG69" s="513"/>
      <c r="EH69" s="277">
        <f>+[40]Cashbalances!EH35</f>
        <v>16555653.150080025</v>
      </c>
      <c r="EI69" s="515"/>
      <c r="EK69" s="494"/>
      <c r="EL69" s="513"/>
      <c r="EM69" s="277">
        <f>[40]Cashbalances!EM35</f>
        <v>10271808.986993998</v>
      </c>
      <c r="EN69" s="515"/>
      <c r="EP69" s="144"/>
      <c r="ES69" s="42"/>
      <c r="ET69" s="42"/>
      <c r="EU69" s="42"/>
    </row>
    <row r="70" spans="3:151" x14ac:dyDescent="0.3">
      <c r="C70" s="144"/>
      <c r="E70" s="493"/>
      <c r="F70" s="516"/>
      <c r="G70" s="517"/>
      <c r="K70" s="494"/>
      <c r="P70" s="494"/>
      <c r="U70" s="494"/>
      <c r="Z70" s="494"/>
      <c r="AE70" s="494"/>
      <c r="AJ70" s="494"/>
      <c r="AO70" s="494"/>
      <c r="AT70" s="494"/>
      <c r="AY70" s="494"/>
      <c r="BD70" s="494"/>
      <c r="BI70" s="494"/>
      <c r="BN70" s="494"/>
      <c r="BS70" s="494"/>
      <c r="BX70" s="494"/>
      <c r="BZ70" s="512"/>
      <c r="CC70" s="494"/>
      <c r="CH70" s="494"/>
      <c r="CM70" s="494"/>
      <c r="CR70" s="494"/>
      <c r="CW70" s="494"/>
      <c r="DB70" s="494"/>
      <c r="DG70" s="494"/>
      <c r="DL70" s="494"/>
      <c r="DQ70" s="494"/>
      <c r="DV70" s="494"/>
      <c r="EA70" s="494"/>
      <c r="EF70" s="494"/>
      <c r="EK70" s="494"/>
      <c r="EP70" s="144"/>
      <c r="ES70" s="42"/>
      <c r="ET70" s="42"/>
      <c r="EU70" s="42"/>
    </row>
    <row r="71" spans="3:151" s="42" customFormat="1" x14ac:dyDescent="0.3">
      <c r="C71" s="535" t="s">
        <v>324</v>
      </c>
      <c r="D71" s="536"/>
      <c r="E71" s="495"/>
      <c r="F71" s="537"/>
      <c r="G71" s="538"/>
      <c r="H71" s="213">
        <f>+H13+H23+H40+H63</f>
        <v>323735701.13398695</v>
      </c>
      <c r="I71" s="213"/>
      <c r="J71" s="213"/>
      <c r="K71" s="539"/>
      <c r="L71" s="213"/>
      <c r="M71" s="213">
        <f>+M13+M23+M40+M63</f>
        <v>45209505.228009999</v>
      </c>
      <c r="N71" s="213"/>
      <c r="O71" s="213"/>
      <c r="P71" s="539"/>
      <c r="Q71" s="213"/>
      <c r="R71" s="213">
        <f>+R13+R23+R40+R63</f>
        <v>17130039.535180017</v>
      </c>
      <c r="S71" s="213"/>
      <c r="T71" s="213"/>
      <c r="U71" s="539"/>
      <c r="V71" s="213"/>
      <c r="W71" s="213">
        <f>+W13+W23+W40+W63</f>
        <v>-73838288.758350015</v>
      </c>
      <c r="X71" s="213"/>
      <c r="Y71" s="213"/>
      <c r="Z71" s="539"/>
      <c r="AA71" s="213"/>
      <c r="AB71" s="213">
        <f>+AB13+AB23+AB40+AB63</f>
        <v>129522787.92117003</v>
      </c>
      <c r="AC71" s="213"/>
      <c r="AD71" s="213"/>
      <c r="AE71" s="539"/>
      <c r="AF71" s="213"/>
      <c r="AG71" s="213">
        <f>+AG13+AG23+AG40+AG63</f>
        <v>42665317.334039986</v>
      </c>
      <c r="AH71" s="213"/>
      <c r="AI71" s="213"/>
      <c r="AJ71" s="539"/>
      <c r="AK71" s="213"/>
      <c r="AL71" s="213">
        <f>+AL13+AL23+AL40+AL63</f>
        <v>3292694.9214299917</v>
      </c>
      <c r="AM71" s="213"/>
      <c r="AN71" s="213"/>
      <c r="AO71" s="539"/>
      <c r="AP71" s="213"/>
      <c r="AQ71" s="213">
        <f>+AQ13+AQ23+AQ40+AQ63</f>
        <v>40564982.798259988</v>
      </c>
      <c r="AR71" s="213"/>
      <c r="AS71" s="213"/>
      <c r="AT71" s="539"/>
      <c r="AU71" s="213"/>
      <c r="AV71" s="213">
        <f>+AV13+AV23+AV40+AV63</f>
        <v>23520188.267400011</v>
      </c>
      <c r="AW71" s="213"/>
      <c r="AX71" s="213"/>
      <c r="AY71" s="539"/>
      <c r="AZ71" s="213"/>
      <c r="BA71" s="213">
        <f>+BA13+BA23+BA40+BA63</f>
        <v>-44970578.323530018</v>
      </c>
      <c r="BB71" s="213"/>
      <c r="BC71" s="213"/>
      <c r="BD71" s="539"/>
      <c r="BE71" s="213"/>
      <c r="BF71" s="213">
        <f>+BF13+BF23+BF40+BF63</f>
        <v>88800829.439150006</v>
      </c>
      <c r="BG71" s="213"/>
      <c r="BH71" s="213"/>
      <c r="BI71" s="539"/>
      <c r="BJ71" s="213"/>
      <c r="BK71" s="213">
        <f>+BK13+BK23+BK40+BK63</f>
        <v>289962570</v>
      </c>
      <c r="BL71" s="213"/>
      <c r="BM71" s="213"/>
      <c r="BN71" s="539"/>
      <c r="BO71" s="213"/>
      <c r="BP71" s="213">
        <f>+BP13+BP23+BP40+BP63</f>
        <v>0</v>
      </c>
      <c r="BQ71" s="213"/>
      <c r="BR71" s="213"/>
      <c r="BS71" s="539"/>
      <c r="BT71" s="213"/>
      <c r="BU71" s="213">
        <f>+BU13+BU23+BU40+BU63</f>
        <v>271897478.36276001</v>
      </c>
      <c r="BV71" s="213"/>
      <c r="BW71" s="213"/>
      <c r="BX71" s="539"/>
      <c r="BY71" s="213"/>
      <c r="BZ71" s="540">
        <f>+BZ13+BZ23+BZ40+BZ63</f>
        <v>323134461.71103001</v>
      </c>
      <c r="CA71" s="213"/>
      <c r="CB71" s="213"/>
      <c r="CC71" s="539"/>
      <c r="CD71" s="213"/>
      <c r="CE71" s="213">
        <f>+CE13+CE23+CE40+CE63</f>
        <v>80363106.219140023</v>
      </c>
      <c r="CF71" s="213"/>
      <c r="CG71" s="536"/>
      <c r="CH71" s="539"/>
      <c r="CI71" s="213"/>
      <c r="CJ71" s="213">
        <f>+CJ13+CJ23+CJ40+CJ63</f>
        <v>5443714.0081700236</v>
      </c>
      <c r="CK71" s="213"/>
      <c r="CL71" s="213"/>
      <c r="CM71" s="539"/>
      <c r="CN71" s="213"/>
      <c r="CO71" s="213">
        <f>+CO13+CO23+CO40+CO63</f>
        <v>-63147812.633889973</v>
      </c>
      <c r="CP71" s="213"/>
      <c r="CQ71" s="213"/>
      <c r="CR71" s="539"/>
      <c r="CS71" s="213"/>
      <c r="CT71" s="213">
        <f>+CT13+CT23+CT40+CT63</f>
        <v>133237815.09893996</v>
      </c>
      <c r="CU71" s="213"/>
      <c r="CV71" s="213"/>
      <c r="CW71" s="539"/>
      <c r="CX71" s="213"/>
      <c r="CY71" s="213">
        <f>+CY13+CY23+CY40+CY63</f>
        <v>39271319.986003995</v>
      </c>
      <c r="CZ71" s="213"/>
      <c r="DA71" s="213"/>
      <c r="DB71" s="539"/>
      <c r="DC71" s="213"/>
      <c r="DD71" s="213">
        <f>+DD13+DD23+DD40+DD63</f>
        <v>7282332.3801300079</v>
      </c>
      <c r="DE71" s="213"/>
      <c r="DF71" s="213"/>
      <c r="DG71" s="539"/>
      <c r="DH71" s="213"/>
      <c r="DI71" s="213">
        <f>+DI13+DI23+DI40+DI63</f>
        <v>36796929.501660004</v>
      </c>
      <c r="DJ71" s="213"/>
      <c r="DK71" s="213"/>
      <c r="DL71" s="539"/>
      <c r="DM71" s="213"/>
      <c r="DN71" s="213">
        <f>+DN13+DN23+DN40+DN63</f>
        <v>21781581.319769949</v>
      </c>
      <c r="DO71" s="213"/>
      <c r="DP71" s="213"/>
      <c r="DQ71" s="539"/>
      <c r="DR71" s="213"/>
      <c r="DS71" s="213">
        <f>+DS13+DS23+DS40+DS63</f>
        <v>-41889213.438979983</v>
      </c>
      <c r="DT71" s="213"/>
      <c r="DU71" s="213"/>
      <c r="DV71" s="539"/>
      <c r="DW71" s="213"/>
      <c r="DX71" s="213">
        <f>+DX13+DX23+DX40+DX63</f>
        <v>65925976.546049997</v>
      </c>
      <c r="DY71" s="213"/>
      <c r="DZ71" s="213"/>
      <c r="EA71" s="539"/>
      <c r="EB71" s="213"/>
      <c r="EC71" s="213">
        <f>+EC13+EC23+EC40+EC63</f>
        <v>3383581.8262800574</v>
      </c>
      <c r="ED71" s="213"/>
      <c r="EE71" s="213"/>
      <c r="EF71" s="539"/>
      <c r="EG71" s="213"/>
      <c r="EH71" s="213">
        <f>+EH13+EH23+EH40+EH63</f>
        <v>41621058.861110024</v>
      </c>
      <c r="EI71" s="213"/>
      <c r="EJ71" s="213"/>
      <c r="EK71" s="539"/>
      <c r="EL71" s="213"/>
      <c r="EM71" s="213">
        <f>+EM13+EM23+EM40+EM63</f>
        <v>285065748.98699403</v>
      </c>
      <c r="EN71" s="213"/>
      <c r="EO71" s="541"/>
      <c r="EP71" s="234"/>
    </row>
    <row r="72" spans="3:151" ht="15" customHeight="1" x14ac:dyDescent="0.3">
      <c r="C72" s="542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T72" s="42"/>
    </row>
    <row r="74" spans="3:151" ht="15" customHeight="1" x14ac:dyDescent="0.3"/>
    <row r="75" spans="3:151" s="543" customFormat="1" ht="15" hidden="1" customHeight="1" x14ac:dyDescent="0.3">
      <c r="D75" s="544"/>
      <c r="AL75" s="545"/>
      <c r="BW75" s="42">
        <f>+BW76+BW83</f>
        <v>-34578454</v>
      </c>
    </row>
    <row r="76" spans="3:151" s="543" customFormat="1" ht="15" hidden="1" customHeight="1" x14ac:dyDescent="0.3">
      <c r="C76" s="68"/>
      <c r="D76" s="544"/>
      <c r="BW76" s="136">
        <f>SUM(BW77:BW81)</f>
        <v>-34578454</v>
      </c>
    </row>
    <row r="77" spans="3:151" ht="15" hidden="1" customHeight="1" x14ac:dyDescent="0.3">
      <c r="M77" s="136">
        <f t="shared" ref="M77:BU81" si="1">M13-CE13</f>
        <v>-8385350</v>
      </c>
      <c r="N77" s="136">
        <f t="shared" si="1"/>
        <v>0</v>
      </c>
      <c r="O77" s="136">
        <f t="shared" si="1"/>
        <v>0</v>
      </c>
      <c r="P77" s="136">
        <f t="shared" si="1"/>
        <v>0</v>
      </c>
      <c r="Q77" s="136">
        <f t="shared" si="1"/>
        <v>0</v>
      </c>
      <c r="R77" s="136">
        <f t="shared" si="1"/>
        <v>6068016</v>
      </c>
      <c r="S77" s="136">
        <f t="shared" si="1"/>
        <v>0</v>
      </c>
      <c r="T77" s="136">
        <f t="shared" si="1"/>
        <v>0</v>
      </c>
      <c r="U77" s="136">
        <f t="shared" si="1"/>
        <v>0</v>
      </c>
      <c r="V77" s="136">
        <f t="shared" si="1"/>
        <v>0</v>
      </c>
      <c r="W77" s="136">
        <f t="shared" si="1"/>
        <v>-1784190</v>
      </c>
      <c r="X77" s="136">
        <f t="shared" si="1"/>
        <v>0</v>
      </c>
      <c r="Y77" s="136">
        <f t="shared" si="1"/>
        <v>0</v>
      </c>
      <c r="Z77" s="136">
        <f t="shared" si="1"/>
        <v>0</v>
      </c>
      <c r="AA77" s="136">
        <f t="shared" si="1"/>
        <v>0</v>
      </c>
      <c r="AB77" s="136">
        <f t="shared" si="1"/>
        <v>9184869</v>
      </c>
      <c r="AC77" s="136">
        <f t="shared" si="1"/>
        <v>0</v>
      </c>
      <c r="AD77" s="136">
        <f t="shared" si="1"/>
        <v>0</v>
      </c>
      <c r="AE77" s="136">
        <f t="shared" si="1"/>
        <v>0</v>
      </c>
      <c r="AF77" s="136">
        <f t="shared" si="1"/>
        <v>0</v>
      </c>
      <c r="AG77" s="136">
        <f t="shared" si="1"/>
        <v>-1131709</v>
      </c>
      <c r="AH77" s="136">
        <f t="shared" si="1"/>
        <v>0</v>
      </c>
      <c r="AI77" s="136">
        <f t="shared" si="1"/>
        <v>0</v>
      </c>
      <c r="AJ77" s="136">
        <f t="shared" si="1"/>
        <v>0</v>
      </c>
      <c r="AK77" s="136">
        <f t="shared" si="1"/>
        <v>0</v>
      </c>
      <c r="AL77" s="136">
        <f t="shared" si="1"/>
        <v>-8452372</v>
      </c>
      <c r="AM77" s="136">
        <f t="shared" si="1"/>
        <v>0</v>
      </c>
      <c r="AN77" s="136">
        <f t="shared" si="1"/>
        <v>0</v>
      </c>
      <c r="AO77" s="136">
        <f t="shared" si="1"/>
        <v>0</v>
      </c>
      <c r="AP77" s="136">
        <f t="shared" si="1"/>
        <v>0</v>
      </c>
      <c r="AQ77" s="136">
        <f t="shared" si="1"/>
        <v>-3854106</v>
      </c>
      <c r="AR77" s="136">
        <f t="shared" si="1"/>
        <v>0</v>
      </c>
      <c r="AS77" s="136">
        <f t="shared" si="1"/>
        <v>0</v>
      </c>
      <c r="AT77" s="136">
        <f t="shared" si="1"/>
        <v>0</v>
      </c>
      <c r="AU77" s="136">
        <f t="shared" si="1"/>
        <v>0</v>
      </c>
      <c r="AV77" s="136">
        <f t="shared" si="1"/>
        <v>-6072289</v>
      </c>
      <c r="AW77" s="136">
        <f t="shared" si="1"/>
        <v>0</v>
      </c>
      <c r="AX77" s="136">
        <f t="shared" si="1"/>
        <v>0</v>
      </c>
      <c r="AY77" s="136">
        <f t="shared" si="1"/>
        <v>0</v>
      </c>
      <c r="AZ77" s="136">
        <f t="shared" si="1"/>
        <v>0</v>
      </c>
      <c r="BA77" s="136">
        <f t="shared" si="1"/>
        <v>-2972290</v>
      </c>
      <c r="BB77" s="136">
        <f t="shared" si="1"/>
        <v>0</v>
      </c>
      <c r="BC77" s="136">
        <f t="shared" si="1"/>
        <v>0</v>
      </c>
      <c r="BD77" s="136">
        <f t="shared" si="1"/>
        <v>0</v>
      </c>
      <c r="BE77" s="136">
        <f t="shared" si="1"/>
        <v>0</v>
      </c>
      <c r="BF77" s="136">
        <f t="shared" si="1"/>
        <v>-5146782</v>
      </c>
      <c r="BG77" s="136">
        <f t="shared" si="1"/>
        <v>0</v>
      </c>
      <c r="BH77" s="136">
        <f t="shared" si="1"/>
        <v>0</v>
      </c>
      <c r="BI77" s="136">
        <f t="shared" si="1"/>
        <v>0</v>
      </c>
      <c r="BJ77" s="136">
        <f t="shared" si="1"/>
        <v>0</v>
      </c>
      <c r="BK77" s="136">
        <f t="shared" si="1"/>
        <v>-2124947</v>
      </c>
      <c r="BL77" s="136">
        <f t="shared" si="1"/>
        <v>0</v>
      </c>
      <c r="BM77" s="136">
        <f t="shared" si="1"/>
        <v>0</v>
      </c>
      <c r="BN77" s="136">
        <f t="shared" si="1"/>
        <v>0</v>
      </c>
      <c r="BO77" s="136">
        <f t="shared" si="1"/>
        <v>0</v>
      </c>
      <c r="BP77" s="136">
        <f t="shared" si="1"/>
        <v>2304116</v>
      </c>
      <c r="BQ77" s="136">
        <f t="shared" si="1"/>
        <v>0</v>
      </c>
      <c r="BR77" s="136">
        <f t="shared" si="1"/>
        <v>0</v>
      </c>
      <c r="BS77" s="136">
        <f t="shared" si="1"/>
        <v>0</v>
      </c>
      <c r="BT77" s="136">
        <f t="shared" si="1"/>
        <v>0</v>
      </c>
      <c r="BU77" s="136">
        <f t="shared" si="1"/>
        <v>-22546203</v>
      </c>
      <c r="BW77" s="136">
        <f>SUM(O77:BR77)</f>
        <v>-13981684</v>
      </c>
      <c r="BZ77" s="136">
        <f>M63+R63+W63+AB63+AG63</f>
        <v>-16917688.739949986</v>
      </c>
    </row>
    <row r="78" spans="3:151" ht="15" hidden="1" customHeight="1" x14ac:dyDescent="0.3">
      <c r="C78" s="546"/>
      <c r="H78" s="547"/>
      <c r="M78" s="136">
        <f t="shared" si="1"/>
        <v>-1671550</v>
      </c>
      <c r="N78" s="136">
        <f t="shared" si="1"/>
        <v>0</v>
      </c>
      <c r="O78" s="136">
        <f t="shared" si="1"/>
        <v>0</v>
      </c>
      <c r="P78" s="136">
        <f t="shared" si="1"/>
        <v>0</v>
      </c>
      <c r="Q78" s="136">
        <f t="shared" si="1"/>
        <v>0</v>
      </c>
      <c r="R78" s="136">
        <f t="shared" si="1"/>
        <v>-865880</v>
      </c>
      <c r="S78" s="136">
        <f t="shared" si="1"/>
        <v>0</v>
      </c>
      <c r="T78" s="136">
        <f t="shared" si="1"/>
        <v>0</v>
      </c>
      <c r="U78" s="136">
        <f t="shared" si="1"/>
        <v>0</v>
      </c>
      <c r="V78" s="136">
        <f t="shared" si="1"/>
        <v>0</v>
      </c>
      <c r="W78" s="136">
        <f t="shared" si="1"/>
        <v>-1559980</v>
      </c>
      <c r="X78" s="136">
        <f t="shared" si="1"/>
        <v>0</v>
      </c>
      <c r="Y78" s="136">
        <f t="shared" si="1"/>
        <v>0</v>
      </c>
      <c r="Z78" s="136">
        <f t="shared" si="1"/>
        <v>0</v>
      </c>
      <c r="AA78" s="136">
        <f t="shared" si="1"/>
        <v>0</v>
      </c>
      <c r="AB78" s="136">
        <f t="shared" si="1"/>
        <v>8248920</v>
      </c>
      <c r="AC78" s="136">
        <f t="shared" si="1"/>
        <v>0</v>
      </c>
      <c r="AD78" s="136">
        <f t="shared" si="1"/>
        <v>0</v>
      </c>
      <c r="AE78" s="136">
        <f t="shared" si="1"/>
        <v>0</v>
      </c>
      <c r="AF78" s="136">
        <f t="shared" si="1"/>
        <v>0</v>
      </c>
      <c r="AG78" s="136">
        <f t="shared" si="1"/>
        <v>-191770</v>
      </c>
      <c r="AH78" s="136">
        <f t="shared" si="1"/>
        <v>0</v>
      </c>
      <c r="AI78" s="136">
        <f t="shared" si="1"/>
        <v>0</v>
      </c>
      <c r="AJ78" s="136">
        <f t="shared" si="1"/>
        <v>0</v>
      </c>
      <c r="AK78" s="136">
        <f t="shared" si="1"/>
        <v>0</v>
      </c>
      <c r="AL78" s="136">
        <f t="shared" si="1"/>
        <v>-5945010</v>
      </c>
      <c r="AM78" s="136">
        <f t="shared" si="1"/>
        <v>0</v>
      </c>
      <c r="AN78" s="136">
        <f t="shared" si="1"/>
        <v>0</v>
      </c>
      <c r="AO78" s="136">
        <f t="shared" si="1"/>
        <v>0</v>
      </c>
      <c r="AP78" s="136">
        <f t="shared" si="1"/>
        <v>0</v>
      </c>
      <c r="AQ78" s="136">
        <f t="shared" si="1"/>
        <v>-4440610</v>
      </c>
      <c r="AR78" s="136">
        <f t="shared" si="1"/>
        <v>0</v>
      </c>
      <c r="AS78" s="136">
        <f t="shared" si="1"/>
        <v>0</v>
      </c>
      <c r="AT78" s="136">
        <f t="shared" si="1"/>
        <v>0</v>
      </c>
      <c r="AU78" s="136">
        <f t="shared" si="1"/>
        <v>0</v>
      </c>
      <c r="AV78" s="136">
        <f t="shared" si="1"/>
        <v>-7997030</v>
      </c>
      <c r="AW78" s="136">
        <f t="shared" si="1"/>
        <v>0</v>
      </c>
      <c r="AX78" s="136">
        <f t="shared" si="1"/>
        <v>0</v>
      </c>
      <c r="AY78" s="136">
        <f t="shared" si="1"/>
        <v>0</v>
      </c>
      <c r="AZ78" s="136">
        <f t="shared" si="1"/>
        <v>0</v>
      </c>
      <c r="BA78" s="136">
        <f t="shared" si="1"/>
        <v>-3045430</v>
      </c>
      <c r="BB78" s="136">
        <f t="shared" si="1"/>
        <v>0</v>
      </c>
      <c r="BC78" s="136">
        <f t="shared" si="1"/>
        <v>0</v>
      </c>
      <c r="BD78" s="136">
        <f t="shared" si="1"/>
        <v>0</v>
      </c>
      <c r="BE78" s="136">
        <f t="shared" si="1"/>
        <v>0</v>
      </c>
      <c r="BF78" s="136">
        <f t="shared" si="1"/>
        <v>-5049820</v>
      </c>
      <c r="BG78" s="136">
        <f t="shared" si="1"/>
        <v>0</v>
      </c>
      <c r="BH78" s="136">
        <f t="shared" si="1"/>
        <v>0</v>
      </c>
      <c r="BI78" s="136">
        <f t="shared" si="1"/>
        <v>0</v>
      </c>
      <c r="BJ78" s="136">
        <f t="shared" si="1"/>
        <v>0</v>
      </c>
      <c r="BK78" s="136">
        <f t="shared" si="1"/>
        <v>-1594210</v>
      </c>
      <c r="BL78" s="136">
        <f t="shared" si="1"/>
        <v>0</v>
      </c>
      <c r="BM78" s="136">
        <f t="shared" si="1"/>
        <v>0</v>
      </c>
      <c r="BN78" s="136">
        <f t="shared" si="1"/>
        <v>0</v>
      </c>
      <c r="BO78" s="136">
        <f t="shared" si="1"/>
        <v>0</v>
      </c>
      <c r="BP78" s="136">
        <f t="shared" si="1"/>
        <v>1844050</v>
      </c>
      <c r="BQ78" s="136">
        <f t="shared" si="1"/>
        <v>0</v>
      </c>
      <c r="BR78" s="136">
        <f t="shared" si="1"/>
        <v>0</v>
      </c>
      <c r="BS78" s="136">
        <f t="shared" si="1"/>
        <v>0</v>
      </c>
      <c r="BT78" s="136">
        <f t="shared" si="1"/>
        <v>0</v>
      </c>
      <c r="BU78" s="136">
        <f t="shared" si="1"/>
        <v>-22518160</v>
      </c>
      <c r="BW78" s="136">
        <f>SUM(O78:BR78)</f>
        <v>-20596770</v>
      </c>
    </row>
    <row r="79" spans="3:151" ht="15" hidden="1" customHeight="1" x14ac:dyDescent="0.3">
      <c r="M79" s="136">
        <f t="shared" si="1"/>
        <v>0</v>
      </c>
      <c r="N79" s="136">
        <f t="shared" si="1"/>
        <v>0</v>
      </c>
      <c r="O79" s="136">
        <f t="shared" si="1"/>
        <v>0</v>
      </c>
      <c r="P79" s="136">
        <f t="shared" si="1"/>
        <v>0</v>
      </c>
      <c r="Q79" s="136">
        <f t="shared" si="1"/>
        <v>0</v>
      </c>
      <c r="R79" s="136">
        <f t="shared" si="1"/>
        <v>0</v>
      </c>
      <c r="S79" s="136">
        <f t="shared" si="1"/>
        <v>0</v>
      </c>
      <c r="T79" s="136">
        <f t="shared" si="1"/>
        <v>0</v>
      </c>
      <c r="U79" s="136">
        <f t="shared" si="1"/>
        <v>0</v>
      </c>
      <c r="V79" s="136">
        <f t="shared" si="1"/>
        <v>0</v>
      </c>
      <c r="W79" s="136">
        <f t="shared" si="1"/>
        <v>0</v>
      </c>
      <c r="X79" s="136">
        <f t="shared" si="1"/>
        <v>0</v>
      </c>
      <c r="Y79" s="136">
        <f t="shared" si="1"/>
        <v>0</v>
      </c>
      <c r="Z79" s="136">
        <f t="shared" si="1"/>
        <v>0</v>
      </c>
      <c r="AA79" s="136">
        <f t="shared" si="1"/>
        <v>0</v>
      </c>
      <c r="AB79" s="136">
        <f t="shared" si="1"/>
        <v>0</v>
      </c>
      <c r="AC79" s="136">
        <f t="shared" si="1"/>
        <v>0</v>
      </c>
      <c r="AD79" s="136">
        <f t="shared" si="1"/>
        <v>0</v>
      </c>
      <c r="AE79" s="136">
        <f t="shared" si="1"/>
        <v>0</v>
      </c>
      <c r="AF79" s="136">
        <f t="shared" si="1"/>
        <v>0</v>
      </c>
      <c r="AG79" s="136">
        <f t="shared" si="1"/>
        <v>0</v>
      </c>
      <c r="AH79" s="136">
        <f t="shared" si="1"/>
        <v>0</v>
      </c>
      <c r="AI79" s="136">
        <f t="shared" si="1"/>
        <v>0</v>
      </c>
      <c r="AJ79" s="136">
        <f t="shared" si="1"/>
        <v>0</v>
      </c>
      <c r="AK79" s="136">
        <f t="shared" si="1"/>
        <v>0</v>
      </c>
      <c r="AL79" s="136">
        <f t="shared" si="1"/>
        <v>0</v>
      </c>
      <c r="AM79" s="136">
        <f t="shared" si="1"/>
        <v>0</v>
      </c>
      <c r="AN79" s="136">
        <f t="shared" si="1"/>
        <v>0</v>
      </c>
      <c r="AO79" s="136">
        <f t="shared" si="1"/>
        <v>0</v>
      </c>
      <c r="AP79" s="136">
        <f t="shared" si="1"/>
        <v>0</v>
      </c>
      <c r="AQ79" s="136">
        <f t="shared" si="1"/>
        <v>0</v>
      </c>
      <c r="AR79" s="136">
        <f t="shared" si="1"/>
        <v>0</v>
      </c>
      <c r="AS79" s="136">
        <f t="shared" si="1"/>
        <v>0</v>
      </c>
      <c r="AT79" s="136">
        <f t="shared" si="1"/>
        <v>0</v>
      </c>
      <c r="AU79" s="136">
        <f t="shared" si="1"/>
        <v>0</v>
      </c>
      <c r="AV79" s="136">
        <f t="shared" si="1"/>
        <v>0</v>
      </c>
      <c r="AW79" s="136">
        <f t="shared" si="1"/>
        <v>0</v>
      </c>
      <c r="AX79" s="136">
        <f t="shared" si="1"/>
        <v>0</v>
      </c>
      <c r="AY79" s="136">
        <f t="shared" si="1"/>
        <v>0</v>
      </c>
      <c r="AZ79" s="136">
        <f t="shared" si="1"/>
        <v>0</v>
      </c>
      <c r="BA79" s="136">
        <f t="shared" si="1"/>
        <v>0</v>
      </c>
      <c r="BB79" s="136">
        <f t="shared" si="1"/>
        <v>0</v>
      </c>
      <c r="BC79" s="136">
        <f t="shared" si="1"/>
        <v>0</v>
      </c>
      <c r="BD79" s="136">
        <f t="shared" si="1"/>
        <v>0</v>
      </c>
      <c r="BE79" s="136">
        <f t="shared" si="1"/>
        <v>0</v>
      </c>
      <c r="BF79" s="136">
        <f t="shared" si="1"/>
        <v>0</v>
      </c>
      <c r="BG79" s="136">
        <f t="shared" si="1"/>
        <v>0</v>
      </c>
      <c r="BH79" s="136">
        <f t="shared" si="1"/>
        <v>0</v>
      </c>
      <c r="BI79" s="136">
        <f t="shared" si="1"/>
        <v>0</v>
      </c>
      <c r="BJ79" s="136">
        <f t="shared" si="1"/>
        <v>0</v>
      </c>
      <c r="BK79" s="136">
        <f t="shared" si="1"/>
        <v>0</v>
      </c>
      <c r="BL79" s="136">
        <f t="shared" si="1"/>
        <v>0</v>
      </c>
      <c r="BM79" s="136">
        <f t="shared" si="1"/>
        <v>0</v>
      </c>
      <c r="BN79" s="136">
        <f t="shared" si="1"/>
        <v>0</v>
      </c>
      <c r="BO79" s="136">
        <f t="shared" si="1"/>
        <v>0</v>
      </c>
      <c r="BP79" s="136">
        <f t="shared" si="1"/>
        <v>0</v>
      </c>
      <c r="BQ79" s="136">
        <f t="shared" si="1"/>
        <v>0</v>
      </c>
      <c r="BR79" s="136">
        <f t="shared" si="1"/>
        <v>0</v>
      </c>
      <c r="BS79" s="136">
        <f t="shared" si="1"/>
        <v>0</v>
      </c>
      <c r="BT79" s="136">
        <f t="shared" si="1"/>
        <v>0</v>
      </c>
      <c r="BU79" s="136">
        <f t="shared" si="1"/>
        <v>0</v>
      </c>
      <c r="BW79" s="136">
        <f>SUM(O79:BR79)</f>
        <v>0</v>
      </c>
    </row>
    <row r="80" spans="3:151" ht="15" hidden="1" customHeight="1" x14ac:dyDescent="0.3">
      <c r="M80" s="136">
        <f t="shared" si="1"/>
        <v>772150</v>
      </c>
      <c r="N80" s="136">
        <f t="shared" si="1"/>
        <v>0</v>
      </c>
      <c r="O80" s="136">
        <f t="shared" si="1"/>
        <v>0</v>
      </c>
      <c r="P80" s="136">
        <f t="shared" si="1"/>
        <v>0</v>
      </c>
      <c r="Q80" s="136">
        <f t="shared" si="1"/>
        <v>0</v>
      </c>
      <c r="R80" s="136">
        <f t="shared" si="1"/>
        <v>1922440</v>
      </c>
      <c r="S80" s="136">
        <f t="shared" si="1"/>
        <v>0</v>
      </c>
      <c r="T80" s="136">
        <f t="shared" si="1"/>
        <v>0</v>
      </c>
      <c r="U80" s="136">
        <f t="shared" si="1"/>
        <v>0</v>
      </c>
      <c r="V80" s="136">
        <f t="shared" si="1"/>
        <v>0</v>
      </c>
      <c r="W80" s="136">
        <f t="shared" si="1"/>
        <v>-326470</v>
      </c>
      <c r="X80" s="136">
        <f t="shared" si="1"/>
        <v>0</v>
      </c>
      <c r="Y80" s="136">
        <f t="shared" si="1"/>
        <v>0</v>
      </c>
      <c r="Z80" s="136">
        <f t="shared" si="1"/>
        <v>0</v>
      </c>
      <c r="AA80" s="136">
        <f t="shared" si="1"/>
        <v>0</v>
      </c>
      <c r="AB80" s="136">
        <f t="shared" si="1"/>
        <v>843450</v>
      </c>
      <c r="AC80" s="136">
        <f t="shared" si="1"/>
        <v>0</v>
      </c>
      <c r="AD80" s="136">
        <f t="shared" si="1"/>
        <v>0</v>
      </c>
      <c r="AE80" s="136">
        <f t="shared" si="1"/>
        <v>0</v>
      </c>
      <c r="AF80" s="136">
        <f t="shared" si="1"/>
        <v>0</v>
      </c>
      <c r="AG80" s="136">
        <f t="shared" si="1"/>
        <v>2173130</v>
      </c>
      <c r="AH80" s="136">
        <f t="shared" si="1"/>
        <v>0</v>
      </c>
      <c r="AI80" s="136">
        <f t="shared" si="1"/>
        <v>0</v>
      </c>
      <c r="AJ80" s="136">
        <f t="shared" si="1"/>
        <v>0</v>
      </c>
      <c r="AK80" s="136">
        <f t="shared" si="1"/>
        <v>0</v>
      </c>
      <c r="AL80" s="136">
        <f t="shared" si="1"/>
        <v>-480000</v>
      </c>
      <c r="AM80" s="136">
        <f t="shared" si="1"/>
        <v>0</v>
      </c>
      <c r="AN80" s="136">
        <f t="shared" si="1"/>
        <v>0</v>
      </c>
      <c r="AO80" s="136">
        <f t="shared" si="1"/>
        <v>0</v>
      </c>
      <c r="AP80" s="136">
        <f t="shared" si="1"/>
        <v>0</v>
      </c>
      <c r="AQ80" s="136">
        <f t="shared" si="1"/>
        <v>-811230</v>
      </c>
      <c r="AR80" s="136">
        <f t="shared" si="1"/>
        <v>0</v>
      </c>
      <c r="AS80" s="136">
        <f t="shared" si="1"/>
        <v>0</v>
      </c>
      <c r="AT80" s="136">
        <f t="shared" si="1"/>
        <v>0</v>
      </c>
      <c r="AU80" s="136">
        <f t="shared" si="1"/>
        <v>0</v>
      </c>
      <c r="AV80" s="136">
        <f t="shared" si="1"/>
        <v>-2160680</v>
      </c>
      <c r="AW80" s="136">
        <f t="shared" si="1"/>
        <v>0</v>
      </c>
      <c r="AX80" s="136">
        <f t="shared" si="1"/>
        <v>0</v>
      </c>
      <c r="AY80" s="136">
        <f t="shared" si="1"/>
        <v>0</v>
      </c>
      <c r="AZ80" s="136">
        <f t="shared" si="1"/>
        <v>0</v>
      </c>
      <c r="BA80" s="136" t="e">
        <f t="shared" si="1"/>
        <v>#VALUE!</v>
      </c>
      <c r="BB80" s="136">
        <f t="shared" si="1"/>
        <v>0</v>
      </c>
      <c r="BC80" s="136">
        <f t="shared" si="1"/>
        <v>0</v>
      </c>
      <c r="BD80" s="136">
        <f t="shared" si="1"/>
        <v>0</v>
      </c>
      <c r="BE80" s="136">
        <f t="shared" si="1"/>
        <v>0</v>
      </c>
      <c r="BF80" s="136">
        <f t="shared" si="1"/>
        <v>2134090</v>
      </c>
      <c r="BG80" s="136">
        <f t="shared" si="1"/>
        <v>0</v>
      </c>
      <c r="BH80" s="136">
        <f t="shared" si="1"/>
        <v>0</v>
      </c>
      <c r="BI80" s="136">
        <f t="shared" si="1"/>
        <v>0</v>
      </c>
      <c r="BJ80" s="136">
        <f t="shared" si="1"/>
        <v>0</v>
      </c>
      <c r="BK80" s="136">
        <f t="shared" si="1"/>
        <v>683870</v>
      </c>
      <c r="BL80" s="136">
        <f t="shared" si="1"/>
        <v>0</v>
      </c>
      <c r="BM80" s="136">
        <f t="shared" si="1"/>
        <v>0</v>
      </c>
      <c r="BN80" s="136">
        <f t="shared" si="1"/>
        <v>0</v>
      </c>
      <c r="BO80" s="136">
        <f t="shared" si="1"/>
        <v>0</v>
      </c>
      <c r="BP80" s="136">
        <f t="shared" si="1"/>
        <v>750850</v>
      </c>
      <c r="BQ80" s="136">
        <f t="shared" si="1"/>
        <v>0</v>
      </c>
      <c r="BR80" s="136">
        <f t="shared" si="1"/>
        <v>0</v>
      </c>
      <c r="BS80" s="136">
        <f t="shared" si="1"/>
        <v>0</v>
      </c>
      <c r="BT80" s="136">
        <f t="shared" si="1"/>
        <v>0</v>
      </c>
      <c r="BU80" s="136">
        <f t="shared" si="1"/>
        <v>4623880</v>
      </c>
    </row>
    <row r="81" spans="13:75" ht="15" hidden="1" customHeight="1" x14ac:dyDescent="0.3">
      <c r="M81" s="136">
        <f t="shared" si="1"/>
        <v>-325630</v>
      </c>
      <c r="N81" s="136">
        <f t="shared" si="1"/>
        <v>0</v>
      </c>
      <c r="O81" s="136">
        <f t="shared" si="1"/>
        <v>0</v>
      </c>
      <c r="P81" s="136">
        <f t="shared" si="1"/>
        <v>0</v>
      </c>
      <c r="Q81" s="136">
        <f t="shared" si="1"/>
        <v>0</v>
      </c>
      <c r="R81" s="136">
        <f t="shared" si="1"/>
        <v>2624700</v>
      </c>
      <c r="S81" s="136">
        <f t="shared" si="1"/>
        <v>0</v>
      </c>
      <c r="T81" s="136">
        <f t="shared" si="1"/>
        <v>0</v>
      </c>
      <c r="U81" s="136">
        <f t="shared" si="1"/>
        <v>0</v>
      </c>
      <c r="V81" s="136">
        <f t="shared" si="1"/>
        <v>0</v>
      </c>
      <c r="W81" s="136">
        <f t="shared" si="1"/>
        <v>-7555400</v>
      </c>
      <c r="X81" s="136">
        <f t="shared" ref="X81:BU86" si="2">X17-CP17</f>
        <v>0</v>
      </c>
      <c r="Y81" s="136">
        <f t="shared" si="2"/>
        <v>0</v>
      </c>
      <c r="Z81" s="136">
        <f t="shared" si="2"/>
        <v>0</v>
      </c>
      <c r="AA81" s="136">
        <f t="shared" si="2"/>
        <v>0</v>
      </c>
      <c r="AB81" s="136">
        <f t="shared" si="2"/>
        <v>316200</v>
      </c>
      <c r="AC81" s="136">
        <f t="shared" si="2"/>
        <v>0</v>
      </c>
      <c r="AD81" s="136">
        <f t="shared" si="2"/>
        <v>0</v>
      </c>
      <c r="AE81" s="136">
        <f t="shared" si="2"/>
        <v>0</v>
      </c>
      <c r="AF81" s="136">
        <f t="shared" si="2"/>
        <v>0</v>
      </c>
      <c r="AG81" s="136">
        <f t="shared" si="2"/>
        <v>1384380</v>
      </c>
      <c r="AH81" s="136">
        <f t="shared" si="2"/>
        <v>0</v>
      </c>
      <c r="AI81" s="136">
        <f t="shared" si="2"/>
        <v>0</v>
      </c>
      <c r="AJ81" s="136">
        <f t="shared" si="2"/>
        <v>0</v>
      </c>
      <c r="AK81" s="136">
        <f t="shared" si="2"/>
        <v>0</v>
      </c>
      <c r="AL81" s="136">
        <f t="shared" si="2"/>
        <v>-2003100</v>
      </c>
      <c r="AM81" s="136">
        <f t="shared" si="2"/>
        <v>0</v>
      </c>
      <c r="AN81" s="136">
        <f t="shared" si="2"/>
        <v>0</v>
      </c>
      <c r="AO81" s="136">
        <f t="shared" si="2"/>
        <v>0</v>
      </c>
      <c r="AP81" s="136">
        <f t="shared" si="2"/>
        <v>0</v>
      </c>
      <c r="AQ81" s="136">
        <f t="shared" si="2"/>
        <v>-2271570</v>
      </c>
      <c r="AR81" s="136">
        <f t="shared" si="2"/>
        <v>0</v>
      </c>
      <c r="AS81" s="136">
        <f t="shared" si="2"/>
        <v>0</v>
      </c>
      <c r="AT81" s="136">
        <f t="shared" si="2"/>
        <v>0</v>
      </c>
      <c r="AU81" s="136">
        <f t="shared" si="2"/>
        <v>0</v>
      </c>
      <c r="AV81" s="136">
        <f t="shared" si="2"/>
        <v>-1750300</v>
      </c>
      <c r="AW81" s="136">
        <f t="shared" si="2"/>
        <v>0</v>
      </c>
      <c r="AX81" s="136">
        <f t="shared" si="2"/>
        <v>0</v>
      </c>
      <c r="AY81" s="136">
        <f t="shared" si="2"/>
        <v>0</v>
      </c>
      <c r="AZ81" s="136">
        <f t="shared" si="2"/>
        <v>0</v>
      </c>
      <c r="BA81" s="136">
        <f t="shared" si="2"/>
        <v>1063260</v>
      </c>
      <c r="BB81" s="136">
        <f t="shared" si="2"/>
        <v>0</v>
      </c>
      <c r="BC81" s="136">
        <f t="shared" si="2"/>
        <v>0</v>
      </c>
      <c r="BD81" s="136">
        <f t="shared" si="2"/>
        <v>0</v>
      </c>
      <c r="BE81" s="136">
        <f t="shared" si="2"/>
        <v>0</v>
      </c>
      <c r="BF81" s="136">
        <f t="shared" si="2"/>
        <v>2125640</v>
      </c>
      <c r="BG81" s="136">
        <f t="shared" si="2"/>
        <v>0</v>
      </c>
      <c r="BH81" s="136">
        <f t="shared" si="2"/>
        <v>0</v>
      </c>
      <c r="BI81" s="136">
        <f t="shared" si="2"/>
        <v>0</v>
      </c>
      <c r="BJ81" s="136">
        <f t="shared" si="2"/>
        <v>0</v>
      </c>
      <c r="BK81" s="136">
        <f t="shared" si="2"/>
        <v>-1787880</v>
      </c>
      <c r="BL81" s="136">
        <f t="shared" si="2"/>
        <v>0</v>
      </c>
      <c r="BM81" s="136">
        <f t="shared" si="2"/>
        <v>0</v>
      </c>
      <c r="BN81" s="136">
        <f t="shared" si="2"/>
        <v>0</v>
      </c>
      <c r="BO81" s="136">
        <f t="shared" si="2"/>
        <v>0</v>
      </c>
      <c r="BP81" s="136">
        <f t="shared" si="2"/>
        <v>-2771820</v>
      </c>
      <c r="BQ81" s="136">
        <f t="shared" si="2"/>
        <v>0</v>
      </c>
      <c r="BR81" s="136">
        <f t="shared" si="2"/>
        <v>0</v>
      </c>
      <c r="BS81" s="136">
        <f t="shared" si="2"/>
        <v>0</v>
      </c>
      <c r="BT81" s="136">
        <f t="shared" si="2"/>
        <v>0</v>
      </c>
      <c r="BU81" s="136">
        <f t="shared" si="2"/>
        <v>-6391820</v>
      </c>
    </row>
    <row r="82" spans="13:75" hidden="1" x14ac:dyDescent="0.3">
      <c r="M82" s="136">
        <f t="shared" ref="M82:AB90" si="3">M18-CE18</f>
        <v>5465800</v>
      </c>
      <c r="N82" s="136">
        <f t="shared" si="3"/>
        <v>0</v>
      </c>
      <c r="O82" s="136">
        <f t="shared" si="3"/>
        <v>0</v>
      </c>
      <c r="P82" s="136">
        <f t="shared" si="3"/>
        <v>0</v>
      </c>
      <c r="Q82" s="136">
        <f t="shared" si="3"/>
        <v>0</v>
      </c>
      <c r="R82" s="136">
        <f t="shared" si="3"/>
        <v>1056980</v>
      </c>
      <c r="S82" s="136">
        <f t="shared" si="3"/>
        <v>0</v>
      </c>
      <c r="T82" s="136">
        <f t="shared" si="3"/>
        <v>0</v>
      </c>
      <c r="U82" s="136">
        <f t="shared" si="3"/>
        <v>0</v>
      </c>
      <c r="V82" s="136">
        <f t="shared" si="3"/>
        <v>0</v>
      </c>
      <c r="W82" s="136">
        <f t="shared" si="3"/>
        <v>1895270</v>
      </c>
      <c r="X82" s="136">
        <f t="shared" si="2"/>
        <v>0</v>
      </c>
      <c r="Y82" s="136">
        <f t="shared" si="2"/>
        <v>0</v>
      </c>
      <c r="Z82" s="136">
        <f t="shared" si="2"/>
        <v>0</v>
      </c>
      <c r="AA82" s="136">
        <f t="shared" si="2"/>
        <v>0</v>
      </c>
      <c r="AB82" s="136">
        <f t="shared" si="2"/>
        <v>2231500</v>
      </c>
      <c r="AC82" s="136">
        <f t="shared" si="2"/>
        <v>0</v>
      </c>
      <c r="AD82" s="136">
        <f t="shared" si="2"/>
        <v>0</v>
      </c>
      <c r="AE82" s="136">
        <f t="shared" si="2"/>
        <v>0</v>
      </c>
      <c r="AF82" s="136">
        <f t="shared" si="2"/>
        <v>0</v>
      </c>
      <c r="AG82" s="136">
        <f t="shared" si="2"/>
        <v>710000</v>
      </c>
      <c r="AH82" s="136">
        <f t="shared" si="2"/>
        <v>0</v>
      </c>
      <c r="AI82" s="136">
        <f t="shared" si="2"/>
        <v>0</v>
      </c>
      <c r="AJ82" s="136">
        <f t="shared" si="2"/>
        <v>0</v>
      </c>
      <c r="AK82" s="136">
        <f t="shared" si="2"/>
        <v>0</v>
      </c>
      <c r="AL82" s="136">
        <f t="shared" si="2"/>
        <v>-2661910</v>
      </c>
      <c r="AM82" s="136">
        <f t="shared" si="2"/>
        <v>0</v>
      </c>
      <c r="AN82" s="136">
        <f t="shared" si="2"/>
        <v>0</v>
      </c>
      <c r="AO82" s="136">
        <f t="shared" si="2"/>
        <v>0</v>
      </c>
      <c r="AP82" s="136">
        <f t="shared" si="2"/>
        <v>0</v>
      </c>
      <c r="AQ82" s="136">
        <f t="shared" si="2"/>
        <v>-2637570</v>
      </c>
      <c r="AR82" s="136">
        <f t="shared" si="2"/>
        <v>0</v>
      </c>
      <c r="AS82" s="136">
        <f t="shared" si="2"/>
        <v>0</v>
      </c>
      <c r="AT82" s="136">
        <f t="shared" si="2"/>
        <v>0</v>
      </c>
      <c r="AU82" s="136">
        <f t="shared" si="2"/>
        <v>0</v>
      </c>
      <c r="AV82" s="136">
        <f t="shared" si="2"/>
        <v>-119890</v>
      </c>
      <c r="AW82" s="136">
        <f t="shared" si="2"/>
        <v>0</v>
      </c>
      <c r="AX82" s="136">
        <f t="shared" si="2"/>
        <v>0</v>
      </c>
      <c r="AY82" s="136">
        <f t="shared" si="2"/>
        <v>0</v>
      </c>
      <c r="AZ82" s="136">
        <f t="shared" si="2"/>
        <v>0</v>
      </c>
      <c r="BA82" s="136">
        <f t="shared" si="2"/>
        <v>1268190</v>
      </c>
      <c r="BB82" s="136">
        <f t="shared" si="2"/>
        <v>0</v>
      </c>
      <c r="BC82" s="136">
        <f t="shared" si="2"/>
        <v>0</v>
      </c>
      <c r="BD82" s="136">
        <f t="shared" si="2"/>
        <v>0</v>
      </c>
      <c r="BE82" s="136">
        <f t="shared" si="2"/>
        <v>0</v>
      </c>
      <c r="BF82" s="136">
        <f t="shared" si="2"/>
        <v>-8269620</v>
      </c>
      <c r="BG82" s="136">
        <f t="shared" si="2"/>
        <v>0</v>
      </c>
      <c r="BH82" s="136">
        <f t="shared" si="2"/>
        <v>0</v>
      </c>
      <c r="BI82" s="136">
        <f t="shared" si="2"/>
        <v>0</v>
      </c>
      <c r="BJ82" s="136">
        <f t="shared" si="2"/>
        <v>0</v>
      </c>
      <c r="BK82" s="136">
        <f t="shared" si="2"/>
        <v>328400</v>
      </c>
      <c r="BL82" s="136">
        <f t="shared" si="2"/>
        <v>0</v>
      </c>
      <c r="BM82" s="136">
        <f t="shared" si="2"/>
        <v>0</v>
      </c>
      <c r="BN82" s="136">
        <f t="shared" si="2"/>
        <v>0</v>
      </c>
      <c r="BO82" s="136">
        <f t="shared" si="2"/>
        <v>0</v>
      </c>
      <c r="BP82" s="136">
        <f t="shared" si="2"/>
        <v>667020</v>
      </c>
      <c r="BQ82" s="136">
        <f t="shared" si="2"/>
        <v>0</v>
      </c>
      <c r="BR82" s="136">
        <f t="shared" si="2"/>
        <v>0</v>
      </c>
      <c r="BS82" s="136">
        <f t="shared" si="2"/>
        <v>0</v>
      </c>
      <c r="BT82" s="136">
        <f t="shared" si="2"/>
        <v>0</v>
      </c>
      <c r="BU82" s="136">
        <f t="shared" si="2"/>
        <v>-1061250</v>
      </c>
    </row>
    <row r="83" spans="13:75" hidden="1" x14ac:dyDescent="0.3">
      <c r="M83" s="136">
        <f t="shared" si="3"/>
        <v>-7583870</v>
      </c>
      <c r="N83" s="136">
        <f t="shared" si="3"/>
        <v>0</v>
      </c>
      <c r="O83" s="136">
        <f t="shared" si="3"/>
        <v>0</v>
      </c>
      <c r="P83" s="136">
        <f t="shared" si="3"/>
        <v>0</v>
      </c>
      <c r="Q83" s="136">
        <f t="shared" si="3"/>
        <v>0</v>
      </c>
      <c r="R83" s="136">
        <f t="shared" si="3"/>
        <v>-6470000</v>
      </c>
      <c r="S83" s="136">
        <f t="shared" si="3"/>
        <v>0</v>
      </c>
      <c r="T83" s="136">
        <f t="shared" si="3"/>
        <v>0</v>
      </c>
      <c r="U83" s="136">
        <f t="shared" si="3"/>
        <v>0</v>
      </c>
      <c r="V83" s="136">
        <f t="shared" si="3"/>
        <v>0</v>
      </c>
      <c r="W83" s="136">
        <f t="shared" si="3"/>
        <v>4426620</v>
      </c>
      <c r="X83" s="136">
        <f t="shared" si="2"/>
        <v>0</v>
      </c>
      <c r="Y83" s="136">
        <f t="shared" si="2"/>
        <v>0</v>
      </c>
      <c r="Z83" s="136">
        <f t="shared" si="2"/>
        <v>0</v>
      </c>
      <c r="AA83" s="136">
        <f t="shared" si="2"/>
        <v>0</v>
      </c>
      <c r="AB83" s="136">
        <f t="shared" si="2"/>
        <v>4857770</v>
      </c>
      <c r="AC83" s="136">
        <f t="shared" si="2"/>
        <v>0</v>
      </c>
      <c r="AD83" s="136">
        <f t="shared" si="2"/>
        <v>0</v>
      </c>
      <c r="AE83" s="136">
        <f t="shared" si="2"/>
        <v>0</v>
      </c>
      <c r="AF83" s="136">
        <f t="shared" si="2"/>
        <v>0</v>
      </c>
      <c r="AG83" s="136">
        <f t="shared" si="2"/>
        <v>-4459280</v>
      </c>
      <c r="AH83" s="136">
        <f t="shared" si="2"/>
        <v>0</v>
      </c>
      <c r="AI83" s="136">
        <f t="shared" si="2"/>
        <v>0</v>
      </c>
      <c r="AJ83" s="136">
        <f t="shared" si="2"/>
        <v>0</v>
      </c>
      <c r="AK83" s="136">
        <f t="shared" si="2"/>
        <v>0</v>
      </c>
      <c r="AL83" s="136">
        <f t="shared" si="2"/>
        <v>-800000</v>
      </c>
      <c r="AM83" s="136">
        <f t="shared" si="2"/>
        <v>0</v>
      </c>
      <c r="AN83" s="136">
        <f t="shared" si="2"/>
        <v>0</v>
      </c>
      <c r="AO83" s="136">
        <f t="shared" si="2"/>
        <v>0</v>
      </c>
      <c r="AP83" s="136">
        <f t="shared" si="2"/>
        <v>0</v>
      </c>
      <c r="AQ83" s="136">
        <f t="shared" si="2"/>
        <v>1279760</v>
      </c>
      <c r="AR83" s="136">
        <f t="shared" si="2"/>
        <v>0</v>
      </c>
      <c r="AS83" s="136">
        <f t="shared" si="2"/>
        <v>0</v>
      </c>
      <c r="AT83" s="136">
        <f t="shared" si="2"/>
        <v>0</v>
      </c>
      <c r="AU83" s="136">
        <f t="shared" si="2"/>
        <v>0</v>
      </c>
      <c r="AV83" s="136">
        <f t="shared" si="2"/>
        <v>-3966160</v>
      </c>
      <c r="AW83" s="136">
        <f t="shared" si="2"/>
        <v>0</v>
      </c>
      <c r="AX83" s="136">
        <f t="shared" si="2"/>
        <v>0</v>
      </c>
      <c r="AY83" s="136">
        <f t="shared" si="2"/>
        <v>0</v>
      </c>
      <c r="AZ83" s="136">
        <f t="shared" si="2"/>
        <v>0</v>
      </c>
      <c r="BA83" s="136">
        <f t="shared" si="2"/>
        <v>-5933880</v>
      </c>
      <c r="BB83" s="136">
        <f t="shared" si="2"/>
        <v>0</v>
      </c>
      <c r="BC83" s="136">
        <f t="shared" si="2"/>
        <v>0</v>
      </c>
      <c r="BD83" s="136">
        <f t="shared" si="2"/>
        <v>0</v>
      </c>
      <c r="BE83" s="136">
        <f t="shared" si="2"/>
        <v>0</v>
      </c>
      <c r="BF83" s="136">
        <f t="shared" si="2"/>
        <v>-1039930</v>
      </c>
      <c r="BG83" s="136">
        <f t="shared" si="2"/>
        <v>0</v>
      </c>
      <c r="BH83" s="136">
        <f t="shared" si="2"/>
        <v>0</v>
      </c>
      <c r="BI83" s="136">
        <f t="shared" si="2"/>
        <v>0</v>
      </c>
      <c r="BJ83" s="136">
        <f t="shared" si="2"/>
        <v>0</v>
      </c>
      <c r="BK83" s="136">
        <f t="shared" si="2"/>
        <v>-818600</v>
      </c>
      <c r="BL83" s="136">
        <f t="shared" si="2"/>
        <v>0</v>
      </c>
      <c r="BM83" s="136">
        <f t="shared" si="2"/>
        <v>0</v>
      </c>
      <c r="BN83" s="136">
        <f t="shared" si="2"/>
        <v>0</v>
      </c>
      <c r="BO83" s="136">
        <f t="shared" si="2"/>
        <v>0</v>
      </c>
      <c r="BP83" s="136">
        <f t="shared" si="2"/>
        <v>3198000</v>
      </c>
      <c r="BQ83" s="136">
        <f t="shared" si="2"/>
        <v>0</v>
      </c>
      <c r="BR83" s="136">
        <f t="shared" si="2"/>
        <v>0</v>
      </c>
      <c r="BS83" s="136">
        <f t="shared" si="2"/>
        <v>0</v>
      </c>
      <c r="BT83" s="136">
        <f t="shared" si="2"/>
        <v>0</v>
      </c>
      <c r="BU83" s="136">
        <f t="shared" si="2"/>
        <v>-19688970</v>
      </c>
    </row>
    <row r="84" spans="13:75" hidden="1" x14ac:dyDescent="0.3">
      <c r="M84" s="136">
        <f t="shared" si="3"/>
        <v>0</v>
      </c>
      <c r="N84" s="136">
        <f t="shared" si="3"/>
        <v>0</v>
      </c>
      <c r="O84" s="136">
        <f t="shared" si="3"/>
        <v>0</v>
      </c>
      <c r="P84" s="136">
        <f t="shared" si="3"/>
        <v>0</v>
      </c>
      <c r="Q84" s="136">
        <f t="shared" si="3"/>
        <v>0</v>
      </c>
      <c r="R84" s="136">
        <f t="shared" si="3"/>
        <v>0</v>
      </c>
      <c r="S84" s="136">
        <f t="shared" si="3"/>
        <v>0</v>
      </c>
      <c r="T84" s="136">
        <f t="shared" si="3"/>
        <v>0</v>
      </c>
      <c r="U84" s="136">
        <f t="shared" si="3"/>
        <v>0</v>
      </c>
      <c r="V84" s="136">
        <f t="shared" si="3"/>
        <v>0</v>
      </c>
      <c r="W84" s="136">
        <f t="shared" si="3"/>
        <v>0</v>
      </c>
      <c r="X84" s="136">
        <f t="shared" si="2"/>
        <v>0</v>
      </c>
      <c r="Y84" s="136">
        <f t="shared" si="2"/>
        <v>0</v>
      </c>
      <c r="Z84" s="136">
        <f t="shared" si="2"/>
        <v>0</v>
      </c>
      <c r="AA84" s="136">
        <f t="shared" si="2"/>
        <v>0</v>
      </c>
      <c r="AB84" s="136">
        <f t="shared" si="2"/>
        <v>0</v>
      </c>
      <c r="AC84" s="136">
        <f t="shared" si="2"/>
        <v>0</v>
      </c>
      <c r="AD84" s="136">
        <f t="shared" si="2"/>
        <v>0</v>
      </c>
      <c r="AE84" s="136">
        <f t="shared" si="2"/>
        <v>0</v>
      </c>
      <c r="AF84" s="136">
        <f t="shared" si="2"/>
        <v>0</v>
      </c>
      <c r="AG84" s="136">
        <f t="shared" si="2"/>
        <v>0</v>
      </c>
      <c r="AH84" s="136">
        <f t="shared" si="2"/>
        <v>0</v>
      </c>
      <c r="AI84" s="136">
        <f t="shared" si="2"/>
        <v>0</v>
      </c>
      <c r="AJ84" s="136">
        <f t="shared" si="2"/>
        <v>0</v>
      </c>
      <c r="AK84" s="136">
        <f t="shared" si="2"/>
        <v>0</v>
      </c>
      <c r="AL84" s="136">
        <f t="shared" si="2"/>
        <v>0</v>
      </c>
      <c r="AM84" s="136">
        <f t="shared" si="2"/>
        <v>0</v>
      </c>
      <c r="AN84" s="136">
        <f t="shared" si="2"/>
        <v>0</v>
      </c>
      <c r="AO84" s="136">
        <f t="shared" si="2"/>
        <v>0</v>
      </c>
      <c r="AP84" s="136">
        <f t="shared" si="2"/>
        <v>0</v>
      </c>
      <c r="AQ84" s="136">
        <f t="shared" si="2"/>
        <v>0</v>
      </c>
      <c r="AR84" s="136">
        <f t="shared" si="2"/>
        <v>0</v>
      </c>
      <c r="AS84" s="136">
        <f t="shared" si="2"/>
        <v>0</v>
      </c>
      <c r="AT84" s="136">
        <f t="shared" si="2"/>
        <v>0</v>
      </c>
      <c r="AU84" s="136">
        <f t="shared" si="2"/>
        <v>0</v>
      </c>
      <c r="AV84" s="136">
        <f t="shared" si="2"/>
        <v>0</v>
      </c>
      <c r="AW84" s="136">
        <f t="shared" si="2"/>
        <v>0</v>
      </c>
      <c r="AX84" s="136">
        <f t="shared" si="2"/>
        <v>0</v>
      </c>
      <c r="AY84" s="136">
        <f t="shared" si="2"/>
        <v>0</v>
      </c>
      <c r="AZ84" s="136">
        <f t="shared" si="2"/>
        <v>0</v>
      </c>
      <c r="BA84" s="136">
        <f t="shared" si="2"/>
        <v>0</v>
      </c>
      <c r="BB84" s="136">
        <f t="shared" si="2"/>
        <v>0</v>
      </c>
      <c r="BC84" s="136">
        <f t="shared" si="2"/>
        <v>0</v>
      </c>
      <c r="BD84" s="136">
        <f t="shared" si="2"/>
        <v>0</v>
      </c>
      <c r="BE84" s="136">
        <f t="shared" si="2"/>
        <v>0</v>
      </c>
      <c r="BF84" s="136">
        <f t="shared" si="2"/>
        <v>0</v>
      </c>
      <c r="BG84" s="136">
        <f t="shared" si="2"/>
        <v>0</v>
      </c>
      <c r="BH84" s="136">
        <f t="shared" si="2"/>
        <v>0</v>
      </c>
      <c r="BI84" s="136">
        <f t="shared" si="2"/>
        <v>0</v>
      </c>
      <c r="BJ84" s="136">
        <f t="shared" si="2"/>
        <v>0</v>
      </c>
      <c r="BK84" s="136">
        <f t="shared" si="2"/>
        <v>0</v>
      </c>
      <c r="BL84" s="136">
        <f t="shared" si="2"/>
        <v>0</v>
      </c>
      <c r="BM84" s="136">
        <f t="shared" si="2"/>
        <v>0</v>
      </c>
      <c r="BN84" s="136">
        <f t="shared" si="2"/>
        <v>0</v>
      </c>
      <c r="BO84" s="136">
        <f t="shared" si="2"/>
        <v>0</v>
      </c>
      <c r="BP84" s="136">
        <f t="shared" si="2"/>
        <v>0</v>
      </c>
      <c r="BQ84" s="136">
        <f t="shared" si="2"/>
        <v>0</v>
      </c>
      <c r="BR84" s="136">
        <f t="shared" si="2"/>
        <v>0</v>
      </c>
      <c r="BS84" s="136">
        <f t="shared" si="2"/>
        <v>0</v>
      </c>
      <c r="BT84" s="136">
        <f t="shared" si="2"/>
        <v>0</v>
      </c>
      <c r="BU84" s="136">
        <f t="shared" si="2"/>
        <v>0</v>
      </c>
    </row>
    <row r="85" spans="13:75" hidden="1" x14ac:dyDescent="0.3">
      <c r="M85" s="136">
        <f t="shared" si="3"/>
        <v>-6713800</v>
      </c>
      <c r="N85" s="136">
        <f t="shared" si="3"/>
        <v>0</v>
      </c>
      <c r="O85" s="136">
        <f t="shared" si="3"/>
        <v>0</v>
      </c>
      <c r="P85" s="136">
        <f t="shared" si="3"/>
        <v>0</v>
      </c>
      <c r="Q85" s="136">
        <f t="shared" si="3"/>
        <v>0</v>
      </c>
      <c r="R85" s="136">
        <f t="shared" si="3"/>
        <v>6933896</v>
      </c>
      <c r="S85" s="136">
        <f t="shared" si="3"/>
        <v>0</v>
      </c>
      <c r="T85" s="136">
        <f t="shared" si="3"/>
        <v>0</v>
      </c>
      <c r="U85" s="136">
        <f t="shared" si="3"/>
        <v>0</v>
      </c>
      <c r="V85" s="136">
        <f t="shared" si="3"/>
        <v>0</v>
      </c>
      <c r="W85" s="136">
        <f t="shared" si="3"/>
        <v>-224210</v>
      </c>
      <c r="X85" s="136">
        <f t="shared" si="2"/>
        <v>0</v>
      </c>
      <c r="Y85" s="136">
        <f t="shared" si="2"/>
        <v>0</v>
      </c>
      <c r="Z85" s="136">
        <f t="shared" si="2"/>
        <v>0</v>
      </c>
      <c r="AA85" s="136">
        <f t="shared" si="2"/>
        <v>0</v>
      </c>
      <c r="AB85" s="136">
        <f t="shared" si="2"/>
        <v>935949</v>
      </c>
      <c r="AC85" s="136">
        <f t="shared" si="2"/>
        <v>0</v>
      </c>
      <c r="AD85" s="136">
        <f t="shared" si="2"/>
        <v>0</v>
      </c>
      <c r="AE85" s="136">
        <f t="shared" si="2"/>
        <v>0</v>
      </c>
      <c r="AF85" s="136">
        <f t="shared" si="2"/>
        <v>0</v>
      </c>
      <c r="AG85" s="136">
        <f t="shared" si="2"/>
        <v>-939939</v>
      </c>
      <c r="AH85" s="136">
        <f t="shared" si="2"/>
        <v>0</v>
      </c>
      <c r="AI85" s="136">
        <f t="shared" si="2"/>
        <v>0</v>
      </c>
      <c r="AJ85" s="136">
        <f t="shared" si="2"/>
        <v>0</v>
      </c>
      <c r="AK85" s="136">
        <f t="shared" si="2"/>
        <v>0</v>
      </c>
      <c r="AL85" s="136">
        <f t="shared" si="2"/>
        <v>-2507362</v>
      </c>
      <c r="AM85" s="136">
        <f t="shared" si="2"/>
        <v>0</v>
      </c>
      <c r="AN85" s="136">
        <f t="shared" si="2"/>
        <v>0</v>
      </c>
      <c r="AO85" s="136">
        <f t="shared" si="2"/>
        <v>0</v>
      </c>
      <c r="AP85" s="136">
        <f t="shared" si="2"/>
        <v>0</v>
      </c>
      <c r="AQ85" s="136">
        <f t="shared" si="2"/>
        <v>586504</v>
      </c>
      <c r="AR85" s="136">
        <f t="shared" si="2"/>
        <v>0</v>
      </c>
      <c r="AS85" s="136">
        <f t="shared" si="2"/>
        <v>0</v>
      </c>
      <c r="AT85" s="136">
        <f t="shared" si="2"/>
        <v>0</v>
      </c>
      <c r="AU85" s="136">
        <f t="shared" si="2"/>
        <v>0</v>
      </c>
      <c r="AV85" s="136">
        <f t="shared" si="2"/>
        <v>1924741</v>
      </c>
      <c r="AW85" s="136">
        <f t="shared" si="2"/>
        <v>0</v>
      </c>
      <c r="AX85" s="136">
        <f t="shared" si="2"/>
        <v>0</v>
      </c>
      <c r="AY85" s="136">
        <f t="shared" si="2"/>
        <v>0</v>
      </c>
      <c r="AZ85" s="136">
        <f t="shared" si="2"/>
        <v>0</v>
      </c>
      <c r="BA85" s="136">
        <f t="shared" si="2"/>
        <v>73140</v>
      </c>
      <c r="BB85" s="136">
        <f t="shared" si="2"/>
        <v>0</v>
      </c>
      <c r="BC85" s="136">
        <f t="shared" si="2"/>
        <v>0</v>
      </c>
      <c r="BD85" s="136">
        <f t="shared" si="2"/>
        <v>0</v>
      </c>
      <c r="BE85" s="136">
        <f t="shared" si="2"/>
        <v>0</v>
      </c>
      <c r="BF85" s="136">
        <f t="shared" si="2"/>
        <v>-96962</v>
      </c>
      <c r="BG85" s="136">
        <f t="shared" si="2"/>
        <v>0</v>
      </c>
      <c r="BH85" s="136">
        <f t="shared" si="2"/>
        <v>0</v>
      </c>
      <c r="BI85" s="136">
        <f t="shared" si="2"/>
        <v>0</v>
      </c>
      <c r="BJ85" s="136">
        <f t="shared" si="2"/>
        <v>0</v>
      </c>
      <c r="BK85" s="136">
        <f t="shared" si="2"/>
        <v>-530737</v>
      </c>
      <c r="BL85" s="136">
        <f t="shared" si="2"/>
        <v>0</v>
      </c>
      <c r="BM85" s="136">
        <f t="shared" si="2"/>
        <v>0</v>
      </c>
      <c r="BN85" s="136">
        <f t="shared" si="2"/>
        <v>0</v>
      </c>
      <c r="BO85" s="136">
        <f t="shared" si="2"/>
        <v>0</v>
      </c>
      <c r="BP85" s="136">
        <f t="shared" si="2"/>
        <v>460066</v>
      </c>
      <c r="BQ85" s="136">
        <f t="shared" si="2"/>
        <v>0</v>
      </c>
      <c r="BR85" s="136">
        <f t="shared" si="2"/>
        <v>0</v>
      </c>
      <c r="BS85" s="136">
        <f t="shared" si="2"/>
        <v>0</v>
      </c>
      <c r="BT85" s="136">
        <f t="shared" si="2"/>
        <v>0</v>
      </c>
      <c r="BU85" s="136">
        <f t="shared" si="2"/>
        <v>-28043</v>
      </c>
    </row>
    <row r="86" spans="13:75" hidden="1" x14ac:dyDescent="0.3">
      <c r="M86" s="136">
        <f t="shared" si="3"/>
        <v>0</v>
      </c>
      <c r="N86" s="136">
        <f t="shared" si="3"/>
        <v>0</v>
      </c>
      <c r="O86" s="136">
        <f t="shared" si="3"/>
        <v>0</v>
      </c>
      <c r="P86" s="136">
        <f t="shared" si="3"/>
        <v>0</v>
      </c>
      <c r="Q86" s="136">
        <f t="shared" si="3"/>
        <v>0</v>
      </c>
      <c r="R86" s="136">
        <f t="shared" si="3"/>
        <v>0</v>
      </c>
      <c r="S86" s="136">
        <f t="shared" si="3"/>
        <v>0</v>
      </c>
      <c r="T86" s="136">
        <f t="shared" si="3"/>
        <v>0</v>
      </c>
      <c r="U86" s="136">
        <f t="shared" si="3"/>
        <v>0</v>
      </c>
      <c r="V86" s="136">
        <f t="shared" si="3"/>
        <v>0</v>
      </c>
      <c r="W86" s="136">
        <f t="shared" si="3"/>
        <v>0</v>
      </c>
      <c r="X86" s="136">
        <f t="shared" si="2"/>
        <v>0</v>
      </c>
      <c r="Y86" s="136">
        <f t="shared" si="2"/>
        <v>0</v>
      </c>
      <c r="Z86" s="136">
        <f t="shared" si="2"/>
        <v>0</v>
      </c>
      <c r="AA86" s="136">
        <f t="shared" si="2"/>
        <v>0</v>
      </c>
      <c r="AB86" s="136">
        <f t="shared" si="2"/>
        <v>0</v>
      </c>
      <c r="AC86" s="136">
        <f t="shared" ref="AC86:BU90" si="4">AC22-CU22</f>
        <v>0</v>
      </c>
      <c r="AD86" s="136">
        <f t="shared" si="4"/>
        <v>0</v>
      </c>
      <c r="AE86" s="136">
        <f t="shared" si="4"/>
        <v>0</v>
      </c>
      <c r="AF86" s="136">
        <f t="shared" si="4"/>
        <v>0</v>
      </c>
      <c r="AG86" s="136">
        <f t="shared" si="4"/>
        <v>0</v>
      </c>
      <c r="AH86" s="136">
        <f t="shared" si="4"/>
        <v>0</v>
      </c>
      <c r="AI86" s="136">
        <f t="shared" si="4"/>
        <v>0</v>
      </c>
      <c r="AJ86" s="136">
        <f t="shared" si="4"/>
        <v>0</v>
      </c>
      <c r="AK86" s="136">
        <f t="shared" si="4"/>
        <v>0</v>
      </c>
      <c r="AL86" s="136">
        <f t="shared" si="4"/>
        <v>0</v>
      </c>
      <c r="AM86" s="136">
        <f t="shared" si="4"/>
        <v>0</v>
      </c>
      <c r="AN86" s="136">
        <f t="shared" si="4"/>
        <v>0</v>
      </c>
      <c r="AO86" s="136">
        <f t="shared" si="4"/>
        <v>0</v>
      </c>
      <c r="AP86" s="136">
        <f t="shared" si="4"/>
        <v>0</v>
      </c>
      <c r="AQ86" s="136">
        <f t="shared" si="4"/>
        <v>0</v>
      </c>
      <c r="AR86" s="136">
        <f t="shared" si="4"/>
        <v>0</v>
      </c>
      <c r="AS86" s="136">
        <f t="shared" si="4"/>
        <v>0</v>
      </c>
      <c r="AT86" s="136">
        <f t="shared" si="4"/>
        <v>0</v>
      </c>
      <c r="AU86" s="136">
        <f t="shared" si="4"/>
        <v>0</v>
      </c>
      <c r="AV86" s="136">
        <f t="shared" si="4"/>
        <v>0</v>
      </c>
      <c r="AW86" s="136">
        <f t="shared" si="4"/>
        <v>0</v>
      </c>
      <c r="AX86" s="136">
        <f t="shared" si="4"/>
        <v>0</v>
      </c>
      <c r="AY86" s="136">
        <f t="shared" si="4"/>
        <v>0</v>
      </c>
      <c r="AZ86" s="136">
        <f t="shared" si="4"/>
        <v>0</v>
      </c>
      <c r="BA86" s="136">
        <f t="shared" si="4"/>
        <v>0</v>
      </c>
      <c r="BB86" s="136">
        <f t="shared" si="4"/>
        <v>0</v>
      </c>
      <c r="BC86" s="136">
        <f t="shared" si="4"/>
        <v>0</v>
      </c>
      <c r="BD86" s="136">
        <f t="shared" si="4"/>
        <v>0</v>
      </c>
      <c r="BE86" s="136">
        <f t="shared" si="4"/>
        <v>0</v>
      </c>
      <c r="BF86" s="136">
        <f t="shared" si="4"/>
        <v>0</v>
      </c>
      <c r="BG86" s="136">
        <f t="shared" si="4"/>
        <v>0</v>
      </c>
      <c r="BH86" s="136">
        <f t="shared" si="4"/>
        <v>0</v>
      </c>
      <c r="BI86" s="136">
        <f t="shared" si="4"/>
        <v>0</v>
      </c>
      <c r="BJ86" s="136">
        <f t="shared" si="4"/>
        <v>0</v>
      </c>
      <c r="BK86" s="136">
        <f t="shared" si="4"/>
        <v>0</v>
      </c>
      <c r="BL86" s="136">
        <f t="shared" si="4"/>
        <v>0</v>
      </c>
      <c r="BM86" s="136">
        <f t="shared" si="4"/>
        <v>0</v>
      </c>
      <c r="BN86" s="136">
        <f t="shared" si="4"/>
        <v>0</v>
      </c>
      <c r="BO86" s="136">
        <f t="shared" si="4"/>
        <v>0</v>
      </c>
      <c r="BP86" s="136">
        <f t="shared" si="4"/>
        <v>0</v>
      </c>
      <c r="BQ86" s="136">
        <f t="shared" si="4"/>
        <v>0</v>
      </c>
      <c r="BR86" s="136">
        <f t="shared" si="4"/>
        <v>0</v>
      </c>
      <c r="BS86" s="136">
        <f t="shared" si="4"/>
        <v>0</v>
      </c>
      <c r="BT86" s="136">
        <f t="shared" si="4"/>
        <v>0</v>
      </c>
      <c r="BU86" s="136">
        <f t="shared" si="4"/>
        <v>0</v>
      </c>
    </row>
    <row r="87" spans="13:75" hidden="1" x14ac:dyDescent="0.3">
      <c r="M87" s="136">
        <f t="shared" si="3"/>
        <v>-6640866</v>
      </c>
      <c r="N87" s="136">
        <f t="shared" si="3"/>
        <v>0</v>
      </c>
      <c r="O87" s="136">
        <f t="shared" si="3"/>
        <v>0</v>
      </c>
      <c r="P87" s="136">
        <f t="shared" si="3"/>
        <v>0</v>
      </c>
      <c r="Q87" s="136">
        <f t="shared" si="3"/>
        <v>0</v>
      </c>
      <c r="R87" s="136">
        <f t="shared" si="3"/>
        <v>-677390</v>
      </c>
      <c r="S87" s="136">
        <f t="shared" si="3"/>
        <v>0</v>
      </c>
      <c r="T87" s="136">
        <f t="shared" si="3"/>
        <v>0</v>
      </c>
      <c r="U87" s="136">
        <f t="shared" si="3"/>
        <v>0</v>
      </c>
      <c r="V87" s="136">
        <f t="shared" si="3"/>
        <v>0</v>
      </c>
      <c r="W87" s="136">
        <f t="shared" si="3"/>
        <v>5899</v>
      </c>
      <c r="X87" s="136">
        <f t="shared" si="3"/>
        <v>0</v>
      </c>
      <c r="Y87" s="136">
        <f t="shared" si="3"/>
        <v>0</v>
      </c>
      <c r="Z87" s="136">
        <f t="shared" si="3"/>
        <v>0</v>
      </c>
      <c r="AA87" s="136">
        <f t="shared" si="3"/>
        <v>0</v>
      </c>
      <c r="AB87" s="136">
        <f t="shared" si="3"/>
        <v>17036223</v>
      </c>
      <c r="AC87" s="136">
        <f t="shared" si="4"/>
        <v>0</v>
      </c>
      <c r="AD87" s="136">
        <f t="shared" si="4"/>
        <v>0</v>
      </c>
      <c r="AE87" s="136">
        <f t="shared" si="4"/>
        <v>0</v>
      </c>
      <c r="AF87" s="136">
        <f t="shared" si="4"/>
        <v>0</v>
      </c>
      <c r="AG87" s="136">
        <f t="shared" si="4"/>
        <v>5920267</v>
      </c>
      <c r="AH87" s="136">
        <f t="shared" si="4"/>
        <v>0</v>
      </c>
      <c r="AI87" s="136">
        <f t="shared" si="4"/>
        <v>0</v>
      </c>
      <c r="AJ87" s="136">
        <f t="shared" si="4"/>
        <v>0</v>
      </c>
      <c r="AK87" s="136">
        <f t="shared" si="4"/>
        <v>0</v>
      </c>
      <c r="AL87" s="136">
        <f t="shared" si="4"/>
        <v>11794376</v>
      </c>
      <c r="AM87" s="136">
        <f t="shared" si="4"/>
        <v>0</v>
      </c>
      <c r="AN87" s="136">
        <f t="shared" si="4"/>
        <v>0</v>
      </c>
      <c r="AO87" s="136">
        <f t="shared" si="4"/>
        <v>0</v>
      </c>
      <c r="AP87" s="136">
        <f t="shared" si="4"/>
        <v>0</v>
      </c>
      <c r="AQ87" s="136">
        <f t="shared" si="4"/>
        <v>702940</v>
      </c>
      <c r="AR87" s="136">
        <f t="shared" si="4"/>
        <v>0</v>
      </c>
      <c r="AS87" s="136">
        <f t="shared" si="4"/>
        <v>0</v>
      </c>
      <c r="AT87" s="136">
        <f t="shared" si="4"/>
        <v>0</v>
      </c>
      <c r="AU87" s="136">
        <f t="shared" si="4"/>
        <v>0</v>
      </c>
      <c r="AV87" s="136">
        <f t="shared" si="4"/>
        <v>10409369</v>
      </c>
      <c r="AW87" s="136">
        <f t="shared" si="4"/>
        <v>0</v>
      </c>
      <c r="AX87" s="136">
        <f t="shared" si="4"/>
        <v>0</v>
      </c>
      <c r="AY87" s="136">
        <f t="shared" si="4"/>
        <v>0</v>
      </c>
      <c r="AZ87" s="136">
        <f t="shared" si="4"/>
        <v>0</v>
      </c>
      <c r="BA87" s="136">
        <f t="shared" si="4"/>
        <v>-5584295</v>
      </c>
      <c r="BB87" s="136">
        <f t="shared" si="4"/>
        <v>0</v>
      </c>
      <c r="BC87" s="136">
        <f t="shared" si="4"/>
        <v>0</v>
      </c>
      <c r="BD87" s="136">
        <f t="shared" si="4"/>
        <v>0</v>
      </c>
      <c r="BE87" s="136">
        <f t="shared" si="4"/>
        <v>0</v>
      </c>
      <c r="BF87" s="136">
        <f t="shared" si="4"/>
        <v>55625426</v>
      </c>
      <c r="BG87" s="136">
        <f t="shared" si="4"/>
        <v>0</v>
      </c>
      <c r="BH87" s="136">
        <f t="shared" si="4"/>
        <v>0</v>
      </c>
      <c r="BI87" s="136">
        <f t="shared" si="4"/>
        <v>0</v>
      </c>
      <c r="BJ87" s="136">
        <f t="shared" si="4"/>
        <v>0</v>
      </c>
      <c r="BK87" s="136">
        <f t="shared" si="4"/>
        <v>-25287603</v>
      </c>
      <c r="BL87" s="136">
        <f t="shared" si="4"/>
        <v>0</v>
      </c>
      <c r="BM87" s="136">
        <f t="shared" si="4"/>
        <v>0</v>
      </c>
      <c r="BN87" s="136">
        <f t="shared" si="4"/>
        <v>0</v>
      </c>
      <c r="BO87" s="136">
        <f t="shared" si="4"/>
        <v>0</v>
      </c>
      <c r="BP87" s="136">
        <f t="shared" si="4"/>
        <v>-24968353</v>
      </c>
      <c r="BQ87" s="136">
        <f t="shared" si="4"/>
        <v>0</v>
      </c>
      <c r="BR87" s="136">
        <f t="shared" si="4"/>
        <v>0</v>
      </c>
      <c r="BS87" s="136">
        <f t="shared" si="4"/>
        <v>0</v>
      </c>
      <c r="BT87" s="136">
        <f t="shared" si="4"/>
        <v>0</v>
      </c>
      <c r="BU87" s="136">
        <f t="shared" si="4"/>
        <v>88591949</v>
      </c>
    </row>
    <row r="88" spans="13:75" hidden="1" x14ac:dyDescent="0.3">
      <c r="M88" s="136">
        <f t="shared" si="3"/>
        <v>-6555393</v>
      </c>
      <c r="N88" s="136">
        <f t="shared" si="3"/>
        <v>0</v>
      </c>
      <c r="O88" s="136">
        <f t="shared" si="3"/>
        <v>0</v>
      </c>
      <c r="P88" s="136">
        <f t="shared" si="3"/>
        <v>0</v>
      </c>
      <c r="Q88" s="136">
        <f t="shared" si="3"/>
        <v>0</v>
      </c>
      <c r="R88" s="136">
        <f t="shared" si="3"/>
        <v>-685403</v>
      </c>
      <c r="S88" s="136">
        <f t="shared" si="3"/>
        <v>0</v>
      </c>
      <c r="T88" s="136">
        <f t="shared" si="3"/>
        <v>0</v>
      </c>
      <c r="U88" s="136">
        <f t="shared" si="3"/>
        <v>0</v>
      </c>
      <c r="V88" s="136">
        <f t="shared" si="3"/>
        <v>0</v>
      </c>
      <c r="W88" s="136">
        <f t="shared" si="3"/>
        <v>97622</v>
      </c>
      <c r="X88" s="136">
        <f t="shared" si="3"/>
        <v>0</v>
      </c>
      <c r="Y88" s="136">
        <f t="shared" si="3"/>
        <v>0</v>
      </c>
      <c r="Z88" s="136">
        <f t="shared" si="3"/>
        <v>0</v>
      </c>
      <c r="AA88" s="136">
        <f t="shared" si="3"/>
        <v>0</v>
      </c>
      <c r="AB88" s="136">
        <f t="shared" si="3"/>
        <v>17055748</v>
      </c>
      <c r="AC88" s="136">
        <f t="shared" si="4"/>
        <v>0</v>
      </c>
      <c r="AD88" s="136">
        <f t="shared" si="4"/>
        <v>0</v>
      </c>
      <c r="AE88" s="136">
        <f t="shared" si="4"/>
        <v>0</v>
      </c>
      <c r="AF88" s="136">
        <f t="shared" si="4"/>
        <v>0</v>
      </c>
      <c r="AG88" s="136">
        <f t="shared" si="4"/>
        <v>5890264</v>
      </c>
      <c r="AH88" s="136">
        <f t="shared" si="4"/>
        <v>0</v>
      </c>
      <c r="AI88" s="136">
        <f t="shared" si="4"/>
        <v>0</v>
      </c>
      <c r="AJ88" s="136">
        <f t="shared" si="4"/>
        <v>0</v>
      </c>
      <c r="AK88" s="136">
        <f t="shared" si="4"/>
        <v>0</v>
      </c>
      <c r="AL88" s="136">
        <f t="shared" si="4"/>
        <v>11779528</v>
      </c>
      <c r="AM88" s="136">
        <f t="shared" si="4"/>
        <v>0</v>
      </c>
      <c r="AN88" s="136">
        <f t="shared" si="4"/>
        <v>0</v>
      </c>
      <c r="AO88" s="136">
        <f t="shared" si="4"/>
        <v>0</v>
      </c>
      <c r="AP88" s="136">
        <f t="shared" si="4"/>
        <v>0</v>
      </c>
      <c r="AQ88" s="136">
        <f t="shared" si="4"/>
        <v>722710</v>
      </c>
      <c r="AR88" s="136">
        <f t="shared" si="4"/>
        <v>0</v>
      </c>
      <c r="AS88" s="136">
        <f t="shared" si="4"/>
        <v>0</v>
      </c>
      <c r="AT88" s="136">
        <f t="shared" si="4"/>
        <v>0</v>
      </c>
      <c r="AU88" s="136">
        <f t="shared" si="4"/>
        <v>0</v>
      </c>
      <c r="AV88" s="136">
        <f t="shared" si="4"/>
        <v>10493193</v>
      </c>
      <c r="AW88" s="136">
        <f t="shared" si="4"/>
        <v>0</v>
      </c>
      <c r="AX88" s="136">
        <f t="shared" si="4"/>
        <v>0</v>
      </c>
      <c r="AY88" s="136">
        <f t="shared" si="4"/>
        <v>0</v>
      </c>
      <c r="AZ88" s="136">
        <f t="shared" si="4"/>
        <v>0</v>
      </c>
      <c r="BA88" s="136">
        <f t="shared" si="4"/>
        <v>-5570966</v>
      </c>
      <c r="BB88" s="136">
        <f t="shared" si="4"/>
        <v>0</v>
      </c>
      <c r="BC88" s="136">
        <f t="shared" si="4"/>
        <v>0</v>
      </c>
      <c r="BD88" s="136">
        <f t="shared" si="4"/>
        <v>0</v>
      </c>
      <c r="BE88" s="136">
        <f t="shared" si="4"/>
        <v>0</v>
      </c>
      <c r="BF88" s="136">
        <f t="shared" si="4"/>
        <v>55637670</v>
      </c>
      <c r="BG88" s="136">
        <f t="shared" si="4"/>
        <v>0</v>
      </c>
      <c r="BH88" s="136">
        <f t="shared" si="4"/>
        <v>0</v>
      </c>
      <c r="BI88" s="136">
        <f t="shared" si="4"/>
        <v>0</v>
      </c>
      <c r="BJ88" s="136">
        <f t="shared" si="4"/>
        <v>0</v>
      </c>
      <c r="BK88" s="136">
        <f t="shared" si="4"/>
        <v>-25073273</v>
      </c>
      <c r="BL88" s="136">
        <f t="shared" si="4"/>
        <v>0</v>
      </c>
      <c r="BM88" s="136">
        <f t="shared" si="4"/>
        <v>0</v>
      </c>
      <c r="BN88" s="136">
        <f t="shared" si="4"/>
        <v>0</v>
      </c>
      <c r="BO88" s="136">
        <f t="shared" si="4"/>
        <v>0</v>
      </c>
      <c r="BP88" s="136">
        <f t="shared" si="4"/>
        <v>-25180568</v>
      </c>
      <c r="BQ88" s="136">
        <f t="shared" si="4"/>
        <v>0</v>
      </c>
      <c r="BR88" s="136">
        <f t="shared" si="4"/>
        <v>0</v>
      </c>
      <c r="BS88" s="136">
        <f t="shared" si="4"/>
        <v>0</v>
      </c>
      <c r="BT88" s="136">
        <f t="shared" si="4"/>
        <v>0</v>
      </c>
      <c r="BU88" s="136">
        <f t="shared" si="4"/>
        <v>88864973</v>
      </c>
    </row>
    <row r="89" spans="13:75" hidden="1" x14ac:dyDescent="0.3">
      <c r="M89" s="136">
        <f t="shared" si="3"/>
        <v>-8497467</v>
      </c>
      <c r="N89" s="136">
        <f t="shared" si="3"/>
        <v>0</v>
      </c>
      <c r="O89" s="136">
        <f t="shared" si="3"/>
        <v>0</v>
      </c>
      <c r="P89" s="136">
        <f t="shared" si="3"/>
        <v>0</v>
      </c>
      <c r="Q89" s="136">
        <f t="shared" si="3"/>
        <v>0</v>
      </c>
      <c r="R89" s="136">
        <f t="shared" si="3"/>
        <v>-794622</v>
      </c>
      <c r="S89" s="136">
        <f t="shared" si="3"/>
        <v>0</v>
      </c>
      <c r="T89" s="136">
        <f t="shared" si="3"/>
        <v>0</v>
      </c>
      <c r="U89" s="136">
        <f t="shared" si="3"/>
        <v>0</v>
      </c>
      <c r="V89" s="136">
        <f t="shared" si="3"/>
        <v>0</v>
      </c>
      <c r="W89" s="136">
        <f t="shared" si="3"/>
        <v>1818932</v>
      </c>
      <c r="X89" s="136">
        <f t="shared" si="3"/>
        <v>0</v>
      </c>
      <c r="Y89" s="136">
        <f t="shared" si="3"/>
        <v>0</v>
      </c>
      <c r="Z89" s="136">
        <f t="shared" si="3"/>
        <v>0</v>
      </c>
      <c r="AA89" s="136">
        <f t="shared" si="3"/>
        <v>0</v>
      </c>
      <c r="AB89" s="136">
        <f t="shared" si="3"/>
        <v>19399721</v>
      </c>
      <c r="AC89" s="136">
        <f t="shared" si="4"/>
        <v>0</v>
      </c>
      <c r="AD89" s="136">
        <f t="shared" si="4"/>
        <v>0</v>
      </c>
      <c r="AE89" s="136">
        <f t="shared" si="4"/>
        <v>0</v>
      </c>
      <c r="AF89" s="136">
        <f t="shared" si="4"/>
        <v>0</v>
      </c>
      <c r="AG89" s="136">
        <f t="shared" si="4"/>
        <v>7888697</v>
      </c>
      <c r="AH89" s="136">
        <f t="shared" si="4"/>
        <v>0</v>
      </c>
      <c r="AI89" s="136">
        <f t="shared" si="4"/>
        <v>0</v>
      </c>
      <c r="AJ89" s="136">
        <f t="shared" si="4"/>
        <v>0</v>
      </c>
      <c r="AK89" s="136">
        <f t="shared" si="4"/>
        <v>0</v>
      </c>
      <c r="AL89" s="136">
        <f t="shared" si="4"/>
        <v>13609131</v>
      </c>
      <c r="AM89" s="136">
        <f t="shared" si="4"/>
        <v>0</v>
      </c>
      <c r="AN89" s="136">
        <f t="shared" si="4"/>
        <v>0</v>
      </c>
      <c r="AO89" s="136">
        <f t="shared" si="4"/>
        <v>0</v>
      </c>
      <c r="AP89" s="136">
        <f t="shared" si="4"/>
        <v>0</v>
      </c>
      <c r="AQ89" s="136">
        <f t="shared" si="4"/>
        <v>643936</v>
      </c>
      <c r="AR89" s="136">
        <f t="shared" si="4"/>
        <v>0</v>
      </c>
      <c r="AS89" s="136">
        <f t="shared" si="4"/>
        <v>0</v>
      </c>
      <c r="AT89" s="136">
        <f t="shared" si="4"/>
        <v>0</v>
      </c>
      <c r="AU89" s="136">
        <f t="shared" si="4"/>
        <v>0</v>
      </c>
      <c r="AV89" s="136">
        <f t="shared" si="4"/>
        <v>12794411</v>
      </c>
      <c r="AW89" s="136">
        <f t="shared" si="4"/>
        <v>0</v>
      </c>
      <c r="AX89" s="136">
        <f t="shared" si="4"/>
        <v>0</v>
      </c>
      <c r="AY89" s="136">
        <f t="shared" si="4"/>
        <v>0</v>
      </c>
      <c r="AZ89" s="136">
        <f t="shared" si="4"/>
        <v>0</v>
      </c>
      <c r="BA89" s="136">
        <f t="shared" si="4"/>
        <v>-6089013</v>
      </c>
      <c r="BB89" s="136">
        <f t="shared" si="4"/>
        <v>0</v>
      </c>
      <c r="BC89" s="136">
        <f t="shared" si="4"/>
        <v>0</v>
      </c>
      <c r="BD89" s="136">
        <f t="shared" si="4"/>
        <v>0</v>
      </c>
      <c r="BE89" s="136">
        <f t="shared" si="4"/>
        <v>0</v>
      </c>
      <c r="BF89" s="136">
        <f t="shared" si="4"/>
        <v>-2115498</v>
      </c>
      <c r="BG89" s="136">
        <f t="shared" si="4"/>
        <v>0</v>
      </c>
      <c r="BH89" s="136">
        <f t="shared" si="4"/>
        <v>0</v>
      </c>
      <c r="BI89" s="136">
        <f t="shared" si="4"/>
        <v>0</v>
      </c>
      <c r="BJ89" s="136">
        <f t="shared" si="4"/>
        <v>0</v>
      </c>
      <c r="BK89" s="136">
        <f t="shared" si="4"/>
        <v>-28691924</v>
      </c>
      <c r="BL89" s="136">
        <f t="shared" si="4"/>
        <v>0</v>
      </c>
      <c r="BM89" s="136">
        <f t="shared" si="4"/>
        <v>0</v>
      </c>
      <c r="BN89" s="136">
        <f t="shared" si="4"/>
        <v>0</v>
      </c>
      <c r="BO89" s="136">
        <f t="shared" si="4"/>
        <v>0</v>
      </c>
      <c r="BP89" s="136">
        <f t="shared" si="4"/>
        <v>-28529070</v>
      </c>
      <c r="BQ89" s="136">
        <f t="shared" si="4"/>
        <v>0</v>
      </c>
      <c r="BR89" s="136">
        <f t="shared" si="4"/>
        <v>0</v>
      </c>
      <c r="BS89" s="136">
        <f t="shared" si="4"/>
        <v>0</v>
      </c>
      <c r="BT89" s="136">
        <f t="shared" si="4"/>
        <v>0</v>
      </c>
      <c r="BU89" s="136">
        <f t="shared" si="4"/>
        <v>38658228</v>
      </c>
    </row>
    <row r="90" spans="13:75" hidden="1" x14ac:dyDescent="0.3">
      <c r="M90" s="136">
        <f t="shared" si="3"/>
        <v>2287368</v>
      </c>
      <c r="N90" s="136">
        <f t="shared" si="3"/>
        <v>0</v>
      </c>
      <c r="O90" s="136">
        <f t="shared" si="3"/>
        <v>0</v>
      </c>
      <c r="P90" s="136">
        <f t="shared" si="3"/>
        <v>0</v>
      </c>
      <c r="Q90" s="136">
        <f t="shared" si="3"/>
        <v>0</v>
      </c>
      <c r="R90" s="136">
        <f t="shared" si="3"/>
        <v>129454</v>
      </c>
      <c r="S90" s="136">
        <f t="shared" si="3"/>
        <v>0</v>
      </c>
      <c r="T90" s="136">
        <f t="shared" si="3"/>
        <v>0</v>
      </c>
      <c r="U90" s="136">
        <f t="shared" si="3"/>
        <v>0</v>
      </c>
      <c r="V90" s="136">
        <f t="shared" si="3"/>
        <v>0</v>
      </c>
      <c r="W90" s="136">
        <f t="shared" si="3"/>
        <v>-1502564</v>
      </c>
      <c r="X90" s="136">
        <f t="shared" si="3"/>
        <v>0</v>
      </c>
      <c r="Y90" s="136">
        <f t="shared" si="3"/>
        <v>0</v>
      </c>
      <c r="Z90" s="136">
        <f t="shared" si="3"/>
        <v>0</v>
      </c>
      <c r="AA90" s="136">
        <f t="shared" si="3"/>
        <v>0</v>
      </c>
      <c r="AB90" s="136">
        <f t="shared" si="3"/>
        <v>-2134378</v>
      </c>
      <c r="AC90" s="136">
        <f t="shared" si="4"/>
        <v>0</v>
      </c>
      <c r="AD90" s="136">
        <f t="shared" si="4"/>
        <v>0</v>
      </c>
      <c r="AE90" s="136">
        <f t="shared" si="4"/>
        <v>0</v>
      </c>
      <c r="AF90" s="136">
        <f t="shared" si="4"/>
        <v>0</v>
      </c>
      <c r="AG90" s="136">
        <f t="shared" si="4"/>
        <v>-1459595</v>
      </c>
      <c r="AH90" s="136">
        <f t="shared" si="4"/>
        <v>0</v>
      </c>
      <c r="AI90" s="136">
        <f t="shared" si="4"/>
        <v>0</v>
      </c>
      <c r="AJ90" s="136">
        <f t="shared" si="4"/>
        <v>0</v>
      </c>
      <c r="AK90" s="136">
        <f t="shared" si="4"/>
        <v>0</v>
      </c>
      <c r="AL90" s="136">
        <f t="shared" si="4"/>
        <v>-1506772</v>
      </c>
      <c r="AM90" s="136">
        <f t="shared" si="4"/>
        <v>0</v>
      </c>
      <c r="AN90" s="136">
        <f t="shared" si="4"/>
        <v>0</v>
      </c>
      <c r="AO90" s="136">
        <f t="shared" si="4"/>
        <v>0</v>
      </c>
      <c r="AP90" s="136">
        <f t="shared" si="4"/>
        <v>0</v>
      </c>
      <c r="AQ90" s="136">
        <f t="shared" si="4"/>
        <v>304560</v>
      </c>
      <c r="AR90" s="136">
        <f t="shared" si="4"/>
        <v>0</v>
      </c>
      <c r="AS90" s="136">
        <f t="shared" si="4"/>
        <v>0</v>
      </c>
      <c r="AT90" s="136">
        <f t="shared" si="4"/>
        <v>0</v>
      </c>
      <c r="AU90" s="136">
        <f t="shared" si="4"/>
        <v>0</v>
      </c>
      <c r="AV90" s="136">
        <f t="shared" si="4"/>
        <v>-1867756</v>
      </c>
      <c r="AW90" s="136">
        <f t="shared" si="4"/>
        <v>0</v>
      </c>
      <c r="AX90" s="136">
        <f t="shared" si="4"/>
        <v>0</v>
      </c>
      <c r="AY90" s="136">
        <f t="shared" si="4"/>
        <v>0</v>
      </c>
      <c r="AZ90" s="136">
        <f t="shared" si="4"/>
        <v>0</v>
      </c>
      <c r="BA90" s="136">
        <f t="shared" si="4"/>
        <v>570672</v>
      </c>
      <c r="BB90" s="136">
        <f t="shared" si="4"/>
        <v>0</v>
      </c>
      <c r="BC90" s="136">
        <f t="shared" si="4"/>
        <v>0</v>
      </c>
      <c r="BD90" s="136">
        <f t="shared" si="4"/>
        <v>0</v>
      </c>
      <c r="BE90" s="136">
        <f t="shared" si="4"/>
        <v>0</v>
      </c>
      <c r="BF90" s="136">
        <f t="shared" si="4"/>
        <v>165352</v>
      </c>
      <c r="BG90" s="136">
        <f t="shared" si="4"/>
        <v>0</v>
      </c>
      <c r="BH90" s="136">
        <f t="shared" si="4"/>
        <v>0</v>
      </c>
      <c r="BI90" s="136">
        <f t="shared" si="4"/>
        <v>0</v>
      </c>
      <c r="BJ90" s="136">
        <f t="shared" si="4"/>
        <v>0</v>
      </c>
      <c r="BK90" s="136">
        <f t="shared" si="4"/>
        <v>3208682</v>
      </c>
      <c r="BL90" s="136">
        <f t="shared" si="4"/>
        <v>0</v>
      </c>
      <c r="BM90" s="136">
        <f t="shared" si="4"/>
        <v>0</v>
      </c>
      <c r="BN90" s="136">
        <f t="shared" si="4"/>
        <v>0</v>
      </c>
      <c r="BO90" s="136">
        <f t="shared" si="4"/>
        <v>0</v>
      </c>
      <c r="BP90" s="136">
        <f t="shared" si="4"/>
        <v>3095740</v>
      </c>
      <c r="BQ90" s="136">
        <f t="shared" si="4"/>
        <v>0</v>
      </c>
      <c r="BR90" s="136">
        <f t="shared" si="4"/>
        <v>0</v>
      </c>
      <c r="BS90" s="136">
        <f t="shared" si="4"/>
        <v>0</v>
      </c>
      <c r="BT90" s="136">
        <f t="shared" si="4"/>
        <v>0</v>
      </c>
      <c r="BU90" s="136">
        <f t="shared" si="4"/>
        <v>-5013659</v>
      </c>
      <c r="BW90" s="136">
        <f>-[40]Domredemp!BV166</f>
        <v>0</v>
      </c>
    </row>
    <row r="91" spans="13:75" hidden="1" x14ac:dyDescent="0.3">
      <c r="M91" s="136" t="e">
        <f>#REF!-#REF!</f>
        <v>#REF!</v>
      </c>
      <c r="N91" s="136" t="e">
        <f>#REF!-#REF!</f>
        <v>#REF!</v>
      </c>
      <c r="O91" s="136" t="e">
        <f>#REF!-#REF!</f>
        <v>#REF!</v>
      </c>
      <c r="P91" s="136" t="e">
        <f>#REF!-#REF!</f>
        <v>#REF!</v>
      </c>
      <c r="Q91" s="136" t="e">
        <f>#REF!-#REF!</f>
        <v>#REF!</v>
      </c>
      <c r="R91" s="136" t="e">
        <f>#REF!-#REF!</f>
        <v>#REF!</v>
      </c>
      <c r="S91" s="136" t="e">
        <f>#REF!-#REF!</f>
        <v>#REF!</v>
      </c>
      <c r="T91" s="136" t="e">
        <f>#REF!-#REF!</f>
        <v>#REF!</v>
      </c>
      <c r="U91" s="136" t="e">
        <f>#REF!-#REF!</f>
        <v>#REF!</v>
      </c>
      <c r="V91" s="136" t="e">
        <f>#REF!-#REF!</f>
        <v>#REF!</v>
      </c>
      <c r="W91" s="136" t="e">
        <f>#REF!-#REF!</f>
        <v>#REF!</v>
      </c>
      <c r="X91" s="136" t="e">
        <f>#REF!-#REF!</f>
        <v>#REF!</v>
      </c>
      <c r="Y91" s="136" t="e">
        <f>#REF!-#REF!</f>
        <v>#REF!</v>
      </c>
      <c r="Z91" s="136" t="e">
        <f>#REF!-#REF!</f>
        <v>#REF!</v>
      </c>
      <c r="AA91" s="136" t="e">
        <f>#REF!-#REF!</f>
        <v>#REF!</v>
      </c>
      <c r="AB91" s="136" t="e">
        <f>#REF!-#REF!</f>
        <v>#REF!</v>
      </c>
      <c r="AC91" s="136" t="e">
        <f>#REF!-#REF!</f>
        <v>#REF!</v>
      </c>
      <c r="AD91" s="136" t="e">
        <f>#REF!-#REF!</f>
        <v>#REF!</v>
      </c>
      <c r="AE91" s="136" t="e">
        <f>#REF!-#REF!</f>
        <v>#REF!</v>
      </c>
      <c r="AF91" s="136" t="e">
        <f>#REF!-#REF!</f>
        <v>#REF!</v>
      </c>
      <c r="AG91" s="136" t="e">
        <f>#REF!-#REF!</f>
        <v>#REF!</v>
      </c>
      <c r="AH91" s="136" t="e">
        <f>#REF!-#REF!</f>
        <v>#REF!</v>
      </c>
      <c r="AI91" s="136" t="e">
        <f>#REF!-#REF!</f>
        <v>#REF!</v>
      </c>
      <c r="AJ91" s="136" t="e">
        <f>#REF!-#REF!</f>
        <v>#REF!</v>
      </c>
      <c r="AK91" s="136" t="e">
        <f>#REF!-#REF!</f>
        <v>#REF!</v>
      </c>
      <c r="AL91" s="136" t="e">
        <f>#REF!-#REF!</f>
        <v>#REF!</v>
      </c>
      <c r="AM91" s="136" t="e">
        <f>#REF!-#REF!</f>
        <v>#REF!</v>
      </c>
      <c r="AN91" s="136" t="e">
        <f>#REF!-#REF!</f>
        <v>#REF!</v>
      </c>
      <c r="AO91" s="136" t="e">
        <f>#REF!-#REF!</f>
        <v>#REF!</v>
      </c>
      <c r="AP91" s="136" t="e">
        <f>#REF!-#REF!</f>
        <v>#REF!</v>
      </c>
      <c r="AQ91" s="136" t="e">
        <f>#REF!-#REF!</f>
        <v>#REF!</v>
      </c>
      <c r="AR91" s="136" t="e">
        <f>#REF!-#REF!</f>
        <v>#REF!</v>
      </c>
      <c r="AS91" s="136" t="e">
        <f>#REF!-#REF!</f>
        <v>#REF!</v>
      </c>
      <c r="AT91" s="136" t="e">
        <f>#REF!-#REF!</f>
        <v>#REF!</v>
      </c>
      <c r="AU91" s="136" t="e">
        <f>#REF!-#REF!</f>
        <v>#REF!</v>
      </c>
      <c r="AV91" s="136" t="e">
        <f>#REF!-#REF!</f>
        <v>#REF!</v>
      </c>
      <c r="AW91" s="136" t="e">
        <f>#REF!-#REF!</f>
        <v>#REF!</v>
      </c>
      <c r="AX91" s="136" t="e">
        <f>#REF!-#REF!</f>
        <v>#REF!</v>
      </c>
      <c r="AY91" s="136" t="e">
        <f>#REF!-#REF!</f>
        <v>#REF!</v>
      </c>
      <c r="AZ91" s="136" t="e">
        <f>#REF!-#REF!</f>
        <v>#REF!</v>
      </c>
      <c r="BA91" s="136" t="e">
        <f>#REF!-#REF!</f>
        <v>#REF!</v>
      </c>
      <c r="BB91" s="136" t="e">
        <f>#REF!-#REF!</f>
        <v>#REF!</v>
      </c>
      <c r="BC91" s="136" t="e">
        <f>#REF!-#REF!</f>
        <v>#REF!</v>
      </c>
      <c r="BD91" s="136" t="e">
        <f>#REF!-#REF!</f>
        <v>#REF!</v>
      </c>
      <c r="BE91" s="136" t="e">
        <f>#REF!-#REF!</f>
        <v>#REF!</v>
      </c>
      <c r="BF91" s="136" t="e">
        <f>#REF!-#REF!</f>
        <v>#REF!</v>
      </c>
      <c r="BG91" s="136" t="e">
        <f>#REF!-#REF!</f>
        <v>#REF!</v>
      </c>
      <c r="BH91" s="136" t="e">
        <f>#REF!-#REF!</f>
        <v>#REF!</v>
      </c>
      <c r="BI91" s="136" t="e">
        <f>#REF!-#REF!</f>
        <v>#REF!</v>
      </c>
      <c r="BJ91" s="136" t="e">
        <f>#REF!-#REF!</f>
        <v>#REF!</v>
      </c>
      <c r="BK91" s="136" t="e">
        <f>#REF!-#REF!</f>
        <v>#REF!</v>
      </c>
      <c r="BL91" s="136" t="e">
        <f>#REF!-#REF!</f>
        <v>#REF!</v>
      </c>
      <c r="BM91" s="136" t="e">
        <f>#REF!-#REF!</f>
        <v>#REF!</v>
      </c>
      <c r="BN91" s="136" t="e">
        <f>#REF!-#REF!</f>
        <v>#REF!</v>
      </c>
      <c r="BO91" s="136" t="e">
        <f>#REF!-#REF!</f>
        <v>#REF!</v>
      </c>
      <c r="BP91" s="136" t="e">
        <f>#REF!-#REF!</f>
        <v>#REF!</v>
      </c>
      <c r="BQ91" s="136" t="e">
        <f>#REF!-#REF!</f>
        <v>#REF!</v>
      </c>
      <c r="BR91" s="136" t="e">
        <f>#REF!-#REF!</f>
        <v>#REF!</v>
      </c>
      <c r="BS91" s="136" t="e">
        <f>#REF!-#REF!</f>
        <v>#REF!</v>
      </c>
      <c r="BT91" s="136" t="e">
        <f>#REF!-#REF!</f>
        <v>#REF!</v>
      </c>
      <c r="BU91" s="136" t="e">
        <f>#REF!-#REF!</f>
        <v>#REF!</v>
      </c>
      <c r="BW91" s="136">
        <f>-[40]Domredemp!BV169+[40]Domredemp!BV278</f>
        <v>0</v>
      </c>
    </row>
    <row r="92" spans="13:75" hidden="1" x14ac:dyDescent="0.3">
      <c r="M92" s="136">
        <f t="shared" ref="M92:BU96" si="5">M27-CE27</f>
        <v>-345294</v>
      </c>
      <c r="N92" s="136">
        <f t="shared" si="5"/>
        <v>0</v>
      </c>
      <c r="O92" s="136">
        <f t="shared" si="5"/>
        <v>0</v>
      </c>
      <c r="P92" s="136">
        <f t="shared" si="5"/>
        <v>0</v>
      </c>
      <c r="Q92" s="136">
        <f t="shared" si="5"/>
        <v>0</v>
      </c>
      <c r="R92" s="136">
        <f t="shared" si="5"/>
        <v>-20235</v>
      </c>
      <c r="S92" s="136">
        <f t="shared" si="5"/>
        <v>0</v>
      </c>
      <c r="T92" s="136">
        <f t="shared" si="5"/>
        <v>0</v>
      </c>
      <c r="U92" s="136">
        <f t="shared" si="5"/>
        <v>0</v>
      </c>
      <c r="V92" s="136">
        <f t="shared" si="5"/>
        <v>0</v>
      </c>
      <c r="W92" s="136">
        <f t="shared" si="5"/>
        <v>-218746</v>
      </c>
      <c r="X92" s="136">
        <f t="shared" si="5"/>
        <v>0</v>
      </c>
      <c r="Y92" s="136">
        <f t="shared" si="5"/>
        <v>0</v>
      </c>
      <c r="Z92" s="136">
        <f t="shared" si="5"/>
        <v>0</v>
      </c>
      <c r="AA92" s="136">
        <f t="shared" si="5"/>
        <v>0</v>
      </c>
      <c r="AB92" s="136">
        <f t="shared" si="5"/>
        <v>-209595</v>
      </c>
      <c r="AC92" s="136">
        <f t="shared" si="5"/>
        <v>0</v>
      </c>
      <c r="AD92" s="136">
        <f t="shared" si="5"/>
        <v>0</v>
      </c>
      <c r="AE92" s="136">
        <f t="shared" si="5"/>
        <v>0</v>
      </c>
      <c r="AF92" s="136">
        <f t="shared" si="5"/>
        <v>0</v>
      </c>
      <c r="AG92" s="136">
        <f t="shared" si="5"/>
        <v>-538838</v>
      </c>
      <c r="AH92" s="136">
        <f t="shared" si="5"/>
        <v>0</v>
      </c>
      <c r="AI92" s="136">
        <f t="shared" si="5"/>
        <v>0</v>
      </c>
      <c r="AJ92" s="136">
        <f t="shared" si="5"/>
        <v>0</v>
      </c>
      <c r="AK92" s="136">
        <f t="shared" si="5"/>
        <v>0</v>
      </c>
      <c r="AL92" s="136">
        <f t="shared" si="5"/>
        <v>-322831</v>
      </c>
      <c r="AM92" s="136">
        <f t="shared" si="5"/>
        <v>0</v>
      </c>
      <c r="AN92" s="136">
        <f t="shared" si="5"/>
        <v>0</v>
      </c>
      <c r="AO92" s="136">
        <f t="shared" si="5"/>
        <v>0</v>
      </c>
      <c r="AP92" s="136">
        <f t="shared" si="5"/>
        <v>0</v>
      </c>
      <c r="AQ92" s="136">
        <f t="shared" si="5"/>
        <v>-225786</v>
      </c>
      <c r="AR92" s="136">
        <f t="shared" si="5"/>
        <v>0</v>
      </c>
      <c r="AS92" s="136">
        <f t="shared" si="5"/>
        <v>0</v>
      </c>
      <c r="AT92" s="136">
        <f t="shared" si="5"/>
        <v>0</v>
      </c>
      <c r="AU92" s="136">
        <f t="shared" si="5"/>
        <v>0</v>
      </c>
      <c r="AV92" s="136">
        <f t="shared" si="5"/>
        <v>-433462</v>
      </c>
      <c r="AW92" s="136">
        <f t="shared" si="5"/>
        <v>0</v>
      </c>
      <c r="AX92" s="136">
        <f t="shared" si="5"/>
        <v>0</v>
      </c>
      <c r="AY92" s="136">
        <f t="shared" si="5"/>
        <v>0</v>
      </c>
      <c r="AZ92" s="136">
        <f t="shared" si="5"/>
        <v>0</v>
      </c>
      <c r="BA92" s="136">
        <f t="shared" si="5"/>
        <v>-52625</v>
      </c>
      <c r="BB92" s="136">
        <f t="shared" si="5"/>
        <v>0</v>
      </c>
      <c r="BC92" s="136">
        <f t="shared" si="5"/>
        <v>0</v>
      </c>
      <c r="BD92" s="136">
        <f t="shared" si="5"/>
        <v>0</v>
      </c>
      <c r="BE92" s="136">
        <f t="shared" si="5"/>
        <v>0</v>
      </c>
      <c r="BF92" s="136">
        <f t="shared" si="5"/>
        <v>57587816</v>
      </c>
      <c r="BG92" s="136">
        <f t="shared" si="5"/>
        <v>0</v>
      </c>
      <c r="BH92" s="136">
        <f t="shared" si="5"/>
        <v>0</v>
      </c>
      <c r="BI92" s="136">
        <f t="shared" si="5"/>
        <v>0</v>
      </c>
      <c r="BJ92" s="136">
        <f t="shared" si="5"/>
        <v>0</v>
      </c>
      <c r="BK92" s="136">
        <f t="shared" si="5"/>
        <v>409969</v>
      </c>
      <c r="BL92" s="136">
        <f t="shared" si="5"/>
        <v>0</v>
      </c>
      <c r="BM92" s="136">
        <f t="shared" si="5"/>
        <v>0</v>
      </c>
      <c r="BN92" s="136">
        <f t="shared" si="5"/>
        <v>0</v>
      </c>
      <c r="BO92" s="136">
        <f t="shared" si="5"/>
        <v>0</v>
      </c>
      <c r="BP92" s="136">
        <f t="shared" si="5"/>
        <v>252762</v>
      </c>
      <c r="BQ92" s="136">
        <f t="shared" si="5"/>
        <v>0</v>
      </c>
      <c r="BR92" s="136">
        <f t="shared" si="5"/>
        <v>0</v>
      </c>
      <c r="BS92" s="136">
        <f t="shared" si="5"/>
        <v>0</v>
      </c>
      <c r="BT92" s="136">
        <f t="shared" si="5"/>
        <v>0</v>
      </c>
      <c r="BU92" s="136">
        <f t="shared" si="5"/>
        <v>55220404</v>
      </c>
    </row>
    <row r="93" spans="13:75" hidden="1" x14ac:dyDescent="0.3">
      <c r="M93" s="136">
        <f t="shared" si="5"/>
        <v>0</v>
      </c>
      <c r="N93" s="136">
        <f t="shared" si="5"/>
        <v>0</v>
      </c>
      <c r="O93" s="136">
        <f t="shared" si="5"/>
        <v>0</v>
      </c>
      <c r="P93" s="136">
        <f t="shared" si="5"/>
        <v>0</v>
      </c>
      <c r="Q93" s="136">
        <f t="shared" si="5"/>
        <v>0</v>
      </c>
      <c r="R93" s="136">
        <f t="shared" si="5"/>
        <v>0</v>
      </c>
      <c r="S93" s="136">
        <f t="shared" si="5"/>
        <v>0</v>
      </c>
      <c r="T93" s="136">
        <f t="shared" si="5"/>
        <v>0</v>
      </c>
      <c r="U93" s="136">
        <f t="shared" si="5"/>
        <v>0</v>
      </c>
      <c r="V93" s="136">
        <f t="shared" si="5"/>
        <v>0</v>
      </c>
      <c r="W93" s="136">
        <f t="shared" si="5"/>
        <v>0</v>
      </c>
      <c r="X93" s="136">
        <f t="shared" si="5"/>
        <v>0</v>
      </c>
      <c r="Y93" s="136">
        <f t="shared" si="5"/>
        <v>0</v>
      </c>
      <c r="Z93" s="136">
        <f t="shared" si="5"/>
        <v>0</v>
      </c>
      <c r="AA93" s="136">
        <f t="shared" si="5"/>
        <v>0</v>
      </c>
      <c r="AB93" s="136">
        <f t="shared" si="5"/>
        <v>0</v>
      </c>
      <c r="AC93" s="136">
        <f t="shared" si="5"/>
        <v>0</v>
      </c>
      <c r="AD93" s="136">
        <f t="shared" si="5"/>
        <v>0</v>
      </c>
      <c r="AE93" s="136">
        <f t="shared" si="5"/>
        <v>0</v>
      </c>
      <c r="AF93" s="136">
        <f t="shared" si="5"/>
        <v>0</v>
      </c>
      <c r="AG93" s="136">
        <f t="shared" si="5"/>
        <v>0</v>
      </c>
      <c r="AH93" s="136">
        <f t="shared" si="5"/>
        <v>0</v>
      </c>
      <c r="AI93" s="136">
        <f t="shared" si="5"/>
        <v>0</v>
      </c>
      <c r="AJ93" s="136">
        <f t="shared" si="5"/>
        <v>0</v>
      </c>
      <c r="AK93" s="136">
        <f t="shared" si="5"/>
        <v>0</v>
      </c>
      <c r="AL93" s="136">
        <f t="shared" si="5"/>
        <v>0</v>
      </c>
      <c r="AM93" s="136">
        <f t="shared" si="5"/>
        <v>0</v>
      </c>
      <c r="AN93" s="136">
        <f t="shared" si="5"/>
        <v>0</v>
      </c>
      <c r="AO93" s="136">
        <f t="shared" si="5"/>
        <v>0</v>
      </c>
      <c r="AP93" s="136">
        <f t="shared" si="5"/>
        <v>0</v>
      </c>
      <c r="AQ93" s="136">
        <f t="shared" si="5"/>
        <v>0</v>
      </c>
      <c r="AR93" s="136">
        <f t="shared" si="5"/>
        <v>0</v>
      </c>
      <c r="AS93" s="136">
        <f t="shared" si="5"/>
        <v>0</v>
      </c>
      <c r="AT93" s="136">
        <f t="shared" si="5"/>
        <v>0</v>
      </c>
      <c r="AU93" s="136">
        <f t="shared" si="5"/>
        <v>0</v>
      </c>
      <c r="AV93" s="136">
        <f t="shared" si="5"/>
        <v>0</v>
      </c>
      <c r="AW93" s="136">
        <f t="shared" si="5"/>
        <v>0</v>
      </c>
      <c r="AX93" s="136">
        <f t="shared" si="5"/>
        <v>0</v>
      </c>
      <c r="AY93" s="136">
        <f t="shared" si="5"/>
        <v>0</v>
      </c>
      <c r="AZ93" s="136">
        <f t="shared" si="5"/>
        <v>0</v>
      </c>
      <c r="BA93" s="136">
        <f t="shared" si="5"/>
        <v>0</v>
      </c>
      <c r="BB93" s="136">
        <f t="shared" si="5"/>
        <v>0</v>
      </c>
      <c r="BC93" s="136">
        <f t="shared" si="5"/>
        <v>0</v>
      </c>
      <c r="BD93" s="136">
        <f t="shared" si="5"/>
        <v>0</v>
      </c>
      <c r="BE93" s="136">
        <f t="shared" si="5"/>
        <v>0</v>
      </c>
      <c r="BF93" s="136">
        <f t="shared" si="5"/>
        <v>0</v>
      </c>
      <c r="BG93" s="136">
        <f t="shared" si="5"/>
        <v>0</v>
      </c>
      <c r="BH93" s="136">
        <f t="shared" si="5"/>
        <v>0</v>
      </c>
      <c r="BI93" s="136">
        <f t="shared" si="5"/>
        <v>0</v>
      </c>
      <c r="BJ93" s="136">
        <f t="shared" si="5"/>
        <v>0</v>
      </c>
      <c r="BK93" s="136">
        <f t="shared" si="5"/>
        <v>0</v>
      </c>
      <c r="BL93" s="136">
        <f t="shared" si="5"/>
        <v>0</v>
      </c>
      <c r="BM93" s="136">
        <f t="shared" si="5"/>
        <v>0</v>
      </c>
      <c r="BN93" s="136">
        <f t="shared" si="5"/>
        <v>0</v>
      </c>
      <c r="BO93" s="136">
        <f t="shared" si="5"/>
        <v>0</v>
      </c>
      <c r="BP93" s="136">
        <f t="shared" si="5"/>
        <v>0</v>
      </c>
      <c r="BQ93" s="136">
        <f t="shared" si="5"/>
        <v>0</v>
      </c>
      <c r="BR93" s="136">
        <f t="shared" si="5"/>
        <v>0</v>
      </c>
      <c r="BS93" s="136">
        <f t="shared" si="5"/>
        <v>0</v>
      </c>
      <c r="BT93" s="136">
        <f t="shared" si="5"/>
        <v>0</v>
      </c>
      <c r="BU93" s="136">
        <f t="shared" si="5"/>
        <v>0</v>
      </c>
      <c r="BW93" s="136">
        <f>SUM(BW94:BW96)</f>
        <v>0</v>
      </c>
    </row>
    <row r="94" spans="13:75" hidden="1" x14ac:dyDescent="0.3">
      <c r="M94" s="136">
        <f t="shared" si="5"/>
        <v>0</v>
      </c>
      <c r="N94" s="136">
        <f t="shared" si="5"/>
        <v>0</v>
      </c>
      <c r="O94" s="136">
        <f t="shared" si="5"/>
        <v>0</v>
      </c>
      <c r="P94" s="136">
        <f t="shared" si="5"/>
        <v>0</v>
      </c>
      <c r="Q94" s="136">
        <f t="shared" si="5"/>
        <v>0</v>
      </c>
      <c r="R94" s="136">
        <f t="shared" si="5"/>
        <v>0</v>
      </c>
      <c r="S94" s="136">
        <f t="shared" si="5"/>
        <v>0</v>
      </c>
      <c r="T94" s="136">
        <f t="shared" si="5"/>
        <v>0</v>
      </c>
      <c r="U94" s="136">
        <f t="shared" si="5"/>
        <v>0</v>
      </c>
      <c r="V94" s="136">
        <f t="shared" si="5"/>
        <v>0</v>
      </c>
      <c r="W94" s="136">
        <f t="shared" si="5"/>
        <v>0</v>
      </c>
      <c r="X94" s="136">
        <f t="shared" si="5"/>
        <v>0</v>
      </c>
      <c r="Y94" s="136">
        <f t="shared" si="5"/>
        <v>0</v>
      </c>
      <c r="Z94" s="136">
        <f t="shared" si="5"/>
        <v>0</v>
      </c>
      <c r="AA94" s="136">
        <f t="shared" si="5"/>
        <v>0</v>
      </c>
      <c r="AB94" s="136">
        <f t="shared" si="5"/>
        <v>0</v>
      </c>
      <c r="AC94" s="136">
        <f t="shared" si="5"/>
        <v>0</v>
      </c>
      <c r="AD94" s="136">
        <f t="shared" si="5"/>
        <v>0</v>
      </c>
      <c r="AE94" s="136">
        <f t="shared" si="5"/>
        <v>0</v>
      </c>
      <c r="AF94" s="136">
        <f t="shared" si="5"/>
        <v>0</v>
      </c>
      <c r="AG94" s="136">
        <f t="shared" si="5"/>
        <v>0</v>
      </c>
      <c r="AH94" s="136">
        <f t="shared" si="5"/>
        <v>0</v>
      </c>
      <c r="AI94" s="136">
        <f t="shared" si="5"/>
        <v>0</v>
      </c>
      <c r="AJ94" s="136">
        <f t="shared" si="5"/>
        <v>0</v>
      </c>
      <c r="AK94" s="136">
        <f t="shared" si="5"/>
        <v>0</v>
      </c>
      <c r="AL94" s="136">
        <f t="shared" si="5"/>
        <v>0</v>
      </c>
      <c r="AM94" s="136">
        <f t="shared" si="5"/>
        <v>0</v>
      </c>
      <c r="AN94" s="136">
        <f t="shared" si="5"/>
        <v>0</v>
      </c>
      <c r="AO94" s="136">
        <f t="shared" si="5"/>
        <v>0</v>
      </c>
      <c r="AP94" s="136">
        <f t="shared" si="5"/>
        <v>0</v>
      </c>
      <c r="AQ94" s="136">
        <f t="shared" si="5"/>
        <v>0</v>
      </c>
      <c r="AR94" s="136">
        <f t="shared" si="5"/>
        <v>0</v>
      </c>
      <c r="AS94" s="136">
        <f t="shared" si="5"/>
        <v>0</v>
      </c>
      <c r="AT94" s="136">
        <f t="shared" si="5"/>
        <v>0</v>
      </c>
      <c r="AU94" s="136">
        <f t="shared" si="5"/>
        <v>0</v>
      </c>
      <c r="AV94" s="136">
        <f t="shared" si="5"/>
        <v>0</v>
      </c>
      <c r="AW94" s="136">
        <f t="shared" si="5"/>
        <v>0</v>
      </c>
      <c r="AX94" s="136">
        <f t="shared" si="5"/>
        <v>0</v>
      </c>
      <c r="AY94" s="136">
        <f t="shared" si="5"/>
        <v>0</v>
      </c>
      <c r="AZ94" s="136">
        <f t="shared" si="5"/>
        <v>0</v>
      </c>
      <c r="BA94" s="136">
        <f t="shared" si="5"/>
        <v>0</v>
      </c>
      <c r="BB94" s="136">
        <f t="shared" si="5"/>
        <v>0</v>
      </c>
      <c r="BC94" s="136">
        <f t="shared" si="5"/>
        <v>0</v>
      </c>
      <c r="BD94" s="136">
        <f t="shared" si="5"/>
        <v>0</v>
      </c>
      <c r="BE94" s="136">
        <f t="shared" si="5"/>
        <v>0</v>
      </c>
      <c r="BF94" s="136">
        <f t="shared" si="5"/>
        <v>0</v>
      </c>
      <c r="BG94" s="136">
        <f t="shared" si="5"/>
        <v>0</v>
      </c>
      <c r="BH94" s="136">
        <f t="shared" si="5"/>
        <v>0</v>
      </c>
      <c r="BI94" s="136">
        <f t="shared" si="5"/>
        <v>0</v>
      </c>
      <c r="BJ94" s="136">
        <f t="shared" si="5"/>
        <v>0</v>
      </c>
      <c r="BK94" s="136">
        <f t="shared" si="5"/>
        <v>0</v>
      </c>
      <c r="BL94" s="136">
        <f t="shared" si="5"/>
        <v>0</v>
      </c>
      <c r="BM94" s="136">
        <f t="shared" si="5"/>
        <v>0</v>
      </c>
      <c r="BN94" s="136">
        <f t="shared" si="5"/>
        <v>0</v>
      </c>
      <c r="BO94" s="136">
        <f t="shared" si="5"/>
        <v>0</v>
      </c>
      <c r="BP94" s="136">
        <f t="shared" si="5"/>
        <v>0</v>
      </c>
      <c r="BQ94" s="136">
        <f t="shared" si="5"/>
        <v>0</v>
      </c>
      <c r="BR94" s="136">
        <f t="shared" si="5"/>
        <v>0</v>
      </c>
      <c r="BS94" s="136">
        <f t="shared" si="5"/>
        <v>0</v>
      </c>
      <c r="BT94" s="136">
        <f t="shared" si="5"/>
        <v>0</v>
      </c>
      <c r="BU94" s="136">
        <f t="shared" si="5"/>
        <v>0</v>
      </c>
      <c r="BW94" s="136">
        <f>[40]Domlongtermissues!BV101</f>
        <v>0</v>
      </c>
    </row>
    <row r="95" spans="13:75" hidden="1" x14ac:dyDescent="0.3">
      <c r="M95" s="136">
        <f t="shared" si="5"/>
        <v>-85473</v>
      </c>
      <c r="N95" s="136">
        <f t="shared" si="5"/>
        <v>0</v>
      </c>
      <c r="O95" s="136">
        <f t="shared" si="5"/>
        <v>0</v>
      </c>
      <c r="P95" s="136">
        <f t="shared" si="5"/>
        <v>0</v>
      </c>
      <c r="Q95" s="136">
        <f t="shared" si="5"/>
        <v>0</v>
      </c>
      <c r="R95" s="136">
        <f t="shared" si="5"/>
        <v>-38248</v>
      </c>
      <c r="S95" s="136">
        <f t="shared" si="5"/>
        <v>0</v>
      </c>
      <c r="T95" s="136">
        <f t="shared" si="5"/>
        <v>0</v>
      </c>
      <c r="U95" s="136">
        <f t="shared" si="5"/>
        <v>0</v>
      </c>
      <c r="V95" s="136">
        <f t="shared" si="5"/>
        <v>0</v>
      </c>
      <c r="W95" s="136">
        <f t="shared" si="5"/>
        <v>-45462</v>
      </c>
      <c r="X95" s="136">
        <f t="shared" si="5"/>
        <v>0</v>
      </c>
      <c r="Y95" s="136">
        <f t="shared" si="5"/>
        <v>0</v>
      </c>
      <c r="Z95" s="136">
        <f t="shared" si="5"/>
        <v>0</v>
      </c>
      <c r="AA95" s="136">
        <f t="shared" si="5"/>
        <v>0</v>
      </c>
      <c r="AB95" s="136">
        <f t="shared" si="5"/>
        <v>-19525</v>
      </c>
      <c r="AC95" s="136">
        <f t="shared" si="5"/>
        <v>0</v>
      </c>
      <c r="AD95" s="136">
        <f t="shared" si="5"/>
        <v>0</v>
      </c>
      <c r="AE95" s="136">
        <f t="shared" si="5"/>
        <v>0</v>
      </c>
      <c r="AF95" s="136">
        <f t="shared" si="5"/>
        <v>0</v>
      </c>
      <c r="AG95" s="136">
        <f t="shared" si="5"/>
        <v>-115193</v>
      </c>
      <c r="AH95" s="136">
        <f t="shared" si="5"/>
        <v>0</v>
      </c>
      <c r="AI95" s="136">
        <f t="shared" si="5"/>
        <v>0</v>
      </c>
      <c r="AJ95" s="136">
        <f t="shared" si="5"/>
        <v>0</v>
      </c>
      <c r="AK95" s="136">
        <f t="shared" si="5"/>
        <v>0</v>
      </c>
      <c r="AL95" s="136">
        <f t="shared" si="5"/>
        <v>160044</v>
      </c>
      <c r="AM95" s="136">
        <f t="shared" si="5"/>
        <v>0</v>
      </c>
      <c r="AN95" s="136">
        <f t="shared" si="5"/>
        <v>0</v>
      </c>
      <c r="AO95" s="136">
        <f t="shared" si="5"/>
        <v>0</v>
      </c>
      <c r="AP95" s="136">
        <f t="shared" si="5"/>
        <v>0</v>
      </c>
      <c r="AQ95" s="136">
        <f t="shared" si="5"/>
        <v>-74963</v>
      </c>
      <c r="AR95" s="136">
        <f t="shared" si="5"/>
        <v>0</v>
      </c>
      <c r="AS95" s="136">
        <f t="shared" si="5"/>
        <v>0</v>
      </c>
      <c r="AT95" s="136">
        <f t="shared" si="5"/>
        <v>0</v>
      </c>
      <c r="AU95" s="136">
        <f t="shared" si="5"/>
        <v>0</v>
      </c>
      <c r="AV95" s="136">
        <f t="shared" si="5"/>
        <v>-28631</v>
      </c>
      <c r="AW95" s="136">
        <f t="shared" si="5"/>
        <v>0</v>
      </c>
      <c r="AX95" s="136">
        <f t="shared" si="5"/>
        <v>0</v>
      </c>
      <c r="AY95" s="136">
        <f t="shared" si="5"/>
        <v>0</v>
      </c>
      <c r="AZ95" s="136">
        <f t="shared" si="5"/>
        <v>0</v>
      </c>
      <c r="BA95" s="136">
        <f t="shared" si="5"/>
        <v>-13329</v>
      </c>
      <c r="BB95" s="136">
        <f t="shared" si="5"/>
        <v>0</v>
      </c>
      <c r="BC95" s="136">
        <f t="shared" si="5"/>
        <v>0</v>
      </c>
      <c r="BD95" s="136">
        <f t="shared" si="5"/>
        <v>0</v>
      </c>
      <c r="BE95" s="136">
        <f t="shared" si="5"/>
        <v>0</v>
      </c>
      <c r="BF95" s="136">
        <f t="shared" si="5"/>
        <v>-12244</v>
      </c>
      <c r="BG95" s="136">
        <f t="shared" si="5"/>
        <v>0</v>
      </c>
      <c r="BH95" s="136">
        <f t="shared" si="5"/>
        <v>0</v>
      </c>
      <c r="BI95" s="136">
        <f t="shared" si="5"/>
        <v>0</v>
      </c>
      <c r="BJ95" s="136">
        <f t="shared" si="5"/>
        <v>0</v>
      </c>
      <c r="BK95" s="136">
        <f t="shared" si="5"/>
        <v>-124085</v>
      </c>
      <c r="BL95" s="136">
        <f t="shared" si="5"/>
        <v>0</v>
      </c>
      <c r="BM95" s="136">
        <f t="shared" si="5"/>
        <v>0</v>
      </c>
      <c r="BN95" s="136">
        <f t="shared" si="5"/>
        <v>0</v>
      </c>
      <c r="BO95" s="136">
        <f t="shared" si="5"/>
        <v>0</v>
      </c>
      <c r="BP95" s="136">
        <f t="shared" si="5"/>
        <v>121970</v>
      </c>
      <c r="BQ95" s="136">
        <f t="shared" si="5"/>
        <v>0</v>
      </c>
      <c r="BR95" s="136">
        <f t="shared" si="5"/>
        <v>0</v>
      </c>
      <c r="BS95" s="136">
        <f t="shared" si="5"/>
        <v>0</v>
      </c>
      <c r="BT95" s="136">
        <f t="shared" si="5"/>
        <v>0</v>
      </c>
      <c r="BU95" s="136">
        <f t="shared" si="5"/>
        <v>-273024</v>
      </c>
      <c r="BW95" s="136">
        <f>-[40]Domlongtermissues!BV321</f>
        <v>0</v>
      </c>
    </row>
    <row r="96" spans="13:75" hidden="1" x14ac:dyDescent="0.3">
      <c r="M96" s="136">
        <f t="shared" si="5"/>
        <v>-8253520</v>
      </c>
      <c r="N96" s="136">
        <f t="shared" si="5"/>
        <v>0</v>
      </c>
      <c r="O96" s="136">
        <f t="shared" si="5"/>
        <v>0</v>
      </c>
      <c r="P96" s="136">
        <f t="shared" si="5"/>
        <v>0</v>
      </c>
      <c r="Q96" s="136">
        <f t="shared" si="5"/>
        <v>0</v>
      </c>
      <c r="R96" s="136">
        <f t="shared" si="5"/>
        <v>286578</v>
      </c>
      <c r="S96" s="136">
        <f t="shared" si="5"/>
        <v>0</v>
      </c>
      <c r="T96" s="136">
        <f t="shared" si="5"/>
        <v>0</v>
      </c>
      <c r="U96" s="136">
        <f t="shared" si="5"/>
        <v>0</v>
      </c>
      <c r="V96" s="136">
        <f t="shared" si="5"/>
        <v>0</v>
      </c>
      <c r="W96" s="136">
        <f t="shared" si="5"/>
        <v>-6299769</v>
      </c>
      <c r="X96" s="136">
        <f t="shared" ref="X96:BU101" si="6">X31-CP31</f>
        <v>0</v>
      </c>
      <c r="Y96" s="136">
        <f t="shared" si="6"/>
        <v>0</v>
      </c>
      <c r="Z96" s="136">
        <f t="shared" si="6"/>
        <v>0</v>
      </c>
      <c r="AA96" s="136">
        <f t="shared" si="6"/>
        <v>0</v>
      </c>
      <c r="AB96" s="136">
        <f t="shared" si="6"/>
        <v>-3456518</v>
      </c>
      <c r="AC96" s="136">
        <f t="shared" si="6"/>
        <v>0</v>
      </c>
      <c r="AD96" s="136">
        <f t="shared" si="6"/>
        <v>0</v>
      </c>
      <c r="AE96" s="136">
        <f t="shared" si="6"/>
        <v>0</v>
      </c>
      <c r="AF96" s="136">
        <f t="shared" si="6"/>
        <v>0</v>
      </c>
      <c r="AG96" s="136">
        <f t="shared" si="6"/>
        <v>-4835965</v>
      </c>
      <c r="AH96" s="136">
        <f t="shared" si="6"/>
        <v>0</v>
      </c>
      <c r="AI96" s="136">
        <f t="shared" si="6"/>
        <v>0</v>
      </c>
      <c r="AJ96" s="136">
        <f t="shared" si="6"/>
        <v>0</v>
      </c>
      <c r="AK96" s="136">
        <f t="shared" si="6"/>
        <v>0</v>
      </c>
      <c r="AL96" s="136">
        <f t="shared" si="6"/>
        <v>-2187184</v>
      </c>
      <c r="AM96" s="136">
        <f t="shared" si="6"/>
        <v>0</v>
      </c>
      <c r="AN96" s="136">
        <f t="shared" si="6"/>
        <v>0</v>
      </c>
      <c r="AO96" s="136">
        <f t="shared" si="6"/>
        <v>0</v>
      </c>
      <c r="AP96" s="136">
        <f t="shared" si="6"/>
        <v>0</v>
      </c>
      <c r="AQ96" s="136">
        <f t="shared" si="6"/>
        <v>-5017820</v>
      </c>
      <c r="AR96" s="136">
        <f t="shared" si="6"/>
        <v>0</v>
      </c>
      <c r="AS96" s="136">
        <f t="shared" si="6"/>
        <v>0</v>
      </c>
      <c r="AT96" s="136">
        <f t="shared" si="6"/>
        <v>0</v>
      </c>
      <c r="AU96" s="136">
        <f t="shared" si="6"/>
        <v>0</v>
      </c>
      <c r="AV96" s="136">
        <f t="shared" si="6"/>
        <v>-4108885</v>
      </c>
      <c r="AW96" s="136">
        <f t="shared" si="6"/>
        <v>0</v>
      </c>
      <c r="AX96" s="136">
        <f t="shared" si="6"/>
        <v>0</v>
      </c>
      <c r="AY96" s="136">
        <f t="shared" si="6"/>
        <v>0</v>
      </c>
      <c r="AZ96" s="136">
        <f t="shared" si="6"/>
        <v>0</v>
      </c>
      <c r="BA96" s="136">
        <f t="shared" si="6"/>
        <v>-3708680</v>
      </c>
      <c r="BB96" s="136">
        <f t="shared" si="6"/>
        <v>0</v>
      </c>
      <c r="BC96" s="136">
        <f t="shared" si="6"/>
        <v>0</v>
      </c>
      <c r="BD96" s="136">
        <f t="shared" si="6"/>
        <v>0</v>
      </c>
      <c r="BE96" s="136">
        <f t="shared" si="6"/>
        <v>0</v>
      </c>
      <c r="BF96" s="136">
        <f t="shared" si="6"/>
        <v>-2673022</v>
      </c>
      <c r="BG96" s="136">
        <f t="shared" si="6"/>
        <v>0</v>
      </c>
      <c r="BH96" s="136">
        <f t="shared" si="6"/>
        <v>0</v>
      </c>
      <c r="BI96" s="136">
        <f t="shared" si="6"/>
        <v>0</v>
      </c>
      <c r="BJ96" s="136">
        <f t="shared" si="6"/>
        <v>0</v>
      </c>
      <c r="BK96" s="136">
        <f t="shared" si="6"/>
        <v>-3014010</v>
      </c>
      <c r="BL96" s="136">
        <f t="shared" si="6"/>
        <v>0</v>
      </c>
      <c r="BM96" s="136">
        <f t="shared" si="6"/>
        <v>0</v>
      </c>
      <c r="BN96" s="136">
        <f t="shared" si="6"/>
        <v>0</v>
      </c>
      <c r="BO96" s="136">
        <f t="shared" si="6"/>
        <v>0</v>
      </c>
      <c r="BP96" s="136">
        <f t="shared" si="6"/>
        <v>-1829008</v>
      </c>
      <c r="BQ96" s="136">
        <f t="shared" si="6"/>
        <v>0</v>
      </c>
      <c r="BR96" s="136">
        <f t="shared" si="6"/>
        <v>0</v>
      </c>
      <c r="BS96" s="136">
        <f t="shared" si="6"/>
        <v>0</v>
      </c>
      <c r="BT96" s="136">
        <f t="shared" si="6"/>
        <v>0</v>
      </c>
      <c r="BU96" s="136">
        <f t="shared" si="6"/>
        <v>-40254785</v>
      </c>
      <c r="BW96" s="136">
        <f>-[40]Domredemp!BV167+[40]Domredemp!BV187</f>
        <v>0</v>
      </c>
    </row>
    <row r="97" spans="13:75" hidden="1" x14ac:dyDescent="0.3">
      <c r="M97" s="136">
        <f t="shared" ref="M97:AB102" si="7">M32-CE32</f>
        <v>1023047</v>
      </c>
      <c r="N97" s="136">
        <f t="shared" si="7"/>
        <v>0</v>
      </c>
      <c r="O97" s="136">
        <f t="shared" si="7"/>
        <v>0</v>
      </c>
      <c r="P97" s="136">
        <f t="shared" si="7"/>
        <v>0</v>
      </c>
      <c r="Q97" s="136">
        <f t="shared" si="7"/>
        <v>0</v>
      </c>
      <c r="R97" s="136">
        <f t="shared" si="7"/>
        <v>-89826</v>
      </c>
      <c r="S97" s="136">
        <f t="shared" si="7"/>
        <v>0</v>
      </c>
      <c r="T97" s="136">
        <f t="shared" si="7"/>
        <v>0</v>
      </c>
      <c r="U97" s="136">
        <f t="shared" si="7"/>
        <v>0</v>
      </c>
      <c r="V97" s="136">
        <f t="shared" si="7"/>
        <v>0</v>
      </c>
      <c r="W97" s="136">
        <f t="shared" si="7"/>
        <v>519307</v>
      </c>
      <c r="X97" s="136">
        <f t="shared" si="6"/>
        <v>0</v>
      </c>
      <c r="Y97" s="136">
        <f t="shared" si="6"/>
        <v>0</v>
      </c>
      <c r="Z97" s="136">
        <f t="shared" si="6"/>
        <v>0</v>
      </c>
      <c r="AA97" s="136">
        <f t="shared" si="6"/>
        <v>0</v>
      </c>
      <c r="AB97" s="136">
        <f t="shared" si="6"/>
        <v>271993</v>
      </c>
      <c r="AC97" s="136">
        <f t="shared" si="6"/>
        <v>0</v>
      </c>
      <c r="AD97" s="136">
        <f t="shared" si="6"/>
        <v>0</v>
      </c>
      <c r="AE97" s="136">
        <f t="shared" si="6"/>
        <v>0</v>
      </c>
      <c r="AF97" s="136">
        <f t="shared" si="6"/>
        <v>0</v>
      </c>
      <c r="AG97" s="136">
        <f t="shared" si="6"/>
        <v>350772</v>
      </c>
      <c r="AH97" s="136">
        <f t="shared" si="6"/>
        <v>0</v>
      </c>
      <c r="AI97" s="136">
        <f t="shared" si="6"/>
        <v>0</v>
      </c>
      <c r="AJ97" s="136">
        <f t="shared" si="6"/>
        <v>0</v>
      </c>
      <c r="AK97" s="136">
        <f t="shared" si="6"/>
        <v>0</v>
      </c>
      <c r="AL97" s="136">
        <f t="shared" si="6"/>
        <v>77228</v>
      </c>
      <c r="AM97" s="136">
        <f t="shared" si="6"/>
        <v>0</v>
      </c>
      <c r="AN97" s="136">
        <f t="shared" si="6"/>
        <v>0</v>
      </c>
      <c r="AO97" s="136">
        <f t="shared" si="6"/>
        <v>0</v>
      </c>
      <c r="AP97" s="136">
        <f t="shared" si="6"/>
        <v>0</v>
      </c>
      <c r="AQ97" s="136">
        <f t="shared" si="6"/>
        <v>682857</v>
      </c>
      <c r="AR97" s="136">
        <f t="shared" si="6"/>
        <v>0</v>
      </c>
      <c r="AS97" s="136">
        <f t="shared" si="6"/>
        <v>0</v>
      </c>
      <c r="AT97" s="136">
        <f t="shared" si="6"/>
        <v>0</v>
      </c>
      <c r="AU97" s="136">
        <f t="shared" si="6"/>
        <v>0</v>
      </c>
      <c r="AV97" s="136">
        <f t="shared" si="6"/>
        <v>605254</v>
      </c>
      <c r="AW97" s="136">
        <f t="shared" si="6"/>
        <v>0</v>
      </c>
      <c r="AX97" s="136">
        <f t="shared" si="6"/>
        <v>0</v>
      </c>
      <c r="AY97" s="136">
        <f t="shared" si="6"/>
        <v>0</v>
      </c>
      <c r="AZ97" s="136">
        <f t="shared" si="6"/>
        <v>0</v>
      </c>
      <c r="BA97" s="136">
        <f t="shared" si="6"/>
        <v>375351</v>
      </c>
      <c r="BB97" s="136">
        <f t="shared" si="6"/>
        <v>0</v>
      </c>
      <c r="BC97" s="136">
        <f t="shared" si="6"/>
        <v>0</v>
      </c>
      <c r="BD97" s="136">
        <f t="shared" si="6"/>
        <v>0</v>
      </c>
      <c r="BE97" s="136">
        <f t="shared" si="6"/>
        <v>0</v>
      </c>
      <c r="BF97" s="136">
        <f t="shared" si="6"/>
        <v>335778</v>
      </c>
      <c r="BG97" s="136">
        <f t="shared" si="6"/>
        <v>0</v>
      </c>
      <c r="BH97" s="136">
        <f t="shared" si="6"/>
        <v>0</v>
      </c>
      <c r="BI97" s="136">
        <f t="shared" si="6"/>
        <v>0</v>
      </c>
      <c r="BJ97" s="136">
        <f t="shared" si="6"/>
        <v>0</v>
      </c>
      <c r="BK97" s="136">
        <f t="shared" si="6"/>
        <v>274925</v>
      </c>
      <c r="BL97" s="136">
        <f t="shared" si="6"/>
        <v>0</v>
      </c>
      <c r="BM97" s="136">
        <f t="shared" si="6"/>
        <v>0</v>
      </c>
      <c r="BN97" s="136">
        <f t="shared" si="6"/>
        <v>0</v>
      </c>
      <c r="BO97" s="136">
        <f t="shared" si="6"/>
        <v>0</v>
      </c>
      <c r="BP97" s="136">
        <f t="shared" si="6"/>
        <v>65978</v>
      </c>
      <c r="BQ97" s="136">
        <f t="shared" si="6"/>
        <v>0</v>
      </c>
      <c r="BR97" s="136">
        <f t="shared" si="6"/>
        <v>0</v>
      </c>
      <c r="BS97" s="136">
        <f t="shared" si="6"/>
        <v>0</v>
      </c>
      <c r="BT97" s="136">
        <f t="shared" si="6"/>
        <v>0</v>
      </c>
      <c r="BU97" s="136">
        <f t="shared" si="6"/>
        <v>4151761</v>
      </c>
    </row>
    <row r="98" spans="13:75" hidden="1" x14ac:dyDescent="0.3">
      <c r="M98" s="136">
        <f t="shared" si="7"/>
        <v>7145000</v>
      </c>
      <c r="N98" s="136">
        <f t="shared" si="7"/>
        <v>0</v>
      </c>
      <c r="O98" s="136">
        <f t="shared" si="7"/>
        <v>0</v>
      </c>
      <c r="P98" s="136">
        <f t="shared" si="7"/>
        <v>0</v>
      </c>
      <c r="Q98" s="136">
        <f t="shared" si="7"/>
        <v>0</v>
      </c>
      <c r="R98" s="136">
        <f t="shared" si="7"/>
        <v>-235000</v>
      </c>
      <c r="S98" s="136">
        <f t="shared" si="7"/>
        <v>0</v>
      </c>
      <c r="T98" s="136">
        <f t="shared" si="7"/>
        <v>0</v>
      </c>
      <c r="U98" s="136">
        <f t="shared" si="7"/>
        <v>0</v>
      </c>
      <c r="V98" s="136">
        <f t="shared" si="7"/>
        <v>0</v>
      </c>
      <c r="W98" s="136">
        <f t="shared" si="7"/>
        <v>5735000</v>
      </c>
      <c r="X98" s="136">
        <f t="shared" si="6"/>
        <v>0</v>
      </c>
      <c r="Y98" s="136">
        <f t="shared" si="6"/>
        <v>0</v>
      </c>
      <c r="Z98" s="136">
        <f t="shared" si="6"/>
        <v>0</v>
      </c>
      <c r="AA98" s="136">
        <f t="shared" si="6"/>
        <v>0</v>
      </c>
      <c r="AB98" s="136">
        <f t="shared" si="6"/>
        <v>3165000</v>
      </c>
      <c r="AC98" s="136">
        <f t="shared" si="6"/>
        <v>0</v>
      </c>
      <c r="AD98" s="136">
        <f t="shared" si="6"/>
        <v>0</v>
      </c>
      <c r="AE98" s="136">
        <f t="shared" si="6"/>
        <v>0</v>
      </c>
      <c r="AF98" s="136">
        <f t="shared" si="6"/>
        <v>0</v>
      </c>
      <c r="AG98" s="136">
        <f t="shared" si="6"/>
        <v>4370000</v>
      </c>
      <c r="AH98" s="136">
        <f t="shared" si="6"/>
        <v>0</v>
      </c>
      <c r="AI98" s="136">
        <f t="shared" si="6"/>
        <v>0</v>
      </c>
      <c r="AJ98" s="136">
        <f t="shared" si="6"/>
        <v>0</v>
      </c>
      <c r="AK98" s="136">
        <f t="shared" si="6"/>
        <v>0</v>
      </c>
      <c r="AL98" s="136">
        <f t="shared" si="6"/>
        <v>2270000</v>
      </c>
      <c r="AM98" s="136">
        <f t="shared" si="6"/>
        <v>0</v>
      </c>
      <c r="AN98" s="136">
        <f t="shared" si="6"/>
        <v>0</v>
      </c>
      <c r="AO98" s="136">
        <f t="shared" si="6"/>
        <v>0</v>
      </c>
      <c r="AP98" s="136">
        <f t="shared" si="6"/>
        <v>0</v>
      </c>
      <c r="AQ98" s="136">
        <f t="shared" si="6"/>
        <v>4260000</v>
      </c>
      <c r="AR98" s="136">
        <f t="shared" si="6"/>
        <v>0</v>
      </c>
      <c r="AS98" s="136">
        <f t="shared" si="6"/>
        <v>0</v>
      </c>
      <c r="AT98" s="136">
        <f t="shared" si="6"/>
        <v>0</v>
      </c>
      <c r="AU98" s="136">
        <f t="shared" si="6"/>
        <v>0</v>
      </c>
      <c r="AV98" s="136">
        <f t="shared" si="6"/>
        <v>3475000</v>
      </c>
      <c r="AW98" s="136">
        <f t="shared" si="6"/>
        <v>0</v>
      </c>
      <c r="AX98" s="136">
        <f t="shared" si="6"/>
        <v>0</v>
      </c>
      <c r="AY98" s="136">
        <f t="shared" si="6"/>
        <v>0</v>
      </c>
      <c r="AZ98" s="136">
        <f t="shared" si="6"/>
        <v>0</v>
      </c>
      <c r="BA98" s="136">
        <f t="shared" si="6"/>
        <v>3320000</v>
      </c>
      <c r="BB98" s="136">
        <f t="shared" si="6"/>
        <v>0</v>
      </c>
      <c r="BC98" s="136">
        <f t="shared" si="6"/>
        <v>0</v>
      </c>
      <c r="BD98" s="136">
        <f t="shared" si="6"/>
        <v>0</v>
      </c>
      <c r="BE98" s="136">
        <f t="shared" si="6"/>
        <v>0</v>
      </c>
      <c r="BF98" s="136">
        <f t="shared" si="6"/>
        <v>2325000</v>
      </c>
      <c r="BG98" s="136">
        <f t="shared" si="6"/>
        <v>0</v>
      </c>
      <c r="BH98" s="136">
        <f t="shared" si="6"/>
        <v>0</v>
      </c>
      <c r="BI98" s="136">
        <f t="shared" si="6"/>
        <v>0</v>
      </c>
      <c r="BJ98" s="136">
        <f t="shared" si="6"/>
        <v>0</v>
      </c>
      <c r="BK98" s="136">
        <f t="shared" si="6"/>
        <v>2615000</v>
      </c>
      <c r="BL98" s="136">
        <f t="shared" si="6"/>
        <v>0</v>
      </c>
      <c r="BM98" s="136">
        <f t="shared" si="6"/>
        <v>0</v>
      </c>
      <c r="BN98" s="136">
        <f t="shared" si="6"/>
        <v>0</v>
      </c>
      <c r="BO98" s="136">
        <f t="shared" si="6"/>
        <v>0</v>
      </c>
      <c r="BP98" s="136">
        <f t="shared" si="6"/>
        <v>1885000</v>
      </c>
      <c r="BQ98" s="136">
        <f t="shared" si="6"/>
        <v>0</v>
      </c>
      <c r="BR98" s="136">
        <f t="shared" si="6"/>
        <v>0</v>
      </c>
      <c r="BS98" s="136">
        <f t="shared" si="6"/>
        <v>0</v>
      </c>
      <c r="BT98" s="136">
        <f t="shared" si="6"/>
        <v>0</v>
      </c>
      <c r="BU98" s="136">
        <f t="shared" si="6"/>
        <v>35830000</v>
      </c>
      <c r="BW98" s="136">
        <f>SUM(BW99:BW100)</f>
        <v>0</v>
      </c>
    </row>
    <row r="99" spans="13:75" hidden="1" x14ac:dyDescent="0.3">
      <c r="M99" s="136">
        <f t="shared" si="7"/>
        <v>0</v>
      </c>
      <c r="N99" s="136">
        <f t="shared" si="7"/>
        <v>0</v>
      </c>
      <c r="O99" s="136">
        <f t="shared" si="7"/>
        <v>0</v>
      </c>
      <c r="P99" s="136">
        <f t="shared" si="7"/>
        <v>0</v>
      </c>
      <c r="Q99" s="136">
        <f t="shared" si="7"/>
        <v>0</v>
      </c>
      <c r="R99" s="136">
        <f t="shared" si="7"/>
        <v>0</v>
      </c>
      <c r="S99" s="136">
        <f t="shared" si="7"/>
        <v>0</v>
      </c>
      <c r="T99" s="136">
        <f t="shared" si="7"/>
        <v>0</v>
      </c>
      <c r="U99" s="136">
        <f t="shared" si="7"/>
        <v>0</v>
      </c>
      <c r="V99" s="136">
        <f t="shared" si="7"/>
        <v>0</v>
      </c>
      <c r="W99" s="136">
        <f t="shared" si="7"/>
        <v>0</v>
      </c>
      <c r="X99" s="136">
        <f t="shared" si="6"/>
        <v>0</v>
      </c>
      <c r="Y99" s="136">
        <f t="shared" si="6"/>
        <v>0</v>
      </c>
      <c r="Z99" s="136">
        <f t="shared" si="6"/>
        <v>0</v>
      </c>
      <c r="AA99" s="136">
        <f t="shared" si="6"/>
        <v>0</v>
      </c>
      <c r="AB99" s="136">
        <f t="shared" si="6"/>
        <v>0</v>
      </c>
      <c r="AC99" s="136">
        <f t="shared" si="6"/>
        <v>0</v>
      </c>
      <c r="AD99" s="136">
        <f t="shared" si="6"/>
        <v>0</v>
      </c>
      <c r="AE99" s="136">
        <f t="shared" si="6"/>
        <v>0</v>
      </c>
      <c r="AF99" s="136">
        <f t="shared" si="6"/>
        <v>0</v>
      </c>
      <c r="AG99" s="136">
        <f t="shared" si="6"/>
        <v>0</v>
      </c>
      <c r="AH99" s="136">
        <f t="shared" si="6"/>
        <v>0</v>
      </c>
      <c r="AI99" s="136">
        <f t="shared" si="6"/>
        <v>0</v>
      </c>
      <c r="AJ99" s="136">
        <f t="shared" si="6"/>
        <v>0</v>
      </c>
      <c r="AK99" s="136">
        <f t="shared" si="6"/>
        <v>0</v>
      </c>
      <c r="AL99" s="136">
        <f t="shared" si="6"/>
        <v>0</v>
      </c>
      <c r="AM99" s="136">
        <f t="shared" si="6"/>
        <v>0</v>
      </c>
      <c r="AN99" s="136">
        <f t="shared" si="6"/>
        <v>0</v>
      </c>
      <c r="AO99" s="136">
        <f t="shared" si="6"/>
        <v>0</v>
      </c>
      <c r="AP99" s="136">
        <f t="shared" si="6"/>
        <v>0</v>
      </c>
      <c r="AQ99" s="136">
        <f t="shared" si="6"/>
        <v>0</v>
      </c>
      <c r="AR99" s="136">
        <f t="shared" si="6"/>
        <v>0</v>
      </c>
      <c r="AS99" s="136">
        <f t="shared" si="6"/>
        <v>0</v>
      </c>
      <c r="AT99" s="136">
        <f t="shared" si="6"/>
        <v>0</v>
      </c>
      <c r="AU99" s="136">
        <f t="shared" si="6"/>
        <v>0</v>
      </c>
      <c r="AV99" s="136">
        <f t="shared" si="6"/>
        <v>0</v>
      </c>
      <c r="AW99" s="136">
        <f t="shared" si="6"/>
        <v>0</v>
      </c>
      <c r="AX99" s="136">
        <f t="shared" si="6"/>
        <v>0</v>
      </c>
      <c r="AY99" s="136">
        <f t="shared" si="6"/>
        <v>0</v>
      </c>
      <c r="AZ99" s="136">
        <f t="shared" si="6"/>
        <v>0</v>
      </c>
      <c r="BA99" s="136">
        <f t="shared" si="6"/>
        <v>0</v>
      </c>
      <c r="BB99" s="136">
        <f t="shared" si="6"/>
        <v>0</v>
      </c>
      <c r="BC99" s="136">
        <f t="shared" si="6"/>
        <v>0</v>
      </c>
      <c r="BD99" s="136">
        <f t="shared" si="6"/>
        <v>0</v>
      </c>
      <c r="BE99" s="136">
        <f t="shared" si="6"/>
        <v>0</v>
      </c>
      <c r="BF99" s="136">
        <f t="shared" si="6"/>
        <v>0</v>
      </c>
      <c r="BG99" s="136">
        <f t="shared" si="6"/>
        <v>0</v>
      </c>
      <c r="BH99" s="136">
        <f t="shared" si="6"/>
        <v>0</v>
      </c>
      <c r="BI99" s="136">
        <f t="shared" si="6"/>
        <v>0</v>
      </c>
      <c r="BJ99" s="136">
        <f t="shared" si="6"/>
        <v>0</v>
      </c>
      <c r="BK99" s="136">
        <f t="shared" si="6"/>
        <v>0</v>
      </c>
      <c r="BL99" s="136">
        <f t="shared" si="6"/>
        <v>0</v>
      </c>
      <c r="BM99" s="136">
        <f t="shared" si="6"/>
        <v>0</v>
      </c>
      <c r="BN99" s="136">
        <f t="shared" si="6"/>
        <v>0</v>
      </c>
      <c r="BO99" s="136">
        <f t="shared" si="6"/>
        <v>0</v>
      </c>
      <c r="BP99" s="136">
        <f t="shared" si="6"/>
        <v>0</v>
      </c>
      <c r="BQ99" s="136">
        <f t="shared" si="6"/>
        <v>0</v>
      </c>
      <c r="BR99" s="136">
        <f t="shared" si="6"/>
        <v>0</v>
      </c>
      <c r="BS99" s="136">
        <f t="shared" si="6"/>
        <v>0</v>
      </c>
      <c r="BT99" s="136">
        <f t="shared" si="6"/>
        <v>0</v>
      </c>
      <c r="BU99" s="136">
        <f t="shared" si="6"/>
        <v>0</v>
      </c>
      <c r="BW99" s="136">
        <f>[40]Domlongtermissues!BV102</f>
        <v>0</v>
      </c>
    </row>
    <row r="100" spans="13:75" hidden="1" x14ac:dyDescent="0.3">
      <c r="M100" s="136">
        <f t="shared" si="7"/>
        <v>0</v>
      </c>
      <c r="N100" s="136">
        <f t="shared" si="7"/>
        <v>0</v>
      </c>
      <c r="O100" s="136">
        <f t="shared" si="7"/>
        <v>0</v>
      </c>
      <c r="P100" s="136">
        <f t="shared" si="7"/>
        <v>0</v>
      </c>
      <c r="Q100" s="136">
        <f t="shared" si="7"/>
        <v>0</v>
      </c>
      <c r="R100" s="136">
        <f t="shared" si="7"/>
        <v>46261</v>
      </c>
      <c r="S100" s="136">
        <f t="shared" si="7"/>
        <v>0</v>
      </c>
      <c r="T100" s="136">
        <f t="shared" si="7"/>
        <v>0</v>
      </c>
      <c r="U100" s="136">
        <f t="shared" si="7"/>
        <v>0</v>
      </c>
      <c r="V100" s="136">
        <f t="shared" si="7"/>
        <v>0</v>
      </c>
      <c r="W100" s="136">
        <f t="shared" si="7"/>
        <v>-46261</v>
      </c>
      <c r="X100" s="136">
        <f t="shared" si="6"/>
        <v>0</v>
      </c>
      <c r="Y100" s="136">
        <f t="shared" si="6"/>
        <v>0</v>
      </c>
      <c r="Z100" s="136">
        <f t="shared" si="6"/>
        <v>0</v>
      </c>
      <c r="AA100" s="136">
        <f t="shared" si="6"/>
        <v>0</v>
      </c>
      <c r="AB100" s="136">
        <f t="shared" si="6"/>
        <v>0</v>
      </c>
      <c r="AC100" s="136">
        <f t="shared" si="6"/>
        <v>0</v>
      </c>
      <c r="AD100" s="136">
        <f t="shared" si="6"/>
        <v>0</v>
      </c>
      <c r="AE100" s="136">
        <f t="shared" si="6"/>
        <v>0</v>
      </c>
      <c r="AF100" s="136">
        <f t="shared" si="6"/>
        <v>0</v>
      </c>
      <c r="AG100" s="136">
        <f t="shared" si="6"/>
        <v>145196</v>
      </c>
      <c r="AH100" s="136">
        <f t="shared" si="6"/>
        <v>0</v>
      </c>
      <c r="AI100" s="136">
        <f t="shared" si="6"/>
        <v>0</v>
      </c>
      <c r="AJ100" s="136">
        <f t="shared" si="6"/>
        <v>0</v>
      </c>
      <c r="AK100" s="136">
        <f t="shared" si="6"/>
        <v>0</v>
      </c>
      <c r="AL100" s="136">
        <f t="shared" si="6"/>
        <v>-145196</v>
      </c>
      <c r="AM100" s="136">
        <f t="shared" si="6"/>
        <v>0</v>
      </c>
      <c r="AN100" s="136">
        <f t="shared" si="6"/>
        <v>0</v>
      </c>
      <c r="AO100" s="136">
        <f t="shared" si="6"/>
        <v>0</v>
      </c>
      <c r="AP100" s="136">
        <f t="shared" si="6"/>
        <v>0</v>
      </c>
      <c r="AQ100" s="136">
        <f t="shared" si="6"/>
        <v>55193</v>
      </c>
      <c r="AR100" s="136">
        <f t="shared" si="6"/>
        <v>0</v>
      </c>
      <c r="AS100" s="136">
        <f t="shared" si="6"/>
        <v>0</v>
      </c>
      <c r="AT100" s="136">
        <f t="shared" si="6"/>
        <v>0</v>
      </c>
      <c r="AU100" s="136">
        <f t="shared" si="6"/>
        <v>0</v>
      </c>
      <c r="AV100" s="136">
        <f t="shared" si="6"/>
        <v>-55193</v>
      </c>
      <c r="AW100" s="136">
        <f t="shared" si="6"/>
        <v>0</v>
      </c>
      <c r="AX100" s="136">
        <f t="shared" si="6"/>
        <v>0</v>
      </c>
      <c r="AY100" s="136">
        <f t="shared" si="6"/>
        <v>0</v>
      </c>
      <c r="AZ100" s="136">
        <f t="shared" si="6"/>
        <v>0</v>
      </c>
      <c r="BA100" s="136">
        <f t="shared" si="6"/>
        <v>0</v>
      </c>
      <c r="BB100" s="136">
        <f t="shared" si="6"/>
        <v>0</v>
      </c>
      <c r="BC100" s="136">
        <f t="shared" si="6"/>
        <v>0</v>
      </c>
      <c r="BD100" s="136">
        <f t="shared" si="6"/>
        <v>0</v>
      </c>
      <c r="BE100" s="136">
        <f t="shared" si="6"/>
        <v>0</v>
      </c>
      <c r="BF100" s="136">
        <f t="shared" si="6"/>
        <v>0</v>
      </c>
      <c r="BG100" s="136">
        <f t="shared" si="6"/>
        <v>0</v>
      </c>
      <c r="BH100" s="136">
        <f t="shared" si="6"/>
        <v>0</v>
      </c>
      <c r="BI100" s="136">
        <f t="shared" si="6"/>
        <v>0</v>
      </c>
      <c r="BJ100" s="136">
        <f t="shared" si="6"/>
        <v>0</v>
      </c>
      <c r="BK100" s="136">
        <f t="shared" si="6"/>
        <v>-90245</v>
      </c>
      <c r="BL100" s="136">
        <f t="shared" si="6"/>
        <v>0</v>
      </c>
      <c r="BM100" s="136">
        <f t="shared" si="6"/>
        <v>0</v>
      </c>
      <c r="BN100" s="136">
        <f t="shared" si="6"/>
        <v>0</v>
      </c>
      <c r="BO100" s="136">
        <f t="shared" si="6"/>
        <v>0</v>
      </c>
      <c r="BP100" s="136">
        <f t="shared" si="6"/>
        <v>90245</v>
      </c>
      <c r="BQ100" s="136">
        <f t="shared" si="6"/>
        <v>0</v>
      </c>
      <c r="BR100" s="136">
        <f t="shared" si="6"/>
        <v>0</v>
      </c>
      <c r="BS100" s="136">
        <f t="shared" si="6"/>
        <v>0</v>
      </c>
      <c r="BT100" s="136">
        <f t="shared" si="6"/>
        <v>0</v>
      </c>
      <c r="BU100" s="136">
        <f t="shared" si="6"/>
        <v>0</v>
      </c>
      <c r="BW100" s="136">
        <f>-[40]Domredemp!BV168</f>
        <v>0</v>
      </c>
    </row>
    <row r="101" spans="13:75" hidden="1" x14ac:dyDescent="0.3">
      <c r="M101" s="136">
        <f t="shared" si="7"/>
        <v>632137</v>
      </c>
      <c r="N101" s="136">
        <f t="shared" si="7"/>
        <v>0</v>
      </c>
      <c r="O101" s="136">
        <f t="shared" si="7"/>
        <v>0</v>
      </c>
      <c r="P101" s="136">
        <f t="shared" si="7"/>
        <v>0</v>
      </c>
      <c r="Q101" s="136">
        <f t="shared" si="7"/>
        <v>0</v>
      </c>
      <c r="R101" s="136">
        <f t="shared" si="7"/>
        <v>3114442</v>
      </c>
      <c r="S101" s="136">
        <f t="shared" si="7"/>
        <v>0</v>
      </c>
      <c r="T101" s="136">
        <f t="shared" si="7"/>
        <v>0</v>
      </c>
      <c r="U101" s="136">
        <f t="shared" si="7"/>
        <v>0</v>
      </c>
      <c r="V101" s="136">
        <f t="shared" si="7"/>
        <v>0</v>
      </c>
      <c r="W101" s="136">
        <f t="shared" si="7"/>
        <v>-95175</v>
      </c>
      <c r="X101" s="136">
        <f t="shared" si="6"/>
        <v>0</v>
      </c>
      <c r="Y101" s="136">
        <f t="shared" si="6"/>
        <v>0</v>
      </c>
      <c r="Z101" s="136">
        <f t="shared" si="6"/>
        <v>0</v>
      </c>
      <c r="AA101" s="136">
        <f t="shared" si="6"/>
        <v>0</v>
      </c>
      <c r="AB101" s="136">
        <f t="shared" si="6"/>
        <v>-285032</v>
      </c>
      <c r="AC101" s="136">
        <f t="shared" ref="AC101:BU102" si="8">AC36-CU36</f>
        <v>0</v>
      </c>
      <c r="AD101" s="136">
        <f t="shared" si="8"/>
        <v>0</v>
      </c>
      <c r="AE101" s="136">
        <f t="shared" si="8"/>
        <v>0</v>
      </c>
      <c r="AF101" s="136">
        <f t="shared" si="8"/>
        <v>0</v>
      </c>
      <c r="AG101" s="136">
        <f t="shared" si="8"/>
        <v>2861562</v>
      </c>
      <c r="AH101" s="136">
        <f t="shared" si="8"/>
        <v>0</v>
      </c>
      <c r="AI101" s="136">
        <f t="shared" si="8"/>
        <v>0</v>
      </c>
      <c r="AJ101" s="136">
        <f t="shared" si="8"/>
        <v>0</v>
      </c>
      <c r="AK101" s="136">
        <f t="shared" si="8"/>
        <v>0</v>
      </c>
      <c r="AL101" s="136">
        <f t="shared" si="8"/>
        <v>478696</v>
      </c>
      <c r="AM101" s="136">
        <f t="shared" si="8"/>
        <v>0</v>
      </c>
      <c r="AN101" s="136">
        <f t="shared" si="8"/>
        <v>0</v>
      </c>
      <c r="AO101" s="136">
        <f t="shared" si="8"/>
        <v>0</v>
      </c>
      <c r="AP101" s="136">
        <f t="shared" si="8"/>
        <v>0</v>
      </c>
      <c r="AQ101" s="136">
        <f t="shared" si="8"/>
        <v>31624</v>
      </c>
      <c r="AR101" s="136">
        <f t="shared" si="8"/>
        <v>0</v>
      </c>
      <c r="AS101" s="136">
        <f t="shared" si="8"/>
        <v>0</v>
      </c>
      <c r="AT101" s="136">
        <f t="shared" si="8"/>
        <v>0</v>
      </c>
      <c r="AU101" s="136">
        <f t="shared" si="8"/>
        <v>0</v>
      </c>
      <c r="AV101" s="136">
        <f t="shared" si="8"/>
        <v>-671356</v>
      </c>
      <c r="AW101" s="136">
        <f t="shared" si="8"/>
        <v>0</v>
      </c>
      <c r="AX101" s="136">
        <f t="shared" si="8"/>
        <v>0</v>
      </c>
      <c r="AY101" s="136">
        <f t="shared" si="8"/>
        <v>0</v>
      </c>
      <c r="AZ101" s="136">
        <f t="shared" si="8"/>
        <v>0</v>
      </c>
      <c r="BA101" s="136">
        <f t="shared" si="8"/>
        <v>-14524</v>
      </c>
      <c r="BB101" s="136">
        <f t="shared" si="8"/>
        <v>0</v>
      </c>
      <c r="BC101" s="136">
        <f t="shared" si="8"/>
        <v>0</v>
      </c>
      <c r="BD101" s="136">
        <f t="shared" si="8"/>
        <v>0</v>
      </c>
      <c r="BE101" s="136">
        <f t="shared" si="8"/>
        <v>0</v>
      </c>
      <c r="BF101" s="136">
        <f t="shared" si="8"/>
        <v>29969</v>
      </c>
      <c r="BG101" s="136">
        <f t="shared" si="8"/>
        <v>0</v>
      </c>
      <c r="BH101" s="136">
        <f t="shared" si="8"/>
        <v>0</v>
      </c>
      <c r="BI101" s="136">
        <f t="shared" si="8"/>
        <v>0</v>
      </c>
      <c r="BJ101" s="136">
        <f t="shared" si="8"/>
        <v>0</v>
      </c>
      <c r="BK101" s="136">
        <f t="shared" si="8"/>
        <v>-772365</v>
      </c>
      <c r="BL101" s="136">
        <f t="shared" si="8"/>
        <v>0</v>
      </c>
      <c r="BM101" s="136">
        <f t="shared" si="8"/>
        <v>0</v>
      </c>
      <c r="BN101" s="136">
        <f t="shared" si="8"/>
        <v>0</v>
      </c>
      <c r="BO101" s="136">
        <f t="shared" si="8"/>
        <v>0</v>
      </c>
      <c r="BP101" s="136">
        <f t="shared" si="8"/>
        <v>-3033077</v>
      </c>
      <c r="BQ101" s="136">
        <f t="shared" si="8"/>
        <v>0</v>
      </c>
      <c r="BR101" s="136">
        <f t="shared" si="8"/>
        <v>0</v>
      </c>
      <c r="BS101" s="136">
        <f t="shared" si="8"/>
        <v>0</v>
      </c>
      <c r="BT101" s="136">
        <f t="shared" si="8"/>
        <v>0</v>
      </c>
      <c r="BU101" s="136">
        <f t="shared" si="8"/>
        <v>6082343</v>
      </c>
    </row>
    <row r="102" spans="13:75" hidden="1" x14ac:dyDescent="0.3">
      <c r="M102" s="136">
        <f t="shared" si="7"/>
        <v>-632137</v>
      </c>
      <c r="N102" s="136">
        <f t="shared" si="7"/>
        <v>0</v>
      </c>
      <c r="O102" s="136">
        <f t="shared" si="7"/>
        <v>0</v>
      </c>
      <c r="P102" s="136">
        <f t="shared" si="7"/>
        <v>0</v>
      </c>
      <c r="Q102" s="136">
        <f t="shared" si="7"/>
        <v>0</v>
      </c>
      <c r="R102" s="136">
        <f t="shared" si="7"/>
        <v>-3068181</v>
      </c>
      <c r="S102" s="136">
        <f t="shared" si="7"/>
        <v>0</v>
      </c>
      <c r="T102" s="136">
        <f t="shared" si="7"/>
        <v>0</v>
      </c>
      <c r="U102" s="136">
        <f t="shared" si="7"/>
        <v>0</v>
      </c>
      <c r="V102" s="136">
        <f t="shared" si="7"/>
        <v>0</v>
      </c>
      <c r="W102" s="136">
        <f t="shared" si="7"/>
        <v>48914</v>
      </c>
      <c r="X102" s="136">
        <f t="shared" si="7"/>
        <v>0</v>
      </c>
      <c r="Y102" s="136">
        <f t="shared" si="7"/>
        <v>0</v>
      </c>
      <c r="Z102" s="136">
        <f t="shared" si="7"/>
        <v>0</v>
      </c>
      <c r="AA102" s="136">
        <f t="shared" si="7"/>
        <v>0</v>
      </c>
      <c r="AB102" s="136">
        <f t="shared" si="7"/>
        <v>285032</v>
      </c>
      <c r="AC102" s="136">
        <f t="shared" si="8"/>
        <v>0</v>
      </c>
      <c r="AD102" s="136">
        <f t="shared" si="8"/>
        <v>0</v>
      </c>
      <c r="AE102" s="136">
        <f t="shared" si="8"/>
        <v>0</v>
      </c>
      <c r="AF102" s="136">
        <f t="shared" si="8"/>
        <v>0</v>
      </c>
      <c r="AG102" s="136">
        <f t="shared" si="8"/>
        <v>-2716366</v>
      </c>
      <c r="AH102" s="136">
        <f t="shared" si="8"/>
        <v>0</v>
      </c>
      <c r="AI102" s="136">
        <f t="shared" si="8"/>
        <v>0</v>
      </c>
      <c r="AJ102" s="136">
        <f t="shared" si="8"/>
        <v>0</v>
      </c>
      <c r="AK102" s="136">
        <f t="shared" si="8"/>
        <v>0</v>
      </c>
      <c r="AL102" s="136">
        <f t="shared" si="8"/>
        <v>-623892</v>
      </c>
      <c r="AM102" s="136">
        <f t="shared" si="8"/>
        <v>0</v>
      </c>
      <c r="AN102" s="136">
        <f t="shared" si="8"/>
        <v>0</v>
      </c>
      <c r="AO102" s="136">
        <f t="shared" si="8"/>
        <v>0</v>
      </c>
      <c r="AP102" s="136">
        <f t="shared" si="8"/>
        <v>0</v>
      </c>
      <c r="AQ102" s="136">
        <f t="shared" si="8"/>
        <v>23569</v>
      </c>
      <c r="AR102" s="136">
        <f t="shared" si="8"/>
        <v>0</v>
      </c>
      <c r="AS102" s="136">
        <f t="shared" si="8"/>
        <v>0</v>
      </c>
      <c r="AT102" s="136">
        <f t="shared" si="8"/>
        <v>0</v>
      </c>
      <c r="AU102" s="136">
        <f t="shared" si="8"/>
        <v>0</v>
      </c>
      <c r="AV102" s="136">
        <f t="shared" si="8"/>
        <v>616163</v>
      </c>
      <c r="AW102" s="136">
        <f t="shared" si="8"/>
        <v>0</v>
      </c>
      <c r="AX102" s="136">
        <f t="shared" si="8"/>
        <v>0</v>
      </c>
      <c r="AY102" s="136">
        <f t="shared" si="8"/>
        <v>0</v>
      </c>
      <c r="AZ102" s="136">
        <f t="shared" si="8"/>
        <v>0</v>
      </c>
      <c r="BA102" s="136">
        <f t="shared" si="8"/>
        <v>14524</v>
      </c>
      <c r="BB102" s="136">
        <f t="shared" si="8"/>
        <v>0</v>
      </c>
      <c r="BC102" s="136">
        <f t="shared" si="8"/>
        <v>0</v>
      </c>
      <c r="BD102" s="136">
        <f t="shared" si="8"/>
        <v>0</v>
      </c>
      <c r="BE102" s="136">
        <f t="shared" si="8"/>
        <v>0</v>
      </c>
      <c r="BF102" s="136">
        <f t="shared" si="8"/>
        <v>-29969</v>
      </c>
      <c r="BG102" s="136">
        <f t="shared" si="8"/>
        <v>0</v>
      </c>
      <c r="BH102" s="136">
        <f t="shared" si="8"/>
        <v>0</v>
      </c>
      <c r="BI102" s="136">
        <f t="shared" si="8"/>
        <v>0</v>
      </c>
      <c r="BJ102" s="136">
        <f t="shared" si="8"/>
        <v>0</v>
      </c>
      <c r="BK102" s="136">
        <f t="shared" si="8"/>
        <v>682120</v>
      </c>
      <c r="BL102" s="136">
        <f t="shared" si="8"/>
        <v>0</v>
      </c>
      <c r="BM102" s="136">
        <f t="shared" si="8"/>
        <v>0</v>
      </c>
      <c r="BN102" s="136">
        <f t="shared" si="8"/>
        <v>0</v>
      </c>
      <c r="BO102" s="136">
        <f t="shared" si="8"/>
        <v>0</v>
      </c>
      <c r="BP102" s="136">
        <f t="shared" si="8"/>
        <v>3123322</v>
      </c>
      <c r="BQ102" s="136">
        <f t="shared" si="8"/>
        <v>0</v>
      </c>
      <c r="BR102" s="136">
        <f t="shared" si="8"/>
        <v>0</v>
      </c>
      <c r="BS102" s="136">
        <f t="shared" si="8"/>
        <v>0</v>
      </c>
      <c r="BT102" s="136">
        <f t="shared" si="8"/>
        <v>0</v>
      </c>
      <c r="BU102" s="136">
        <f t="shared" si="8"/>
        <v>-6082343</v>
      </c>
      <c r="BW102" s="136">
        <f>SUM(BW103:BW103)</f>
        <v>0</v>
      </c>
    </row>
    <row r="103" spans="13:75" hidden="1" x14ac:dyDescent="0.3">
      <c r="M103" s="136" t="e">
        <f>#REF!-#REF!</f>
        <v>#REF!</v>
      </c>
      <c r="N103" s="136" t="e">
        <f>#REF!-#REF!</f>
        <v>#REF!</v>
      </c>
      <c r="O103" s="136" t="e">
        <f>#REF!-#REF!</f>
        <v>#REF!</v>
      </c>
      <c r="P103" s="136" t="e">
        <f>#REF!-#REF!</f>
        <v>#REF!</v>
      </c>
      <c r="Q103" s="136" t="e">
        <f>#REF!-#REF!</f>
        <v>#REF!</v>
      </c>
      <c r="R103" s="136" t="e">
        <f>#REF!-#REF!</f>
        <v>#REF!</v>
      </c>
      <c r="S103" s="136" t="e">
        <f>#REF!-#REF!</f>
        <v>#REF!</v>
      </c>
      <c r="T103" s="136" t="e">
        <f>#REF!-#REF!</f>
        <v>#REF!</v>
      </c>
      <c r="U103" s="136" t="e">
        <f>#REF!-#REF!</f>
        <v>#REF!</v>
      </c>
      <c r="V103" s="136" t="e">
        <f>#REF!-#REF!</f>
        <v>#REF!</v>
      </c>
      <c r="W103" s="136" t="e">
        <f>#REF!-#REF!</f>
        <v>#REF!</v>
      </c>
      <c r="X103" s="136" t="e">
        <f>#REF!-#REF!</f>
        <v>#REF!</v>
      </c>
      <c r="Y103" s="136" t="e">
        <f>#REF!-#REF!</f>
        <v>#REF!</v>
      </c>
      <c r="Z103" s="136" t="e">
        <f>#REF!-#REF!</f>
        <v>#REF!</v>
      </c>
      <c r="AA103" s="136" t="e">
        <f>#REF!-#REF!</f>
        <v>#REF!</v>
      </c>
      <c r="AB103" s="136" t="e">
        <f>#REF!-#REF!</f>
        <v>#REF!</v>
      </c>
      <c r="AC103" s="136" t="e">
        <f>#REF!-#REF!</f>
        <v>#REF!</v>
      </c>
      <c r="AD103" s="136" t="e">
        <f>#REF!-#REF!</f>
        <v>#REF!</v>
      </c>
      <c r="AE103" s="136" t="e">
        <f>#REF!-#REF!</f>
        <v>#REF!</v>
      </c>
      <c r="AF103" s="136" t="e">
        <f>#REF!-#REF!</f>
        <v>#REF!</v>
      </c>
      <c r="AG103" s="136" t="e">
        <f>#REF!-#REF!</f>
        <v>#REF!</v>
      </c>
      <c r="AH103" s="136" t="e">
        <f>#REF!-#REF!</f>
        <v>#REF!</v>
      </c>
      <c r="AI103" s="136" t="e">
        <f>#REF!-#REF!</f>
        <v>#REF!</v>
      </c>
      <c r="AJ103" s="136" t="e">
        <f>#REF!-#REF!</f>
        <v>#REF!</v>
      </c>
      <c r="AK103" s="136" t="e">
        <f>#REF!-#REF!</f>
        <v>#REF!</v>
      </c>
      <c r="AL103" s="136" t="e">
        <f>#REF!-#REF!</f>
        <v>#REF!</v>
      </c>
      <c r="AM103" s="136" t="e">
        <f>#REF!-#REF!</f>
        <v>#REF!</v>
      </c>
      <c r="AN103" s="136" t="e">
        <f>#REF!-#REF!</f>
        <v>#REF!</v>
      </c>
      <c r="AO103" s="136" t="e">
        <f>#REF!-#REF!</f>
        <v>#REF!</v>
      </c>
      <c r="AP103" s="136" t="e">
        <f>#REF!-#REF!</f>
        <v>#REF!</v>
      </c>
      <c r="AQ103" s="136" t="e">
        <f>#REF!-#REF!</f>
        <v>#REF!</v>
      </c>
      <c r="AR103" s="136" t="e">
        <f>#REF!-#REF!</f>
        <v>#REF!</v>
      </c>
      <c r="AS103" s="136" t="e">
        <f>#REF!-#REF!</f>
        <v>#REF!</v>
      </c>
      <c r="AT103" s="136" t="e">
        <f>#REF!-#REF!</f>
        <v>#REF!</v>
      </c>
      <c r="AU103" s="136" t="e">
        <f>#REF!-#REF!</f>
        <v>#REF!</v>
      </c>
      <c r="AV103" s="136" t="e">
        <f>#REF!-#REF!</f>
        <v>#REF!</v>
      </c>
      <c r="AW103" s="136" t="e">
        <f>#REF!-#REF!</f>
        <v>#REF!</v>
      </c>
      <c r="AX103" s="136" t="e">
        <f>#REF!-#REF!</f>
        <v>#REF!</v>
      </c>
      <c r="AY103" s="136" t="e">
        <f>#REF!-#REF!</f>
        <v>#REF!</v>
      </c>
      <c r="AZ103" s="136" t="e">
        <f>#REF!-#REF!</f>
        <v>#REF!</v>
      </c>
      <c r="BA103" s="136" t="e">
        <f>#REF!-#REF!</f>
        <v>#REF!</v>
      </c>
      <c r="BB103" s="136" t="e">
        <f>#REF!-#REF!</f>
        <v>#REF!</v>
      </c>
      <c r="BC103" s="136" t="e">
        <f>#REF!-#REF!</f>
        <v>#REF!</v>
      </c>
      <c r="BD103" s="136" t="e">
        <f>#REF!-#REF!</f>
        <v>#REF!</v>
      </c>
      <c r="BE103" s="136" t="e">
        <f>#REF!-#REF!</f>
        <v>#REF!</v>
      </c>
      <c r="BF103" s="136" t="e">
        <f>#REF!-#REF!</f>
        <v>#REF!</v>
      </c>
      <c r="BG103" s="136" t="e">
        <f>#REF!-#REF!</f>
        <v>#REF!</v>
      </c>
      <c r="BH103" s="136" t="e">
        <f>#REF!-#REF!</f>
        <v>#REF!</v>
      </c>
      <c r="BI103" s="136" t="e">
        <f>#REF!-#REF!</f>
        <v>#REF!</v>
      </c>
      <c r="BJ103" s="136" t="e">
        <f>#REF!-#REF!</f>
        <v>#REF!</v>
      </c>
      <c r="BK103" s="136" t="e">
        <f>#REF!-#REF!</f>
        <v>#REF!</v>
      </c>
      <c r="BL103" s="136" t="e">
        <f>#REF!-#REF!</f>
        <v>#REF!</v>
      </c>
      <c r="BM103" s="136" t="e">
        <f>#REF!-#REF!</f>
        <v>#REF!</v>
      </c>
      <c r="BN103" s="136" t="e">
        <f>#REF!-#REF!</f>
        <v>#REF!</v>
      </c>
      <c r="BO103" s="136" t="e">
        <f>#REF!-#REF!</f>
        <v>#REF!</v>
      </c>
      <c r="BP103" s="136" t="e">
        <f>#REF!-#REF!</f>
        <v>#REF!</v>
      </c>
      <c r="BQ103" s="136" t="e">
        <f>#REF!-#REF!</f>
        <v>#REF!</v>
      </c>
      <c r="BR103" s="136" t="e">
        <f>#REF!-#REF!</f>
        <v>#REF!</v>
      </c>
      <c r="BS103" s="136" t="e">
        <f>#REF!-#REF!</f>
        <v>#REF!</v>
      </c>
      <c r="BT103" s="136" t="e">
        <f>#REF!-#REF!</f>
        <v>#REF!</v>
      </c>
      <c r="BU103" s="136" t="e">
        <f>#REF!-#REF!</f>
        <v>#REF!</v>
      </c>
      <c r="BW103" s="136">
        <f>[40]Domlongtermissues!BV103</f>
        <v>0</v>
      </c>
    </row>
    <row r="104" spans="13:75" hidden="1" x14ac:dyDescent="0.3">
      <c r="M104" s="136" t="e">
        <f>#REF!-#REF!</f>
        <v>#REF!</v>
      </c>
      <c r="N104" s="136" t="e">
        <f>#REF!-#REF!</f>
        <v>#REF!</v>
      </c>
      <c r="O104" s="136" t="e">
        <f>#REF!-#REF!</f>
        <v>#REF!</v>
      </c>
      <c r="P104" s="136" t="e">
        <f>#REF!-#REF!</f>
        <v>#REF!</v>
      </c>
      <c r="Q104" s="136" t="e">
        <f>#REF!-#REF!</f>
        <v>#REF!</v>
      </c>
      <c r="R104" s="136" t="e">
        <f>#REF!-#REF!</f>
        <v>#REF!</v>
      </c>
      <c r="S104" s="136" t="e">
        <f>#REF!-#REF!</f>
        <v>#REF!</v>
      </c>
      <c r="T104" s="136" t="e">
        <f>#REF!-#REF!</f>
        <v>#REF!</v>
      </c>
      <c r="U104" s="136" t="e">
        <f>#REF!-#REF!</f>
        <v>#REF!</v>
      </c>
      <c r="V104" s="136" t="e">
        <f>#REF!-#REF!</f>
        <v>#REF!</v>
      </c>
      <c r="W104" s="136" t="e">
        <f>#REF!-#REF!</f>
        <v>#REF!</v>
      </c>
      <c r="X104" s="136" t="e">
        <f>#REF!-#REF!</f>
        <v>#REF!</v>
      </c>
      <c r="Y104" s="136" t="e">
        <f>#REF!-#REF!</f>
        <v>#REF!</v>
      </c>
      <c r="Z104" s="136" t="e">
        <f>#REF!-#REF!</f>
        <v>#REF!</v>
      </c>
      <c r="AA104" s="136" t="e">
        <f>#REF!-#REF!</f>
        <v>#REF!</v>
      </c>
      <c r="AB104" s="136" t="e">
        <f>#REF!-#REF!</f>
        <v>#REF!</v>
      </c>
      <c r="AC104" s="136" t="e">
        <f>#REF!-#REF!</f>
        <v>#REF!</v>
      </c>
      <c r="AD104" s="136" t="e">
        <f>#REF!-#REF!</f>
        <v>#REF!</v>
      </c>
      <c r="AE104" s="136" t="e">
        <f>#REF!-#REF!</f>
        <v>#REF!</v>
      </c>
      <c r="AF104" s="136" t="e">
        <f>#REF!-#REF!</f>
        <v>#REF!</v>
      </c>
      <c r="AG104" s="136" t="e">
        <f>#REF!-#REF!</f>
        <v>#REF!</v>
      </c>
      <c r="AH104" s="136" t="e">
        <f>#REF!-#REF!</f>
        <v>#REF!</v>
      </c>
      <c r="AI104" s="136" t="e">
        <f>#REF!-#REF!</f>
        <v>#REF!</v>
      </c>
      <c r="AJ104" s="136" t="e">
        <f>#REF!-#REF!</f>
        <v>#REF!</v>
      </c>
      <c r="AK104" s="136" t="e">
        <f>#REF!-#REF!</f>
        <v>#REF!</v>
      </c>
      <c r="AL104" s="136" t="e">
        <f>#REF!-#REF!</f>
        <v>#REF!</v>
      </c>
      <c r="AM104" s="136" t="e">
        <f>#REF!-#REF!</f>
        <v>#REF!</v>
      </c>
      <c r="AN104" s="136" t="e">
        <f>#REF!-#REF!</f>
        <v>#REF!</v>
      </c>
      <c r="AO104" s="136" t="e">
        <f>#REF!-#REF!</f>
        <v>#REF!</v>
      </c>
      <c r="AP104" s="136" t="e">
        <f>#REF!-#REF!</f>
        <v>#REF!</v>
      </c>
      <c r="AQ104" s="136" t="e">
        <f>#REF!-#REF!</f>
        <v>#REF!</v>
      </c>
      <c r="AR104" s="136" t="e">
        <f>#REF!-#REF!</f>
        <v>#REF!</v>
      </c>
      <c r="AS104" s="136" t="e">
        <f>#REF!-#REF!</f>
        <v>#REF!</v>
      </c>
      <c r="AT104" s="136" t="e">
        <f>#REF!-#REF!</f>
        <v>#REF!</v>
      </c>
      <c r="AU104" s="136" t="e">
        <f>#REF!-#REF!</f>
        <v>#REF!</v>
      </c>
      <c r="AV104" s="136" t="e">
        <f>#REF!-#REF!</f>
        <v>#REF!</v>
      </c>
      <c r="AW104" s="136" t="e">
        <f>#REF!-#REF!</f>
        <v>#REF!</v>
      </c>
      <c r="AX104" s="136" t="e">
        <f>#REF!-#REF!</f>
        <v>#REF!</v>
      </c>
      <c r="AY104" s="136" t="e">
        <f>#REF!-#REF!</f>
        <v>#REF!</v>
      </c>
      <c r="AZ104" s="136" t="e">
        <f>#REF!-#REF!</f>
        <v>#REF!</v>
      </c>
      <c r="BA104" s="136" t="e">
        <f>#REF!-#REF!</f>
        <v>#REF!</v>
      </c>
      <c r="BB104" s="136" t="e">
        <f>#REF!-#REF!</f>
        <v>#REF!</v>
      </c>
      <c r="BC104" s="136" t="e">
        <f>#REF!-#REF!</f>
        <v>#REF!</v>
      </c>
      <c r="BD104" s="136" t="e">
        <f>#REF!-#REF!</f>
        <v>#REF!</v>
      </c>
      <c r="BE104" s="136" t="e">
        <f>#REF!-#REF!</f>
        <v>#REF!</v>
      </c>
      <c r="BF104" s="136" t="e">
        <f>#REF!-#REF!</f>
        <v>#REF!</v>
      </c>
      <c r="BG104" s="136" t="e">
        <f>#REF!-#REF!</f>
        <v>#REF!</v>
      </c>
      <c r="BH104" s="136" t="e">
        <f>#REF!-#REF!</f>
        <v>#REF!</v>
      </c>
      <c r="BI104" s="136" t="e">
        <f>#REF!-#REF!</f>
        <v>#REF!</v>
      </c>
      <c r="BJ104" s="136" t="e">
        <f>#REF!-#REF!</f>
        <v>#REF!</v>
      </c>
      <c r="BK104" s="136" t="e">
        <f>#REF!-#REF!</f>
        <v>#REF!</v>
      </c>
      <c r="BL104" s="136" t="e">
        <f>#REF!-#REF!</f>
        <v>#REF!</v>
      </c>
      <c r="BM104" s="136" t="e">
        <f>#REF!-#REF!</f>
        <v>#REF!</v>
      </c>
      <c r="BN104" s="136" t="e">
        <f>#REF!-#REF!</f>
        <v>#REF!</v>
      </c>
      <c r="BO104" s="136" t="e">
        <f>#REF!-#REF!</f>
        <v>#REF!</v>
      </c>
      <c r="BP104" s="136" t="e">
        <f>#REF!-#REF!</f>
        <v>#REF!</v>
      </c>
      <c r="BQ104" s="136" t="e">
        <f>#REF!-#REF!</f>
        <v>#REF!</v>
      </c>
      <c r="BR104" s="136" t="e">
        <f>#REF!-#REF!</f>
        <v>#REF!</v>
      </c>
      <c r="BS104" s="136" t="e">
        <f>#REF!-#REF!</f>
        <v>#REF!</v>
      </c>
      <c r="BT104" s="136" t="e">
        <f>#REF!-#REF!</f>
        <v>#REF!</v>
      </c>
      <c r="BU104" s="136" t="e">
        <f>#REF!-#REF!</f>
        <v>#REF!</v>
      </c>
    </row>
    <row r="105" spans="13:75" hidden="1" x14ac:dyDescent="0.3">
      <c r="M105" s="136" t="e">
        <f>#REF!-#REF!</f>
        <v>#REF!</v>
      </c>
      <c r="N105" s="136" t="e">
        <f>#REF!-#REF!</f>
        <v>#REF!</v>
      </c>
      <c r="O105" s="136" t="e">
        <f>#REF!-#REF!</f>
        <v>#REF!</v>
      </c>
      <c r="P105" s="136" t="e">
        <f>#REF!-#REF!</f>
        <v>#REF!</v>
      </c>
      <c r="Q105" s="136" t="e">
        <f>#REF!-#REF!</f>
        <v>#REF!</v>
      </c>
      <c r="R105" s="136" t="e">
        <f>#REF!-#REF!</f>
        <v>#REF!</v>
      </c>
      <c r="S105" s="136" t="e">
        <f>#REF!-#REF!</f>
        <v>#REF!</v>
      </c>
      <c r="T105" s="136" t="e">
        <f>#REF!-#REF!</f>
        <v>#REF!</v>
      </c>
      <c r="U105" s="136" t="e">
        <f>#REF!-#REF!</f>
        <v>#REF!</v>
      </c>
      <c r="V105" s="136" t="e">
        <f>#REF!-#REF!</f>
        <v>#REF!</v>
      </c>
      <c r="W105" s="136" t="e">
        <f>#REF!-#REF!</f>
        <v>#REF!</v>
      </c>
      <c r="X105" s="136" t="e">
        <f>#REF!-#REF!</f>
        <v>#REF!</v>
      </c>
      <c r="Y105" s="136" t="e">
        <f>#REF!-#REF!</f>
        <v>#REF!</v>
      </c>
      <c r="Z105" s="136" t="e">
        <f>#REF!-#REF!</f>
        <v>#REF!</v>
      </c>
      <c r="AA105" s="136" t="e">
        <f>#REF!-#REF!</f>
        <v>#REF!</v>
      </c>
      <c r="AB105" s="136" t="e">
        <f>#REF!-#REF!</f>
        <v>#REF!</v>
      </c>
      <c r="AC105" s="136" t="e">
        <f>#REF!-#REF!</f>
        <v>#REF!</v>
      </c>
      <c r="AD105" s="136" t="e">
        <f>#REF!-#REF!</f>
        <v>#REF!</v>
      </c>
      <c r="AE105" s="136" t="e">
        <f>#REF!-#REF!</f>
        <v>#REF!</v>
      </c>
      <c r="AF105" s="136" t="e">
        <f>#REF!-#REF!</f>
        <v>#REF!</v>
      </c>
      <c r="AG105" s="136" t="e">
        <f>#REF!-#REF!</f>
        <v>#REF!</v>
      </c>
      <c r="AH105" s="136" t="e">
        <f>#REF!-#REF!</f>
        <v>#REF!</v>
      </c>
      <c r="AI105" s="136" t="e">
        <f>#REF!-#REF!</f>
        <v>#REF!</v>
      </c>
      <c r="AJ105" s="136" t="e">
        <f>#REF!-#REF!</f>
        <v>#REF!</v>
      </c>
      <c r="AK105" s="136" t="e">
        <f>#REF!-#REF!</f>
        <v>#REF!</v>
      </c>
      <c r="AL105" s="136" t="e">
        <f>#REF!-#REF!</f>
        <v>#REF!</v>
      </c>
      <c r="AM105" s="136" t="e">
        <f>#REF!-#REF!</f>
        <v>#REF!</v>
      </c>
      <c r="AN105" s="136" t="e">
        <f>#REF!-#REF!</f>
        <v>#REF!</v>
      </c>
      <c r="AO105" s="136" t="e">
        <f>#REF!-#REF!</f>
        <v>#REF!</v>
      </c>
      <c r="AP105" s="136" t="e">
        <f>#REF!-#REF!</f>
        <v>#REF!</v>
      </c>
      <c r="AQ105" s="136" t="e">
        <f>#REF!-#REF!</f>
        <v>#REF!</v>
      </c>
      <c r="AR105" s="136" t="e">
        <f>#REF!-#REF!</f>
        <v>#REF!</v>
      </c>
      <c r="AS105" s="136" t="e">
        <f>#REF!-#REF!</f>
        <v>#REF!</v>
      </c>
      <c r="AT105" s="136" t="e">
        <f>#REF!-#REF!</f>
        <v>#REF!</v>
      </c>
      <c r="AU105" s="136" t="e">
        <f>#REF!-#REF!</f>
        <v>#REF!</v>
      </c>
      <c r="AV105" s="136" t="e">
        <f>#REF!-#REF!</f>
        <v>#REF!</v>
      </c>
      <c r="AW105" s="136" t="e">
        <f>#REF!-#REF!</f>
        <v>#REF!</v>
      </c>
      <c r="AX105" s="136" t="e">
        <f>#REF!-#REF!</f>
        <v>#REF!</v>
      </c>
      <c r="AY105" s="136" t="e">
        <f>#REF!-#REF!</f>
        <v>#REF!</v>
      </c>
      <c r="AZ105" s="136" t="e">
        <f>#REF!-#REF!</f>
        <v>#REF!</v>
      </c>
      <c r="BA105" s="136" t="e">
        <f>#REF!-#REF!</f>
        <v>#REF!</v>
      </c>
      <c r="BB105" s="136" t="e">
        <f>#REF!-#REF!</f>
        <v>#REF!</v>
      </c>
      <c r="BC105" s="136" t="e">
        <f>#REF!-#REF!</f>
        <v>#REF!</v>
      </c>
      <c r="BD105" s="136" t="e">
        <f>#REF!-#REF!</f>
        <v>#REF!</v>
      </c>
      <c r="BE105" s="136" t="e">
        <f>#REF!-#REF!</f>
        <v>#REF!</v>
      </c>
      <c r="BF105" s="136" t="e">
        <f>#REF!-#REF!</f>
        <v>#REF!</v>
      </c>
      <c r="BG105" s="136" t="e">
        <f>#REF!-#REF!</f>
        <v>#REF!</v>
      </c>
      <c r="BH105" s="136" t="e">
        <f>#REF!-#REF!</f>
        <v>#REF!</v>
      </c>
      <c r="BI105" s="136" t="e">
        <f>#REF!-#REF!</f>
        <v>#REF!</v>
      </c>
      <c r="BJ105" s="136" t="e">
        <f>#REF!-#REF!</f>
        <v>#REF!</v>
      </c>
      <c r="BK105" s="136" t="e">
        <f>#REF!-#REF!</f>
        <v>#REF!</v>
      </c>
      <c r="BL105" s="136" t="e">
        <f>#REF!-#REF!</f>
        <v>#REF!</v>
      </c>
      <c r="BM105" s="136" t="e">
        <f>#REF!-#REF!</f>
        <v>#REF!</v>
      </c>
      <c r="BN105" s="136" t="e">
        <f>#REF!-#REF!</f>
        <v>#REF!</v>
      </c>
      <c r="BO105" s="136" t="e">
        <f>#REF!-#REF!</f>
        <v>#REF!</v>
      </c>
      <c r="BP105" s="136" t="e">
        <f>#REF!-#REF!</f>
        <v>#REF!</v>
      </c>
      <c r="BQ105" s="136" t="e">
        <f>#REF!-#REF!</f>
        <v>#REF!</v>
      </c>
      <c r="BR105" s="136" t="e">
        <f>#REF!-#REF!</f>
        <v>#REF!</v>
      </c>
      <c r="BS105" s="136" t="e">
        <f>#REF!-#REF!</f>
        <v>#REF!</v>
      </c>
      <c r="BT105" s="136" t="e">
        <f>#REF!-#REF!</f>
        <v>#REF!</v>
      </c>
      <c r="BU105" s="136" t="e">
        <f>#REF!-#REF!</f>
        <v>#REF!</v>
      </c>
    </row>
    <row r="106" spans="13:75" hidden="1" x14ac:dyDescent="0.3">
      <c r="M106" s="136">
        <f t="shared" ref="M106:BU106" si="9">M38-CE38</f>
        <v>0</v>
      </c>
      <c r="N106" s="136">
        <f t="shared" si="9"/>
        <v>0</v>
      </c>
      <c r="O106" s="136">
        <f t="shared" si="9"/>
        <v>0</v>
      </c>
      <c r="P106" s="136">
        <f t="shared" si="9"/>
        <v>0</v>
      </c>
      <c r="Q106" s="136">
        <f t="shared" si="9"/>
        <v>0</v>
      </c>
      <c r="R106" s="136">
        <f t="shared" si="9"/>
        <v>0</v>
      </c>
      <c r="S106" s="136">
        <f t="shared" si="9"/>
        <v>0</v>
      </c>
      <c r="T106" s="136">
        <f t="shared" si="9"/>
        <v>0</v>
      </c>
      <c r="U106" s="136">
        <f t="shared" si="9"/>
        <v>0</v>
      </c>
      <c r="V106" s="136">
        <f t="shared" si="9"/>
        <v>0</v>
      </c>
      <c r="W106" s="136">
        <f t="shared" si="9"/>
        <v>0</v>
      </c>
      <c r="X106" s="136">
        <f t="shared" si="9"/>
        <v>0</v>
      </c>
      <c r="Y106" s="136">
        <f t="shared" si="9"/>
        <v>0</v>
      </c>
      <c r="Z106" s="136">
        <f t="shared" si="9"/>
        <v>0</v>
      </c>
      <c r="AA106" s="136">
        <f t="shared" si="9"/>
        <v>0</v>
      </c>
      <c r="AB106" s="136">
        <f t="shared" si="9"/>
        <v>0</v>
      </c>
      <c r="AC106" s="136">
        <f t="shared" si="9"/>
        <v>0</v>
      </c>
      <c r="AD106" s="136">
        <f t="shared" si="9"/>
        <v>0</v>
      </c>
      <c r="AE106" s="136">
        <f t="shared" si="9"/>
        <v>0</v>
      </c>
      <c r="AF106" s="136">
        <f t="shared" si="9"/>
        <v>0</v>
      </c>
      <c r="AG106" s="136">
        <f t="shared" si="9"/>
        <v>0</v>
      </c>
      <c r="AH106" s="136">
        <f t="shared" si="9"/>
        <v>0</v>
      </c>
      <c r="AI106" s="136">
        <f t="shared" si="9"/>
        <v>0</v>
      </c>
      <c r="AJ106" s="136">
        <f t="shared" si="9"/>
        <v>0</v>
      </c>
      <c r="AK106" s="136">
        <f t="shared" si="9"/>
        <v>0</v>
      </c>
      <c r="AL106" s="136">
        <f t="shared" si="9"/>
        <v>0</v>
      </c>
      <c r="AM106" s="136">
        <f t="shared" si="9"/>
        <v>0</v>
      </c>
      <c r="AN106" s="136">
        <f t="shared" si="9"/>
        <v>0</v>
      </c>
      <c r="AO106" s="136">
        <f t="shared" si="9"/>
        <v>0</v>
      </c>
      <c r="AP106" s="136">
        <f t="shared" si="9"/>
        <v>0</v>
      </c>
      <c r="AQ106" s="136">
        <f t="shared" si="9"/>
        <v>0</v>
      </c>
      <c r="AR106" s="136">
        <f t="shared" si="9"/>
        <v>0</v>
      </c>
      <c r="AS106" s="136">
        <f t="shared" si="9"/>
        <v>0</v>
      </c>
      <c r="AT106" s="136">
        <f t="shared" si="9"/>
        <v>0</v>
      </c>
      <c r="AU106" s="136">
        <f t="shared" si="9"/>
        <v>0</v>
      </c>
      <c r="AV106" s="136">
        <f t="shared" si="9"/>
        <v>0</v>
      </c>
      <c r="AW106" s="136">
        <f t="shared" si="9"/>
        <v>0</v>
      </c>
      <c r="AX106" s="136">
        <f t="shared" si="9"/>
        <v>0</v>
      </c>
      <c r="AY106" s="136">
        <f t="shared" si="9"/>
        <v>0</v>
      </c>
      <c r="AZ106" s="136">
        <f t="shared" si="9"/>
        <v>0</v>
      </c>
      <c r="BA106" s="136">
        <f t="shared" si="9"/>
        <v>0</v>
      </c>
      <c r="BB106" s="136">
        <f t="shared" si="9"/>
        <v>0</v>
      </c>
      <c r="BC106" s="136">
        <f t="shared" si="9"/>
        <v>0</v>
      </c>
      <c r="BD106" s="136">
        <f t="shared" si="9"/>
        <v>0</v>
      </c>
      <c r="BE106" s="136">
        <f t="shared" si="9"/>
        <v>0</v>
      </c>
      <c r="BF106" s="136">
        <f t="shared" si="9"/>
        <v>0</v>
      </c>
      <c r="BG106" s="136">
        <f t="shared" si="9"/>
        <v>0</v>
      </c>
      <c r="BH106" s="136">
        <f t="shared" si="9"/>
        <v>0</v>
      </c>
      <c r="BI106" s="136">
        <f t="shared" si="9"/>
        <v>0</v>
      </c>
      <c r="BJ106" s="136">
        <f t="shared" si="9"/>
        <v>0</v>
      </c>
      <c r="BK106" s="136">
        <f t="shared" si="9"/>
        <v>0</v>
      </c>
      <c r="BL106" s="136">
        <f t="shared" si="9"/>
        <v>0</v>
      </c>
      <c r="BM106" s="136">
        <f t="shared" si="9"/>
        <v>0</v>
      </c>
      <c r="BN106" s="136">
        <f t="shared" si="9"/>
        <v>0</v>
      </c>
      <c r="BO106" s="136">
        <f t="shared" si="9"/>
        <v>0</v>
      </c>
      <c r="BP106" s="136">
        <f t="shared" si="9"/>
        <v>0</v>
      </c>
      <c r="BQ106" s="136">
        <f t="shared" si="9"/>
        <v>0</v>
      </c>
      <c r="BR106" s="136">
        <f t="shared" si="9"/>
        <v>0</v>
      </c>
      <c r="BS106" s="136">
        <f t="shared" si="9"/>
        <v>0</v>
      </c>
      <c r="BT106" s="136">
        <f t="shared" si="9"/>
        <v>0</v>
      </c>
      <c r="BU106" s="136">
        <f t="shared" si="9"/>
        <v>0</v>
      </c>
    </row>
    <row r="107" spans="13:75" hidden="1" x14ac:dyDescent="0.3">
      <c r="BW107" s="42">
        <f>+BW108+BW116+BW123</f>
        <v>0</v>
      </c>
    </row>
    <row r="108" spans="13:75" hidden="1" x14ac:dyDescent="0.3">
      <c r="BW108" s="136">
        <f>SUM(BW109:BW114)</f>
        <v>0</v>
      </c>
    </row>
    <row r="109" spans="13:75" hidden="1" x14ac:dyDescent="0.3">
      <c r="BW109" s="136">
        <f>+[40]Foreigndebt!BV123</f>
        <v>0</v>
      </c>
    </row>
    <row r="110" spans="13:75" hidden="1" x14ac:dyDescent="0.3">
      <c r="BW110" s="136">
        <f>-[40]Foreigndebt!BV125</f>
        <v>0</v>
      </c>
    </row>
    <row r="111" spans="13:75" hidden="1" x14ac:dyDescent="0.3"/>
    <row r="112" spans="13:75" hidden="1" x14ac:dyDescent="0.3"/>
    <row r="113" spans="75:75" hidden="1" x14ac:dyDescent="0.3">
      <c r="BW113" s="136">
        <f>-[40]Foreigndebt!BV194</f>
        <v>0</v>
      </c>
    </row>
    <row r="114" spans="75:75" hidden="1" x14ac:dyDescent="0.3">
      <c r="BW114" s="136">
        <f>-[40]Foreigndebt!BV195</f>
        <v>0</v>
      </c>
    </row>
    <row r="115" spans="75:75" hidden="1" x14ac:dyDescent="0.3"/>
    <row r="116" spans="75:75" hidden="1" x14ac:dyDescent="0.3">
      <c r="BW116" s="136">
        <f>SUM(BW117:BW121)</f>
        <v>0</v>
      </c>
    </row>
    <row r="117" spans="75:75" hidden="1" x14ac:dyDescent="0.3">
      <c r="BW117" s="136">
        <f>[40]Foreigndebt!BV144</f>
        <v>0</v>
      </c>
    </row>
    <row r="118" spans="75:75" hidden="1" x14ac:dyDescent="0.3">
      <c r="BW118" s="136">
        <f>-[40]Foreigndebt!BV146</f>
        <v>0</v>
      </c>
    </row>
    <row r="119" spans="75:75" hidden="1" x14ac:dyDescent="0.3"/>
    <row r="120" spans="75:75" hidden="1" x14ac:dyDescent="0.3">
      <c r="BW120" s="136">
        <f>-[40]Foreigndebt!BV237</f>
        <v>0</v>
      </c>
    </row>
    <row r="121" spans="75:75" hidden="1" x14ac:dyDescent="0.3">
      <c r="BW121" s="136">
        <f>-[40]Foreigndebt!BV238</f>
        <v>0</v>
      </c>
    </row>
    <row r="122" spans="75:75" hidden="1" x14ac:dyDescent="0.3"/>
    <row r="123" spans="75:75" hidden="1" x14ac:dyDescent="0.3">
      <c r="BW123" s="136">
        <f>SUM(BW124:BW128)</f>
        <v>0</v>
      </c>
    </row>
    <row r="124" spans="75:75" hidden="1" x14ac:dyDescent="0.3">
      <c r="BW124" s="136">
        <f>[40]Foreigndebt!BV158</f>
        <v>0</v>
      </c>
    </row>
    <row r="125" spans="75:75" hidden="1" x14ac:dyDescent="0.3">
      <c r="BW125" s="136">
        <f>-[40]Foreigndebt!BV160</f>
        <v>0</v>
      </c>
    </row>
    <row r="126" spans="75:75" hidden="1" x14ac:dyDescent="0.3"/>
    <row r="127" spans="75:75" hidden="1" x14ac:dyDescent="0.3">
      <c r="BW127" s="136">
        <f>-[40]Foreigndebt!BV249</f>
        <v>0</v>
      </c>
    </row>
    <row r="128" spans="75:75" hidden="1" x14ac:dyDescent="0.3">
      <c r="BW128" s="136">
        <f>-[40]Foreigndebt!BV250</f>
        <v>0</v>
      </c>
    </row>
    <row r="129" spans="75:128" hidden="1" x14ac:dyDescent="0.3"/>
    <row r="130" spans="75:128" hidden="1" x14ac:dyDescent="0.3"/>
    <row r="131" spans="75:128" hidden="1" x14ac:dyDescent="0.3">
      <c r="BW131" s="42">
        <f>SUM(BW132:BW139)</f>
        <v>1</v>
      </c>
    </row>
    <row r="132" spans="75:128" hidden="1" x14ac:dyDescent="0.3">
      <c r="BW132" s="136">
        <f>+[40]Cashbalances!BW83</f>
        <v>0</v>
      </c>
    </row>
    <row r="133" spans="75:128" hidden="1" x14ac:dyDescent="0.3"/>
    <row r="134" spans="75:128" hidden="1" x14ac:dyDescent="0.3">
      <c r="BW134" s="136">
        <f>+[40]Cashbalances!BW94</f>
        <v>0</v>
      </c>
    </row>
    <row r="135" spans="75:128" hidden="1" x14ac:dyDescent="0.3">
      <c r="BW135" s="136">
        <f>[40]Cashbalances!BW96</f>
        <v>0</v>
      </c>
    </row>
    <row r="136" spans="75:128" hidden="1" x14ac:dyDescent="0.3">
      <c r="BW136" s="136">
        <f>+[40]Cashbalances!BW98</f>
        <v>0</v>
      </c>
    </row>
    <row r="137" spans="75:128" hidden="1" x14ac:dyDescent="0.3">
      <c r="BW137" s="136">
        <f>+[40]Cashbalances!BW103</f>
        <v>0</v>
      </c>
    </row>
    <row r="138" spans="75:128" hidden="1" x14ac:dyDescent="0.3"/>
    <row r="139" spans="75:128" x14ac:dyDescent="0.3">
      <c r="BW139" s="136">
        <f>+[40]Cashbalances!BW109+1</f>
        <v>1</v>
      </c>
    </row>
    <row r="140" spans="75:128" x14ac:dyDescent="0.3">
      <c r="DX140" s="548"/>
    </row>
    <row r="141" spans="75:128" x14ac:dyDescent="0.3">
      <c r="BW141" s="42">
        <f>+BW75+BW85+BW107+BW131</f>
        <v>-34578453</v>
      </c>
    </row>
  </sheetData>
  <mergeCells count="2">
    <mergeCell ref="H8:BU8"/>
    <mergeCell ref="BZ8:EM8"/>
  </mergeCells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1337-4EDC-4184-9E77-CBF0825EB0DF}">
  <dimension ref="A1:ET737"/>
  <sheetViews>
    <sheetView view="pageBreakPreview" topLeftCell="C1" zoomScale="90" zoomScaleNormal="100" zoomScaleSheetLayoutView="90" workbookViewId="0">
      <selection activeCell="DV35" sqref="DV35"/>
    </sheetView>
  </sheetViews>
  <sheetFormatPr defaultColWidth="9.54296875" defaultRowHeight="13" x14ac:dyDescent="0.3"/>
  <cols>
    <col min="1" max="1" width="1.7265625" style="136" hidden="1" customWidth="1"/>
    <col min="2" max="2" width="1.08984375" style="136" hidden="1" customWidth="1"/>
    <col min="3" max="3" width="0.90625" style="136" customWidth="1"/>
    <col min="4" max="4" width="53.453125" style="136" customWidth="1"/>
    <col min="5" max="5" width="0.90625" style="494" customWidth="1"/>
    <col min="6" max="6" width="0.90625" style="136" customWidth="1"/>
    <col min="7" max="7" width="17" style="136" customWidth="1"/>
    <col min="8" max="9" width="0.90625" style="136" customWidth="1"/>
    <col min="10" max="11" width="0.90625" style="136" hidden="1" customWidth="1"/>
    <col min="12" max="12" width="17" style="136" hidden="1" customWidth="1"/>
    <col min="13" max="16" width="0.90625" style="136" hidden="1" customWidth="1"/>
    <col min="17" max="17" width="13.7265625" style="136" hidden="1" customWidth="1"/>
    <col min="18" max="21" width="0.90625" style="136" hidden="1" customWidth="1"/>
    <col min="22" max="22" width="17" style="136" hidden="1" customWidth="1"/>
    <col min="23" max="26" width="0.90625" style="136" hidden="1" customWidth="1"/>
    <col min="27" max="27" width="17" style="136" hidden="1" customWidth="1"/>
    <col min="28" max="31" width="0.90625" style="136" hidden="1" customWidth="1"/>
    <col min="32" max="32" width="17" style="136" hidden="1" customWidth="1"/>
    <col min="33" max="35" width="0.90625" style="136" hidden="1" customWidth="1"/>
    <col min="36" max="36" width="1.08984375" style="136" hidden="1" customWidth="1"/>
    <col min="37" max="37" width="17" style="136" hidden="1" customWidth="1"/>
    <col min="38" max="41" width="0.90625" style="136" hidden="1" customWidth="1"/>
    <col min="42" max="42" width="17" style="136" hidden="1" customWidth="1"/>
    <col min="43" max="46" width="0.90625" style="136" hidden="1" customWidth="1"/>
    <col min="47" max="47" width="17" style="136" hidden="1" customWidth="1"/>
    <col min="48" max="51" width="0.90625" style="136" hidden="1" customWidth="1"/>
    <col min="52" max="52" width="17" style="136" hidden="1" customWidth="1"/>
    <col min="53" max="54" width="0.90625" style="136" hidden="1" customWidth="1"/>
    <col min="55" max="56" width="0.90625" style="136" customWidth="1"/>
    <col min="57" max="57" width="17" style="136" customWidth="1"/>
    <col min="58" max="59" width="0.90625" style="136" customWidth="1"/>
    <col min="60" max="61" width="0.90625" style="136" hidden="1" customWidth="1"/>
    <col min="62" max="62" width="17" style="136" hidden="1" customWidth="1"/>
    <col min="63" max="66" width="0.90625" style="136" hidden="1" customWidth="1"/>
    <col min="67" max="67" width="17" style="136" hidden="1" customWidth="1"/>
    <col min="68" max="69" width="0.90625" style="136" hidden="1" customWidth="1"/>
    <col min="70" max="71" width="0.90625" style="136" customWidth="1"/>
    <col min="72" max="72" width="17" style="136" customWidth="1"/>
    <col min="73" max="76" width="0.90625" style="136" customWidth="1"/>
    <col min="77" max="77" width="17" style="136" customWidth="1"/>
    <col min="78" max="79" width="0.90625" style="136" customWidth="1"/>
    <col min="80" max="81" width="0.90625" style="136" hidden="1" customWidth="1"/>
    <col min="82" max="82" width="17" style="136" hidden="1" customWidth="1"/>
    <col min="83" max="86" width="0.90625" style="136" hidden="1" customWidth="1"/>
    <col min="87" max="87" width="13.7265625" style="136" hidden="1" customWidth="1"/>
    <col min="88" max="91" width="0.90625" style="136" hidden="1" customWidth="1"/>
    <col min="92" max="92" width="17" style="136" hidden="1" customWidth="1"/>
    <col min="93" max="96" width="0.90625" style="136" hidden="1" customWidth="1"/>
    <col min="97" max="97" width="17" style="136" hidden="1" customWidth="1"/>
    <col min="98" max="98" width="0.6328125" style="136" hidden="1" customWidth="1"/>
    <col min="99" max="101" width="0.90625" style="136" hidden="1" customWidth="1"/>
    <col min="102" max="102" width="17" style="136" hidden="1" customWidth="1"/>
    <col min="103" max="106" width="0.90625" style="136" hidden="1" customWidth="1"/>
    <col min="107" max="107" width="17" style="136" hidden="1" customWidth="1"/>
    <col min="108" max="111" width="0.90625" style="136" hidden="1" customWidth="1"/>
    <col min="112" max="112" width="17" style="136" hidden="1" customWidth="1"/>
    <col min="113" max="116" width="0.90625" style="136" hidden="1" customWidth="1"/>
    <col min="117" max="117" width="17" style="136" hidden="1" customWidth="1"/>
    <col min="118" max="121" width="0.90625" style="136" hidden="1" customWidth="1"/>
    <col min="122" max="122" width="17" style="136" hidden="1" customWidth="1"/>
    <col min="123" max="124" width="0.90625" style="136" hidden="1" customWidth="1"/>
    <col min="125" max="126" width="0.90625" style="136" customWidth="1"/>
    <col min="127" max="127" width="17" style="136" customWidth="1"/>
    <col min="128" max="129" width="0.90625" style="136" customWidth="1"/>
    <col min="130" max="131" width="0.90625" style="136" hidden="1" customWidth="1"/>
    <col min="132" max="132" width="17" style="136" hidden="1" customWidth="1"/>
    <col min="133" max="136" width="0.90625" style="136" hidden="1" customWidth="1"/>
    <col min="137" max="137" width="17" style="136" hidden="1" customWidth="1"/>
    <col min="138" max="139" width="0.90625" style="136" hidden="1" customWidth="1"/>
    <col min="140" max="141" width="0.90625" style="136" customWidth="1"/>
    <col min="142" max="142" width="17" style="136" customWidth="1"/>
    <col min="143" max="144" width="0.90625" style="136" customWidth="1"/>
    <col min="145" max="145" width="1.90625" style="136" customWidth="1"/>
    <col min="146" max="146" width="3.6328125" style="136" customWidth="1"/>
    <col min="147" max="147" width="15" style="136" customWidth="1"/>
    <col min="148" max="148" width="12.81640625" style="136" customWidth="1"/>
    <col min="149" max="149" width="13.1796875" style="136" customWidth="1"/>
    <col min="150" max="150" width="12.81640625" style="136" customWidth="1"/>
    <col min="151" max="16384" width="9.54296875" style="136"/>
  </cols>
  <sheetData>
    <row r="1" spans="4:150" x14ac:dyDescent="0.3">
      <c r="E1" s="136"/>
      <c r="M1" s="136">
        <f>1770000000+11234076861+1105000000</f>
        <v>14109076861</v>
      </c>
    </row>
    <row r="2" spans="4:150" ht="15.5" x14ac:dyDescent="0.35">
      <c r="D2" s="589" t="s">
        <v>325</v>
      </c>
      <c r="E2" s="589">
        <v>0</v>
      </c>
      <c r="F2" s="589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EJ2" s="138"/>
      <c r="EK2" s="138"/>
      <c r="EL2" s="138"/>
      <c r="EM2" s="138"/>
      <c r="EN2" s="138"/>
    </row>
    <row r="3" spans="4:150" ht="15" customHeight="1" x14ac:dyDescent="0.35">
      <c r="D3" s="234"/>
      <c r="E3" s="590">
        <v>0</v>
      </c>
      <c r="F3" s="591"/>
      <c r="G3" s="575" t="str">
        <f>[40]Summary!H8</f>
        <v>2022/23</v>
      </c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  <c r="AI3" s="575"/>
      <c r="AJ3" s="575"/>
      <c r="AK3" s="575"/>
      <c r="AL3" s="575"/>
      <c r="AM3" s="575"/>
      <c r="AN3" s="575"/>
      <c r="AO3" s="575"/>
      <c r="AP3" s="575"/>
      <c r="AQ3" s="575"/>
      <c r="AR3" s="575"/>
      <c r="AS3" s="575"/>
      <c r="AT3" s="575"/>
      <c r="AU3" s="575"/>
      <c r="AV3" s="575"/>
      <c r="AW3" s="575"/>
      <c r="AX3" s="575"/>
      <c r="AY3" s="575"/>
      <c r="AZ3" s="575"/>
      <c r="BA3" s="575"/>
      <c r="BB3" s="575"/>
      <c r="BC3" s="575"/>
      <c r="BD3" s="575"/>
      <c r="BE3" s="575"/>
      <c r="BF3" s="575"/>
      <c r="BG3" s="575"/>
      <c r="BH3" s="575"/>
      <c r="BI3" s="575"/>
      <c r="BJ3" s="575"/>
      <c r="BK3" s="575"/>
      <c r="BL3" s="575"/>
      <c r="BM3" s="575"/>
      <c r="BN3" s="575"/>
      <c r="BO3" s="575"/>
      <c r="BP3" s="575"/>
      <c r="BQ3" s="575"/>
      <c r="BR3" s="575"/>
      <c r="BS3" s="575"/>
      <c r="BT3" s="575"/>
      <c r="BU3" s="575"/>
      <c r="BV3" s="592"/>
      <c r="BW3" s="593"/>
      <c r="BX3" s="594"/>
      <c r="BY3" s="595" t="str">
        <f>[40]Summary!BZ8</f>
        <v>2021/22</v>
      </c>
      <c r="BZ3" s="595"/>
      <c r="CA3" s="595"/>
      <c r="CB3" s="595"/>
      <c r="CC3" s="595"/>
      <c r="CD3" s="595"/>
      <c r="CE3" s="595"/>
      <c r="CF3" s="595"/>
      <c r="CG3" s="595"/>
      <c r="CH3" s="595"/>
      <c r="CI3" s="595"/>
      <c r="CJ3" s="595"/>
      <c r="CK3" s="595"/>
      <c r="CL3" s="595"/>
      <c r="CM3" s="595"/>
      <c r="CN3" s="595"/>
      <c r="CO3" s="595"/>
      <c r="CP3" s="595"/>
      <c r="CQ3" s="595"/>
      <c r="CR3" s="595"/>
      <c r="CS3" s="595"/>
      <c r="CT3" s="595"/>
      <c r="CU3" s="595"/>
      <c r="CV3" s="595"/>
      <c r="CW3" s="595"/>
      <c r="CX3" s="595"/>
      <c r="CY3" s="595"/>
      <c r="CZ3" s="595"/>
      <c r="DA3" s="595"/>
      <c r="DB3" s="595"/>
      <c r="DC3" s="595"/>
      <c r="DD3" s="595"/>
      <c r="DE3" s="595"/>
      <c r="DF3" s="595"/>
      <c r="DG3" s="595"/>
      <c r="DH3" s="595"/>
      <c r="DI3" s="595"/>
      <c r="DJ3" s="595"/>
      <c r="DK3" s="595"/>
      <c r="DL3" s="595"/>
      <c r="DM3" s="595"/>
      <c r="DN3" s="595"/>
      <c r="DO3" s="595"/>
      <c r="DP3" s="595"/>
      <c r="DQ3" s="595"/>
      <c r="DR3" s="595"/>
      <c r="DS3" s="595"/>
      <c r="DT3" s="595"/>
      <c r="DU3" s="595"/>
      <c r="DV3" s="595"/>
      <c r="DW3" s="595"/>
      <c r="DX3" s="595"/>
      <c r="DY3" s="595"/>
      <c r="DZ3" s="595"/>
      <c r="EA3" s="595"/>
      <c r="EB3" s="595"/>
      <c r="EC3" s="595"/>
      <c r="ED3" s="595"/>
      <c r="EE3" s="595"/>
      <c r="EF3" s="595"/>
      <c r="EG3" s="595"/>
      <c r="EH3" s="595"/>
      <c r="EI3" s="595"/>
      <c r="EJ3" s="595"/>
      <c r="EK3" s="595"/>
      <c r="EL3" s="595"/>
      <c r="EM3" s="595"/>
      <c r="EN3" s="596"/>
      <c r="EO3" s="144"/>
    </row>
    <row r="4" spans="4:150" ht="18" customHeight="1" x14ac:dyDescent="0.3">
      <c r="D4" s="144"/>
      <c r="E4" s="494">
        <v>0</v>
      </c>
      <c r="G4" s="47" t="str">
        <f>[40]Summary!H9</f>
        <v>Revised</v>
      </c>
      <c r="H4" s="47"/>
      <c r="I4" s="47"/>
      <c r="J4" s="474"/>
      <c r="K4" s="47"/>
      <c r="L4" s="47" t="s">
        <v>4</v>
      </c>
      <c r="M4" s="47"/>
      <c r="N4" s="47"/>
      <c r="O4" s="474"/>
      <c r="P4" s="47"/>
      <c r="Q4" s="47" t="s">
        <v>5</v>
      </c>
      <c r="R4" s="47"/>
      <c r="S4" s="47"/>
      <c r="T4" s="474"/>
      <c r="U4" s="47"/>
      <c r="V4" s="47" t="s">
        <v>6</v>
      </c>
      <c r="W4" s="47"/>
      <c r="X4" s="47"/>
      <c r="Y4" s="474"/>
      <c r="Z4" s="47"/>
      <c r="AA4" s="47" t="s">
        <v>7</v>
      </c>
      <c r="AB4" s="47"/>
      <c r="AC4" s="47"/>
      <c r="AD4" s="474"/>
      <c r="AE4" s="47"/>
      <c r="AF4" s="47" t="s">
        <v>8</v>
      </c>
      <c r="AG4" s="47"/>
      <c r="AH4" s="47"/>
      <c r="AI4" s="474"/>
      <c r="AJ4" s="47"/>
      <c r="AK4" s="47" t="s">
        <v>9</v>
      </c>
      <c r="AL4" s="47"/>
      <c r="AM4" s="47"/>
      <c r="AN4" s="474"/>
      <c r="AO4" s="47"/>
      <c r="AP4" s="47" t="s">
        <v>10</v>
      </c>
      <c r="AQ4" s="47"/>
      <c r="AR4" s="47"/>
      <c r="AS4" s="474"/>
      <c r="AT4" s="47"/>
      <c r="AU4" s="47" t="s">
        <v>11</v>
      </c>
      <c r="AV4" s="47"/>
      <c r="AW4" s="47"/>
      <c r="AX4" s="474"/>
      <c r="AY4" s="47"/>
      <c r="AZ4" s="47" t="s">
        <v>12</v>
      </c>
      <c r="BA4" s="47"/>
      <c r="BB4" s="47"/>
      <c r="BC4" s="474"/>
      <c r="BD4" s="47"/>
      <c r="BE4" s="47" t="s">
        <v>13</v>
      </c>
      <c r="BF4" s="47"/>
      <c r="BG4" s="47"/>
      <c r="BH4" s="474"/>
      <c r="BI4" s="47"/>
      <c r="BJ4" s="47" t="s">
        <v>14</v>
      </c>
      <c r="BK4" s="47"/>
      <c r="BL4" s="47"/>
      <c r="BM4" s="474"/>
      <c r="BN4" s="47"/>
      <c r="BO4" s="47" t="s">
        <v>15</v>
      </c>
      <c r="BP4" s="47"/>
      <c r="BQ4" s="47"/>
      <c r="BR4" s="474"/>
      <c r="BS4" s="47"/>
      <c r="BT4" s="47" t="s">
        <v>16</v>
      </c>
      <c r="BU4" s="47"/>
      <c r="BV4" s="47"/>
      <c r="BW4" s="474"/>
      <c r="BX4" s="148"/>
      <c r="BY4" s="47" t="str">
        <f>[40]Summary!BZ9</f>
        <v>Audited</v>
      </c>
      <c r="BZ4" s="47"/>
      <c r="CA4" s="47"/>
      <c r="CB4" s="474"/>
      <c r="CC4" s="47"/>
      <c r="CD4" s="47" t="s">
        <v>4</v>
      </c>
      <c r="CE4" s="47"/>
      <c r="CF4" s="47"/>
      <c r="CG4" s="474"/>
      <c r="CH4" s="47"/>
      <c r="CI4" s="47" t="s">
        <v>5</v>
      </c>
      <c r="CJ4" s="47"/>
      <c r="CK4" s="47"/>
      <c r="CL4" s="474"/>
      <c r="CM4" s="47"/>
      <c r="CN4" s="47" t="s">
        <v>6</v>
      </c>
      <c r="CO4" s="47"/>
      <c r="CP4" s="47"/>
      <c r="CQ4" s="474"/>
      <c r="CR4" s="47"/>
      <c r="CS4" s="47" t="s">
        <v>7</v>
      </c>
      <c r="CT4" s="47"/>
      <c r="CU4" s="47"/>
      <c r="CV4" s="474"/>
      <c r="CW4" s="47"/>
      <c r="CX4" s="47" t="s">
        <v>8</v>
      </c>
      <c r="CY4" s="47"/>
      <c r="CZ4" s="47"/>
      <c r="DA4" s="474"/>
      <c r="DB4" s="47"/>
      <c r="DC4" s="47" t="s">
        <v>9</v>
      </c>
      <c r="DD4" s="47"/>
      <c r="DE4" s="47"/>
      <c r="DF4" s="474"/>
      <c r="DG4" s="47"/>
      <c r="DH4" s="47" t="s">
        <v>10</v>
      </c>
      <c r="DI4" s="47"/>
      <c r="DJ4" s="47"/>
      <c r="DK4" s="474"/>
      <c r="DL4" s="47"/>
      <c r="DM4" s="47" t="s">
        <v>11</v>
      </c>
      <c r="DN4" s="47"/>
      <c r="DO4" s="47"/>
      <c r="DP4" s="474"/>
      <c r="DQ4" s="47"/>
      <c r="DR4" s="47" t="s">
        <v>12</v>
      </c>
      <c r="DS4" s="47"/>
      <c r="DT4" s="47"/>
      <c r="DU4" s="474"/>
      <c r="DV4" s="47"/>
      <c r="DW4" s="47" t="s">
        <v>13</v>
      </c>
      <c r="DX4" s="47"/>
      <c r="DY4" s="47"/>
      <c r="DZ4" s="474"/>
      <c r="EA4" s="47"/>
      <c r="EB4" s="47" t="s">
        <v>14</v>
      </c>
      <c r="EC4" s="47"/>
      <c r="ED4" s="47"/>
      <c r="EE4" s="474"/>
      <c r="EF4" s="148"/>
      <c r="EG4" s="148" t="s">
        <v>15</v>
      </c>
      <c r="EH4" s="148"/>
      <c r="EI4" s="162"/>
      <c r="EJ4" s="474"/>
      <c r="EK4" s="148"/>
      <c r="EL4" s="47" t="s">
        <v>16</v>
      </c>
      <c r="EM4" s="47"/>
      <c r="EN4" s="47"/>
      <c r="EO4" s="144"/>
    </row>
    <row r="5" spans="4:150" x14ac:dyDescent="0.3">
      <c r="D5" s="489" t="s">
        <v>18</v>
      </c>
      <c r="E5" s="597">
        <v>0</v>
      </c>
      <c r="F5" s="598"/>
      <c r="G5" s="491" t="s">
        <v>20</v>
      </c>
      <c r="H5" s="491"/>
      <c r="I5" s="491"/>
      <c r="J5" s="220"/>
      <c r="K5" s="491"/>
      <c r="L5" s="490"/>
      <c r="M5" s="490"/>
      <c r="N5" s="490"/>
      <c r="O5" s="599"/>
      <c r="P5" s="490"/>
      <c r="Q5" s="490"/>
      <c r="R5" s="490"/>
      <c r="S5" s="490"/>
      <c r="T5" s="599"/>
      <c r="U5" s="490"/>
      <c r="V5" s="490"/>
      <c r="W5" s="490"/>
      <c r="X5" s="490"/>
      <c r="Y5" s="599"/>
      <c r="Z5" s="490"/>
      <c r="AA5" s="490"/>
      <c r="AB5" s="490"/>
      <c r="AC5" s="490"/>
      <c r="AD5" s="599"/>
      <c r="AE5" s="490"/>
      <c r="AF5" s="490"/>
      <c r="AG5" s="490"/>
      <c r="AH5" s="490"/>
      <c r="AI5" s="599"/>
      <c r="AJ5" s="490"/>
      <c r="AK5" s="490"/>
      <c r="AL5" s="490"/>
      <c r="AM5" s="490"/>
      <c r="AN5" s="599"/>
      <c r="AO5" s="490"/>
      <c r="AP5" s="490"/>
      <c r="AQ5" s="490"/>
      <c r="AR5" s="490"/>
      <c r="AS5" s="599"/>
      <c r="AT5" s="490"/>
      <c r="AU5" s="490"/>
      <c r="AV5" s="490"/>
      <c r="AW5" s="490"/>
      <c r="AX5" s="599"/>
      <c r="AY5" s="490"/>
      <c r="AZ5" s="490"/>
      <c r="BA5" s="490"/>
      <c r="BB5" s="490"/>
      <c r="BC5" s="599"/>
      <c r="BD5" s="490"/>
      <c r="BE5" s="490"/>
      <c r="BF5" s="490"/>
      <c r="BG5" s="490"/>
      <c r="BH5" s="599"/>
      <c r="BI5" s="490"/>
      <c r="BJ5" s="490"/>
      <c r="BK5" s="490"/>
      <c r="BL5" s="490"/>
      <c r="BM5" s="599"/>
      <c r="BN5" s="490"/>
      <c r="BO5" s="490"/>
      <c r="BP5" s="490"/>
      <c r="BQ5" s="490"/>
      <c r="BR5" s="599"/>
      <c r="BS5" s="490"/>
      <c r="BT5" s="490"/>
      <c r="BU5" s="47"/>
      <c r="BV5" s="47"/>
      <c r="BW5" s="274"/>
      <c r="BX5" s="491"/>
      <c r="BY5" s="47" t="s">
        <v>45</v>
      </c>
      <c r="BZ5" s="47"/>
      <c r="CA5" s="47"/>
      <c r="CB5" s="274"/>
      <c r="CC5" s="47"/>
      <c r="CD5" s="47"/>
      <c r="CE5" s="47"/>
      <c r="CF5" s="47"/>
      <c r="CG5" s="274"/>
      <c r="CH5" s="47"/>
      <c r="CI5" s="47"/>
      <c r="CJ5" s="47"/>
      <c r="CK5" s="47"/>
      <c r="CL5" s="274"/>
      <c r="CM5" s="47"/>
      <c r="CN5" s="47"/>
      <c r="CO5" s="47"/>
      <c r="CP5" s="47"/>
      <c r="CQ5" s="274"/>
      <c r="CR5" s="47"/>
      <c r="CS5" s="47"/>
      <c r="CT5" s="47"/>
      <c r="CU5" s="47"/>
      <c r="CV5" s="274"/>
      <c r="CW5" s="47"/>
      <c r="CX5" s="47"/>
      <c r="CY5" s="47"/>
      <c r="CZ5" s="47"/>
      <c r="DA5" s="274"/>
      <c r="DB5" s="47"/>
      <c r="DC5" s="47"/>
      <c r="DD5" s="47"/>
      <c r="DE5" s="47"/>
      <c r="DF5" s="274"/>
      <c r="DG5" s="47"/>
      <c r="DH5" s="47"/>
      <c r="DI5" s="47"/>
      <c r="DJ5" s="47"/>
      <c r="DK5" s="274"/>
      <c r="DL5" s="47"/>
      <c r="DM5" s="47"/>
      <c r="DN5" s="47"/>
      <c r="DO5" s="47"/>
      <c r="DP5" s="274"/>
      <c r="DQ5" s="47"/>
      <c r="DR5" s="47"/>
      <c r="DS5" s="47"/>
      <c r="DT5" s="47"/>
      <c r="DU5" s="274"/>
      <c r="DV5" s="47"/>
      <c r="DW5" s="47"/>
      <c r="DX5" s="47"/>
      <c r="DY5" s="47"/>
      <c r="DZ5" s="274"/>
      <c r="EA5" s="47"/>
      <c r="EB5" s="47"/>
      <c r="EC5" s="47"/>
      <c r="ED5" s="47"/>
      <c r="EE5" s="274"/>
      <c r="EF5" s="47"/>
      <c r="EG5" s="47"/>
      <c r="EH5" s="47"/>
      <c r="EI5" s="152"/>
      <c r="EJ5" s="220"/>
      <c r="EK5" s="47"/>
      <c r="EL5" s="47"/>
      <c r="EM5" s="47"/>
      <c r="EN5" s="47"/>
      <c r="EO5" s="144"/>
    </row>
    <row r="6" spans="4:150" x14ac:dyDescent="0.3">
      <c r="D6" s="600"/>
      <c r="E6" s="520"/>
      <c r="F6" s="601"/>
      <c r="G6" s="601"/>
      <c r="H6" s="601"/>
      <c r="I6" s="601"/>
      <c r="J6" s="520"/>
      <c r="K6" s="601"/>
      <c r="L6" s="601"/>
      <c r="M6" s="601"/>
      <c r="N6" s="601"/>
      <c r="O6" s="520"/>
      <c r="P6" s="601"/>
      <c r="Q6" s="601"/>
      <c r="R6" s="601"/>
      <c r="S6" s="601"/>
      <c r="T6" s="520"/>
      <c r="U6" s="601"/>
      <c r="V6" s="601"/>
      <c r="W6" s="601"/>
      <c r="X6" s="601"/>
      <c r="Y6" s="520"/>
      <c r="Z6" s="601"/>
      <c r="AA6" s="601"/>
      <c r="AB6" s="601"/>
      <c r="AC6" s="601"/>
      <c r="AD6" s="520"/>
      <c r="AE6" s="601"/>
      <c r="AF6" s="601"/>
      <c r="AG6" s="601"/>
      <c r="AH6" s="601"/>
      <c r="AI6" s="520"/>
      <c r="AJ6" s="601"/>
      <c r="AK6" s="601"/>
      <c r="AL6" s="601"/>
      <c r="AM6" s="601"/>
      <c r="AN6" s="520"/>
      <c r="AO6" s="601"/>
      <c r="AP6" s="601"/>
      <c r="AQ6" s="601"/>
      <c r="AR6" s="601"/>
      <c r="AS6" s="520"/>
      <c r="AT6" s="601"/>
      <c r="AU6" s="601"/>
      <c r="AV6" s="601"/>
      <c r="AW6" s="601"/>
      <c r="AX6" s="520"/>
      <c r="AY6" s="601"/>
      <c r="AZ6" s="601"/>
      <c r="BA6" s="601"/>
      <c r="BB6" s="601"/>
      <c r="BC6" s="520"/>
      <c r="BD6" s="601"/>
      <c r="BE6" s="601"/>
      <c r="BF6" s="601"/>
      <c r="BG6" s="601"/>
      <c r="BH6" s="520"/>
      <c r="BI6" s="601"/>
      <c r="BJ6" s="601"/>
      <c r="BK6" s="601"/>
      <c r="BL6" s="517"/>
      <c r="BM6" s="520"/>
      <c r="BN6" s="601"/>
      <c r="BO6" s="601"/>
      <c r="BP6" s="601"/>
      <c r="BQ6" s="601"/>
      <c r="BR6" s="520"/>
      <c r="BS6" s="517"/>
      <c r="BT6" s="214"/>
      <c r="BU6" s="214"/>
      <c r="BV6" s="214"/>
      <c r="BW6" s="500"/>
      <c r="BX6" s="214"/>
      <c r="BY6" s="601"/>
      <c r="BZ6" s="601"/>
      <c r="CA6" s="601"/>
      <c r="CB6" s="520"/>
      <c r="CC6" s="601"/>
      <c r="CD6" s="601"/>
      <c r="CE6" s="601"/>
      <c r="CF6" s="601"/>
      <c r="CG6" s="520"/>
      <c r="CH6" s="601"/>
      <c r="CI6" s="601"/>
      <c r="CJ6" s="601"/>
      <c r="CK6" s="601"/>
      <c r="CL6" s="520"/>
      <c r="CM6" s="601"/>
      <c r="CN6" s="601"/>
      <c r="CO6" s="601"/>
      <c r="CP6" s="601"/>
      <c r="CQ6" s="520"/>
      <c r="CR6" s="601"/>
      <c r="CS6" s="601"/>
      <c r="CT6" s="601"/>
      <c r="CU6" s="601"/>
      <c r="CV6" s="520"/>
      <c r="CW6" s="601"/>
      <c r="CX6" s="601"/>
      <c r="CY6" s="601"/>
      <c r="CZ6" s="601"/>
      <c r="DA6" s="520"/>
      <c r="DB6" s="601"/>
      <c r="DC6" s="601"/>
      <c r="DD6" s="601"/>
      <c r="DE6" s="601"/>
      <c r="DF6" s="520"/>
      <c r="DG6" s="601"/>
      <c r="DH6" s="601"/>
      <c r="DI6" s="601"/>
      <c r="DJ6" s="601"/>
      <c r="DK6" s="520"/>
      <c r="DL6" s="601"/>
      <c r="DM6" s="601"/>
      <c r="DN6" s="601"/>
      <c r="DO6" s="601"/>
      <c r="DP6" s="520"/>
      <c r="DQ6" s="601"/>
      <c r="DR6" s="601"/>
      <c r="DS6" s="601"/>
      <c r="DT6" s="601"/>
      <c r="DU6" s="520"/>
      <c r="DV6" s="601"/>
      <c r="DW6" s="601"/>
      <c r="DX6" s="601"/>
      <c r="DY6" s="601"/>
      <c r="DZ6" s="520"/>
      <c r="EA6" s="601"/>
      <c r="EB6" s="601"/>
      <c r="EC6" s="601"/>
      <c r="ED6" s="601"/>
      <c r="EE6" s="520"/>
      <c r="EF6" s="601"/>
      <c r="EG6" s="601"/>
      <c r="EH6" s="601"/>
      <c r="EI6" s="601"/>
      <c r="EJ6" s="516"/>
      <c r="EK6" s="601"/>
      <c r="EL6" s="214"/>
      <c r="EM6" s="214"/>
      <c r="EN6" s="602"/>
      <c r="EO6" s="144"/>
    </row>
    <row r="7" spans="4:150" s="42" customFormat="1" x14ac:dyDescent="0.3">
      <c r="D7" s="234" t="s">
        <v>326</v>
      </c>
      <c r="E7" s="496"/>
      <c r="G7" s="519">
        <f>SUM(G8:G10)</f>
        <v>357736447</v>
      </c>
      <c r="H7" s="519"/>
      <c r="I7" s="519"/>
      <c r="J7" s="518"/>
      <c r="K7" s="519"/>
      <c r="L7" s="519">
        <f>SUM(L8:L10)</f>
        <v>28086572</v>
      </c>
      <c r="M7" s="519"/>
      <c r="N7" s="519"/>
      <c r="O7" s="518"/>
      <c r="P7" s="519"/>
      <c r="Q7" s="519">
        <f>SUM(Q8:Q10)</f>
        <v>37271586</v>
      </c>
      <c r="R7" s="519"/>
      <c r="S7" s="519"/>
      <c r="T7" s="518"/>
      <c r="U7" s="519"/>
      <c r="V7" s="519">
        <f>SUM(V8:V10)</f>
        <v>31666972</v>
      </c>
      <c r="W7" s="519"/>
      <c r="X7" s="519"/>
      <c r="Y7" s="518"/>
      <c r="Z7" s="519"/>
      <c r="AA7" s="519">
        <f>SUM(AA8:AA10)</f>
        <v>52471849</v>
      </c>
      <c r="AB7" s="519"/>
      <c r="AC7" s="519"/>
      <c r="AD7" s="518"/>
      <c r="AE7" s="519"/>
      <c r="AF7" s="519">
        <f>SUM(AF8:AF10)</f>
        <v>38504391</v>
      </c>
      <c r="AG7" s="519"/>
      <c r="AH7" s="519"/>
      <c r="AI7" s="518"/>
      <c r="AJ7" s="519"/>
      <c r="AK7" s="519">
        <f>SUM(AK8:AK10)</f>
        <v>39439913</v>
      </c>
      <c r="AL7" s="519"/>
      <c r="AM7" s="519"/>
      <c r="AN7" s="518"/>
      <c r="AO7" s="519"/>
      <c r="AP7" s="519">
        <f>SUM(AP8:AP10)</f>
        <v>34985437</v>
      </c>
      <c r="AQ7" s="519"/>
      <c r="AR7" s="519"/>
      <c r="AS7" s="518"/>
      <c r="AT7" s="519"/>
      <c r="AU7" s="519">
        <f>SUM(AU8:AU10)</f>
        <v>36631065</v>
      </c>
      <c r="AV7" s="519"/>
      <c r="AW7" s="519"/>
      <c r="AX7" s="518"/>
      <c r="AY7" s="519"/>
      <c r="AZ7" s="519">
        <f>SUM(AZ8:AZ10)</f>
        <v>19202106</v>
      </c>
      <c r="BA7" s="519"/>
      <c r="BB7" s="519"/>
      <c r="BC7" s="518"/>
      <c r="BD7" s="519"/>
      <c r="BE7" s="519">
        <f>SUM(BE8:BE10)</f>
        <v>19568746</v>
      </c>
      <c r="BF7" s="519"/>
      <c r="BG7" s="519"/>
      <c r="BH7" s="518"/>
      <c r="BI7" s="519"/>
      <c r="BJ7" s="519">
        <f>SUM(BJ8:BJ10)</f>
        <v>0</v>
      </c>
      <c r="BK7" s="519"/>
      <c r="BL7" s="519"/>
      <c r="BM7" s="518"/>
      <c r="BN7" s="519"/>
      <c r="BO7" s="519">
        <f>SUM(BO8:BO10)</f>
        <v>0</v>
      </c>
      <c r="BP7" s="519"/>
      <c r="BQ7" s="519"/>
      <c r="BR7" s="518"/>
      <c r="BS7" s="519"/>
      <c r="BT7" s="519">
        <f>SUM(BT8:BT10)</f>
        <v>337828637</v>
      </c>
      <c r="BU7" s="519"/>
      <c r="BV7" s="519"/>
      <c r="BW7" s="518"/>
      <c r="BX7" s="519"/>
      <c r="BY7" s="519">
        <f>SUM(BY8:BY10)</f>
        <v>399212305</v>
      </c>
      <c r="BZ7" s="519"/>
      <c r="CA7" s="519"/>
      <c r="CB7" s="518"/>
      <c r="CC7" s="519"/>
      <c r="CD7" s="519">
        <f>SUM(CD8:CD10)</f>
        <v>44205422</v>
      </c>
      <c r="CE7" s="519"/>
      <c r="CF7" s="519"/>
      <c r="CG7" s="518"/>
      <c r="CH7" s="519"/>
      <c r="CI7" s="519">
        <f>SUM(CI8:CI10)</f>
        <v>34665188</v>
      </c>
      <c r="CJ7" s="519"/>
      <c r="CK7" s="519"/>
      <c r="CL7" s="518"/>
      <c r="CM7" s="519"/>
      <c r="CN7" s="519">
        <f>SUM(CN8:CN10)</f>
        <v>36242984</v>
      </c>
      <c r="CO7" s="519"/>
      <c r="CP7" s="519"/>
      <c r="CQ7" s="518"/>
      <c r="CR7" s="519"/>
      <c r="CS7" s="519">
        <f>SUM(CS8:CS10)</f>
        <v>36813678</v>
      </c>
      <c r="CT7" s="519"/>
      <c r="CU7" s="519"/>
      <c r="CV7" s="518"/>
      <c r="CW7" s="519"/>
      <c r="CX7" s="519">
        <f>SUM(CX8:CX10)</f>
        <v>32590097</v>
      </c>
      <c r="CY7" s="519"/>
      <c r="CZ7" s="519"/>
      <c r="DA7" s="518"/>
      <c r="DB7" s="519"/>
      <c r="DC7" s="519">
        <f>SUM(DC8:DC10)</f>
        <v>27539270</v>
      </c>
      <c r="DD7" s="519"/>
      <c r="DE7" s="519"/>
      <c r="DF7" s="518"/>
      <c r="DG7" s="519"/>
      <c r="DH7" s="519">
        <f>SUM(DH8:DH10)</f>
        <v>39327697</v>
      </c>
      <c r="DI7" s="519"/>
      <c r="DJ7" s="519"/>
      <c r="DK7" s="518"/>
      <c r="DL7" s="519"/>
      <c r="DM7" s="519">
        <f>SUM(DM8:DM10)</f>
        <v>28616895</v>
      </c>
      <c r="DN7" s="519"/>
      <c r="DO7" s="519"/>
      <c r="DP7" s="518"/>
      <c r="DQ7" s="519"/>
      <c r="DR7" s="519">
        <f>SUM(DR8:DR10)</f>
        <v>29014323</v>
      </c>
      <c r="DS7" s="519"/>
      <c r="DT7" s="519"/>
      <c r="DU7" s="518"/>
      <c r="DV7" s="519"/>
      <c r="DW7" s="519">
        <f>SUM(DW8:DW10)</f>
        <v>24327297</v>
      </c>
      <c r="DX7" s="519"/>
      <c r="DY7" s="519"/>
      <c r="DZ7" s="518"/>
      <c r="EA7" s="519"/>
      <c r="EB7" s="519">
        <f>SUM(EB8:EB10)</f>
        <v>32478299</v>
      </c>
      <c r="EC7" s="519"/>
      <c r="ED7" s="519"/>
      <c r="EE7" s="518"/>
      <c r="EF7" s="519"/>
      <c r="EG7" s="519">
        <f>SUM(EG8:EG10)</f>
        <v>33391155</v>
      </c>
      <c r="EH7" s="519"/>
      <c r="EI7" s="519"/>
      <c r="EJ7" s="518"/>
      <c r="EK7" s="519"/>
      <c r="EL7" s="519">
        <f>SUM(EL8:EL10)</f>
        <v>333342851</v>
      </c>
      <c r="EM7" s="519"/>
      <c r="EN7" s="519"/>
      <c r="EO7" s="234"/>
    </row>
    <row r="8" spans="4:150" x14ac:dyDescent="0.3">
      <c r="D8" s="144" t="s">
        <v>327</v>
      </c>
      <c r="F8" s="500"/>
      <c r="G8" s="601">
        <f>+G12</f>
        <v>340512000</v>
      </c>
      <c r="H8" s="603"/>
      <c r="I8" s="517"/>
      <c r="J8" s="516"/>
      <c r="K8" s="520"/>
      <c r="L8" s="601">
        <f>+L12</f>
        <v>23849866</v>
      </c>
      <c r="M8" s="603"/>
      <c r="N8" s="517"/>
      <c r="O8" s="516"/>
      <c r="P8" s="520"/>
      <c r="Q8" s="601">
        <f>+Q12</f>
        <v>30102790</v>
      </c>
      <c r="R8" s="603"/>
      <c r="S8" s="517"/>
      <c r="T8" s="516"/>
      <c r="U8" s="520"/>
      <c r="V8" s="601">
        <f>+V12</f>
        <v>29395127</v>
      </c>
      <c r="W8" s="603"/>
      <c r="X8" s="517"/>
      <c r="Y8" s="516"/>
      <c r="Z8" s="520"/>
      <c r="AA8" s="601">
        <f>+AA12</f>
        <v>52376510</v>
      </c>
      <c r="AB8" s="603"/>
      <c r="AC8" s="517"/>
      <c r="AD8" s="516"/>
      <c r="AE8" s="520"/>
      <c r="AF8" s="601">
        <f>+AF12</f>
        <v>35558950</v>
      </c>
      <c r="AG8" s="603"/>
      <c r="AH8" s="517"/>
      <c r="AI8" s="516"/>
      <c r="AJ8" s="520"/>
      <c r="AK8" s="601">
        <f>+AK12</f>
        <v>38933593</v>
      </c>
      <c r="AL8" s="603"/>
      <c r="AM8" s="517"/>
      <c r="AN8" s="516"/>
      <c r="AO8" s="520"/>
      <c r="AP8" s="601">
        <f>+AP12</f>
        <v>34472211</v>
      </c>
      <c r="AQ8" s="603"/>
      <c r="AR8" s="517"/>
      <c r="AS8" s="516"/>
      <c r="AT8" s="520"/>
      <c r="AU8" s="601">
        <f>+AU12</f>
        <v>36098316</v>
      </c>
      <c r="AV8" s="603"/>
      <c r="AW8" s="517"/>
      <c r="AX8" s="516"/>
      <c r="AY8" s="520"/>
      <c r="AZ8" s="601">
        <f>+AZ12</f>
        <v>18873846</v>
      </c>
      <c r="BA8" s="603"/>
      <c r="BB8" s="517"/>
      <c r="BC8" s="516"/>
      <c r="BD8" s="520"/>
      <c r="BE8" s="601">
        <f>+BE12</f>
        <v>19538777</v>
      </c>
      <c r="BF8" s="603"/>
      <c r="BG8" s="517"/>
      <c r="BH8" s="516"/>
      <c r="BI8" s="520"/>
      <c r="BJ8" s="601">
        <f>+BJ12</f>
        <v>0</v>
      </c>
      <c r="BK8" s="603"/>
      <c r="BL8" s="517"/>
      <c r="BM8" s="516"/>
      <c r="BN8" s="520"/>
      <c r="BO8" s="601">
        <f>+BO12</f>
        <v>0</v>
      </c>
      <c r="BP8" s="603"/>
      <c r="BQ8" s="517"/>
      <c r="BR8" s="516"/>
      <c r="BS8" s="520"/>
      <c r="BT8" s="601">
        <f>+BT12</f>
        <v>319199986</v>
      </c>
      <c r="BU8" s="603"/>
      <c r="BV8" s="517"/>
      <c r="BW8" s="516"/>
      <c r="BX8" s="520"/>
      <c r="BY8" s="601">
        <f>+BY12</f>
        <v>337762752</v>
      </c>
      <c r="BZ8" s="603"/>
      <c r="CA8" s="517"/>
      <c r="CB8" s="516"/>
      <c r="CC8" s="520"/>
      <c r="CD8" s="601">
        <f>+CD12</f>
        <v>32347333</v>
      </c>
      <c r="CE8" s="603"/>
      <c r="CF8" s="517"/>
      <c r="CG8" s="516"/>
      <c r="CH8" s="520"/>
      <c r="CI8" s="601">
        <f>+CI12</f>
        <v>30897412</v>
      </c>
      <c r="CJ8" s="603"/>
      <c r="CK8" s="517"/>
      <c r="CL8" s="516"/>
      <c r="CM8" s="520"/>
      <c r="CN8" s="601">
        <f>+CN12</f>
        <v>27576195</v>
      </c>
      <c r="CO8" s="603"/>
      <c r="CP8" s="517"/>
      <c r="CQ8" s="516"/>
      <c r="CR8" s="520"/>
      <c r="CS8" s="601">
        <f>+CS12</f>
        <v>32976789</v>
      </c>
      <c r="CT8" s="603"/>
      <c r="CU8" s="517"/>
      <c r="CV8" s="516"/>
      <c r="CW8" s="520"/>
      <c r="CX8" s="601">
        <f>+CX12</f>
        <v>27670253</v>
      </c>
      <c r="CY8" s="603"/>
      <c r="CZ8" s="517"/>
      <c r="DA8" s="516"/>
      <c r="DB8" s="520"/>
      <c r="DC8" s="601">
        <f>+DC12</f>
        <v>25324462</v>
      </c>
      <c r="DD8" s="603"/>
      <c r="DE8" s="517"/>
      <c r="DF8" s="516"/>
      <c r="DG8" s="520"/>
      <c r="DH8" s="601">
        <f>+DH12</f>
        <v>33828275</v>
      </c>
      <c r="DI8" s="603"/>
      <c r="DJ8" s="517"/>
      <c r="DK8" s="516"/>
      <c r="DL8" s="520"/>
      <c r="DM8" s="601">
        <f>+DM12</f>
        <v>23303905</v>
      </c>
      <c r="DN8" s="603"/>
      <c r="DO8" s="517"/>
      <c r="DP8" s="516"/>
      <c r="DQ8" s="520"/>
      <c r="DR8" s="601">
        <f>+DR12</f>
        <v>24962859</v>
      </c>
      <c r="DS8" s="603"/>
      <c r="DT8" s="517"/>
      <c r="DU8" s="516"/>
      <c r="DV8" s="520"/>
      <c r="DW8" s="601">
        <f>+DW12</f>
        <v>21654275</v>
      </c>
      <c r="DX8" s="603"/>
      <c r="DY8" s="517"/>
      <c r="DZ8" s="516"/>
      <c r="EA8" s="520"/>
      <c r="EB8" s="601">
        <f>+EB12</f>
        <v>28691924</v>
      </c>
      <c r="EC8" s="603"/>
      <c r="ED8" s="517"/>
      <c r="EE8" s="516"/>
      <c r="EF8" s="520"/>
      <c r="EG8" s="601">
        <f>+EG12</f>
        <v>28529070</v>
      </c>
      <c r="EH8" s="603"/>
      <c r="EI8" s="517"/>
      <c r="EJ8" s="516"/>
      <c r="EK8" s="520"/>
      <c r="EL8" s="601">
        <f>+EL12</f>
        <v>280541758</v>
      </c>
      <c r="EM8" s="603"/>
      <c r="EN8" s="517"/>
      <c r="EO8" s="144"/>
      <c r="ER8" s="42"/>
      <c r="ES8" s="42"/>
    </row>
    <row r="9" spans="4:150" x14ac:dyDescent="0.3">
      <c r="D9" s="144" t="s">
        <v>328</v>
      </c>
      <c r="F9" s="494"/>
      <c r="G9" s="517">
        <f>G176</f>
        <v>8874774</v>
      </c>
      <c r="H9" s="604"/>
      <c r="I9" s="517"/>
      <c r="J9" s="516"/>
      <c r="K9" s="516"/>
      <c r="L9" s="517">
        <f>L176</f>
        <v>3409508</v>
      </c>
      <c r="M9" s="604"/>
      <c r="N9" s="517"/>
      <c r="O9" s="516"/>
      <c r="P9" s="516"/>
      <c r="Q9" s="517">
        <f>Q176</f>
        <v>4054354</v>
      </c>
      <c r="R9" s="604"/>
      <c r="S9" s="517"/>
      <c r="T9" s="516"/>
      <c r="U9" s="516"/>
      <c r="V9" s="517">
        <f>V176</f>
        <v>1410912</v>
      </c>
      <c r="W9" s="604"/>
      <c r="X9" s="517"/>
      <c r="Y9" s="516"/>
      <c r="Z9" s="516"/>
      <c r="AA9" s="517">
        <f>AA176</f>
        <v>0</v>
      </c>
      <c r="AB9" s="604"/>
      <c r="AC9" s="517"/>
      <c r="AD9" s="516"/>
      <c r="AE9" s="516"/>
      <c r="AF9" s="517">
        <f>AF176</f>
        <v>0</v>
      </c>
      <c r="AG9" s="604"/>
      <c r="AH9" s="517"/>
      <c r="AI9" s="516"/>
      <c r="AJ9" s="516"/>
      <c r="AK9" s="517">
        <f>AK176</f>
        <v>0</v>
      </c>
      <c r="AL9" s="604"/>
      <c r="AM9" s="517"/>
      <c r="AN9" s="516"/>
      <c r="AO9" s="516"/>
      <c r="AP9" s="517">
        <f>AP176</f>
        <v>0</v>
      </c>
      <c r="AQ9" s="604"/>
      <c r="AR9" s="517"/>
      <c r="AS9" s="516"/>
      <c r="AT9" s="516"/>
      <c r="AU9" s="517">
        <f>AU176</f>
        <v>0</v>
      </c>
      <c r="AV9" s="604"/>
      <c r="AW9" s="517"/>
      <c r="AX9" s="516"/>
      <c r="AY9" s="516"/>
      <c r="AZ9" s="517">
        <f>AZ176</f>
        <v>0</v>
      </c>
      <c r="BA9" s="604"/>
      <c r="BB9" s="517"/>
      <c r="BC9" s="516"/>
      <c r="BD9" s="516"/>
      <c r="BE9" s="517">
        <f>BE176</f>
        <v>0</v>
      </c>
      <c r="BF9" s="604"/>
      <c r="BH9" s="516"/>
      <c r="BI9" s="516"/>
      <c r="BJ9" s="517">
        <f>BJ176</f>
        <v>0</v>
      </c>
      <c r="BK9" s="604"/>
      <c r="BL9" s="517"/>
      <c r="BM9" s="516"/>
      <c r="BN9" s="516"/>
      <c r="BO9" s="517">
        <f>BO176</f>
        <v>0</v>
      </c>
      <c r="BP9" s="604"/>
      <c r="BQ9" s="517"/>
      <c r="BR9" s="516"/>
      <c r="BS9" s="516"/>
      <c r="BT9" s="517">
        <f>BT176</f>
        <v>8874774</v>
      </c>
      <c r="BU9" s="604"/>
      <c r="BV9" s="517"/>
      <c r="BW9" s="516"/>
      <c r="BX9" s="516"/>
      <c r="BY9" s="517">
        <f>BY176</f>
        <v>53972577</v>
      </c>
      <c r="BZ9" s="604"/>
      <c r="CA9" s="517"/>
      <c r="CB9" s="516"/>
      <c r="CC9" s="516"/>
      <c r="CD9" s="517">
        <f>CD176</f>
        <v>11663028</v>
      </c>
      <c r="CE9" s="604"/>
      <c r="CF9" s="517"/>
      <c r="CG9" s="516"/>
      <c r="CH9" s="516"/>
      <c r="CI9" s="517">
        <f>CI176</f>
        <v>3767776</v>
      </c>
      <c r="CJ9" s="604"/>
      <c r="CK9" s="517"/>
      <c r="CL9" s="516"/>
      <c r="CM9" s="516"/>
      <c r="CN9" s="517">
        <f>CN176</f>
        <v>7710681</v>
      </c>
      <c r="CO9" s="604"/>
      <c r="CP9" s="517"/>
      <c r="CQ9" s="516"/>
      <c r="CR9" s="516"/>
      <c r="CS9" s="517">
        <f>CS176</f>
        <v>3456518</v>
      </c>
      <c r="CT9" s="604"/>
      <c r="CU9" s="517"/>
      <c r="CV9" s="516"/>
      <c r="CW9" s="516"/>
      <c r="CX9" s="517">
        <f>CX176</f>
        <v>4835965</v>
      </c>
      <c r="CY9" s="604"/>
      <c r="CZ9" s="517"/>
      <c r="DA9" s="516"/>
      <c r="DB9" s="516"/>
      <c r="DC9" s="517">
        <f>DC176</f>
        <v>2187184</v>
      </c>
      <c r="DD9" s="604"/>
      <c r="DE9" s="517"/>
      <c r="DF9" s="516"/>
      <c r="DG9" s="516"/>
      <c r="DH9" s="517">
        <f>DH176</f>
        <v>5017820</v>
      </c>
      <c r="DI9" s="604"/>
      <c r="DJ9" s="517"/>
      <c r="DK9" s="516"/>
      <c r="DL9" s="516"/>
      <c r="DM9" s="517">
        <f>DM176</f>
        <v>4108885</v>
      </c>
      <c r="DN9" s="604"/>
      <c r="DO9" s="517"/>
      <c r="DP9" s="516"/>
      <c r="DQ9" s="516"/>
      <c r="DR9" s="517">
        <f>DR176</f>
        <v>3708680</v>
      </c>
      <c r="DS9" s="604"/>
      <c r="DT9" s="517"/>
      <c r="DU9" s="516"/>
      <c r="DV9" s="516"/>
      <c r="DW9" s="517">
        <f>DW176</f>
        <v>2673022</v>
      </c>
      <c r="DX9" s="604"/>
      <c r="DZ9" s="516"/>
      <c r="EA9" s="516"/>
      <c r="EB9" s="517">
        <f>EB176</f>
        <v>3014010</v>
      </c>
      <c r="EC9" s="604"/>
      <c r="ED9" s="517"/>
      <c r="EE9" s="516"/>
      <c r="EF9" s="516"/>
      <c r="EG9" s="517">
        <f>EG176</f>
        <v>1829008</v>
      </c>
      <c r="EH9" s="604"/>
      <c r="EI9" s="517"/>
      <c r="EJ9" s="516"/>
      <c r="EK9" s="516"/>
      <c r="EL9" s="517">
        <f>EL176</f>
        <v>49129559</v>
      </c>
      <c r="EM9" s="604"/>
      <c r="EN9" s="517"/>
      <c r="EO9" s="144"/>
      <c r="ER9" s="42"/>
      <c r="ES9" s="42"/>
    </row>
    <row r="10" spans="4:150" x14ac:dyDescent="0.3">
      <c r="D10" s="144" t="s">
        <v>329</v>
      </c>
      <c r="F10" s="513"/>
      <c r="G10" s="605">
        <f>G313</f>
        <v>8349673</v>
      </c>
      <c r="H10" s="606"/>
      <c r="I10" s="517"/>
      <c r="J10" s="516"/>
      <c r="K10" s="529"/>
      <c r="L10" s="605">
        <f>L313</f>
        <v>827198</v>
      </c>
      <c r="M10" s="606"/>
      <c r="N10" s="517"/>
      <c r="O10" s="516"/>
      <c r="P10" s="529"/>
      <c r="Q10" s="605">
        <f>Q313</f>
        <v>3114442</v>
      </c>
      <c r="R10" s="606"/>
      <c r="S10" s="517"/>
      <c r="T10" s="516"/>
      <c r="U10" s="529"/>
      <c r="V10" s="605">
        <f>V313</f>
        <v>860933</v>
      </c>
      <c r="W10" s="606"/>
      <c r="X10" s="517"/>
      <c r="Y10" s="516"/>
      <c r="Z10" s="529"/>
      <c r="AA10" s="605">
        <f>AA313</f>
        <v>95339</v>
      </c>
      <c r="AB10" s="606"/>
      <c r="AC10" s="517"/>
      <c r="AD10" s="516"/>
      <c r="AE10" s="529"/>
      <c r="AF10" s="605">
        <f>AF313</f>
        <v>2945441</v>
      </c>
      <c r="AG10" s="606"/>
      <c r="AH10" s="517"/>
      <c r="AI10" s="516"/>
      <c r="AJ10" s="529"/>
      <c r="AK10" s="605">
        <f>AK313</f>
        <v>506320</v>
      </c>
      <c r="AL10" s="606"/>
      <c r="AM10" s="517"/>
      <c r="AN10" s="516"/>
      <c r="AO10" s="529"/>
      <c r="AP10" s="605">
        <f>AP313</f>
        <v>513226</v>
      </c>
      <c r="AQ10" s="606"/>
      <c r="AR10" s="517"/>
      <c r="AS10" s="516"/>
      <c r="AT10" s="529"/>
      <c r="AU10" s="605">
        <f>AU313</f>
        <v>532749</v>
      </c>
      <c r="AV10" s="606"/>
      <c r="AW10" s="517"/>
      <c r="AX10" s="516"/>
      <c r="AY10" s="529"/>
      <c r="AZ10" s="605">
        <f>AZ313</f>
        <v>328260</v>
      </c>
      <c r="BA10" s="606"/>
      <c r="BB10" s="517"/>
      <c r="BC10" s="516"/>
      <c r="BD10" s="529"/>
      <c r="BE10" s="605">
        <f>BE313</f>
        <v>29969</v>
      </c>
      <c r="BF10" s="606"/>
      <c r="BG10" s="517"/>
      <c r="BH10" s="516"/>
      <c r="BI10" s="529"/>
      <c r="BJ10" s="605">
        <f>BJ313</f>
        <v>0</v>
      </c>
      <c r="BK10" s="606"/>
      <c r="BL10" s="517"/>
      <c r="BM10" s="516"/>
      <c r="BN10" s="529"/>
      <c r="BO10" s="605">
        <f>BO313</f>
        <v>0</v>
      </c>
      <c r="BP10" s="606"/>
      <c r="BQ10" s="517"/>
      <c r="BR10" s="516"/>
      <c r="BS10" s="529"/>
      <c r="BT10" s="605">
        <f>BT313</f>
        <v>9753877</v>
      </c>
      <c r="BU10" s="606"/>
      <c r="BV10" s="517"/>
      <c r="BW10" s="516"/>
      <c r="BX10" s="529"/>
      <c r="BY10" s="605">
        <f>BY313</f>
        <v>7476976</v>
      </c>
      <c r="BZ10" s="606"/>
      <c r="CA10" s="517"/>
      <c r="CB10" s="516"/>
      <c r="CC10" s="529"/>
      <c r="CD10" s="605">
        <f>CD313</f>
        <v>195061</v>
      </c>
      <c r="CE10" s="606"/>
      <c r="CF10" s="517"/>
      <c r="CG10" s="516"/>
      <c r="CH10" s="529"/>
      <c r="CI10" s="605">
        <f>CI313</f>
        <v>0</v>
      </c>
      <c r="CJ10" s="606"/>
      <c r="CK10" s="517"/>
      <c r="CL10" s="516"/>
      <c r="CM10" s="529"/>
      <c r="CN10" s="605">
        <f>CN313</f>
        <v>956108</v>
      </c>
      <c r="CO10" s="606"/>
      <c r="CP10" s="517"/>
      <c r="CQ10" s="516"/>
      <c r="CR10" s="529"/>
      <c r="CS10" s="605">
        <f>CS313</f>
        <v>380371</v>
      </c>
      <c r="CT10" s="606"/>
      <c r="CU10" s="517"/>
      <c r="CV10" s="516"/>
      <c r="CW10" s="529"/>
      <c r="CX10" s="605">
        <f>CX313</f>
        <v>83879</v>
      </c>
      <c r="CY10" s="606"/>
      <c r="CZ10" s="517"/>
      <c r="DA10" s="516"/>
      <c r="DB10" s="529"/>
      <c r="DC10" s="605">
        <f>DC313</f>
        <v>27624</v>
      </c>
      <c r="DD10" s="606"/>
      <c r="DE10" s="517"/>
      <c r="DF10" s="516"/>
      <c r="DG10" s="529"/>
      <c r="DH10" s="605">
        <f>DH313</f>
        <v>481602</v>
      </c>
      <c r="DI10" s="606"/>
      <c r="DJ10" s="517"/>
      <c r="DK10" s="516"/>
      <c r="DL10" s="529"/>
      <c r="DM10" s="605">
        <f>DM313</f>
        <v>1204105</v>
      </c>
      <c r="DN10" s="606"/>
      <c r="DO10" s="517"/>
      <c r="DP10" s="516"/>
      <c r="DQ10" s="529"/>
      <c r="DR10" s="605">
        <f>DR313</f>
        <v>342784</v>
      </c>
      <c r="DS10" s="606"/>
      <c r="DT10" s="517"/>
      <c r="DU10" s="516"/>
      <c r="DV10" s="529"/>
      <c r="DW10" s="605">
        <f>DW313</f>
        <v>0</v>
      </c>
      <c r="DX10" s="606"/>
      <c r="DY10" s="517"/>
      <c r="DZ10" s="516"/>
      <c r="EA10" s="529"/>
      <c r="EB10" s="605">
        <f>EB313</f>
        <v>772365</v>
      </c>
      <c r="EC10" s="606"/>
      <c r="ED10" s="517"/>
      <c r="EE10" s="516"/>
      <c r="EF10" s="529"/>
      <c r="EG10" s="605">
        <f>EG313</f>
        <v>3033077</v>
      </c>
      <c r="EH10" s="606"/>
      <c r="EI10" s="517"/>
      <c r="EJ10" s="516"/>
      <c r="EK10" s="529"/>
      <c r="EL10" s="605">
        <f>EL313</f>
        <v>3671534</v>
      </c>
      <c r="EM10" s="606"/>
      <c r="EN10" s="517"/>
      <c r="EO10" s="144"/>
      <c r="ER10" s="42"/>
      <c r="ES10" s="42"/>
    </row>
    <row r="11" spans="4:150" x14ac:dyDescent="0.3">
      <c r="D11" s="144"/>
      <c r="G11" s="517"/>
      <c r="H11" s="517"/>
      <c r="I11" s="517"/>
      <c r="J11" s="516"/>
      <c r="K11" s="517"/>
      <c r="L11" s="517"/>
      <c r="M11" s="517"/>
      <c r="N11" s="517"/>
      <c r="O11" s="516"/>
      <c r="P11" s="517"/>
      <c r="Q11" s="517"/>
      <c r="R11" s="517"/>
      <c r="S11" s="517"/>
      <c r="T11" s="516"/>
      <c r="U11" s="517"/>
      <c r="V11" s="517"/>
      <c r="W11" s="517"/>
      <c r="X11" s="517"/>
      <c r="Y11" s="516"/>
      <c r="Z11" s="517"/>
      <c r="AA11" s="517"/>
      <c r="AB11" s="517"/>
      <c r="AC11" s="517"/>
      <c r="AD11" s="516"/>
      <c r="AE11" s="517"/>
      <c r="AF11" s="517"/>
      <c r="AG11" s="517"/>
      <c r="AH11" s="517"/>
      <c r="AI11" s="516"/>
      <c r="AJ11" s="517"/>
      <c r="AK11" s="517"/>
      <c r="AL11" s="517"/>
      <c r="AM11" s="517"/>
      <c r="AN11" s="516"/>
      <c r="AO11" s="517"/>
      <c r="AP11" s="517"/>
      <c r="AQ11" s="517"/>
      <c r="AR11" s="517"/>
      <c r="AS11" s="516"/>
      <c r="AT11" s="517"/>
      <c r="AU11" s="517"/>
      <c r="AV11" s="517"/>
      <c r="AW11" s="517"/>
      <c r="AX11" s="516"/>
      <c r="AY11" s="517"/>
      <c r="AZ11" s="517"/>
      <c r="BA11" s="517"/>
      <c r="BB11" s="517"/>
      <c r="BC11" s="516"/>
      <c r="BD11" s="517"/>
      <c r="BE11" s="517"/>
      <c r="BF11" s="517"/>
      <c r="BG11" s="517"/>
      <c r="BH11" s="516"/>
      <c r="BI11" s="517"/>
      <c r="BJ11" s="517"/>
      <c r="BK11" s="517"/>
      <c r="BL11" s="517"/>
      <c r="BM11" s="516"/>
      <c r="BN11" s="517"/>
      <c r="BO11" s="517"/>
      <c r="BP11" s="517"/>
      <c r="BQ11" s="517"/>
      <c r="BR11" s="516"/>
      <c r="BS11" s="517"/>
      <c r="BT11" s="517"/>
      <c r="BU11" s="517"/>
      <c r="BV11" s="517"/>
      <c r="BW11" s="516"/>
      <c r="BX11" s="517"/>
      <c r="BY11" s="517"/>
      <c r="BZ11" s="517"/>
      <c r="CA11" s="517"/>
      <c r="CB11" s="516"/>
      <c r="CC11" s="517"/>
      <c r="CD11" s="517"/>
      <c r="CE11" s="517"/>
      <c r="CF11" s="517"/>
      <c r="CG11" s="516"/>
      <c r="CH11" s="517"/>
      <c r="CI11" s="517"/>
      <c r="CJ11" s="517"/>
      <c r="CK11" s="517"/>
      <c r="CL11" s="516"/>
      <c r="CM11" s="517"/>
      <c r="CN11" s="517"/>
      <c r="CO11" s="517"/>
      <c r="CP11" s="517"/>
      <c r="CQ11" s="516"/>
      <c r="CR11" s="517"/>
      <c r="CS11" s="517"/>
      <c r="CT11" s="517"/>
      <c r="CU11" s="517"/>
      <c r="CV11" s="516"/>
      <c r="CW11" s="517"/>
      <c r="CX11" s="517"/>
      <c r="CY11" s="517"/>
      <c r="CZ11" s="517"/>
      <c r="DA11" s="516"/>
      <c r="DB11" s="517"/>
      <c r="DC11" s="517"/>
      <c r="DD11" s="517"/>
      <c r="DE11" s="517"/>
      <c r="DF11" s="516"/>
      <c r="DG11" s="517"/>
      <c r="DH11" s="517"/>
      <c r="DI11" s="517"/>
      <c r="DJ11" s="517"/>
      <c r="DK11" s="516"/>
      <c r="DL11" s="517"/>
      <c r="DM11" s="517"/>
      <c r="DN11" s="517"/>
      <c r="DO11" s="517"/>
      <c r="DP11" s="516"/>
      <c r="DQ11" s="517"/>
      <c r="DR11" s="517"/>
      <c r="DS11" s="517"/>
      <c r="DT11" s="517"/>
      <c r="DU11" s="516"/>
      <c r="DV11" s="517"/>
      <c r="DW11" s="517"/>
      <c r="DX11" s="517"/>
      <c r="DY11" s="517"/>
      <c r="DZ11" s="516"/>
      <c r="EA11" s="517"/>
      <c r="EB11" s="517"/>
      <c r="EC11" s="517"/>
      <c r="ED11" s="517"/>
      <c r="EE11" s="516"/>
      <c r="EF11" s="517"/>
      <c r="EG11" s="517"/>
      <c r="EH11" s="517"/>
      <c r="EI11" s="517"/>
      <c r="EJ11" s="516"/>
      <c r="EK11" s="517"/>
      <c r="EL11" s="517"/>
      <c r="EM11" s="517"/>
      <c r="EN11" s="517"/>
      <c r="EO11" s="144"/>
      <c r="ER11" s="42"/>
      <c r="ES11" s="42"/>
    </row>
    <row r="12" spans="4:150" s="42" customFormat="1" x14ac:dyDescent="0.3">
      <c r="D12" s="234" t="s">
        <v>330</v>
      </c>
      <c r="E12" s="496"/>
      <c r="G12" s="44">
        <f>SUM(G13:G16)</f>
        <v>340512000</v>
      </c>
      <c r="H12" s="44"/>
      <c r="I12" s="44"/>
      <c r="J12" s="607"/>
      <c r="K12" s="44"/>
      <c r="L12" s="44">
        <f>SUM(L13:L16)</f>
        <v>23849866</v>
      </c>
      <c r="M12" s="44"/>
      <c r="N12" s="44"/>
      <c r="O12" s="607"/>
      <c r="P12" s="44"/>
      <c r="Q12" s="44">
        <f>SUM(Q13:Q16)</f>
        <v>30102790</v>
      </c>
      <c r="R12" s="44"/>
      <c r="S12" s="44"/>
      <c r="T12" s="607"/>
      <c r="U12" s="44"/>
      <c r="V12" s="44">
        <f>SUM(V13:V16)</f>
        <v>29395127</v>
      </c>
      <c r="W12" s="44"/>
      <c r="X12" s="44"/>
      <c r="Y12" s="607"/>
      <c r="Z12" s="44"/>
      <c r="AA12" s="44">
        <f>SUM(AA13:AA16)</f>
        <v>52376510</v>
      </c>
      <c r="AB12" s="44"/>
      <c r="AC12" s="44"/>
      <c r="AD12" s="607"/>
      <c r="AE12" s="44"/>
      <c r="AF12" s="44">
        <f>SUM(AF13:AF16)</f>
        <v>35558950</v>
      </c>
      <c r="AG12" s="44"/>
      <c r="AH12" s="44"/>
      <c r="AI12" s="607"/>
      <c r="AJ12" s="44"/>
      <c r="AK12" s="44">
        <f>SUM(AK13:AK16)</f>
        <v>38933593</v>
      </c>
      <c r="AL12" s="44"/>
      <c r="AM12" s="44"/>
      <c r="AN12" s="607"/>
      <c r="AO12" s="44"/>
      <c r="AP12" s="44">
        <f>SUM(AP13:AP16)</f>
        <v>34472211</v>
      </c>
      <c r="AQ12" s="44"/>
      <c r="AR12" s="44"/>
      <c r="AS12" s="607"/>
      <c r="AT12" s="44"/>
      <c r="AU12" s="44">
        <f>SUM(AU13:AU16)</f>
        <v>36098316</v>
      </c>
      <c r="AV12" s="44"/>
      <c r="AW12" s="44"/>
      <c r="AX12" s="607"/>
      <c r="AY12" s="44"/>
      <c r="AZ12" s="44">
        <f>SUM(AZ13:AZ16)</f>
        <v>18873846</v>
      </c>
      <c r="BA12" s="44"/>
      <c r="BB12" s="44"/>
      <c r="BC12" s="607"/>
      <c r="BD12" s="44"/>
      <c r="BE12" s="44">
        <f>SUM(BE13:BE16)</f>
        <v>19538777</v>
      </c>
      <c r="BF12" s="44"/>
      <c r="BG12" s="44"/>
      <c r="BH12" s="607"/>
      <c r="BI12" s="44"/>
      <c r="BJ12" s="44">
        <f>SUM(BJ13:BJ16)</f>
        <v>0</v>
      </c>
      <c r="BK12" s="44"/>
      <c r="BL12" s="44"/>
      <c r="BM12" s="607"/>
      <c r="BN12" s="44"/>
      <c r="BO12" s="44">
        <f>SUM(BO13:BO16)</f>
        <v>0</v>
      </c>
      <c r="BP12" s="44"/>
      <c r="BQ12" s="44"/>
      <c r="BR12" s="607"/>
      <c r="BS12" s="44"/>
      <c r="BT12" s="44">
        <f>SUM(BT13:BT16)</f>
        <v>319199986</v>
      </c>
      <c r="BU12" s="44"/>
      <c r="BV12" s="44"/>
      <c r="BW12" s="607"/>
      <c r="BX12" s="44"/>
      <c r="BY12" s="44">
        <f>SUM(BY13:BY16)</f>
        <v>337762752</v>
      </c>
      <c r="BZ12" s="44"/>
      <c r="CA12" s="44"/>
      <c r="CB12" s="607"/>
      <c r="CC12" s="44"/>
      <c r="CD12" s="44">
        <f>SUM(CD13:CD16)</f>
        <v>32347333</v>
      </c>
      <c r="CE12" s="44"/>
      <c r="CF12" s="44"/>
      <c r="CG12" s="607"/>
      <c r="CH12" s="44"/>
      <c r="CI12" s="44">
        <f>SUM(CI13:CI16)</f>
        <v>30897412</v>
      </c>
      <c r="CJ12" s="44"/>
      <c r="CK12" s="44"/>
      <c r="CL12" s="607"/>
      <c r="CM12" s="44"/>
      <c r="CN12" s="44">
        <f>SUM(CN13:CN16)</f>
        <v>27576195</v>
      </c>
      <c r="CO12" s="44"/>
      <c r="CP12" s="44"/>
      <c r="CQ12" s="607"/>
      <c r="CR12" s="44"/>
      <c r="CS12" s="44">
        <f>SUM(CS13:CS16)</f>
        <v>32976789</v>
      </c>
      <c r="CT12" s="44"/>
      <c r="CU12" s="44"/>
      <c r="CV12" s="607"/>
      <c r="CW12" s="44"/>
      <c r="CX12" s="44">
        <f>SUM(CX13:CX16)</f>
        <v>27670253</v>
      </c>
      <c r="CY12" s="44"/>
      <c r="CZ12" s="44"/>
      <c r="DA12" s="607"/>
      <c r="DB12" s="44"/>
      <c r="DC12" s="44">
        <f>SUM(DC13:DC16)</f>
        <v>25324462</v>
      </c>
      <c r="DD12" s="44"/>
      <c r="DE12" s="44"/>
      <c r="DF12" s="607"/>
      <c r="DG12" s="44"/>
      <c r="DH12" s="44">
        <f>SUM(DH13:DH16)</f>
        <v>33828275</v>
      </c>
      <c r="DI12" s="44"/>
      <c r="DJ12" s="44"/>
      <c r="DK12" s="607"/>
      <c r="DL12" s="44"/>
      <c r="DM12" s="44">
        <f>SUM(DM13:DM16)</f>
        <v>23303905</v>
      </c>
      <c r="DN12" s="44"/>
      <c r="DO12" s="44"/>
      <c r="DP12" s="607"/>
      <c r="DQ12" s="44"/>
      <c r="DR12" s="44">
        <f>SUM(DR13:DR16)</f>
        <v>24962859</v>
      </c>
      <c r="DS12" s="44"/>
      <c r="DT12" s="44"/>
      <c r="DU12" s="607"/>
      <c r="DV12" s="44"/>
      <c r="DW12" s="44">
        <f>SUM(DW13:DW16)</f>
        <v>21654275</v>
      </c>
      <c r="DX12" s="44"/>
      <c r="DY12" s="44"/>
      <c r="DZ12" s="607"/>
      <c r="EA12" s="44"/>
      <c r="EB12" s="44">
        <f>SUM(EB13:EB16)</f>
        <v>28691924</v>
      </c>
      <c r="EC12" s="44"/>
      <c r="ED12" s="44"/>
      <c r="EE12" s="607"/>
      <c r="EF12" s="44"/>
      <c r="EG12" s="44">
        <f>SUM(EG13:EG16)</f>
        <v>28529070</v>
      </c>
      <c r="EH12" s="44"/>
      <c r="EI12" s="44"/>
      <c r="EJ12" s="607"/>
      <c r="EK12" s="44"/>
      <c r="EL12" s="44">
        <f>SUM(EL13:EL16)</f>
        <v>280541758</v>
      </c>
      <c r="EM12" s="44"/>
      <c r="EN12" s="44"/>
      <c r="EO12" s="234"/>
      <c r="ET12" s="608"/>
    </row>
    <row r="13" spans="4:150" x14ac:dyDescent="0.3">
      <c r="D13" s="144" t="s">
        <v>331</v>
      </c>
      <c r="F13" s="500"/>
      <c r="G13" s="609">
        <f>299400000-3500000</f>
        <v>295900000</v>
      </c>
      <c r="H13" s="610"/>
      <c r="I13" s="56"/>
      <c r="J13" s="611"/>
      <c r="K13" s="612"/>
      <c r="L13" s="609">
        <f>+L19+L53+L59+L65+L71+L77+L83+L90+L95+L100+L105+L110+L115+L120+L125+L130+L135+L163+L167+L140+L23+L29+L47+L35+L145+L150+L41</f>
        <v>18874340</v>
      </c>
      <c r="M13" s="610"/>
      <c r="N13" s="56"/>
      <c r="O13" s="611"/>
      <c r="P13" s="612"/>
      <c r="Q13" s="609">
        <f>+Q19+Q53+Q59+Q65+Q71+Q77+Q83+Q90+Q95+Q100+Q105+Q110+Q115+Q120+Q125+Q130+Q135+Q163+Q167+Q140+Q23+Q29+Q47+Q35+Q145+Q150+Q41</f>
        <v>24447416</v>
      </c>
      <c r="R13" s="610"/>
      <c r="S13" s="56"/>
      <c r="T13" s="611"/>
      <c r="U13" s="612"/>
      <c r="V13" s="609">
        <f>+V19+V53+V59+V65+V71+V77+V83+V90+V95+V100+V105+V110+V115+V120+V125+V130+V135+V163+V167+V140+V23+V29+V47+V35+V145+V150+V41</f>
        <v>21418919</v>
      </c>
      <c r="W13" s="610"/>
      <c r="X13" s="56"/>
      <c r="Y13" s="611"/>
      <c r="Z13" s="612"/>
      <c r="AA13" s="609">
        <f>+AA19+AA53+AA59+AA65+AA71+AA77+AA83+AA90+AA95+AA100+AA105+AA110+AA115+AA120+AA125+AA130+AA135+AA163+AA167+AA140+AA23+AA29+AA47+AA35+AA145+AA150+AA41</f>
        <v>44579269</v>
      </c>
      <c r="AB13" s="610"/>
      <c r="AC13" s="56"/>
      <c r="AD13" s="611"/>
      <c r="AE13" s="612"/>
      <c r="AF13" s="609">
        <f>+AF19+AF53+AF59+AF65+AF71+AF77+AF83+AF90+AF95+AF100+AF105+AF110+AF115+AF120+AF125+AF130+AF135+AF163+AF167+AF140+AF23+AF29+AF47+AF35+AF145+AF150+AF41</f>
        <v>27074156</v>
      </c>
      <c r="AG13" s="610"/>
      <c r="AH13" s="56"/>
      <c r="AI13" s="611"/>
      <c r="AJ13" s="612"/>
      <c r="AK13" s="609">
        <f>+AK19+AK53+AK59+AK65+AK71+AK77+AK83+AK90+AK95+AK100+AK105+AK110+AK115+AK120+AK125+AK130+AK135+AK163+AK167+AK140+AK23+AK29+AK47+AK35+AK145+AK150+AK41</f>
        <v>31465335</v>
      </c>
      <c r="AL13" s="610"/>
      <c r="AM13" s="56"/>
      <c r="AN13" s="611"/>
      <c r="AO13" s="612"/>
      <c r="AP13" s="609">
        <f>+AP19+AP53+AP59+AP65+AP71+AP77+AP83+AP90+AP95+AP100+AP105+AP110+AP115+AP120+AP125+AP130+AP135+AP163+AP167+AP140+AP23+AP29+AP47+AP35+AP145+AP150+AP41</f>
        <v>26739281</v>
      </c>
      <c r="AQ13" s="610"/>
      <c r="AR13" s="56"/>
      <c r="AS13" s="611"/>
      <c r="AT13" s="612"/>
      <c r="AU13" s="609">
        <f>+AU19+AU53+AU59+AU65+AU71+AU77+AU83+AU90+AU95+AU100+AU105+AU110+AU115+AU120+AU125+AU130+AU135+AU163+AU167+AU140+AU23+AU29+AU47+AU35+AU145+AU150+AU41</f>
        <v>28426319</v>
      </c>
      <c r="AV13" s="610"/>
      <c r="AW13" s="56"/>
      <c r="AX13" s="611"/>
      <c r="AY13" s="612"/>
      <c r="AZ13" s="609">
        <f>+AZ19+AZ53+AZ59+AZ65+AZ71+AZ77+AZ83+AZ90+AZ95+AZ100+AZ105+AZ110+AZ115+AZ120+AZ125+AZ130+AZ135+AZ163+AZ167+AZ140+AZ23+AZ29+AZ47+AZ35+AZ145+AZ150+AZ41</f>
        <v>14385724</v>
      </c>
      <c r="BA13" s="610"/>
      <c r="BB13" s="56"/>
      <c r="BC13" s="611"/>
      <c r="BD13" s="612"/>
      <c r="BE13" s="609">
        <f>+BE19+BE53+BE59+BE65+BE71+BE77+BE83+BE90+BE95+BE100+BE105+BE110+BE115+BE120+BE125+BE130+BE135+BE163+BE167+BE140+BE23+BE29+BE47+BE35+BE145+BE150+BE41</f>
        <v>16011219</v>
      </c>
      <c r="BF13" s="610"/>
      <c r="BG13" s="56"/>
      <c r="BH13" s="611"/>
      <c r="BI13" s="612"/>
      <c r="BJ13" s="609">
        <f>+BJ19+BJ53+BJ59+BJ65+BJ71+BJ77+BJ83+BJ90+BJ95+BJ100+BJ105+BJ110+BJ115+BJ120+BJ125+BJ130+BJ135+BJ163+BJ167+BJ140+BJ23+BJ29+BJ47+BJ35+BJ145+BJ150+BJ41</f>
        <v>0</v>
      </c>
      <c r="BK13" s="610"/>
      <c r="BL13" s="56"/>
      <c r="BM13" s="611"/>
      <c r="BN13" s="612"/>
      <c r="BO13" s="609">
        <f>+BO19+BO53+BO59+BO65+BO71+BO77+BO83+BO90+BO95+BO100+BO105+BO110+BO115+BO120+BO125+BO130+BO135+BO163+BO167+BO140+BO23+BO29+BO47+BO35+BO145+BO150+BO41</f>
        <v>0</v>
      </c>
      <c r="BP13" s="610"/>
      <c r="BQ13" s="56"/>
      <c r="BR13" s="611"/>
      <c r="BS13" s="612"/>
      <c r="BT13" s="609">
        <f>+BT19+BT53+BT59+BT65+BT71+BT77+BT83+BT90+BT95+BT100+BT105+BT110+BT115+BT120+BT125+BT130+BT135+BT163+BT167+BT140+BT23+BT29+BT47+BT35+BT145+BT150+BT41</f>
        <v>253421978</v>
      </c>
      <c r="BU13" s="610"/>
      <c r="BV13" s="56"/>
      <c r="BW13" s="611"/>
      <c r="BX13" s="612"/>
      <c r="BY13" s="609">
        <f>+BY19+BY53+BY59+BY65+BY71+BY77+BY83+BY90+BY95+BY100+BY105+BY110+BY115+BY120+BY125+BY130+BY135+BY163+BY167+BY140+BY23+BY29+BY47+BY35+BY145+BY150+BY41</f>
        <v>266987645</v>
      </c>
      <c r="BZ13" s="610"/>
      <c r="CA13" s="56"/>
      <c r="CB13" s="611"/>
      <c r="CC13" s="612"/>
      <c r="CD13" s="609">
        <f>+CD19+CD53+CD59+CD65+CD71+CD77+CD83+CD90+CD95+CD100+CD105+CD110+CD115+CD120+CD125+CD130+CD135+CD163+CD167+CD140+CD23+CD29+CD47+CD35+CD145+CD150+CD41</f>
        <v>25697745</v>
      </c>
      <c r="CE13" s="610"/>
      <c r="CF13" s="56"/>
      <c r="CG13" s="611"/>
      <c r="CH13" s="612"/>
      <c r="CI13" s="609">
        <f>+CI19+CI53+CI59+CI65+CI71+CI77+CI83+CI90+CI95+CI100+CI105+CI110+CI115+CI120+CI125+CI130+CI135+CI163+CI167+CI140+CI23+CI29+CI47+CI35+CI145+CI150+CI41</f>
        <v>24482156</v>
      </c>
      <c r="CJ13" s="610"/>
      <c r="CK13" s="56"/>
      <c r="CL13" s="611"/>
      <c r="CM13" s="612"/>
      <c r="CN13" s="609">
        <f>+CN19+CN53+CN59+CN65+CN71+CN77+CN83+CN90+CN95+CN100+CN105+CN110+CN115+CN120+CN125+CN130+CN135+CN163+CN167+CN140+CN23+CN29+CN47+CN35+CN145+CN150+CN41</f>
        <v>21524984</v>
      </c>
      <c r="CO13" s="610"/>
      <c r="CP13" s="56"/>
      <c r="CQ13" s="611"/>
      <c r="CR13" s="612"/>
      <c r="CS13" s="609">
        <f>+CS19+CS53+CS59+CS65+CS71+CS77+CS83+CS90+CS95+CS100+CS105+CS110+CS115+CS120+CS125+CS130+CS135+CS163+CS167+CS140+CS23+CS29+CS47+CS35+CS145+CS150+CS41</f>
        <v>27318567</v>
      </c>
      <c r="CT13" s="610"/>
      <c r="CU13" s="56"/>
      <c r="CV13" s="611"/>
      <c r="CW13" s="612"/>
      <c r="CX13" s="609">
        <f>+CX19+CX53+CX59+CX65+CX71+CX77+CX83+CX90+CX95+CX100+CX105+CX110+CX115+CX120+CX125+CX130+CX135+CX163+CX167+CX140+CX23+CX29+CX47+CX35+CX145+CX150+CX41</f>
        <v>21385621</v>
      </c>
      <c r="CY13" s="610"/>
      <c r="CZ13" s="56"/>
      <c r="DA13" s="611"/>
      <c r="DB13" s="612"/>
      <c r="DC13" s="609">
        <f>+DC19+DC53+DC59+DC65+DC71+DC77+DC83+DC90+DC95+DC100+DC105+DC110+DC115+DC120+DC125+DC130+DC135+DC163+DC167+DC140+DC23+DC29+DC47+DC35+DC145+DC150+DC41</f>
        <v>19251348</v>
      </c>
      <c r="DD13" s="610"/>
      <c r="DE13" s="56"/>
      <c r="DF13" s="611"/>
      <c r="DG13" s="612"/>
      <c r="DH13" s="609">
        <f>+DH19+DH53+DH59+DH65+DH71+DH77+DH83+DH90+DH95+DH100+DH105+DH110+DH115+DH120+DH125+DH130+DH135+DH163+DH167+DH140+DH23+DH29+DH47+DH35+DH145+DH150+DH41</f>
        <v>26059821</v>
      </c>
      <c r="DI13" s="610"/>
      <c r="DJ13" s="56"/>
      <c r="DK13" s="611"/>
      <c r="DL13" s="612"/>
      <c r="DM13" s="609">
        <f>+DM19+DM53+DM59+DM65+DM71+DM77+DM83+DM90+DM95+DM100+DM105+DM110+DM115+DM120+DM125+DM130+DM135+DM163+DM167+DM140+DM23+DM29+DM47+DM35+DM145+DM150+DM41</f>
        <v>18397319</v>
      </c>
      <c r="DN13" s="610"/>
      <c r="DO13" s="56"/>
      <c r="DP13" s="611"/>
      <c r="DQ13" s="612"/>
      <c r="DR13" s="609">
        <f>+DR19+DR53+DR59+DR65+DR71+DR77+DR83+DR90+DR95+DR100+DR105+DR110+DR115+DR120+DR125+DR130+DR135+DR163+DR167+DR140+DR23+DR29+DR47+DR35+DR145+DR150+DR41</f>
        <v>18587367</v>
      </c>
      <c r="DS13" s="610"/>
      <c r="DT13" s="56"/>
      <c r="DU13" s="611"/>
      <c r="DV13" s="612"/>
      <c r="DW13" s="609">
        <f>+DW19+DW53+DW59+DW65+DW71+DW77+DW83+DW90+DW95+DW100+DW105+DW110+DW115+DW120+DW125+DW130+DW135+DW163+DW167+DW140+DW23+DW29+DW47+DW35+DW145+DW150+DW41</f>
        <v>17193465</v>
      </c>
      <c r="DX13" s="610"/>
      <c r="DY13" s="56"/>
      <c r="DZ13" s="611"/>
      <c r="EA13" s="612"/>
      <c r="EB13" s="609">
        <f>+EB19+EB53+EB59+EB65+EB71+EB77+EB83+EB90+EB95+EB100+EB105+EB110+EB115+EB120+EB125+EB130+EB135+EB163+EB167+EB140+EB23+EB29+EB47+EB35+EB145+EB150+EB41</f>
        <v>23509279</v>
      </c>
      <c r="EC13" s="610"/>
      <c r="ED13" s="56"/>
      <c r="EE13" s="611"/>
      <c r="EF13" s="612"/>
      <c r="EG13" s="609">
        <f>+EG19+EG53+EG59+EG65+EG71+EG77+EG83+EG90+EG95+EG100+EG105+EG110+EG115+EG120+EG125+EG130+EG135+EG163+EG167+EG140+EG23+EG29+EG47+EG35+EG145+EG150+EG41</f>
        <v>23579973</v>
      </c>
      <c r="EH13" s="610"/>
      <c r="EI13" s="56"/>
      <c r="EJ13" s="611"/>
      <c r="EK13" s="612"/>
      <c r="EL13" s="609">
        <f>+EL19+EL53+EL59+EL65+EL71+EL77+EL83+EL90+EL95+EL100+EL105+EL110+EL115+EL120+EL125+EL130+EL135+EL163+EL167+EL140+EL23+EL29+EL47+EL35+EL145+EL150+EL41</f>
        <v>219898393</v>
      </c>
      <c r="EM13" s="610"/>
      <c r="EN13" s="56"/>
      <c r="EO13" s="144"/>
      <c r="ER13" s="42"/>
      <c r="ES13" s="42"/>
      <c r="ET13" s="613"/>
    </row>
    <row r="14" spans="4:150" x14ac:dyDescent="0.3">
      <c r="D14" s="144" t="s">
        <v>297</v>
      </c>
      <c r="F14" s="494"/>
      <c r="G14" s="56">
        <v>44612000</v>
      </c>
      <c r="H14" s="55"/>
      <c r="I14" s="56"/>
      <c r="J14" s="611"/>
      <c r="K14" s="611"/>
      <c r="L14" s="56">
        <f>+L54+L60+L66+L72+L78+L84+L91+L96+L101+L106+L111+L116+L121+L126+L131+L136+L141+L24+L30+L48+L36+L146+L151+L42</f>
        <v>3357671</v>
      </c>
      <c r="M14" s="55"/>
      <c r="N14" s="56"/>
      <c r="O14" s="611"/>
      <c r="P14" s="611"/>
      <c r="Q14" s="56">
        <f>+Q54+Q60+Q66+Q72+Q78+Q84+Q91+Q96+Q101+Q106+Q111+Q116+Q121+Q126+Q131+Q136+Q141+Q24+Q30+Q48+Q36+Q146+Q151+Q42</f>
        <v>4348042</v>
      </c>
      <c r="R14" s="55"/>
      <c r="S14" s="56"/>
      <c r="T14" s="611"/>
      <c r="U14" s="611"/>
      <c r="V14" s="56">
        <f>+V54+V60+V66+V72+V78+V84+V91+V96+V101+V106+V111+V116+V121+V126+V131+V136+V141+V24+V30+V48+V36+V146+V151+V42</f>
        <v>5199615</v>
      </c>
      <c r="W14" s="55"/>
      <c r="X14" s="56"/>
      <c r="Y14" s="611"/>
      <c r="Z14" s="611"/>
      <c r="AA14" s="56">
        <f>+AA54+AA60+AA66+AA72+AA78+AA84+AA91+AA96+AA101+AA106+AA111+AA116+AA121+AA126+AA131+AA136+AA141+AA24+AA30+AA48+AA36+AA146+AA151+AA42</f>
        <v>6163152</v>
      </c>
      <c r="AB14" s="55"/>
      <c r="AC14" s="56"/>
      <c r="AD14" s="611"/>
      <c r="AE14" s="611"/>
      <c r="AF14" s="56">
        <f>+AF54+AF60+AF66+AF72+AF78+AF84+AF91+AF96+AF101+AF106+AF111+AF116+AF121+AF126+AF131+AF136+AF141+AF24+AF30+AF48+AF36+AF146+AF151+AF42</f>
        <v>5523545</v>
      </c>
      <c r="AG14" s="55"/>
      <c r="AH14" s="56"/>
      <c r="AI14" s="611"/>
      <c r="AJ14" s="611"/>
      <c r="AK14" s="56">
        <f>+AK54+AK60+AK66+AK72+AK78+AK84+AK91+AK96+AK101+AK106+AK111+AK116+AK121+AK126+AK131+AK136+AK141+AK24+AK30+AK48+AK36+AK146+AK151+AK42</f>
        <v>5238994</v>
      </c>
      <c r="AL14" s="55"/>
      <c r="AM14" s="56"/>
      <c r="AN14" s="611"/>
      <c r="AO14" s="611"/>
      <c r="AP14" s="56">
        <f>+AP54+AP60+AP66+AP72+AP78+AP84+AP91+AP96+AP101+AP106+AP111+AP116+AP121+AP126+AP131+AP136+AP141+AP24+AP30+AP48+AP36+AP146+AP151+AP42</f>
        <v>5173710</v>
      </c>
      <c r="AQ14" s="55"/>
      <c r="AR14" s="56"/>
      <c r="AS14" s="611"/>
      <c r="AT14" s="611"/>
      <c r="AU14" s="56">
        <f>+AU54+AU60+AU66+AU72+AU78+AU84+AU91+AU96+AU101+AU106+AU111+AU116+AU121+AU126+AU131+AU136+AU141+AU24+AU30+AU48+AU36+AU146+AU151+AU42</f>
        <v>5207637</v>
      </c>
      <c r="AV14" s="55"/>
      <c r="AW14" s="56"/>
      <c r="AX14" s="611"/>
      <c r="AY14" s="611"/>
      <c r="AZ14" s="56">
        <f>+AZ54+AZ60+AZ66+AZ72+AZ78+AZ84+AZ91+AZ96+AZ101+AZ106+AZ111+AZ116+AZ121+AZ126+AZ131+AZ136+AZ141+AZ24+AZ30+AZ48+AZ36+AZ146+AZ151+AZ42</f>
        <v>3616198</v>
      </c>
      <c r="BA14" s="55"/>
      <c r="BB14" s="56"/>
      <c r="BC14" s="611"/>
      <c r="BD14" s="611"/>
      <c r="BE14" s="56">
        <f>+BE54+BE60+BE66+BE72+BE78+BE84+BE91+BE96+BE101+BE106+BE111+BE116+BE121+BE126+BE131+BE136+BE141+BE24+BE30+BE48+BE36+BE146+BE151+BE42</f>
        <v>2710299</v>
      </c>
      <c r="BF14" s="55"/>
      <c r="BG14" s="56"/>
      <c r="BH14" s="611"/>
      <c r="BI14" s="611"/>
      <c r="BJ14" s="56">
        <f>+BJ54+BJ60+BJ66+BJ72+BJ78+BJ84+BJ91+BJ96+BJ101+BJ106+BJ111+BJ116+BJ121+BJ126+BJ131+BJ136+BJ141+BJ24+BJ30+BJ48+BJ36+BJ146+BJ151+BJ42</f>
        <v>0</v>
      </c>
      <c r="BK14" s="55"/>
      <c r="BL14" s="56"/>
      <c r="BM14" s="611"/>
      <c r="BN14" s="611"/>
      <c r="BO14" s="56">
        <f>+BO54+BO60+BO66+BO72+BO78+BO84+BO91+BO96+BO101+BO106+BO111+BO116+BO121+BO126+BO131+BO136+BO141+BO24+BO30+BO48+BO36+BO146+BO151+BO42</f>
        <v>0</v>
      </c>
      <c r="BP14" s="55"/>
      <c r="BQ14" s="56"/>
      <c r="BR14" s="611"/>
      <c r="BS14" s="611"/>
      <c r="BT14" s="56">
        <f>+BT54+BT60+BT66+BT72+BT78+BT84+BT91+BT96+BT101+BT106+BT111+BT116+BT121+BT126+BT131+BT136+BT141+BT24+BT30+BT48+BT36+BT146+BT151+BT42</f>
        <v>46538863</v>
      </c>
      <c r="BU14" s="55"/>
      <c r="BV14" s="56"/>
      <c r="BW14" s="611"/>
      <c r="BX14" s="611"/>
      <c r="BY14" s="56">
        <f>+BY54+BY60+BY66+BY72+BY78+BY84+BY91+BY96+BY101+BY106+BY111+BY116+BY121+BY126+BY131+BY136+BY141+BY24+BY30+BY48+BY36+BY146+BY151+BY42</f>
        <v>47829626</v>
      </c>
      <c r="BZ14" s="55"/>
      <c r="CA14" s="56"/>
      <c r="CB14" s="611"/>
      <c r="CC14" s="611"/>
      <c r="CD14" s="56">
        <f>+CD54+CD60+CD66+CD72+CD78+CD84+CD91+CD96+CD101+CD106+CD111+CD116+CD121+CD126+CD131+CD136+CD141+CD24+CD30+CD48+CD36+CD146+CD151+CD42</f>
        <v>5645039</v>
      </c>
      <c r="CE14" s="55"/>
      <c r="CF14" s="56"/>
      <c r="CG14" s="611"/>
      <c r="CH14" s="611"/>
      <c r="CI14" s="56">
        <f>+CI54+CI60+CI66+CI72+CI78+CI84+CI91+CI96+CI101+CI106+CI111+CI116+CI121+CI126+CI131+CI136+CI141+CI24+CI30+CI48+CI36+CI146+CI151+CI42</f>
        <v>4477496</v>
      </c>
      <c r="CJ14" s="55"/>
      <c r="CK14" s="56"/>
      <c r="CL14" s="611"/>
      <c r="CM14" s="611"/>
      <c r="CN14" s="56">
        <f>+CN54+CN60+CN66+CN72+CN78+CN84+CN91+CN96+CN101+CN106+CN111+CN116+CN121+CN126+CN131+CN136+CN141+CN24+CN30+CN48+CN36+CN146+CN151+CN42</f>
        <v>3697051</v>
      </c>
      <c r="CO14" s="55"/>
      <c r="CP14" s="56"/>
      <c r="CQ14" s="611"/>
      <c r="CR14" s="611"/>
      <c r="CS14" s="56">
        <f>+CS54+CS60+CS66+CS72+CS78+CS84+CS91+CS96+CS101+CS106+CS111+CS116+CS121+CS126+CS131+CS136+CS141+CS24+CS30+CS48+CS36+CS146+CS151+CS42</f>
        <v>4028774</v>
      </c>
      <c r="CT14" s="55"/>
      <c r="CU14" s="56"/>
      <c r="CV14" s="611"/>
      <c r="CW14" s="611"/>
      <c r="CX14" s="56">
        <f>+CX54+CX60+CX66+CX72+CX78+CX84+CX91+CX96+CX101+CX106+CX111+CX116+CX121+CX126+CX131+CX136+CX141+CX24+CX30+CX48+CX36+CX146+CX151+CX42</f>
        <v>4063950</v>
      </c>
      <c r="CY14" s="55"/>
      <c r="CZ14" s="56"/>
      <c r="DA14" s="611"/>
      <c r="DB14" s="611"/>
      <c r="DC14" s="56">
        <f>+DC54+DC60+DC66+DC72+DC78+DC84+DC91+DC96+DC101+DC106+DC111+DC116+DC121+DC126+DC131+DC136+DC141+DC24+DC30+DC48+DC36+DC146+DC151+DC42</f>
        <v>3732222</v>
      </c>
      <c r="DD14" s="55"/>
      <c r="DE14" s="56"/>
      <c r="DF14" s="611"/>
      <c r="DG14" s="611"/>
      <c r="DH14" s="56">
        <f>+DH54+DH60+DH66+DH72+DH78+DH84+DH91+DH96+DH101+DH106+DH111+DH116+DH121+DH126+DH131+DH136+DH141+DH24+DH30+DH48+DH36+DH146+DH151+DH42</f>
        <v>5478270</v>
      </c>
      <c r="DI14" s="55"/>
      <c r="DJ14" s="56"/>
      <c r="DK14" s="611"/>
      <c r="DL14" s="611"/>
      <c r="DM14" s="56">
        <f>+DM54+DM60+DM66+DM72+DM78+DM84+DM91+DM96+DM101+DM106+DM111+DM116+DM121+DM126+DM131+DM136+DM141+DM24+DM30+DM48+DM36+DM146+DM151+DM42</f>
        <v>3339881</v>
      </c>
      <c r="DN14" s="55"/>
      <c r="DO14" s="56"/>
      <c r="DP14" s="611"/>
      <c r="DQ14" s="611"/>
      <c r="DR14" s="56">
        <f>+DR54+DR60+DR66+DR72+DR78+DR84+DR91+DR96+DR101+DR106+DR111+DR116+DR121+DR126+DR131+DR136+DR141+DR24+DR30+DR48+DR36+DR146+DR151+DR42</f>
        <v>4186870</v>
      </c>
      <c r="DS14" s="55"/>
      <c r="DT14" s="56"/>
      <c r="DU14" s="611"/>
      <c r="DV14" s="611"/>
      <c r="DW14" s="56">
        <f>+DW54+DW60+DW66+DW72+DW78+DW84+DW91+DW96+DW101+DW106+DW111+DW116+DW121+DW126+DW131+DW136+DW141+DW24+DW30+DW48+DW36+DW146+DW151+DW42</f>
        <v>2875651</v>
      </c>
      <c r="DX14" s="55"/>
      <c r="DY14" s="56"/>
      <c r="DZ14" s="611"/>
      <c r="EA14" s="611"/>
      <c r="EB14" s="56">
        <f>+EB54+EB60+EB66+EB72+EB78+EB84+EB91+EB96+EB101+EB106+EB111+EB116+EB121+EB126+EB131+EB136+EB141+EB24+EB30+EB48+EB36+EB146+EB151+EB42</f>
        <v>3208682</v>
      </c>
      <c r="EC14" s="55"/>
      <c r="ED14" s="56"/>
      <c r="EE14" s="611"/>
      <c r="EF14" s="611"/>
      <c r="EG14" s="56">
        <f>+EG54+EG60+EG66+EG72+EG78+EG84+EG91+EG96+EG101+EG106+EG111+EG116+EG121+EG126+EG131+EG136+EG141+EG24+EG30+EG48+EG36+EG146+EG151+EG42</f>
        <v>3095740</v>
      </c>
      <c r="EH14" s="55"/>
      <c r="EI14" s="56"/>
      <c r="EJ14" s="611"/>
      <c r="EK14" s="611"/>
      <c r="EL14" s="56">
        <f>+EL54+EL60+EL66+EL72+EL78+EL84+EL91+EL96+EL101+EL106+EL111+EL116+EL121+EL126+EL131+EL136+EL141+EL24+EL30+EL48+EL36+EL146+EL151+EL42</f>
        <v>41525204</v>
      </c>
      <c r="EM14" s="55"/>
      <c r="EN14" s="56"/>
      <c r="EO14" s="144"/>
      <c r="ER14" s="42"/>
      <c r="ES14" s="42"/>
      <c r="ET14" s="613"/>
    </row>
    <row r="15" spans="4:150" x14ac:dyDescent="0.3">
      <c r="D15" s="144" t="s">
        <v>332</v>
      </c>
      <c r="F15" s="494"/>
      <c r="G15" s="56">
        <f>+G55+G61+G67+G73+G79+G85+G92+G97+G102+G107+G112+G117+G122+G127+G132+G137+G142+G25+G31+G49+G37+G147+G152+G43</f>
        <v>0</v>
      </c>
      <c r="H15" s="506"/>
      <c r="J15" s="494"/>
      <c r="K15" s="494"/>
      <c r="L15" s="56">
        <f>+L55+L61+L67+L73+L79+L85+L92+L97+L102+L107+L112+L117+L122+L127+L132+L137+L142+L25+L31+L49+L37+L147+L152+L43</f>
        <v>0</v>
      </c>
      <c r="M15" s="55"/>
      <c r="N15" s="56"/>
      <c r="O15" s="611"/>
      <c r="P15" s="611"/>
      <c r="Q15" s="56">
        <f>+Q55+Q61+Q67+Q73+Q79+Q85+Q92+Q97+Q102+Q107+Q112+Q117+Q122+Q127+Q132+Q137+Q142+Q25+Q31+Q49+Q37+Q147+Q152+Q43</f>
        <v>0</v>
      </c>
      <c r="R15" s="55"/>
      <c r="S15" s="56"/>
      <c r="T15" s="611"/>
      <c r="U15" s="611"/>
      <c r="V15" s="56">
        <f>+V55+V61+V67+V73+V79+V85+V92+V97+V102+V107+V112+V117+V122+V127+V132+V137+V142+V25+V31+V49+V37+V147+V152+V43</f>
        <v>0</v>
      </c>
      <c r="W15" s="55"/>
      <c r="X15" s="56"/>
      <c r="Y15" s="611"/>
      <c r="Z15" s="611"/>
      <c r="AA15" s="56">
        <f>+AA55+AA61+AA67+AA73+AA79+AA85+AA92+AA97+AA102+AA107+AA112+AA117+AA122+AA127+AA132+AA137+AA142+AA25+AA31+AA49+AA37+AA147+AA152+AA43</f>
        <v>0</v>
      </c>
      <c r="AB15" s="55"/>
      <c r="AC15" s="56"/>
      <c r="AD15" s="611"/>
      <c r="AE15" s="611"/>
      <c r="AF15" s="56">
        <f>+AF55+AF61+AF67+AF73+AF79+AF85+AF92+AF97+AF102+AF107+AF112+AF117+AF122+AF127+AF132+AF137+AF142+AF25+AF31+AF49+AF37+AF147+AF152+AF43</f>
        <v>-27779</v>
      </c>
      <c r="AG15" s="55"/>
      <c r="AH15" s="56"/>
      <c r="AI15" s="611"/>
      <c r="AJ15" s="611"/>
      <c r="AK15" s="56">
        <f>+AK55+AK61+AK67+AK73+AK79+AK85+AK92+AK97+AK102+AK107+AK112+AK117+AK122+AK127+AK132+AK137+AK142+AK25+AK31+AK49+AK37+AK147+AK152+AK43</f>
        <v>-116280</v>
      </c>
      <c r="AL15" s="55"/>
      <c r="AM15" s="56"/>
      <c r="AN15" s="611"/>
      <c r="AO15" s="611"/>
      <c r="AP15" s="56">
        <f>+AP55+AP61+AP67+AP73+AP79+AP85+AP92+AP97+AP102+AP107+AP112+AP117+AP122+AP127+AP132+AP137+AP142+AP25+AP31+AP49+AP37+AP147+AP152+AP43</f>
        <v>-158830</v>
      </c>
      <c r="AQ15" s="55"/>
      <c r="AR15" s="56"/>
      <c r="AS15" s="611"/>
      <c r="AT15" s="611"/>
      <c r="AU15" s="56">
        <f>+AU55+AU61+AU67+AU73+AU79+AU85+AU92+AU97+AU102+AU107+AU112+AU117+AU122+AU127+AU132+AU137+AU142+AU25+AU31+AU49+AU37+AU147+AU152+AU43</f>
        <v>-139890</v>
      </c>
      <c r="AV15" s="55"/>
      <c r="AW15" s="56"/>
      <c r="AX15" s="611"/>
      <c r="AY15" s="611"/>
      <c r="AZ15" s="56">
        <f>+AZ55+AZ61+AZ67+AZ73+AZ79+AZ85+AZ92+AZ97+AZ102+AZ107+AZ112+AZ117+AZ122+AZ127+AZ132+AZ137+AZ142+AZ25+AZ31+AZ49+AZ37+AZ147+AZ152+AZ43</f>
        <v>0</v>
      </c>
      <c r="BA15" s="55"/>
      <c r="BB15" s="56"/>
      <c r="BC15" s="611"/>
      <c r="BD15" s="611"/>
      <c r="BE15" s="56">
        <f>+BE55+BE61+BE67+BE73+BE79+BE85+BE92+BE97+BE102+BE107+BE112+BE117+BE122+BE127+BE132+BE137+BE142+BE25+BE31+BE49+BE37+BE147+BE152+BE43</f>
        <v>0</v>
      </c>
      <c r="BF15" s="55"/>
      <c r="BG15" s="56"/>
      <c r="BH15" s="611"/>
      <c r="BI15" s="611"/>
      <c r="BJ15" s="56">
        <f>+BJ55+BJ61+BJ67+BJ73+BJ79+BJ85+BJ92+BJ97+BJ102+BJ107+BJ112+BJ117+BJ122+BJ127+BJ132+BJ137+BJ142+BJ25+BJ31+BJ49+BJ37+BJ147+BJ152+BJ43</f>
        <v>0</v>
      </c>
      <c r="BK15" s="55"/>
      <c r="BL15" s="56"/>
      <c r="BM15" s="611"/>
      <c r="BN15" s="611"/>
      <c r="BO15" s="56">
        <f>+BO55+BO61+BO67+BO73+BO79+BO85+BO92+BO97+BO102+BO107+BO112+BO117+BO122+BO127+BO132+BO137+BO142+BO25+BO31+BO49+BO37+BO147+BO152+BO43</f>
        <v>0</v>
      </c>
      <c r="BP15" s="55"/>
      <c r="BQ15" s="56"/>
      <c r="BR15" s="611"/>
      <c r="BS15" s="611"/>
      <c r="BT15" s="56">
        <f>+BT55+BT61+BT67+BT73+BT79+BT85+BT92+BT97+BT102+BT107+BT112+BT117+BT122+BT127+BT132+BT137+BT142+BT25+BT31+BT49+BT37+BT147+BT152+BT43</f>
        <v>-442779</v>
      </c>
      <c r="BU15" s="55"/>
      <c r="BV15" s="56"/>
      <c r="BW15" s="611"/>
      <c r="BX15" s="611"/>
      <c r="BY15" s="56">
        <f>+BY55+BY61+BY67+BY73+BY79+BY85+BY92+BY97+BY102+BY107+BY112+BY117+BY122+BY127+BY132+BY137+BY142+BY25+BY31+BY49+BY37+BY147+BY152+BY43</f>
        <v>-1380512</v>
      </c>
      <c r="BZ15" s="506"/>
      <c r="CB15" s="494"/>
      <c r="CC15" s="494"/>
      <c r="CD15" s="56">
        <f>+CD55+CD61+CD67+CD73+CD79+CD85+CD92+CD97+CD102+CD107+CD112+CD117+CD122+CD127+CD132+CD137+CD142+CD25+CD31+CD49+CD37+CD147+CD152+CD43</f>
        <v>-493</v>
      </c>
      <c r="CE15" s="55"/>
      <c r="CF15" s="56"/>
      <c r="CG15" s="611"/>
      <c r="CH15" s="611"/>
      <c r="CI15" s="56">
        <f>+CI55+CI61+CI67+CI73+CI79+CI85+CI92+CI97+CI102+CI107+CI112+CI117+CI122+CI127+CI132+CI137+CI142+CI25+CI31+CI49+CI37+CI147+CI152+CI43</f>
        <v>-193807</v>
      </c>
      <c r="CJ15" s="55"/>
      <c r="CK15" s="56"/>
      <c r="CL15" s="611"/>
      <c r="CM15" s="611"/>
      <c r="CN15" s="56">
        <f>+CN55+CN61+CN67+CN73+CN79+CN85+CN92+CN97+CN102+CN107+CN112+CN117+CN122+CN127+CN132+CN137+CN142+CN25+CN31+CN49+CN37+CN147+CN152+CN43</f>
        <v>-200</v>
      </c>
      <c r="CO15" s="55"/>
      <c r="CP15" s="56"/>
      <c r="CQ15" s="611"/>
      <c r="CR15" s="611"/>
      <c r="CS15" s="56">
        <f>+CS55+CS61+CS67+CS73+CS79+CS85+CS92+CS97+CS102+CS107+CS112+CS117+CS122+CS127+CS132+CS137+CS142+CS25+CS31+CS49+CS37+CS147+CS152+CS43</f>
        <v>-182826</v>
      </c>
      <c r="CT15" s="55"/>
      <c r="CU15" s="56"/>
      <c r="CV15" s="611"/>
      <c r="CW15" s="611"/>
      <c r="CX15" s="56">
        <f>+CX55+CX61+CX67+CX73+CX79+CX85+CX92+CX97+CX102+CX107+CX112+CX117+CX122+CX127+CX132+CX137+CX142+CX25+CX31+CX49+CX37+CX147+CX152+CX43</f>
        <v>0</v>
      </c>
      <c r="CY15" s="55"/>
      <c r="CZ15" s="56"/>
      <c r="DA15" s="611"/>
      <c r="DB15" s="611"/>
      <c r="DC15" s="56">
        <f>+DC55+DC61+DC67+DC73+DC79+DC85+DC92+DC97+DC102+DC107+DC112+DC117+DC122+DC127+DC132+DC137+DC142+DC25+DC31+DC49+DC37+DC147+DC152+DC43</f>
        <v>0</v>
      </c>
      <c r="DD15" s="55"/>
      <c r="DE15" s="56"/>
      <c r="DF15" s="611"/>
      <c r="DG15" s="611"/>
      <c r="DH15" s="56">
        <f>+DH55+DH61+DH67+DH73+DH79+DH85+DH92+DH97+DH102+DH107+DH112+DH117+DH122+DH127+DH132+DH137+DH142+DH25+DH31+DH49+DH37+DH147+DH152+DH43</f>
        <v>0</v>
      </c>
      <c r="DI15" s="55"/>
      <c r="DJ15" s="56"/>
      <c r="DK15" s="611"/>
      <c r="DL15" s="611"/>
      <c r="DM15" s="56">
        <f>+DM55+DM61+DM67+DM73+DM79+DM85+DM92+DM97+DM102+DM107+DM112+DM117+DM122+DM127+DM132+DM137+DM142+DM25+DM31+DM49+DM37+DM147+DM152+DM43</f>
        <v>-18</v>
      </c>
      <c r="DN15" s="55"/>
      <c r="DO15" s="56"/>
      <c r="DP15" s="611"/>
      <c r="DQ15" s="611"/>
      <c r="DR15" s="56">
        <f>+DR55+DR61+DR67+DR73+DR79+DR85+DR92+DR97+DR102+DR107+DR112+DR117+DR122+DR127+DR132+DR137+DR142+DR25+DR31+DR49+DR37+DR147+DR152+DR43</f>
        <v>0</v>
      </c>
      <c r="DS15" s="55"/>
      <c r="DT15" s="56"/>
      <c r="DU15" s="611"/>
      <c r="DV15" s="611"/>
      <c r="DW15" s="56">
        <f>+DW55+DW61+DW67+DW73+DW79+DW85+DW92+DW97+DW102+DW107+DW112+DW117+DW122+DW127+DW132+DW137+DW142+DW25+DW31+DW49+DW37+DW147+DW152+DW43</f>
        <v>-361232</v>
      </c>
      <c r="DX15" s="55"/>
      <c r="DY15" s="56"/>
      <c r="DZ15" s="611"/>
      <c r="EA15" s="611"/>
      <c r="EB15" s="56">
        <f>+EB55+EB61+EB67+EB73+EB79+EB85+EB92+EB97+EB102+EB107+EB112+EB117+EB122+EB127+EB132+EB137+EB142+EB25+EB31+EB49+EB37+EB147+EB152+EB43</f>
        <v>-209896</v>
      </c>
      <c r="EC15" s="55"/>
      <c r="ED15" s="56"/>
      <c r="EE15" s="611"/>
      <c r="EF15" s="611"/>
      <c r="EG15" s="56">
        <f>+EG55+EG61+EG67+EG73+EG79+EG85+EG92+EG97+EG102+EG107+EG112+EG117+EG122+EG127+EG132+EG137+EG142+EG25+EG31+EG49+EG37+EG147+EG152+EG43</f>
        <v>-432040</v>
      </c>
      <c r="EH15" s="55"/>
      <c r="EI15" s="56"/>
      <c r="EJ15" s="611"/>
      <c r="EK15" s="611"/>
      <c r="EL15" s="56">
        <f>+EL55+EL61+EL67+EL73+EL79+EL85+EL92+EL97+EL102+EL107+EL112+EL117+EL122+EL127+EL132+EL137+EL142+EL25+EL31+EL49+EL37+EL147+EL152+EL43</f>
        <v>-738576</v>
      </c>
      <c r="EM15" s="55"/>
      <c r="EN15" s="56"/>
      <c r="EO15" s="144"/>
      <c r="ER15" s="42"/>
      <c r="ES15" s="42"/>
      <c r="ET15" s="613"/>
    </row>
    <row r="16" spans="4:150" x14ac:dyDescent="0.3">
      <c r="D16" s="144" t="s">
        <v>333</v>
      </c>
      <c r="F16" s="513"/>
      <c r="G16" s="277">
        <f>+G26+G32+G38+G44+G50+G56+G62+G68+G74+G80+G86</f>
        <v>0</v>
      </c>
      <c r="H16" s="515"/>
      <c r="J16" s="494"/>
      <c r="K16" s="513"/>
      <c r="L16" s="277">
        <f>+L26+L32+L38+L44+L50+L56+L62+L68+L74+L80+L86</f>
        <v>1617855</v>
      </c>
      <c r="M16" s="515"/>
      <c r="O16" s="494"/>
      <c r="P16" s="513"/>
      <c r="Q16" s="277">
        <f>+Q26+Q32+Q38+Q44+Q50+Q56+Q62+Q68+Q74+Q80+Q86</f>
        <v>1307332</v>
      </c>
      <c r="R16" s="515"/>
      <c r="T16" s="494"/>
      <c r="U16" s="513"/>
      <c r="V16" s="277">
        <f>+V26+V32+V38+V44+V50+V56+V62+V68+V74+V80+V86</f>
        <v>2776593</v>
      </c>
      <c r="W16" s="515"/>
      <c r="Y16" s="494"/>
      <c r="Z16" s="513"/>
      <c r="AA16" s="277">
        <f>+AA26+AA32+AA38+AA44+AA50+AA56+AA62+AA68+AA74+AA80+AA86</f>
        <v>1634089</v>
      </c>
      <c r="AB16" s="515"/>
      <c r="AD16" s="494"/>
      <c r="AE16" s="513"/>
      <c r="AF16" s="277">
        <f>+AF26+AF32+AF38+AF44+AF50+AF56+AF62+AF68+AF74+AF80+AF86</f>
        <v>2989028</v>
      </c>
      <c r="AG16" s="515"/>
      <c r="AI16" s="494"/>
      <c r="AJ16" s="513"/>
      <c r="AK16" s="277">
        <f>+AK26+AK32+AK38+AK44+AK50+AK56+AK62+AK68+AK74+AK80+AK86</f>
        <v>2345544</v>
      </c>
      <c r="AL16" s="515"/>
      <c r="AN16" s="494"/>
      <c r="AO16" s="513"/>
      <c r="AP16" s="277">
        <f>+AP26+AP32+AP38+AP44+AP50+AP56+AP62+AP68+AP74+AP80+AP86</f>
        <v>2718050</v>
      </c>
      <c r="AQ16" s="515"/>
      <c r="AS16" s="494"/>
      <c r="AT16" s="513"/>
      <c r="AU16" s="277">
        <f>+AU26+AU32+AU38+AU44+AU50+AU56+AU62+AU68+AU74+AU80+AU86</f>
        <v>2604250</v>
      </c>
      <c r="AV16" s="515"/>
      <c r="AX16" s="494"/>
      <c r="AY16" s="513"/>
      <c r="AZ16" s="277">
        <f>+AZ26+AZ32+AZ38+AZ44+AZ50+AZ56+AZ62+AZ68+AZ74+AZ80+AZ86</f>
        <v>871924</v>
      </c>
      <c r="BA16" s="515"/>
      <c r="BC16" s="494"/>
      <c r="BD16" s="513"/>
      <c r="BE16" s="277">
        <f>+BE26+BE32+BE38+BE44+BE50+BE56+BE62+BE68+BE74+BE80+BE86</f>
        <v>817259</v>
      </c>
      <c r="BF16" s="515"/>
      <c r="BH16" s="494"/>
      <c r="BI16" s="513"/>
      <c r="BJ16" s="277">
        <f>+BJ26+BJ32+BJ38+BJ44+BJ50+BJ56+BJ62+BJ68+BJ74+BJ80+BJ86</f>
        <v>0</v>
      </c>
      <c r="BK16" s="515"/>
      <c r="BM16" s="494"/>
      <c r="BN16" s="513"/>
      <c r="BO16" s="277">
        <f>+BO26+BO32+BO38+BO44+BO50+BO56+BO62+BO68+BO74+BO80+BO86</f>
        <v>0</v>
      </c>
      <c r="BP16" s="515"/>
      <c r="BR16" s="494"/>
      <c r="BS16" s="513"/>
      <c r="BT16" s="277">
        <f>+BT26+BT32+BT38+BT44+BT50+BT56+BT62+BT68+BT74+BT80+BT86</f>
        <v>19681924</v>
      </c>
      <c r="BU16" s="515"/>
      <c r="BW16" s="494"/>
      <c r="BX16" s="513"/>
      <c r="BY16" s="277">
        <f>+BY26+BY32+BY38+BY44+BY50+BY56+BY62+BY68+BY74+BY80+BY86</f>
        <v>24325993</v>
      </c>
      <c r="BZ16" s="515"/>
      <c r="CB16" s="494"/>
      <c r="CC16" s="513"/>
      <c r="CD16" s="277">
        <f>+CD26+CD32+CD38+CD44+CD50+CD56+CD62+CD68+CD74+CD80+CD86</f>
        <v>1005042</v>
      </c>
      <c r="CE16" s="515"/>
      <c r="CG16" s="494"/>
      <c r="CH16" s="513"/>
      <c r="CI16" s="277">
        <f>+CI26+CI32+CI38+CI44+CI50+CI56+CI62+CI68+CI74+CI80+CI86</f>
        <v>2131567</v>
      </c>
      <c r="CJ16" s="515"/>
      <c r="CL16" s="494"/>
      <c r="CM16" s="513"/>
      <c r="CN16" s="277">
        <f>+CN26+CN32+CN38+CN44+CN50+CN56+CN62+CN68+CN74+CN80+CN86</f>
        <v>2354360</v>
      </c>
      <c r="CO16" s="515"/>
      <c r="CQ16" s="494"/>
      <c r="CR16" s="513"/>
      <c r="CS16" s="277">
        <f>+CS26+CS32+CS38+CS44+CS50+CS56+CS62+CS68+CS74+CS80+CS86</f>
        <v>1812274</v>
      </c>
      <c r="CT16" s="515"/>
      <c r="CV16" s="494"/>
      <c r="CW16" s="513"/>
      <c r="CX16" s="277">
        <f>+CX26+CX32+CX38+CX44+CX50+CX56+CX62+CX68+CX74+CX80+CX86</f>
        <v>2220682</v>
      </c>
      <c r="CY16" s="515"/>
      <c r="DA16" s="494"/>
      <c r="DB16" s="513"/>
      <c r="DC16" s="277">
        <f>+DC26+DC32+DC38+DC44+DC50+DC56+DC62+DC68+DC74+DC80+DC86</f>
        <v>2340892</v>
      </c>
      <c r="DD16" s="515"/>
      <c r="DF16" s="494"/>
      <c r="DG16" s="513"/>
      <c r="DH16" s="277">
        <f>+DH26+DH32+DH38+DH44+DH50+DH56+DH62+DH68+DH74+DH80+DH86</f>
        <v>2290184</v>
      </c>
      <c r="DI16" s="515"/>
      <c r="DK16" s="494"/>
      <c r="DL16" s="513"/>
      <c r="DM16" s="277">
        <f>+DM26+DM32+DM38+DM44+DM50+DM56+DM62+DM68+DM74+DM80+DM86</f>
        <v>1566723</v>
      </c>
      <c r="DN16" s="515"/>
      <c r="DP16" s="494"/>
      <c r="DQ16" s="513"/>
      <c r="DR16" s="277">
        <f>+DR26+DR32+DR38+DR44+DR50+DR56+DR62+DR68+DR74+DR80+DR86</f>
        <v>2188622</v>
      </c>
      <c r="DS16" s="515"/>
      <c r="DU16" s="494"/>
      <c r="DV16" s="513"/>
      <c r="DW16" s="277">
        <f>+DW26+DW32+DW38+DW44+DW50+DW56+DW62+DW68+DW74+DW80+DW86</f>
        <v>1946391</v>
      </c>
      <c r="DX16" s="515"/>
      <c r="DZ16" s="494"/>
      <c r="EA16" s="513"/>
      <c r="EB16" s="277">
        <f>+EB26+EB32+EB38+EB44+EB50+EB56+EB62+EB68+EB74+EB80+EB86</f>
        <v>2183859</v>
      </c>
      <c r="EC16" s="515"/>
      <c r="EE16" s="494"/>
      <c r="EF16" s="513"/>
      <c r="EG16" s="277">
        <f>+EG26+EG32+EG38+EG44+EG50+EG56+EG62+EG68+EG74+EG80+EG86</f>
        <v>2285397</v>
      </c>
      <c r="EH16" s="515"/>
      <c r="EJ16" s="494"/>
      <c r="EK16" s="513"/>
      <c r="EL16" s="277">
        <f>+EL26+EL32+EL38+EL44+EL50+EL56+EL62+EL68+EL74+EL80+EL86</f>
        <v>19856737</v>
      </c>
      <c r="EM16" s="515"/>
      <c r="EO16" s="144"/>
      <c r="ER16" s="42"/>
      <c r="ES16" s="42"/>
    </row>
    <row r="17" spans="4:149" x14ac:dyDescent="0.3">
      <c r="D17" s="144"/>
      <c r="G17" s="56"/>
      <c r="H17" s="56"/>
      <c r="I17" s="56"/>
      <c r="J17" s="611"/>
      <c r="K17" s="56"/>
      <c r="L17" s="56"/>
      <c r="M17" s="56"/>
      <c r="N17" s="56"/>
      <c r="O17" s="611"/>
      <c r="P17" s="56"/>
      <c r="Q17" s="56"/>
      <c r="R17" s="56"/>
      <c r="S17" s="56"/>
      <c r="T17" s="611"/>
      <c r="U17" s="56"/>
      <c r="V17" s="56"/>
      <c r="W17" s="56"/>
      <c r="X17" s="56"/>
      <c r="Y17" s="611"/>
      <c r="Z17" s="56"/>
      <c r="AA17" s="56"/>
      <c r="AB17" s="56"/>
      <c r="AC17" s="56"/>
      <c r="AD17" s="611"/>
      <c r="AE17" s="56"/>
      <c r="AF17" s="56"/>
      <c r="AG17" s="56"/>
      <c r="AH17" s="56"/>
      <c r="AI17" s="611"/>
      <c r="AJ17" s="56"/>
      <c r="AK17" s="56"/>
      <c r="AL17" s="56"/>
      <c r="AM17" s="56"/>
      <c r="AN17" s="611"/>
      <c r="AO17" s="56"/>
      <c r="AP17" s="56"/>
      <c r="AQ17" s="56"/>
      <c r="AR17" s="56"/>
      <c r="AS17" s="611"/>
      <c r="AT17" s="56"/>
      <c r="AU17" s="56"/>
      <c r="AV17" s="56"/>
      <c r="AW17" s="56"/>
      <c r="AX17" s="611"/>
      <c r="AY17" s="56"/>
      <c r="AZ17" s="56"/>
      <c r="BA17" s="56"/>
      <c r="BB17" s="56"/>
      <c r="BC17" s="611"/>
      <c r="BD17" s="56"/>
      <c r="BE17" s="56"/>
      <c r="BF17" s="56"/>
      <c r="BG17" s="56"/>
      <c r="BH17" s="611"/>
      <c r="BI17" s="56"/>
      <c r="BJ17" s="56"/>
      <c r="BK17" s="56"/>
      <c r="BL17" s="56"/>
      <c r="BM17" s="611"/>
      <c r="BN17" s="56"/>
      <c r="BO17" s="56"/>
      <c r="BP17" s="56"/>
      <c r="BQ17" s="56"/>
      <c r="BR17" s="611"/>
      <c r="BS17" s="56"/>
      <c r="BT17" s="56"/>
      <c r="BU17" s="56"/>
      <c r="BV17" s="56"/>
      <c r="BW17" s="611"/>
      <c r="BX17" s="56"/>
      <c r="BY17" s="56"/>
      <c r="BZ17" s="56"/>
      <c r="CA17" s="56"/>
      <c r="CB17" s="611"/>
      <c r="CC17" s="56"/>
      <c r="CD17" s="56"/>
      <c r="CE17" s="56"/>
      <c r="CF17" s="56"/>
      <c r="CG17" s="611"/>
      <c r="CH17" s="56"/>
      <c r="CI17" s="56"/>
      <c r="CJ17" s="56"/>
      <c r="CK17" s="56"/>
      <c r="CL17" s="611"/>
      <c r="CM17" s="56"/>
      <c r="CN17" s="56"/>
      <c r="CO17" s="56"/>
      <c r="CP17" s="56"/>
      <c r="CQ17" s="611"/>
      <c r="CR17" s="56"/>
      <c r="CS17" s="56"/>
      <c r="CT17" s="56"/>
      <c r="CU17" s="56"/>
      <c r="CV17" s="611"/>
      <c r="CW17" s="56"/>
      <c r="CX17" s="56"/>
      <c r="CY17" s="56"/>
      <c r="CZ17" s="56"/>
      <c r="DA17" s="611"/>
      <c r="DB17" s="56"/>
      <c r="DC17" s="56"/>
      <c r="DD17" s="56"/>
      <c r="DE17" s="56"/>
      <c r="DF17" s="611"/>
      <c r="DG17" s="56"/>
      <c r="DH17" s="56"/>
      <c r="DI17" s="56"/>
      <c r="DJ17" s="56"/>
      <c r="DK17" s="611"/>
      <c r="DL17" s="56"/>
      <c r="DM17" s="56"/>
      <c r="DN17" s="56"/>
      <c r="DO17" s="56"/>
      <c r="DP17" s="611"/>
      <c r="DQ17" s="56"/>
      <c r="DR17" s="56"/>
      <c r="DS17" s="56"/>
      <c r="DT17" s="56"/>
      <c r="DU17" s="611"/>
      <c r="DV17" s="56"/>
      <c r="DW17" s="56"/>
      <c r="DX17" s="56"/>
      <c r="DY17" s="56"/>
      <c r="DZ17" s="611"/>
      <c r="EA17" s="56"/>
      <c r="EB17" s="56"/>
      <c r="EC17" s="56"/>
      <c r="ED17" s="56"/>
      <c r="EE17" s="611"/>
      <c r="EF17" s="56"/>
      <c r="EG17" s="56"/>
      <c r="EH17" s="56"/>
      <c r="EI17" s="56"/>
      <c r="EJ17" s="611"/>
      <c r="EK17" s="56"/>
      <c r="EL17" s="56"/>
      <c r="EM17" s="56"/>
      <c r="EN17" s="56"/>
      <c r="EO17" s="144"/>
      <c r="ER17" s="42"/>
      <c r="ES17" s="42"/>
    </row>
    <row r="18" spans="4:149" ht="12.75" customHeight="1" x14ac:dyDescent="0.3">
      <c r="D18" s="144" t="s">
        <v>334</v>
      </c>
      <c r="G18" s="56">
        <f>SUM(G19:G19)</f>
        <v>3500000</v>
      </c>
      <c r="H18" s="56"/>
      <c r="I18" s="56"/>
      <c r="J18" s="611"/>
      <c r="K18" s="56"/>
      <c r="L18" s="56">
        <f>SUM(L19:L19)</f>
        <v>979066</v>
      </c>
      <c r="M18" s="56"/>
      <c r="N18" s="56"/>
      <c r="O18" s="611"/>
      <c r="P18" s="56"/>
      <c r="Q18" s="56">
        <f>SUM(Q19:Q19)</f>
        <v>826458</v>
      </c>
      <c r="R18" s="56"/>
      <c r="S18" s="56"/>
      <c r="T18" s="611"/>
      <c r="U18" s="56"/>
      <c r="V18" s="56">
        <f>SUM(V19:V19)</f>
        <v>694534</v>
      </c>
      <c r="W18" s="56"/>
      <c r="X18" s="56"/>
      <c r="Y18" s="611"/>
      <c r="Z18" s="56"/>
      <c r="AA18" s="56">
        <f>SUM(AA19:AA19)</f>
        <v>820421</v>
      </c>
      <c r="AB18" s="56"/>
      <c r="AC18" s="56"/>
      <c r="AD18" s="611"/>
      <c r="AE18" s="56"/>
      <c r="AF18" s="56">
        <f>SUM(AF19:AF19)</f>
        <v>1758922</v>
      </c>
      <c r="AG18" s="56"/>
      <c r="AH18" s="56"/>
      <c r="AI18" s="611"/>
      <c r="AJ18" s="56"/>
      <c r="AK18" s="56">
        <f>SUM(AK19:AK19)</f>
        <v>940049</v>
      </c>
      <c r="AL18" s="56"/>
      <c r="AM18" s="56"/>
      <c r="AN18" s="611"/>
      <c r="AO18" s="56"/>
      <c r="AP18" s="56">
        <f>SUM(AP19:AP19)</f>
        <v>1714161</v>
      </c>
      <c r="AQ18" s="56"/>
      <c r="AR18" s="56"/>
      <c r="AS18" s="611"/>
      <c r="AT18" s="56"/>
      <c r="AU18" s="56">
        <f>SUM(AU19:AU19)</f>
        <v>1433066</v>
      </c>
      <c r="AV18" s="56"/>
      <c r="AW18" s="56"/>
      <c r="AX18" s="611"/>
      <c r="AY18" s="56"/>
      <c r="AZ18" s="56">
        <f>SUM(AZ19:AZ19)</f>
        <v>851922</v>
      </c>
      <c r="BA18" s="56"/>
      <c r="BB18" s="56"/>
      <c r="BC18" s="611"/>
      <c r="BD18" s="56"/>
      <c r="BE18" s="56">
        <f>SUM(BE19:BE19)</f>
        <v>687518</v>
      </c>
      <c r="BF18" s="56"/>
      <c r="BG18" s="56"/>
      <c r="BH18" s="611"/>
      <c r="BI18" s="56"/>
      <c r="BJ18" s="56">
        <f>SUM(BJ19:BJ19)</f>
        <v>0</v>
      </c>
      <c r="BK18" s="56"/>
      <c r="BL18" s="56"/>
      <c r="BM18" s="611"/>
      <c r="BN18" s="56"/>
      <c r="BO18" s="56">
        <f>SUM(BO19:BO19)</f>
        <v>0</v>
      </c>
      <c r="BP18" s="56"/>
      <c r="BQ18" s="56"/>
      <c r="BR18" s="611"/>
      <c r="BS18" s="56"/>
      <c r="BT18" s="56">
        <f>SUM(BT19:BT19)</f>
        <v>10706117</v>
      </c>
      <c r="BU18" s="56"/>
      <c r="BV18" s="56"/>
      <c r="BW18" s="611"/>
      <c r="BX18" s="56"/>
      <c r="BY18" s="56">
        <f>SUM(BY19:BY19)</f>
        <v>6143108</v>
      </c>
      <c r="BZ18" s="56"/>
      <c r="CA18" s="56"/>
      <c r="CB18" s="611"/>
      <c r="CC18" s="56"/>
      <c r="CD18" s="56">
        <f>SUM(CD19:CD19)</f>
        <v>475483</v>
      </c>
      <c r="CE18" s="56"/>
      <c r="CF18" s="56"/>
      <c r="CG18" s="611"/>
      <c r="CH18" s="56"/>
      <c r="CI18" s="56">
        <f>SUM(CI19:CI19)</f>
        <v>400868</v>
      </c>
      <c r="CJ18" s="56"/>
      <c r="CK18" s="56"/>
      <c r="CL18" s="611"/>
      <c r="CM18" s="56"/>
      <c r="CN18" s="56">
        <f>SUM(CN19:CN19)</f>
        <v>392835</v>
      </c>
      <c r="CO18" s="56"/>
      <c r="CP18" s="56"/>
      <c r="CQ18" s="611"/>
      <c r="CR18" s="56"/>
      <c r="CS18" s="56">
        <f>SUM(CS19:CS19)</f>
        <v>421515</v>
      </c>
      <c r="CT18" s="56"/>
      <c r="CU18" s="56"/>
      <c r="CV18" s="611"/>
      <c r="CW18" s="56"/>
      <c r="CX18" s="56">
        <f>SUM(CX19:CX19)</f>
        <v>436571</v>
      </c>
      <c r="CY18" s="56"/>
      <c r="CZ18" s="56"/>
      <c r="DA18" s="611"/>
      <c r="DB18" s="56"/>
      <c r="DC18" s="56">
        <f>SUM(DC19:DC19)</f>
        <v>554570</v>
      </c>
      <c r="DD18" s="56"/>
      <c r="DE18" s="56"/>
      <c r="DF18" s="611"/>
      <c r="DG18" s="56"/>
      <c r="DH18" s="56">
        <f>SUM(DH19:DH19)</f>
        <v>554091</v>
      </c>
      <c r="DI18" s="56"/>
      <c r="DJ18" s="56"/>
      <c r="DK18" s="611"/>
      <c r="DL18" s="56"/>
      <c r="DM18" s="56">
        <f>SUM(DM19:DM19)</f>
        <v>628069</v>
      </c>
      <c r="DN18" s="56"/>
      <c r="DO18" s="56"/>
      <c r="DP18" s="611"/>
      <c r="DQ18" s="56"/>
      <c r="DR18" s="56">
        <f>SUM(DR19:DR19)</f>
        <v>721031</v>
      </c>
      <c r="DS18" s="56"/>
      <c r="DT18" s="56"/>
      <c r="DU18" s="611"/>
      <c r="DV18" s="56"/>
      <c r="DW18" s="56">
        <f>SUM(DW19:DW19)</f>
        <v>488907</v>
      </c>
      <c r="DX18" s="56"/>
      <c r="DY18" s="56"/>
      <c r="DZ18" s="611"/>
      <c r="EA18" s="56"/>
      <c r="EB18" s="56">
        <f>SUM(EB19:EB19)</f>
        <v>545495</v>
      </c>
      <c r="EC18" s="56"/>
      <c r="ED18" s="56"/>
      <c r="EE18" s="611"/>
      <c r="EF18" s="56"/>
      <c r="EG18" s="56">
        <f>SUM(EG19:EG19)</f>
        <v>523673</v>
      </c>
      <c r="EH18" s="56"/>
      <c r="EI18" s="56"/>
      <c r="EJ18" s="611"/>
      <c r="EK18" s="56"/>
      <c r="EL18" s="56">
        <f>SUM(EL19:EL19)</f>
        <v>5073940</v>
      </c>
      <c r="EM18" s="56"/>
      <c r="EN18" s="56"/>
      <c r="EO18" s="144"/>
      <c r="ER18" s="42"/>
      <c r="ES18" s="42"/>
    </row>
    <row r="19" spans="4:149" x14ac:dyDescent="0.3">
      <c r="D19" s="275" t="s">
        <v>335</v>
      </c>
      <c r="E19" s="611"/>
      <c r="F19" s="614"/>
      <c r="G19" s="615">
        <v>3500000</v>
      </c>
      <c r="H19" s="616"/>
      <c r="I19" s="56"/>
      <c r="J19" s="611"/>
      <c r="K19" s="617"/>
      <c r="L19" s="615">
        <v>979066</v>
      </c>
      <c r="M19" s="616"/>
      <c r="N19" s="56"/>
      <c r="O19" s="611"/>
      <c r="P19" s="617"/>
      <c r="Q19" s="615">
        <v>826458</v>
      </c>
      <c r="R19" s="616"/>
      <c r="S19" s="56"/>
      <c r="T19" s="611"/>
      <c r="U19" s="617"/>
      <c r="V19" s="615">
        <v>694534</v>
      </c>
      <c r="W19" s="616"/>
      <c r="X19" s="56"/>
      <c r="Y19" s="611"/>
      <c r="Z19" s="617"/>
      <c r="AA19" s="615">
        <v>820421</v>
      </c>
      <c r="AB19" s="616"/>
      <c r="AC19" s="56"/>
      <c r="AD19" s="611"/>
      <c r="AE19" s="617"/>
      <c r="AF19" s="615">
        <v>1758922</v>
      </c>
      <c r="AG19" s="616"/>
      <c r="AH19" s="56"/>
      <c r="AI19" s="611"/>
      <c r="AJ19" s="617"/>
      <c r="AK19" s="615">
        <v>940049</v>
      </c>
      <c r="AL19" s="616"/>
      <c r="AM19" s="56"/>
      <c r="AN19" s="611"/>
      <c r="AO19" s="617"/>
      <c r="AP19" s="615">
        <v>1714161</v>
      </c>
      <c r="AQ19" s="616"/>
      <c r="AR19" s="56"/>
      <c r="AS19" s="611"/>
      <c r="AT19" s="617"/>
      <c r="AU19" s="615">
        <v>1433066</v>
      </c>
      <c r="AV19" s="616"/>
      <c r="AW19" s="56"/>
      <c r="AX19" s="611"/>
      <c r="AY19" s="617"/>
      <c r="AZ19" s="615">
        <v>851922</v>
      </c>
      <c r="BA19" s="616"/>
      <c r="BB19" s="56"/>
      <c r="BC19" s="611"/>
      <c r="BD19" s="617"/>
      <c r="BE19" s="615">
        <v>687518</v>
      </c>
      <c r="BF19" s="616"/>
      <c r="BG19" s="56"/>
      <c r="BH19" s="611"/>
      <c r="BI19" s="617"/>
      <c r="BJ19" s="615">
        <v>0</v>
      </c>
      <c r="BK19" s="616"/>
      <c r="BL19" s="56"/>
      <c r="BM19" s="611"/>
      <c r="BN19" s="617"/>
      <c r="BO19" s="615">
        <v>0</v>
      </c>
      <c r="BP19" s="616"/>
      <c r="BQ19" s="56"/>
      <c r="BR19" s="611"/>
      <c r="BS19" s="617"/>
      <c r="BT19" s="618">
        <f>SUM(L19:BO19)</f>
        <v>10706117</v>
      </c>
      <c r="BU19" s="616"/>
      <c r="BV19" s="56"/>
      <c r="BW19" s="611"/>
      <c r="BX19" s="617"/>
      <c r="BY19" s="615">
        <v>6143108</v>
      </c>
      <c r="BZ19" s="616"/>
      <c r="CA19" s="56"/>
      <c r="CB19" s="611"/>
      <c r="CC19" s="617"/>
      <c r="CD19" s="615">
        <v>475483</v>
      </c>
      <c r="CE19" s="616"/>
      <c r="CF19" s="56"/>
      <c r="CG19" s="611"/>
      <c r="CH19" s="617"/>
      <c r="CI19" s="615">
        <v>400868</v>
      </c>
      <c r="CJ19" s="616"/>
      <c r="CK19" s="56"/>
      <c r="CL19" s="611"/>
      <c r="CM19" s="617"/>
      <c r="CN19" s="615">
        <v>392835</v>
      </c>
      <c r="CO19" s="616"/>
      <c r="CP19" s="56"/>
      <c r="CQ19" s="611"/>
      <c r="CR19" s="617"/>
      <c r="CS19" s="615">
        <v>421515</v>
      </c>
      <c r="CT19" s="616"/>
      <c r="CU19" s="56"/>
      <c r="CV19" s="611"/>
      <c r="CW19" s="617"/>
      <c r="CX19" s="615">
        <v>436571</v>
      </c>
      <c r="CY19" s="616"/>
      <c r="CZ19" s="56"/>
      <c r="DA19" s="611"/>
      <c r="DB19" s="617"/>
      <c r="DC19" s="615">
        <v>554570</v>
      </c>
      <c r="DD19" s="616"/>
      <c r="DE19" s="56"/>
      <c r="DF19" s="611"/>
      <c r="DG19" s="617"/>
      <c r="DH19" s="615">
        <v>554091</v>
      </c>
      <c r="DI19" s="616"/>
      <c r="DJ19" s="56"/>
      <c r="DK19" s="611"/>
      <c r="DL19" s="617"/>
      <c r="DM19" s="615">
        <v>628069</v>
      </c>
      <c r="DN19" s="616"/>
      <c r="DO19" s="56"/>
      <c r="DP19" s="611"/>
      <c r="DQ19" s="617"/>
      <c r="DR19" s="615">
        <v>721031</v>
      </c>
      <c r="DS19" s="616"/>
      <c r="DT19" s="56"/>
      <c r="DU19" s="611"/>
      <c r="DV19" s="617"/>
      <c r="DW19" s="615">
        <v>488907</v>
      </c>
      <c r="DX19" s="616"/>
      <c r="DY19" s="56"/>
      <c r="DZ19" s="611"/>
      <c r="EA19" s="617"/>
      <c r="EB19" s="615">
        <v>545495</v>
      </c>
      <c r="EC19" s="616"/>
      <c r="ED19" s="56"/>
      <c r="EE19" s="611"/>
      <c r="EF19" s="617"/>
      <c r="EG19" s="615">
        <v>523673</v>
      </c>
      <c r="EH19" s="616"/>
      <c r="EI19" s="56"/>
      <c r="EJ19" s="611"/>
      <c r="EK19" s="617"/>
      <c r="EL19" s="618">
        <f>SUM(CD19:DW19)</f>
        <v>5073940</v>
      </c>
      <c r="EM19" s="616"/>
      <c r="EN19" s="56"/>
      <c r="EO19" s="144"/>
      <c r="ER19" s="42"/>
      <c r="ES19" s="42"/>
    </row>
    <row r="20" spans="4:149" x14ac:dyDescent="0.3">
      <c r="D20" s="275"/>
      <c r="E20" s="611"/>
      <c r="G20" s="619"/>
      <c r="H20" s="56"/>
      <c r="I20" s="56"/>
      <c r="J20" s="611"/>
      <c r="K20" s="56"/>
      <c r="L20" s="619"/>
      <c r="M20" s="56"/>
      <c r="N20" s="56"/>
      <c r="O20" s="611"/>
      <c r="P20" s="56"/>
      <c r="Q20" s="619"/>
      <c r="R20" s="56"/>
      <c r="S20" s="56"/>
      <c r="T20" s="611"/>
      <c r="U20" s="56"/>
      <c r="V20" s="619"/>
      <c r="W20" s="56"/>
      <c r="X20" s="56"/>
      <c r="Y20" s="611"/>
      <c r="Z20" s="56"/>
      <c r="AA20" s="619"/>
      <c r="AB20" s="56"/>
      <c r="AC20" s="56"/>
      <c r="AD20" s="611"/>
      <c r="AE20" s="56"/>
      <c r="AF20" s="619"/>
      <c r="AG20" s="56"/>
      <c r="AH20" s="56"/>
      <c r="AI20" s="611"/>
      <c r="AJ20" s="56"/>
      <c r="AK20" s="619"/>
      <c r="AL20" s="56"/>
      <c r="AM20" s="56"/>
      <c r="AN20" s="611"/>
      <c r="AO20" s="56"/>
      <c r="AP20" s="619"/>
      <c r="AQ20" s="56"/>
      <c r="AR20" s="56"/>
      <c r="AS20" s="611"/>
      <c r="AT20" s="56"/>
      <c r="AU20" s="619"/>
      <c r="AV20" s="56"/>
      <c r="AW20" s="56"/>
      <c r="AX20" s="611"/>
      <c r="AY20" s="56"/>
      <c r="AZ20" s="619"/>
      <c r="BA20" s="56"/>
      <c r="BB20" s="56"/>
      <c r="BC20" s="611"/>
      <c r="BD20" s="56"/>
      <c r="BE20" s="619"/>
      <c r="BF20" s="56"/>
      <c r="BG20" s="56"/>
      <c r="BH20" s="611"/>
      <c r="BI20" s="56"/>
      <c r="BJ20" s="619"/>
      <c r="BK20" s="56"/>
      <c r="BL20" s="56"/>
      <c r="BM20" s="611"/>
      <c r="BN20" s="56"/>
      <c r="BO20" s="619"/>
      <c r="BP20" s="56"/>
      <c r="BQ20" s="56"/>
      <c r="BR20" s="611"/>
      <c r="BS20" s="56"/>
      <c r="BT20" s="56"/>
      <c r="BU20" s="56"/>
      <c r="BV20" s="56"/>
      <c r="BW20" s="611"/>
      <c r="BX20" s="56"/>
      <c r="BY20" s="619"/>
      <c r="BZ20" s="56"/>
      <c r="CA20" s="56"/>
      <c r="CB20" s="611"/>
      <c r="CC20" s="56"/>
      <c r="CD20" s="619"/>
      <c r="CE20" s="56"/>
      <c r="CF20" s="56"/>
      <c r="CG20" s="611"/>
      <c r="CH20" s="56"/>
      <c r="CI20" s="619"/>
      <c r="CJ20" s="56"/>
      <c r="CK20" s="56"/>
      <c r="CL20" s="611"/>
      <c r="CM20" s="56"/>
      <c r="CN20" s="619"/>
      <c r="CO20" s="56"/>
      <c r="CP20" s="56"/>
      <c r="CQ20" s="611"/>
      <c r="CR20" s="56"/>
      <c r="CS20" s="619"/>
      <c r="CT20" s="56"/>
      <c r="CU20" s="56"/>
      <c r="CV20" s="611"/>
      <c r="CW20" s="56"/>
      <c r="CX20" s="619"/>
      <c r="CY20" s="56"/>
      <c r="CZ20" s="56"/>
      <c r="DA20" s="611"/>
      <c r="DB20" s="56"/>
      <c r="DC20" s="619"/>
      <c r="DD20" s="56"/>
      <c r="DE20" s="56"/>
      <c r="DF20" s="611"/>
      <c r="DG20" s="56"/>
      <c r="DH20" s="619"/>
      <c r="DI20" s="56"/>
      <c r="DJ20" s="56"/>
      <c r="DK20" s="611"/>
      <c r="DL20" s="56"/>
      <c r="DM20" s="619"/>
      <c r="DN20" s="56"/>
      <c r="DO20" s="56"/>
      <c r="DP20" s="611"/>
      <c r="DQ20" s="56"/>
      <c r="DR20" s="619"/>
      <c r="DS20" s="56"/>
      <c r="DT20" s="56"/>
      <c r="DU20" s="611"/>
      <c r="DV20" s="56"/>
      <c r="DW20" s="619"/>
      <c r="DX20" s="56"/>
      <c r="DY20" s="56"/>
      <c r="DZ20" s="611"/>
      <c r="EA20" s="56"/>
      <c r="EB20" s="619"/>
      <c r="EC20" s="56"/>
      <c r="ED20" s="56"/>
      <c r="EE20" s="611"/>
      <c r="EF20" s="56"/>
      <c r="EG20" s="619"/>
      <c r="EH20" s="56"/>
      <c r="EI20" s="56"/>
      <c r="EJ20" s="611"/>
      <c r="EK20" s="56"/>
      <c r="EL20" s="56"/>
      <c r="EM20" s="56"/>
      <c r="EN20" s="56"/>
      <c r="EO20" s="144"/>
      <c r="ER20" s="42"/>
      <c r="ES20" s="42"/>
    </row>
    <row r="21" spans="4:149" x14ac:dyDescent="0.3">
      <c r="D21" s="234" t="s">
        <v>336</v>
      </c>
      <c r="E21" s="611"/>
      <c r="G21" s="56"/>
      <c r="H21" s="56"/>
      <c r="I21" s="56"/>
      <c r="J21" s="611"/>
      <c r="K21" s="56"/>
      <c r="L21" s="56"/>
      <c r="M21" s="56"/>
      <c r="N21" s="56"/>
      <c r="O21" s="611"/>
      <c r="P21" s="56"/>
      <c r="Q21" s="56"/>
      <c r="R21" s="56"/>
      <c r="S21" s="56"/>
      <c r="T21" s="611"/>
      <c r="U21" s="56"/>
      <c r="V21" s="56"/>
      <c r="W21" s="56"/>
      <c r="X21" s="56"/>
      <c r="Y21" s="611"/>
      <c r="Z21" s="56"/>
      <c r="AA21" s="56"/>
      <c r="AB21" s="56"/>
      <c r="AC21" s="56"/>
      <c r="AD21" s="611"/>
      <c r="AE21" s="56"/>
      <c r="AF21" s="56"/>
      <c r="AG21" s="56"/>
      <c r="AH21" s="56"/>
      <c r="AI21" s="611"/>
      <c r="AJ21" s="56"/>
      <c r="AK21" s="56"/>
      <c r="AL21" s="56"/>
      <c r="AM21" s="56"/>
      <c r="AN21" s="611"/>
      <c r="AO21" s="56"/>
      <c r="AP21" s="56"/>
      <c r="AQ21" s="56"/>
      <c r="AR21" s="56"/>
      <c r="AS21" s="611"/>
      <c r="AT21" s="56"/>
      <c r="AU21" s="56"/>
      <c r="AV21" s="56"/>
      <c r="AW21" s="56"/>
      <c r="AX21" s="611"/>
      <c r="AY21" s="56"/>
      <c r="AZ21" s="56"/>
      <c r="BA21" s="56"/>
      <c r="BB21" s="56"/>
      <c r="BC21" s="611"/>
      <c r="BD21" s="56"/>
      <c r="BE21" s="56"/>
      <c r="BF21" s="56"/>
      <c r="BG21" s="56"/>
      <c r="BH21" s="611"/>
      <c r="BI21" s="56"/>
      <c r="BJ21" s="56"/>
      <c r="BK21" s="56"/>
      <c r="BL21" s="56"/>
      <c r="BM21" s="611"/>
      <c r="BN21" s="56"/>
      <c r="BO21" s="56"/>
      <c r="BP21" s="56"/>
      <c r="BQ21" s="56"/>
      <c r="BR21" s="611"/>
      <c r="BS21" s="56"/>
      <c r="BT21" s="56"/>
      <c r="BU21" s="56"/>
      <c r="BV21" s="56"/>
      <c r="BW21" s="611"/>
      <c r="BX21" s="56"/>
      <c r="BY21" s="56"/>
      <c r="BZ21" s="56"/>
      <c r="CA21" s="56"/>
      <c r="CB21" s="611"/>
      <c r="CC21" s="56"/>
      <c r="CD21" s="56"/>
      <c r="CE21" s="56"/>
      <c r="CF21" s="56"/>
      <c r="CG21" s="611"/>
      <c r="CH21" s="56"/>
      <c r="CI21" s="56"/>
      <c r="CJ21" s="56"/>
      <c r="CK21" s="56"/>
      <c r="CL21" s="611"/>
      <c r="CM21" s="56"/>
      <c r="CN21" s="56"/>
      <c r="CO21" s="56"/>
      <c r="CP21" s="56"/>
      <c r="CQ21" s="611"/>
      <c r="CR21" s="56"/>
      <c r="CS21" s="56"/>
      <c r="CT21" s="56"/>
      <c r="CU21" s="56"/>
      <c r="CV21" s="611"/>
      <c r="CW21" s="56"/>
      <c r="CX21" s="56"/>
      <c r="CY21" s="56"/>
      <c r="CZ21" s="56"/>
      <c r="DA21" s="611"/>
      <c r="DB21" s="56"/>
      <c r="DC21" s="56"/>
      <c r="DD21" s="56"/>
      <c r="DE21" s="56"/>
      <c r="DF21" s="611"/>
      <c r="DG21" s="56"/>
      <c r="DH21" s="56"/>
      <c r="DI21" s="56"/>
      <c r="DJ21" s="56"/>
      <c r="DK21" s="611"/>
      <c r="DL21" s="56"/>
      <c r="DM21" s="56"/>
      <c r="DN21" s="56"/>
      <c r="DO21" s="56"/>
      <c r="DP21" s="611"/>
      <c r="DQ21" s="56"/>
      <c r="DR21" s="56"/>
      <c r="DS21" s="56"/>
      <c r="DT21" s="56"/>
      <c r="DU21" s="611"/>
      <c r="DV21" s="56"/>
      <c r="DW21" s="56"/>
      <c r="DX21" s="56"/>
      <c r="DY21" s="56"/>
      <c r="DZ21" s="611"/>
      <c r="EA21" s="56"/>
      <c r="EB21" s="56"/>
      <c r="EC21" s="56"/>
      <c r="ED21" s="56"/>
      <c r="EE21" s="611"/>
      <c r="EF21" s="56"/>
      <c r="EG21" s="56"/>
      <c r="EH21" s="56"/>
      <c r="EI21" s="56"/>
      <c r="EJ21" s="611"/>
      <c r="EK21" s="56"/>
      <c r="EL21" s="56"/>
      <c r="EM21" s="56"/>
      <c r="EN21" s="56"/>
      <c r="EO21" s="144"/>
      <c r="ER21" s="42"/>
      <c r="ES21" s="42"/>
    </row>
    <row r="22" spans="4:149" ht="12.75" hidden="1" customHeight="1" x14ac:dyDescent="0.3">
      <c r="D22" s="144" t="s">
        <v>337</v>
      </c>
      <c r="E22" s="611"/>
      <c r="G22" s="56">
        <f>SUM(G23:G26)</f>
        <v>0</v>
      </c>
      <c r="H22" s="56"/>
      <c r="I22" s="56"/>
      <c r="J22" s="611"/>
      <c r="K22" s="56"/>
      <c r="L22" s="56">
        <f>SUM(L23:L26)</f>
        <v>0</v>
      </c>
      <c r="M22" s="56"/>
      <c r="N22" s="56"/>
      <c r="O22" s="611"/>
      <c r="P22" s="56"/>
      <c r="Q22" s="56">
        <f>SUM(Q23:Q26)</f>
        <v>0</v>
      </c>
      <c r="R22" s="56"/>
      <c r="S22" s="56"/>
      <c r="T22" s="611"/>
      <c r="U22" s="56"/>
      <c r="V22" s="56">
        <f>SUM(V23:V26)</f>
        <v>0</v>
      </c>
      <c r="W22" s="56"/>
      <c r="X22" s="56"/>
      <c r="Y22" s="611"/>
      <c r="Z22" s="56"/>
      <c r="AA22" s="56">
        <f>SUM(AA23:AA26)</f>
        <v>0</v>
      </c>
      <c r="AB22" s="56"/>
      <c r="AC22" s="56"/>
      <c r="AD22" s="611"/>
      <c r="AE22" s="56"/>
      <c r="AF22" s="56">
        <f>SUM(AF23:AF26)</f>
        <v>0</v>
      </c>
      <c r="AG22" s="56"/>
      <c r="AH22" s="56"/>
      <c r="AI22" s="611"/>
      <c r="AJ22" s="56"/>
      <c r="AK22" s="56">
        <f>SUM(AK23:AK26)</f>
        <v>0</v>
      </c>
      <c r="AL22" s="56"/>
      <c r="AM22" s="56"/>
      <c r="AN22" s="611"/>
      <c r="AO22" s="56"/>
      <c r="AP22" s="56">
        <f>SUM(AP23:AP26)</f>
        <v>0</v>
      </c>
      <c r="AQ22" s="56"/>
      <c r="AR22" s="56"/>
      <c r="AS22" s="611"/>
      <c r="AT22" s="56"/>
      <c r="AU22" s="56">
        <f>SUM(AU23:AU26)</f>
        <v>0</v>
      </c>
      <c r="AV22" s="56"/>
      <c r="AW22" s="56"/>
      <c r="AX22" s="611"/>
      <c r="AY22" s="56"/>
      <c r="AZ22" s="56">
        <f>SUM(AZ23:AZ26)</f>
        <v>0</v>
      </c>
      <c r="BA22" s="56"/>
      <c r="BB22" s="56"/>
      <c r="BC22" s="611"/>
      <c r="BD22" s="56"/>
      <c r="BE22" s="56">
        <f>SUM(BE23:BE26)</f>
        <v>0</v>
      </c>
      <c r="BF22" s="56"/>
      <c r="BG22" s="56"/>
      <c r="BH22" s="611"/>
      <c r="BI22" s="56"/>
      <c r="BJ22" s="56">
        <f>SUM(BJ23:BJ26)</f>
        <v>0</v>
      </c>
      <c r="BK22" s="56"/>
      <c r="BL22" s="56"/>
      <c r="BM22" s="611"/>
      <c r="BN22" s="56"/>
      <c r="BO22" s="56">
        <f>SUM(BO23:BO26)</f>
        <v>0</v>
      </c>
      <c r="BP22" s="56"/>
      <c r="BQ22" s="56"/>
      <c r="BR22" s="611"/>
      <c r="BS22" s="56"/>
      <c r="BT22" s="56">
        <f>SUM(BT23:BT26)</f>
        <v>0</v>
      </c>
      <c r="BU22" s="56"/>
      <c r="BV22" s="56"/>
      <c r="BW22" s="611"/>
      <c r="BX22" s="56"/>
      <c r="BY22" s="56">
        <f>SUM(BY23:BY26)</f>
        <v>0</v>
      </c>
      <c r="BZ22" s="56"/>
      <c r="CA22" s="56"/>
      <c r="CB22" s="611"/>
      <c r="CC22" s="56"/>
      <c r="CD22" s="56">
        <f>SUM(CD23:CD26)</f>
        <v>0</v>
      </c>
      <c r="CE22" s="56"/>
      <c r="CF22" s="56"/>
      <c r="CG22" s="611"/>
      <c r="CH22" s="56"/>
      <c r="CI22" s="56">
        <f>SUM(CI23:CI26)</f>
        <v>0</v>
      </c>
      <c r="CJ22" s="56"/>
      <c r="CK22" s="56"/>
      <c r="CL22" s="611"/>
      <c r="CM22" s="56"/>
      <c r="CN22" s="56">
        <f>SUM(CN23:CN26)</f>
        <v>0</v>
      </c>
      <c r="CO22" s="56"/>
      <c r="CP22" s="56"/>
      <c r="CQ22" s="611"/>
      <c r="CR22" s="56"/>
      <c r="CS22" s="56">
        <f>SUM(CS23:CS26)</f>
        <v>0</v>
      </c>
      <c r="CT22" s="56"/>
      <c r="CU22" s="56"/>
      <c r="CV22" s="611"/>
      <c r="CW22" s="56"/>
      <c r="CX22" s="56">
        <f>SUM(CX23:CX26)</f>
        <v>0</v>
      </c>
      <c r="CY22" s="56"/>
      <c r="CZ22" s="56"/>
      <c r="DA22" s="611"/>
      <c r="DB22" s="56"/>
      <c r="DC22" s="56">
        <f>SUM(DC23:DC26)</f>
        <v>0</v>
      </c>
      <c r="DD22" s="56"/>
      <c r="DE22" s="56"/>
      <c r="DF22" s="611"/>
      <c r="DG22" s="56"/>
      <c r="DH22" s="56">
        <f>SUM(DH23:DH26)</f>
        <v>0</v>
      </c>
      <c r="DI22" s="56"/>
      <c r="DJ22" s="56"/>
      <c r="DK22" s="611"/>
      <c r="DL22" s="56"/>
      <c r="DM22" s="56">
        <f>SUM(DM23:DM26)</f>
        <v>0</v>
      </c>
      <c r="DN22" s="56"/>
      <c r="DO22" s="56"/>
      <c r="DP22" s="611"/>
      <c r="DQ22" s="56"/>
      <c r="DR22" s="56">
        <f>SUM(DR23:DR26)</f>
        <v>0</v>
      </c>
      <c r="DS22" s="56"/>
      <c r="DT22" s="56"/>
      <c r="DU22" s="611"/>
      <c r="DV22" s="56"/>
      <c r="DW22" s="56">
        <f>SUM(DW23:DW26)</f>
        <v>0</v>
      </c>
      <c r="DX22" s="56"/>
      <c r="DY22" s="56"/>
      <c r="DZ22" s="611"/>
      <c r="EA22" s="56"/>
      <c r="EB22" s="56">
        <f>SUM(EB23:EB26)</f>
        <v>0</v>
      </c>
      <c r="EC22" s="56"/>
      <c r="ED22" s="56"/>
      <c r="EE22" s="611"/>
      <c r="EF22" s="56"/>
      <c r="EG22" s="56">
        <f>SUM(EG23:EG26)</f>
        <v>0</v>
      </c>
      <c r="EH22" s="56"/>
      <c r="EI22" s="56"/>
      <c r="EJ22" s="611"/>
      <c r="EK22" s="56"/>
      <c r="EL22" s="56">
        <f>SUM(EL23:EL26)</f>
        <v>0</v>
      </c>
      <c r="EM22" s="56"/>
      <c r="EN22" s="56"/>
      <c r="EO22" s="144"/>
      <c r="ER22" s="42"/>
      <c r="ES22" s="42"/>
    </row>
    <row r="23" spans="4:149" ht="12.75" hidden="1" customHeight="1" x14ac:dyDescent="0.3">
      <c r="D23" s="144" t="s">
        <v>335</v>
      </c>
      <c r="E23" s="52"/>
      <c r="F23" s="500"/>
      <c r="G23" s="609">
        <v>0</v>
      </c>
      <c r="H23" s="610"/>
      <c r="I23" s="56"/>
      <c r="J23" s="611"/>
      <c r="K23" s="612"/>
      <c r="L23" s="609">
        <v>0</v>
      </c>
      <c r="M23" s="610"/>
      <c r="N23" s="56"/>
      <c r="O23" s="611"/>
      <c r="P23" s="612"/>
      <c r="Q23" s="609">
        <v>0</v>
      </c>
      <c r="R23" s="610"/>
      <c r="S23" s="56"/>
      <c r="T23" s="611"/>
      <c r="U23" s="612"/>
      <c r="V23" s="609">
        <v>0</v>
      </c>
      <c r="W23" s="610"/>
      <c r="X23" s="56"/>
      <c r="Y23" s="611"/>
      <c r="Z23" s="612"/>
      <c r="AA23" s="609">
        <v>0</v>
      </c>
      <c r="AB23" s="610"/>
      <c r="AC23" s="56"/>
      <c r="AD23" s="611"/>
      <c r="AE23" s="612"/>
      <c r="AF23" s="609">
        <v>0</v>
      </c>
      <c r="AG23" s="610"/>
      <c r="AH23" s="56"/>
      <c r="AI23" s="611"/>
      <c r="AJ23" s="612"/>
      <c r="AK23" s="609">
        <v>0</v>
      </c>
      <c r="AL23" s="610"/>
      <c r="AM23" s="56"/>
      <c r="AN23" s="611"/>
      <c r="AO23" s="612"/>
      <c r="AP23" s="609">
        <v>0</v>
      </c>
      <c r="AQ23" s="610"/>
      <c r="AR23" s="56"/>
      <c r="AS23" s="611"/>
      <c r="AT23" s="612"/>
      <c r="AU23" s="609">
        <v>0</v>
      </c>
      <c r="AV23" s="610"/>
      <c r="AW23" s="56"/>
      <c r="AX23" s="611"/>
      <c r="AY23" s="612"/>
      <c r="AZ23" s="609">
        <v>0</v>
      </c>
      <c r="BA23" s="610"/>
      <c r="BB23" s="56"/>
      <c r="BC23" s="611"/>
      <c r="BD23" s="612"/>
      <c r="BE23" s="609">
        <v>0</v>
      </c>
      <c r="BF23" s="610"/>
      <c r="BG23" s="56"/>
      <c r="BH23" s="611"/>
      <c r="BI23" s="612"/>
      <c r="BJ23" s="609">
        <v>0</v>
      </c>
      <c r="BK23" s="610"/>
      <c r="BL23" s="56"/>
      <c r="BM23" s="611"/>
      <c r="BN23" s="612"/>
      <c r="BO23" s="609">
        <v>0</v>
      </c>
      <c r="BP23" s="610"/>
      <c r="BQ23" s="56"/>
      <c r="BR23" s="611"/>
      <c r="BS23" s="612"/>
      <c r="BT23" s="609">
        <f>SUM(L23:BO23)</f>
        <v>0</v>
      </c>
      <c r="BU23" s="610"/>
      <c r="BV23" s="56"/>
      <c r="BW23" s="611"/>
      <c r="BX23" s="612"/>
      <c r="BY23" s="609">
        <v>0</v>
      </c>
      <c r="BZ23" s="610"/>
      <c r="CA23" s="56"/>
      <c r="CB23" s="611"/>
      <c r="CC23" s="612"/>
      <c r="CD23" s="609">
        <v>0</v>
      </c>
      <c r="CE23" s="610"/>
      <c r="CF23" s="56"/>
      <c r="CG23" s="611"/>
      <c r="CH23" s="612"/>
      <c r="CI23" s="609">
        <v>0</v>
      </c>
      <c r="CJ23" s="610"/>
      <c r="CK23" s="56"/>
      <c r="CL23" s="611"/>
      <c r="CM23" s="612"/>
      <c r="CN23" s="609">
        <v>0</v>
      </c>
      <c r="CO23" s="610"/>
      <c r="CP23" s="56"/>
      <c r="CQ23" s="611"/>
      <c r="CR23" s="612"/>
      <c r="CS23" s="609">
        <v>0</v>
      </c>
      <c r="CT23" s="610"/>
      <c r="CU23" s="56"/>
      <c r="CV23" s="611"/>
      <c r="CW23" s="612"/>
      <c r="CX23" s="609">
        <v>0</v>
      </c>
      <c r="CY23" s="610"/>
      <c r="CZ23" s="56"/>
      <c r="DA23" s="611"/>
      <c r="DB23" s="612"/>
      <c r="DC23" s="609">
        <v>0</v>
      </c>
      <c r="DD23" s="610"/>
      <c r="DE23" s="56"/>
      <c r="DF23" s="611"/>
      <c r="DG23" s="612"/>
      <c r="DH23" s="609">
        <v>0</v>
      </c>
      <c r="DI23" s="610"/>
      <c r="DJ23" s="56"/>
      <c r="DK23" s="611"/>
      <c r="DL23" s="612"/>
      <c r="DM23" s="609">
        <v>0</v>
      </c>
      <c r="DN23" s="610"/>
      <c r="DO23" s="56"/>
      <c r="DP23" s="611"/>
      <c r="DQ23" s="612"/>
      <c r="DR23" s="609">
        <v>0</v>
      </c>
      <c r="DS23" s="610"/>
      <c r="DT23" s="56"/>
      <c r="DU23" s="611"/>
      <c r="DV23" s="612"/>
      <c r="DW23" s="609">
        <v>0</v>
      </c>
      <c r="DX23" s="610"/>
      <c r="DY23" s="56"/>
      <c r="DZ23" s="611"/>
      <c r="EA23" s="612"/>
      <c r="EB23" s="609">
        <v>0</v>
      </c>
      <c r="EC23" s="610"/>
      <c r="ED23" s="56"/>
      <c r="EE23" s="611"/>
      <c r="EF23" s="612"/>
      <c r="EG23" s="609">
        <v>0</v>
      </c>
      <c r="EH23" s="610"/>
      <c r="EI23" s="56"/>
      <c r="EJ23" s="611"/>
      <c r="EK23" s="612"/>
      <c r="EL23" s="609">
        <f>SUM(CD23:CD23)</f>
        <v>0</v>
      </c>
      <c r="EM23" s="610"/>
      <c r="EN23" s="56"/>
      <c r="EO23" s="144"/>
      <c r="ER23" s="42"/>
      <c r="ES23" s="42"/>
    </row>
    <row r="24" spans="4:149" ht="12.75" hidden="1" customHeight="1" x14ac:dyDescent="0.3">
      <c r="D24" s="144" t="s">
        <v>338</v>
      </c>
      <c r="E24" s="611"/>
      <c r="F24" s="494"/>
      <c r="G24" s="56">
        <v>0</v>
      </c>
      <c r="H24" s="55"/>
      <c r="I24" s="56"/>
      <c r="J24" s="611"/>
      <c r="K24" s="611"/>
      <c r="L24" s="56">
        <v>0</v>
      </c>
      <c r="M24" s="55"/>
      <c r="N24" s="56"/>
      <c r="O24" s="611"/>
      <c r="P24" s="611"/>
      <c r="Q24" s="56">
        <v>0</v>
      </c>
      <c r="R24" s="55"/>
      <c r="S24" s="56"/>
      <c r="T24" s="611"/>
      <c r="U24" s="611"/>
      <c r="V24" s="56">
        <v>0</v>
      </c>
      <c r="W24" s="55"/>
      <c r="X24" s="56"/>
      <c r="Y24" s="611"/>
      <c r="Z24" s="611"/>
      <c r="AA24" s="56">
        <v>0</v>
      </c>
      <c r="AB24" s="55"/>
      <c r="AC24" s="56"/>
      <c r="AD24" s="611"/>
      <c r="AE24" s="611"/>
      <c r="AF24" s="56">
        <v>0</v>
      </c>
      <c r="AG24" s="55"/>
      <c r="AH24" s="56"/>
      <c r="AI24" s="611"/>
      <c r="AJ24" s="611"/>
      <c r="AK24" s="56">
        <v>0</v>
      </c>
      <c r="AL24" s="55"/>
      <c r="AM24" s="56"/>
      <c r="AN24" s="611"/>
      <c r="AO24" s="611"/>
      <c r="AP24" s="56">
        <v>0</v>
      </c>
      <c r="AQ24" s="55"/>
      <c r="AR24" s="56"/>
      <c r="AS24" s="611"/>
      <c r="AT24" s="611"/>
      <c r="AU24" s="56">
        <v>0</v>
      </c>
      <c r="AV24" s="55"/>
      <c r="AW24" s="56"/>
      <c r="AX24" s="611"/>
      <c r="AY24" s="611"/>
      <c r="AZ24" s="56">
        <v>0</v>
      </c>
      <c r="BA24" s="55"/>
      <c r="BB24" s="56"/>
      <c r="BC24" s="611"/>
      <c r="BD24" s="611"/>
      <c r="BE24" s="56">
        <v>0</v>
      </c>
      <c r="BF24" s="55"/>
      <c r="BG24" s="56"/>
      <c r="BH24" s="611"/>
      <c r="BI24" s="611"/>
      <c r="BJ24" s="56">
        <v>0</v>
      </c>
      <c r="BK24" s="55"/>
      <c r="BL24" s="56"/>
      <c r="BM24" s="611"/>
      <c r="BN24" s="611"/>
      <c r="BO24" s="56">
        <v>0</v>
      </c>
      <c r="BP24" s="55"/>
      <c r="BQ24" s="56"/>
      <c r="BR24" s="611"/>
      <c r="BS24" s="611"/>
      <c r="BT24" s="56">
        <f>SUM(L24:BO24)</f>
        <v>0</v>
      </c>
      <c r="BU24" s="55"/>
      <c r="BV24" s="56"/>
      <c r="BW24" s="611"/>
      <c r="BX24" s="611"/>
      <c r="BY24" s="56">
        <v>0</v>
      </c>
      <c r="BZ24" s="55"/>
      <c r="CA24" s="56"/>
      <c r="CB24" s="611"/>
      <c r="CC24" s="611"/>
      <c r="CD24" s="56">
        <v>0</v>
      </c>
      <c r="CE24" s="55"/>
      <c r="CF24" s="56"/>
      <c r="CG24" s="611"/>
      <c r="CH24" s="611"/>
      <c r="CI24" s="56">
        <v>0</v>
      </c>
      <c r="CJ24" s="55"/>
      <c r="CK24" s="56"/>
      <c r="CL24" s="611"/>
      <c r="CM24" s="611"/>
      <c r="CN24" s="56">
        <v>0</v>
      </c>
      <c r="CO24" s="55"/>
      <c r="CP24" s="56"/>
      <c r="CQ24" s="611"/>
      <c r="CR24" s="611"/>
      <c r="CS24" s="56">
        <v>0</v>
      </c>
      <c r="CT24" s="55"/>
      <c r="CU24" s="56"/>
      <c r="CV24" s="611"/>
      <c r="CW24" s="611"/>
      <c r="CX24" s="56">
        <v>0</v>
      </c>
      <c r="CY24" s="55"/>
      <c r="CZ24" s="56"/>
      <c r="DA24" s="611"/>
      <c r="DB24" s="611"/>
      <c r="DC24" s="56">
        <v>0</v>
      </c>
      <c r="DD24" s="55"/>
      <c r="DE24" s="56"/>
      <c r="DF24" s="611"/>
      <c r="DG24" s="611"/>
      <c r="DH24" s="56">
        <v>0</v>
      </c>
      <c r="DI24" s="55"/>
      <c r="DJ24" s="56"/>
      <c r="DK24" s="611"/>
      <c r="DL24" s="611"/>
      <c r="DM24" s="56">
        <v>0</v>
      </c>
      <c r="DN24" s="55"/>
      <c r="DO24" s="56"/>
      <c r="DP24" s="611"/>
      <c r="DQ24" s="611"/>
      <c r="DR24" s="56">
        <v>0</v>
      </c>
      <c r="DS24" s="55"/>
      <c r="DT24" s="56"/>
      <c r="DU24" s="611"/>
      <c r="DV24" s="611"/>
      <c r="DW24" s="56">
        <v>0</v>
      </c>
      <c r="DX24" s="55"/>
      <c r="DY24" s="56"/>
      <c r="DZ24" s="611"/>
      <c r="EA24" s="611"/>
      <c r="EB24" s="56">
        <v>0</v>
      </c>
      <c r="EC24" s="55"/>
      <c r="ED24" s="56"/>
      <c r="EE24" s="611"/>
      <c r="EF24" s="611"/>
      <c r="EG24" s="56">
        <v>0</v>
      </c>
      <c r="EH24" s="55"/>
      <c r="EI24" s="56"/>
      <c r="EJ24" s="611"/>
      <c r="EK24" s="611"/>
      <c r="EL24" s="56">
        <f>SUM(CD24:CD24)</f>
        <v>0</v>
      </c>
      <c r="EM24" s="55"/>
      <c r="EN24" s="56"/>
      <c r="EO24" s="144"/>
      <c r="ER24" s="42"/>
      <c r="ES24" s="42"/>
    </row>
    <row r="25" spans="4:149" ht="12.75" hidden="1" customHeight="1" x14ac:dyDescent="0.3">
      <c r="D25" s="144" t="s">
        <v>339</v>
      </c>
      <c r="E25" s="611"/>
      <c r="F25" s="494"/>
      <c r="G25" s="56">
        <v>0</v>
      </c>
      <c r="H25" s="55"/>
      <c r="I25" s="56"/>
      <c r="J25" s="611"/>
      <c r="K25" s="611"/>
      <c r="L25" s="56">
        <v>0</v>
      </c>
      <c r="M25" s="55"/>
      <c r="N25" s="56"/>
      <c r="O25" s="611"/>
      <c r="P25" s="611"/>
      <c r="Q25" s="56">
        <v>0</v>
      </c>
      <c r="R25" s="55"/>
      <c r="S25" s="56"/>
      <c r="T25" s="611"/>
      <c r="U25" s="611"/>
      <c r="V25" s="56">
        <v>0</v>
      </c>
      <c r="W25" s="55"/>
      <c r="X25" s="56"/>
      <c r="Y25" s="611"/>
      <c r="Z25" s="611"/>
      <c r="AA25" s="56">
        <v>0</v>
      </c>
      <c r="AB25" s="55"/>
      <c r="AC25" s="56"/>
      <c r="AD25" s="611"/>
      <c r="AE25" s="611"/>
      <c r="AF25" s="56">
        <v>0</v>
      </c>
      <c r="AG25" s="55"/>
      <c r="AH25" s="56"/>
      <c r="AI25" s="611"/>
      <c r="AJ25" s="611"/>
      <c r="AK25" s="56">
        <v>0</v>
      </c>
      <c r="AL25" s="55"/>
      <c r="AM25" s="56"/>
      <c r="AN25" s="611"/>
      <c r="AO25" s="611"/>
      <c r="AP25" s="56">
        <v>0</v>
      </c>
      <c r="AQ25" s="55"/>
      <c r="AR25" s="56"/>
      <c r="AS25" s="611"/>
      <c r="AT25" s="611"/>
      <c r="AU25" s="56">
        <v>0</v>
      </c>
      <c r="AV25" s="55"/>
      <c r="AW25" s="56"/>
      <c r="AX25" s="611"/>
      <c r="AY25" s="611"/>
      <c r="AZ25" s="56">
        <v>0</v>
      </c>
      <c r="BA25" s="55"/>
      <c r="BB25" s="56"/>
      <c r="BC25" s="611"/>
      <c r="BD25" s="611"/>
      <c r="BE25" s="56">
        <v>0</v>
      </c>
      <c r="BF25" s="55"/>
      <c r="BG25" s="56"/>
      <c r="BH25" s="611"/>
      <c r="BI25" s="611"/>
      <c r="BJ25" s="56">
        <v>0</v>
      </c>
      <c r="BK25" s="55"/>
      <c r="BL25" s="56"/>
      <c r="BM25" s="611"/>
      <c r="BN25" s="611"/>
      <c r="BO25" s="56">
        <v>0</v>
      </c>
      <c r="BP25" s="55"/>
      <c r="BQ25" s="56"/>
      <c r="BR25" s="611"/>
      <c r="BS25" s="611"/>
      <c r="BT25" s="56">
        <f>SUM(L25:BO25)</f>
        <v>0</v>
      </c>
      <c r="BU25" s="55"/>
      <c r="BV25" s="56"/>
      <c r="BW25" s="611"/>
      <c r="BX25" s="611"/>
      <c r="BY25" s="56">
        <v>0</v>
      </c>
      <c r="BZ25" s="55"/>
      <c r="CA25" s="56"/>
      <c r="CB25" s="611"/>
      <c r="CC25" s="611"/>
      <c r="CD25" s="56">
        <v>0</v>
      </c>
      <c r="CE25" s="55"/>
      <c r="CF25" s="56"/>
      <c r="CG25" s="611"/>
      <c r="CH25" s="611"/>
      <c r="CI25" s="56">
        <v>0</v>
      </c>
      <c r="CJ25" s="55"/>
      <c r="CK25" s="56"/>
      <c r="CL25" s="611"/>
      <c r="CM25" s="611"/>
      <c r="CN25" s="56">
        <v>0</v>
      </c>
      <c r="CO25" s="55"/>
      <c r="CP25" s="56"/>
      <c r="CQ25" s="611"/>
      <c r="CR25" s="611"/>
      <c r="CS25" s="56">
        <v>0</v>
      </c>
      <c r="CT25" s="55"/>
      <c r="CU25" s="56"/>
      <c r="CV25" s="611"/>
      <c r="CW25" s="611"/>
      <c r="CX25" s="56">
        <v>0</v>
      </c>
      <c r="CY25" s="55"/>
      <c r="CZ25" s="56"/>
      <c r="DA25" s="611"/>
      <c r="DB25" s="611"/>
      <c r="DC25" s="56">
        <v>0</v>
      </c>
      <c r="DD25" s="55"/>
      <c r="DE25" s="56"/>
      <c r="DF25" s="611"/>
      <c r="DG25" s="611"/>
      <c r="DH25" s="56">
        <v>0</v>
      </c>
      <c r="DI25" s="55"/>
      <c r="DJ25" s="56"/>
      <c r="DK25" s="611"/>
      <c r="DL25" s="611"/>
      <c r="DM25" s="56">
        <v>0</v>
      </c>
      <c r="DN25" s="55"/>
      <c r="DO25" s="56"/>
      <c r="DP25" s="611"/>
      <c r="DQ25" s="611"/>
      <c r="DR25" s="56">
        <v>0</v>
      </c>
      <c r="DS25" s="55"/>
      <c r="DT25" s="56"/>
      <c r="DU25" s="611"/>
      <c r="DV25" s="611"/>
      <c r="DW25" s="56">
        <v>0</v>
      </c>
      <c r="DX25" s="55"/>
      <c r="DY25" s="56"/>
      <c r="DZ25" s="611"/>
      <c r="EA25" s="611"/>
      <c r="EB25" s="56">
        <v>0</v>
      </c>
      <c r="EC25" s="55"/>
      <c r="ED25" s="56"/>
      <c r="EE25" s="611"/>
      <c r="EF25" s="611"/>
      <c r="EG25" s="56">
        <v>0</v>
      </c>
      <c r="EH25" s="55"/>
      <c r="EI25" s="56"/>
      <c r="EJ25" s="611"/>
      <c r="EK25" s="611"/>
      <c r="EL25" s="56">
        <f>SUM(CD25:CD25)</f>
        <v>0</v>
      </c>
      <c r="EM25" s="55"/>
      <c r="EN25" s="56"/>
      <c r="EO25" s="144"/>
      <c r="ER25" s="42"/>
      <c r="ES25" s="42"/>
    </row>
    <row r="26" spans="4:149" ht="12.75" hidden="1" customHeight="1" x14ac:dyDescent="0.3">
      <c r="D26" s="144" t="s">
        <v>340</v>
      </c>
      <c r="E26" s="611"/>
      <c r="F26" s="513"/>
      <c r="G26" s="117">
        <v>0</v>
      </c>
      <c r="H26" s="116"/>
      <c r="I26" s="56"/>
      <c r="J26" s="611"/>
      <c r="K26" s="620"/>
      <c r="L26" s="117">
        <v>0</v>
      </c>
      <c r="M26" s="116"/>
      <c r="N26" s="56"/>
      <c r="O26" s="611"/>
      <c r="P26" s="620"/>
      <c r="Q26" s="117">
        <v>0</v>
      </c>
      <c r="R26" s="116"/>
      <c r="S26" s="56"/>
      <c r="T26" s="611"/>
      <c r="U26" s="620"/>
      <c r="V26" s="117">
        <v>0</v>
      </c>
      <c r="W26" s="116"/>
      <c r="X26" s="56"/>
      <c r="Y26" s="611"/>
      <c r="Z26" s="620"/>
      <c r="AA26" s="117">
        <v>0</v>
      </c>
      <c r="AB26" s="116"/>
      <c r="AC26" s="56"/>
      <c r="AD26" s="611"/>
      <c r="AE26" s="620"/>
      <c r="AF26" s="117">
        <v>0</v>
      </c>
      <c r="AG26" s="116"/>
      <c r="AH26" s="56"/>
      <c r="AI26" s="611"/>
      <c r="AJ26" s="620"/>
      <c r="AK26" s="117">
        <v>0</v>
      </c>
      <c r="AL26" s="116"/>
      <c r="AM26" s="56"/>
      <c r="AN26" s="611"/>
      <c r="AO26" s="620"/>
      <c r="AP26" s="117">
        <v>0</v>
      </c>
      <c r="AQ26" s="116"/>
      <c r="AR26" s="56"/>
      <c r="AS26" s="611"/>
      <c r="AT26" s="620"/>
      <c r="AU26" s="117">
        <v>0</v>
      </c>
      <c r="AV26" s="116"/>
      <c r="AW26" s="56"/>
      <c r="AX26" s="611"/>
      <c r="AY26" s="620"/>
      <c r="AZ26" s="117">
        <v>0</v>
      </c>
      <c r="BA26" s="116"/>
      <c r="BB26" s="56"/>
      <c r="BC26" s="611"/>
      <c r="BD26" s="620"/>
      <c r="BE26" s="117">
        <v>0</v>
      </c>
      <c r="BF26" s="116"/>
      <c r="BG26" s="56"/>
      <c r="BH26" s="611"/>
      <c r="BI26" s="620"/>
      <c r="BJ26" s="117">
        <v>0</v>
      </c>
      <c r="BK26" s="116"/>
      <c r="BL26" s="56"/>
      <c r="BM26" s="611"/>
      <c r="BN26" s="620"/>
      <c r="BO26" s="117">
        <v>0</v>
      </c>
      <c r="BP26" s="116"/>
      <c r="BQ26" s="56"/>
      <c r="BR26" s="611"/>
      <c r="BS26" s="620"/>
      <c r="BT26" s="117">
        <f>SUM(L26:BO26)</f>
        <v>0</v>
      </c>
      <c r="BU26" s="116"/>
      <c r="BV26" s="56"/>
      <c r="BW26" s="611"/>
      <c r="BX26" s="620"/>
      <c r="BY26" s="117">
        <v>0</v>
      </c>
      <c r="BZ26" s="116"/>
      <c r="CA26" s="56"/>
      <c r="CB26" s="611"/>
      <c r="CC26" s="620"/>
      <c r="CD26" s="117">
        <v>0</v>
      </c>
      <c r="CE26" s="116"/>
      <c r="CF26" s="56"/>
      <c r="CG26" s="611"/>
      <c r="CH26" s="620"/>
      <c r="CI26" s="117">
        <v>0</v>
      </c>
      <c r="CJ26" s="116"/>
      <c r="CK26" s="56"/>
      <c r="CL26" s="611"/>
      <c r="CM26" s="620"/>
      <c r="CN26" s="117">
        <v>0</v>
      </c>
      <c r="CO26" s="116"/>
      <c r="CP26" s="56"/>
      <c r="CQ26" s="611"/>
      <c r="CR26" s="620"/>
      <c r="CS26" s="117">
        <v>0</v>
      </c>
      <c r="CT26" s="116"/>
      <c r="CU26" s="56"/>
      <c r="CV26" s="611"/>
      <c r="CW26" s="620"/>
      <c r="CX26" s="117">
        <v>0</v>
      </c>
      <c r="CY26" s="116"/>
      <c r="CZ26" s="56"/>
      <c r="DA26" s="611"/>
      <c r="DB26" s="620"/>
      <c r="DC26" s="117">
        <v>0</v>
      </c>
      <c r="DD26" s="116"/>
      <c r="DE26" s="56"/>
      <c r="DF26" s="611"/>
      <c r="DG26" s="620"/>
      <c r="DH26" s="117">
        <v>0</v>
      </c>
      <c r="DI26" s="116"/>
      <c r="DJ26" s="56"/>
      <c r="DK26" s="611"/>
      <c r="DL26" s="620"/>
      <c r="DM26" s="117">
        <v>0</v>
      </c>
      <c r="DN26" s="116"/>
      <c r="DO26" s="56"/>
      <c r="DP26" s="611"/>
      <c r="DQ26" s="620"/>
      <c r="DR26" s="117">
        <v>0</v>
      </c>
      <c r="DS26" s="116"/>
      <c r="DT26" s="56"/>
      <c r="DU26" s="611"/>
      <c r="DV26" s="620"/>
      <c r="DW26" s="117">
        <v>0</v>
      </c>
      <c r="DX26" s="116"/>
      <c r="DY26" s="56"/>
      <c r="DZ26" s="611"/>
      <c r="EA26" s="620"/>
      <c r="EB26" s="117">
        <v>0</v>
      </c>
      <c r="EC26" s="116"/>
      <c r="ED26" s="56"/>
      <c r="EE26" s="611"/>
      <c r="EF26" s="620"/>
      <c r="EG26" s="117">
        <v>0</v>
      </c>
      <c r="EH26" s="116"/>
      <c r="EI26" s="56"/>
      <c r="EJ26" s="611"/>
      <c r="EK26" s="621"/>
      <c r="EL26" s="117">
        <f>SUM(CD26:CD26)</f>
        <v>0</v>
      </c>
      <c r="EM26" s="622"/>
      <c r="EN26" s="56"/>
      <c r="EO26" s="144"/>
      <c r="ER26" s="42"/>
      <c r="ES26" s="42"/>
    </row>
    <row r="27" spans="4:149" hidden="1" x14ac:dyDescent="0.3">
      <c r="D27" s="144"/>
      <c r="E27" s="611"/>
      <c r="G27" s="56"/>
      <c r="H27" s="56"/>
      <c r="I27" s="56"/>
      <c r="J27" s="611"/>
      <c r="K27" s="56"/>
      <c r="L27" s="56"/>
      <c r="M27" s="56"/>
      <c r="N27" s="56"/>
      <c r="O27" s="611"/>
      <c r="P27" s="56"/>
      <c r="Q27" s="56"/>
      <c r="R27" s="56"/>
      <c r="S27" s="56"/>
      <c r="T27" s="611"/>
      <c r="U27" s="56"/>
      <c r="V27" s="56"/>
      <c r="W27" s="56"/>
      <c r="X27" s="56"/>
      <c r="Y27" s="611"/>
      <c r="Z27" s="56"/>
      <c r="AA27" s="56"/>
      <c r="AB27" s="56"/>
      <c r="AC27" s="56"/>
      <c r="AD27" s="611"/>
      <c r="AE27" s="56"/>
      <c r="AF27" s="56"/>
      <c r="AG27" s="56"/>
      <c r="AH27" s="56"/>
      <c r="AI27" s="611"/>
      <c r="AJ27" s="56"/>
      <c r="AK27" s="56"/>
      <c r="AL27" s="56"/>
      <c r="AM27" s="56"/>
      <c r="AN27" s="611"/>
      <c r="AO27" s="56"/>
      <c r="AP27" s="56"/>
      <c r="AQ27" s="56"/>
      <c r="AR27" s="56"/>
      <c r="AS27" s="611"/>
      <c r="AT27" s="56"/>
      <c r="AU27" s="56"/>
      <c r="AV27" s="56"/>
      <c r="AW27" s="56"/>
      <c r="AX27" s="611"/>
      <c r="AY27" s="56"/>
      <c r="AZ27" s="56"/>
      <c r="BA27" s="56"/>
      <c r="BB27" s="56"/>
      <c r="BC27" s="611"/>
      <c r="BD27" s="56"/>
      <c r="BE27" s="56"/>
      <c r="BF27" s="56"/>
      <c r="BG27" s="56"/>
      <c r="BH27" s="611"/>
      <c r="BI27" s="56"/>
      <c r="BJ27" s="56"/>
      <c r="BK27" s="56"/>
      <c r="BL27" s="56"/>
      <c r="BM27" s="611"/>
      <c r="BN27" s="56"/>
      <c r="BO27" s="56"/>
      <c r="BP27" s="56"/>
      <c r="BQ27" s="56"/>
      <c r="BR27" s="611"/>
      <c r="BS27" s="56"/>
      <c r="BT27" s="56"/>
      <c r="BU27" s="56"/>
      <c r="BV27" s="56"/>
      <c r="BW27" s="611"/>
      <c r="BX27" s="56"/>
      <c r="BY27" s="56"/>
      <c r="BZ27" s="56"/>
      <c r="CA27" s="56"/>
      <c r="CB27" s="611"/>
      <c r="CC27" s="56"/>
      <c r="CD27" s="56"/>
      <c r="CE27" s="56"/>
      <c r="CF27" s="56"/>
      <c r="CG27" s="611"/>
      <c r="CH27" s="56"/>
      <c r="CI27" s="56"/>
      <c r="CJ27" s="56"/>
      <c r="CK27" s="56"/>
      <c r="CL27" s="611"/>
      <c r="CM27" s="56"/>
      <c r="CN27" s="56"/>
      <c r="CO27" s="56"/>
      <c r="CP27" s="56"/>
      <c r="CQ27" s="611"/>
      <c r="CR27" s="56"/>
      <c r="CS27" s="56"/>
      <c r="CT27" s="56"/>
      <c r="CU27" s="56"/>
      <c r="CV27" s="611"/>
      <c r="CW27" s="56"/>
      <c r="CX27" s="56"/>
      <c r="CY27" s="56"/>
      <c r="CZ27" s="56"/>
      <c r="DA27" s="611"/>
      <c r="DB27" s="56"/>
      <c r="DC27" s="56"/>
      <c r="DD27" s="56"/>
      <c r="DE27" s="56"/>
      <c r="DF27" s="611"/>
      <c r="DG27" s="56"/>
      <c r="DH27" s="56"/>
      <c r="DI27" s="56"/>
      <c r="DJ27" s="56"/>
      <c r="DK27" s="611"/>
      <c r="DL27" s="56"/>
      <c r="DM27" s="56"/>
      <c r="DN27" s="56"/>
      <c r="DO27" s="56"/>
      <c r="DP27" s="611"/>
      <c r="DQ27" s="56"/>
      <c r="DR27" s="56"/>
      <c r="DS27" s="56"/>
      <c r="DT27" s="56"/>
      <c r="DU27" s="611"/>
      <c r="DV27" s="56"/>
      <c r="DW27" s="56"/>
      <c r="DX27" s="56"/>
      <c r="DY27" s="56"/>
      <c r="DZ27" s="611"/>
      <c r="EA27" s="56"/>
      <c r="EB27" s="56"/>
      <c r="EC27" s="56"/>
      <c r="ED27" s="56"/>
      <c r="EE27" s="611"/>
      <c r="EF27" s="56"/>
      <c r="EG27" s="56"/>
      <c r="EH27" s="56"/>
      <c r="EI27" s="56"/>
      <c r="EJ27" s="611"/>
      <c r="EK27" s="56"/>
      <c r="EL27" s="56"/>
      <c r="EM27" s="56"/>
      <c r="EN27" s="56"/>
      <c r="EO27" s="144"/>
      <c r="ER27" s="42"/>
      <c r="ES27" s="42"/>
    </row>
    <row r="28" spans="4:149" ht="12.75" customHeight="1" x14ac:dyDescent="0.3">
      <c r="D28" s="144" t="s">
        <v>341</v>
      </c>
      <c r="E28" s="611"/>
      <c r="G28" s="56">
        <f>SUM(G29:G32)</f>
        <v>0</v>
      </c>
      <c r="H28" s="56"/>
      <c r="I28" s="56"/>
      <c r="J28" s="611"/>
      <c r="K28" s="56"/>
      <c r="L28" s="56">
        <f>SUM(L29:L32)</f>
        <v>0</v>
      </c>
      <c r="M28" s="56"/>
      <c r="N28" s="56"/>
      <c r="O28" s="611"/>
      <c r="P28" s="56"/>
      <c r="Q28" s="56">
        <f>SUM(Q29:Q32)</f>
        <v>0</v>
      </c>
      <c r="R28" s="56"/>
      <c r="S28" s="56"/>
      <c r="T28" s="611"/>
      <c r="U28" s="56"/>
      <c r="V28" s="56">
        <f>SUM(V29:V32)</f>
        <v>0</v>
      </c>
      <c r="W28" s="56"/>
      <c r="X28" s="56"/>
      <c r="Y28" s="611"/>
      <c r="Z28" s="56"/>
      <c r="AA28" s="56">
        <f>SUM(AA29:AA32)</f>
        <v>0</v>
      </c>
      <c r="AB28" s="56"/>
      <c r="AC28" s="56"/>
      <c r="AD28" s="611"/>
      <c r="AE28" s="56"/>
      <c r="AF28" s="56">
        <f>SUM(AF29:AF32)</f>
        <v>0</v>
      </c>
      <c r="AG28" s="56"/>
      <c r="AH28" s="56"/>
      <c r="AI28" s="611"/>
      <c r="AJ28" s="56"/>
      <c r="AK28" s="56">
        <f>SUM(AK29:AK32)</f>
        <v>0</v>
      </c>
      <c r="AL28" s="56"/>
      <c r="AM28" s="56"/>
      <c r="AN28" s="611"/>
      <c r="AO28" s="56"/>
      <c r="AP28" s="56">
        <f>SUM(AP29:AP32)</f>
        <v>0</v>
      </c>
      <c r="AQ28" s="56"/>
      <c r="AR28" s="56"/>
      <c r="AS28" s="611"/>
      <c r="AT28" s="56"/>
      <c r="AU28" s="56">
        <f>SUM(AU29:AU32)</f>
        <v>0</v>
      </c>
      <c r="AV28" s="56"/>
      <c r="AW28" s="56"/>
      <c r="AX28" s="611"/>
      <c r="AY28" s="56"/>
      <c r="AZ28" s="56">
        <f>SUM(AZ29:AZ32)</f>
        <v>0</v>
      </c>
      <c r="BA28" s="56"/>
      <c r="BB28" s="56"/>
      <c r="BC28" s="611"/>
      <c r="BD28" s="56"/>
      <c r="BE28" s="56">
        <f>SUM(BE29:BE32)</f>
        <v>0</v>
      </c>
      <c r="BF28" s="56"/>
      <c r="BG28" s="56"/>
      <c r="BH28" s="611"/>
      <c r="BI28" s="56"/>
      <c r="BJ28" s="56">
        <f>SUM(BJ29:BJ32)</f>
        <v>0</v>
      </c>
      <c r="BK28" s="56"/>
      <c r="BL28" s="56"/>
      <c r="BM28" s="611"/>
      <c r="BN28" s="56"/>
      <c r="BO28" s="56">
        <f>SUM(BO29:BO32)</f>
        <v>0</v>
      </c>
      <c r="BP28" s="56"/>
      <c r="BQ28" s="56"/>
      <c r="BR28" s="611"/>
      <c r="BS28" s="56"/>
      <c r="BT28" s="56">
        <f>SUM(BT29:BT32)</f>
        <v>0</v>
      </c>
      <c r="BU28" s="56"/>
      <c r="BV28" s="56"/>
      <c r="BW28" s="611"/>
      <c r="BX28" s="56"/>
      <c r="BY28" s="56">
        <f>SUM(BY29:BY32)</f>
        <v>6825659</v>
      </c>
      <c r="BZ28" s="56"/>
      <c r="CA28" s="56"/>
      <c r="CB28" s="611"/>
      <c r="CC28" s="56"/>
      <c r="CD28" s="56">
        <f>SUM(CD29:CD32)</f>
        <v>484328</v>
      </c>
      <c r="CE28" s="56"/>
      <c r="CF28" s="56"/>
      <c r="CG28" s="611"/>
      <c r="CH28" s="56"/>
      <c r="CI28" s="56">
        <f>SUM(CI29:CI32)</f>
        <v>850726</v>
      </c>
      <c r="CJ28" s="56"/>
      <c r="CK28" s="56"/>
      <c r="CL28" s="611"/>
      <c r="CM28" s="56"/>
      <c r="CN28" s="56">
        <f>SUM(CN29:CN32)</f>
        <v>390117</v>
      </c>
      <c r="CO28" s="56"/>
      <c r="CP28" s="56"/>
      <c r="CQ28" s="611"/>
      <c r="CR28" s="56"/>
      <c r="CS28" s="56">
        <f>SUM(CS29:CS32)</f>
        <v>0</v>
      </c>
      <c r="CT28" s="56"/>
      <c r="CU28" s="56"/>
      <c r="CV28" s="611"/>
      <c r="CW28" s="56"/>
      <c r="CX28" s="56">
        <f>SUM(CX29:CX32)</f>
        <v>286240</v>
      </c>
      <c r="CY28" s="56"/>
      <c r="CZ28" s="56"/>
      <c r="DA28" s="611"/>
      <c r="DB28" s="56"/>
      <c r="DC28" s="56">
        <f>SUM(DC29:DC32)</f>
        <v>123945</v>
      </c>
      <c r="DD28" s="56"/>
      <c r="DE28" s="56"/>
      <c r="DF28" s="611"/>
      <c r="DG28" s="56"/>
      <c r="DH28" s="56">
        <f>SUM(DH29:DH32)</f>
        <v>15625</v>
      </c>
      <c r="DI28" s="56"/>
      <c r="DJ28" s="56"/>
      <c r="DK28" s="611"/>
      <c r="DL28" s="56"/>
      <c r="DM28" s="56">
        <f>SUM(DM29:DM32)</f>
        <v>0</v>
      </c>
      <c r="DN28" s="56"/>
      <c r="DO28" s="56"/>
      <c r="DP28" s="611"/>
      <c r="DQ28" s="56"/>
      <c r="DR28" s="56">
        <f>SUM(DR29:DR32)</f>
        <v>0</v>
      </c>
      <c r="DS28" s="56"/>
      <c r="DT28" s="56"/>
      <c r="DU28" s="611"/>
      <c r="DV28" s="56"/>
      <c r="DW28" s="56">
        <f>SUM(DW29:DW32)</f>
        <v>0</v>
      </c>
      <c r="DX28" s="56"/>
      <c r="DY28" s="56"/>
      <c r="DZ28" s="611"/>
      <c r="EA28" s="56"/>
      <c r="EB28" s="56">
        <f>SUM(EB29:EB32)</f>
        <v>1079385</v>
      </c>
      <c r="EC28" s="56"/>
      <c r="ED28" s="56"/>
      <c r="EE28" s="611"/>
      <c r="EF28" s="56"/>
      <c r="EG28" s="56">
        <f>SUM(EG29:EG32)</f>
        <v>3595293</v>
      </c>
      <c r="EH28" s="56"/>
      <c r="EI28" s="56"/>
      <c r="EJ28" s="611"/>
      <c r="EK28" s="56"/>
      <c r="EL28" s="56">
        <f>SUM(EL29:EL32)</f>
        <v>2150981</v>
      </c>
      <c r="EM28" s="56"/>
      <c r="EN28" s="56"/>
      <c r="EO28" s="144"/>
      <c r="ER28" s="42"/>
      <c r="ES28" s="42"/>
    </row>
    <row r="29" spans="4:149" ht="12.75" customHeight="1" x14ac:dyDescent="0.3">
      <c r="D29" s="144" t="s">
        <v>335</v>
      </c>
      <c r="E29" s="52"/>
      <c r="F29" s="500"/>
      <c r="G29" s="609">
        <v>0</v>
      </c>
      <c r="H29" s="610"/>
      <c r="I29" s="56"/>
      <c r="J29" s="611"/>
      <c r="K29" s="612"/>
      <c r="L29" s="609">
        <v>0</v>
      </c>
      <c r="M29" s="610"/>
      <c r="N29" s="56"/>
      <c r="O29" s="611"/>
      <c r="P29" s="612"/>
      <c r="Q29" s="609">
        <v>0</v>
      </c>
      <c r="R29" s="610"/>
      <c r="S29" s="56"/>
      <c r="T29" s="611"/>
      <c r="U29" s="612"/>
      <c r="V29" s="609">
        <v>0</v>
      </c>
      <c r="W29" s="610"/>
      <c r="X29" s="56"/>
      <c r="Y29" s="611"/>
      <c r="Z29" s="612"/>
      <c r="AA29" s="609">
        <v>0</v>
      </c>
      <c r="AB29" s="610"/>
      <c r="AC29" s="56"/>
      <c r="AD29" s="611"/>
      <c r="AE29" s="612"/>
      <c r="AF29" s="609">
        <v>0</v>
      </c>
      <c r="AG29" s="610"/>
      <c r="AH29" s="56"/>
      <c r="AI29" s="611"/>
      <c r="AJ29" s="612"/>
      <c r="AK29" s="609">
        <v>0</v>
      </c>
      <c r="AL29" s="610"/>
      <c r="AM29" s="56"/>
      <c r="AN29" s="611"/>
      <c r="AO29" s="612"/>
      <c r="AP29" s="609">
        <v>0</v>
      </c>
      <c r="AQ29" s="610"/>
      <c r="AR29" s="56"/>
      <c r="AS29" s="611"/>
      <c r="AT29" s="612"/>
      <c r="AU29" s="609">
        <v>0</v>
      </c>
      <c r="AV29" s="610"/>
      <c r="AW29" s="56"/>
      <c r="AX29" s="611"/>
      <c r="AY29" s="612"/>
      <c r="AZ29" s="609">
        <v>0</v>
      </c>
      <c r="BA29" s="610"/>
      <c r="BB29" s="56"/>
      <c r="BC29" s="611"/>
      <c r="BD29" s="612"/>
      <c r="BE29" s="609">
        <v>0</v>
      </c>
      <c r="BF29" s="610"/>
      <c r="BG29" s="56"/>
      <c r="BH29" s="611"/>
      <c r="BI29" s="612"/>
      <c r="BJ29" s="609">
        <v>0</v>
      </c>
      <c r="BK29" s="610"/>
      <c r="BL29" s="56"/>
      <c r="BM29" s="611"/>
      <c r="BN29" s="612"/>
      <c r="BO29" s="609">
        <v>0</v>
      </c>
      <c r="BP29" s="610"/>
      <c r="BQ29" s="56"/>
      <c r="BR29" s="611"/>
      <c r="BS29" s="612"/>
      <c r="BT29" s="609">
        <f>SUM(L29:BO29)</f>
        <v>0</v>
      </c>
      <c r="BU29" s="610"/>
      <c r="BV29" s="56"/>
      <c r="BW29" s="611"/>
      <c r="BX29" s="612"/>
      <c r="BY29" s="609">
        <v>4283892</v>
      </c>
      <c r="BZ29" s="610"/>
      <c r="CA29" s="56"/>
      <c r="CB29" s="611"/>
      <c r="CC29" s="612"/>
      <c r="CD29" s="609">
        <f>320000-5573</f>
        <v>314427</v>
      </c>
      <c r="CE29" s="610"/>
      <c r="CF29" s="56"/>
      <c r="CG29" s="611"/>
      <c r="CH29" s="612"/>
      <c r="CI29" s="609">
        <f>560000-3717</f>
        <v>556283</v>
      </c>
      <c r="CJ29" s="610"/>
      <c r="CK29" s="56"/>
      <c r="CL29" s="611"/>
      <c r="CM29" s="612"/>
      <c r="CN29" s="609">
        <f>255000-584+200</f>
        <v>254616</v>
      </c>
      <c r="CO29" s="610"/>
      <c r="CP29" s="56"/>
      <c r="CQ29" s="611"/>
      <c r="CR29" s="612"/>
      <c r="CS29" s="609">
        <v>0</v>
      </c>
      <c r="CT29" s="610"/>
      <c r="CU29" s="56"/>
      <c r="CV29" s="611"/>
      <c r="CW29" s="612"/>
      <c r="CX29" s="609">
        <f>185000-2864</f>
        <v>182136</v>
      </c>
      <c r="CY29" s="610"/>
      <c r="CZ29" s="56"/>
      <c r="DA29" s="611"/>
      <c r="DB29" s="612"/>
      <c r="DC29" s="609">
        <f>80000-820</f>
        <v>79180</v>
      </c>
      <c r="DD29" s="610"/>
      <c r="DE29" s="56"/>
      <c r="DF29" s="611"/>
      <c r="DG29" s="612"/>
      <c r="DH29" s="609">
        <f>10000-172</f>
        <v>9828</v>
      </c>
      <c r="DI29" s="610"/>
      <c r="DJ29" s="56"/>
      <c r="DK29" s="611"/>
      <c r="DL29" s="612"/>
      <c r="DM29" s="609">
        <v>0</v>
      </c>
      <c r="DN29" s="610"/>
      <c r="DO29" s="56"/>
      <c r="DP29" s="611"/>
      <c r="DQ29" s="612"/>
      <c r="DR29" s="609">
        <v>0</v>
      </c>
      <c r="DS29" s="610"/>
      <c r="DT29" s="56"/>
      <c r="DU29" s="611"/>
      <c r="DV29" s="612"/>
      <c r="DW29" s="609">
        <v>0</v>
      </c>
      <c r="DX29" s="610"/>
      <c r="DY29" s="56"/>
      <c r="DZ29" s="611"/>
      <c r="EA29" s="612"/>
      <c r="EB29" s="609">
        <f>680000-15283</f>
        <v>664717</v>
      </c>
      <c r="EC29" s="610"/>
      <c r="ED29" s="56"/>
      <c r="EE29" s="611"/>
      <c r="EF29" s="612"/>
      <c r="EG29" s="609">
        <f>2255000-32295</f>
        <v>2222705</v>
      </c>
      <c r="EH29" s="610"/>
      <c r="EI29" s="56"/>
      <c r="EJ29" s="611"/>
      <c r="EK29" s="612"/>
      <c r="EL29" s="609">
        <f t="shared" ref="EL29:EL32" si="0">SUM(CD29:DW29)</f>
        <v>1396470</v>
      </c>
      <c r="EM29" s="610"/>
      <c r="EN29" s="56"/>
      <c r="EO29" s="144"/>
      <c r="ER29" s="42"/>
      <c r="ES29" s="42"/>
    </row>
    <row r="30" spans="4:149" ht="12.75" customHeight="1" x14ac:dyDescent="0.3">
      <c r="D30" s="144" t="s">
        <v>338</v>
      </c>
      <c r="E30" s="611"/>
      <c r="F30" s="494"/>
      <c r="G30" s="56">
        <v>0</v>
      </c>
      <c r="H30" s="55"/>
      <c r="I30" s="56"/>
      <c r="J30" s="611"/>
      <c r="K30" s="611"/>
      <c r="L30" s="56">
        <v>0</v>
      </c>
      <c r="M30" s="55"/>
      <c r="N30" s="56"/>
      <c r="O30" s="611"/>
      <c r="P30" s="611"/>
      <c r="Q30" s="56">
        <v>0</v>
      </c>
      <c r="R30" s="55"/>
      <c r="S30" s="56"/>
      <c r="T30" s="611"/>
      <c r="U30" s="611"/>
      <c r="V30" s="56">
        <v>0</v>
      </c>
      <c r="W30" s="55"/>
      <c r="X30" s="56"/>
      <c r="Y30" s="611"/>
      <c r="Z30" s="611"/>
      <c r="AA30" s="56">
        <v>0</v>
      </c>
      <c r="AB30" s="55"/>
      <c r="AC30" s="56"/>
      <c r="AD30" s="611"/>
      <c r="AE30" s="611"/>
      <c r="AF30" s="56">
        <v>0</v>
      </c>
      <c r="AG30" s="55"/>
      <c r="AH30" s="56"/>
      <c r="AI30" s="611"/>
      <c r="AJ30" s="611"/>
      <c r="AK30" s="56">
        <v>0</v>
      </c>
      <c r="AL30" s="55"/>
      <c r="AM30" s="56"/>
      <c r="AN30" s="611"/>
      <c r="AO30" s="611"/>
      <c r="AP30" s="56">
        <v>0</v>
      </c>
      <c r="AQ30" s="55"/>
      <c r="AR30" s="56"/>
      <c r="AS30" s="611"/>
      <c r="AT30" s="611"/>
      <c r="AU30" s="56">
        <v>0</v>
      </c>
      <c r="AV30" s="55"/>
      <c r="AW30" s="56"/>
      <c r="AX30" s="611"/>
      <c r="AY30" s="611"/>
      <c r="AZ30" s="56">
        <v>0</v>
      </c>
      <c r="BA30" s="55"/>
      <c r="BB30" s="56"/>
      <c r="BC30" s="611"/>
      <c r="BD30" s="611"/>
      <c r="BE30" s="56">
        <v>0</v>
      </c>
      <c r="BF30" s="55"/>
      <c r="BG30" s="56"/>
      <c r="BH30" s="611"/>
      <c r="BI30" s="611"/>
      <c r="BJ30" s="56">
        <v>0</v>
      </c>
      <c r="BK30" s="55"/>
      <c r="BL30" s="56"/>
      <c r="BM30" s="611"/>
      <c r="BN30" s="611"/>
      <c r="BO30" s="56">
        <v>0</v>
      </c>
      <c r="BP30" s="55"/>
      <c r="BQ30" s="56"/>
      <c r="BR30" s="611"/>
      <c r="BS30" s="611"/>
      <c r="BT30" s="56">
        <f>SUM(L30:BO30)</f>
        <v>0</v>
      </c>
      <c r="BU30" s="55"/>
      <c r="BV30" s="56"/>
      <c r="BW30" s="611"/>
      <c r="BX30" s="611"/>
      <c r="BY30" s="56">
        <v>61308</v>
      </c>
      <c r="BZ30" s="55"/>
      <c r="CA30" s="56"/>
      <c r="CB30" s="611"/>
      <c r="CC30" s="611"/>
      <c r="CD30" s="56">
        <v>5573</v>
      </c>
      <c r="CE30" s="55"/>
      <c r="CF30" s="56"/>
      <c r="CG30" s="611"/>
      <c r="CH30" s="611"/>
      <c r="CI30" s="56">
        <v>3717</v>
      </c>
      <c r="CJ30" s="55"/>
      <c r="CK30" s="56"/>
      <c r="CL30" s="611"/>
      <c r="CM30" s="611"/>
      <c r="CN30" s="56">
        <v>584</v>
      </c>
      <c r="CO30" s="55"/>
      <c r="CP30" s="56"/>
      <c r="CQ30" s="611"/>
      <c r="CR30" s="611"/>
      <c r="CS30" s="56">
        <v>0</v>
      </c>
      <c r="CT30" s="55"/>
      <c r="CU30" s="56"/>
      <c r="CV30" s="611"/>
      <c r="CW30" s="611"/>
      <c r="CX30" s="56">
        <v>2864</v>
      </c>
      <c r="CY30" s="55"/>
      <c r="CZ30" s="56"/>
      <c r="DA30" s="611"/>
      <c r="DB30" s="611"/>
      <c r="DC30" s="56">
        <v>820</v>
      </c>
      <c r="DD30" s="55"/>
      <c r="DE30" s="56"/>
      <c r="DF30" s="611"/>
      <c r="DG30" s="611"/>
      <c r="DH30" s="56">
        <v>172</v>
      </c>
      <c r="DI30" s="55"/>
      <c r="DJ30" s="56"/>
      <c r="DK30" s="611"/>
      <c r="DL30" s="611"/>
      <c r="DM30" s="56">
        <v>0</v>
      </c>
      <c r="DN30" s="55"/>
      <c r="DO30" s="56"/>
      <c r="DP30" s="611"/>
      <c r="DQ30" s="611"/>
      <c r="DR30" s="56">
        <v>0</v>
      </c>
      <c r="DS30" s="55"/>
      <c r="DT30" s="56"/>
      <c r="DU30" s="611"/>
      <c r="DV30" s="611"/>
      <c r="DW30" s="56">
        <v>0</v>
      </c>
      <c r="DX30" s="55"/>
      <c r="DY30" s="56"/>
      <c r="DZ30" s="611"/>
      <c r="EA30" s="611"/>
      <c r="EB30" s="56">
        <v>15283</v>
      </c>
      <c r="EC30" s="55"/>
      <c r="ED30" s="56"/>
      <c r="EE30" s="611"/>
      <c r="EF30" s="611"/>
      <c r="EG30" s="56">
        <v>32295</v>
      </c>
      <c r="EH30" s="55"/>
      <c r="EI30" s="56"/>
      <c r="EJ30" s="611"/>
      <c r="EK30" s="611"/>
      <c r="EL30" s="56">
        <f t="shared" si="0"/>
        <v>13730</v>
      </c>
      <c r="EM30" s="55"/>
      <c r="EN30" s="56"/>
      <c r="EO30" s="144"/>
      <c r="ER30" s="42"/>
      <c r="ES30" s="42"/>
    </row>
    <row r="31" spans="4:149" ht="12.75" customHeight="1" x14ac:dyDescent="0.3">
      <c r="D31" s="144" t="s">
        <v>339</v>
      </c>
      <c r="E31" s="611"/>
      <c r="F31" s="494"/>
      <c r="G31" s="56">
        <v>0</v>
      </c>
      <c r="H31" s="55"/>
      <c r="I31" s="56"/>
      <c r="J31" s="611"/>
      <c r="K31" s="611"/>
      <c r="L31" s="56">
        <v>0</v>
      </c>
      <c r="M31" s="55"/>
      <c r="N31" s="56"/>
      <c r="O31" s="611"/>
      <c r="P31" s="611"/>
      <c r="Q31" s="56">
        <v>0</v>
      </c>
      <c r="R31" s="55"/>
      <c r="S31" s="56"/>
      <c r="T31" s="611"/>
      <c r="U31" s="611"/>
      <c r="V31" s="56">
        <v>0</v>
      </c>
      <c r="W31" s="55"/>
      <c r="X31" s="56"/>
      <c r="Y31" s="611"/>
      <c r="Z31" s="611"/>
      <c r="AA31" s="56">
        <v>0</v>
      </c>
      <c r="AB31" s="55"/>
      <c r="AC31" s="56"/>
      <c r="AD31" s="611"/>
      <c r="AE31" s="611"/>
      <c r="AF31" s="56">
        <v>0</v>
      </c>
      <c r="AG31" s="55"/>
      <c r="AH31" s="56"/>
      <c r="AI31" s="611"/>
      <c r="AJ31" s="611"/>
      <c r="AK31" s="56">
        <v>0</v>
      </c>
      <c r="AL31" s="55"/>
      <c r="AM31" s="56"/>
      <c r="AN31" s="611"/>
      <c r="AO31" s="611"/>
      <c r="AP31" s="56">
        <v>0</v>
      </c>
      <c r="AQ31" s="55"/>
      <c r="AR31" s="56"/>
      <c r="AS31" s="611"/>
      <c r="AT31" s="611"/>
      <c r="AU31" s="56">
        <v>0</v>
      </c>
      <c r="AV31" s="55"/>
      <c r="AW31" s="56"/>
      <c r="AX31" s="611"/>
      <c r="AY31" s="611"/>
      <c r="AZ31" s="56">
        <v>0</v>
      </c>
      <c r="BA31" s="55"/>
      <c r="BB31" s="56"/>
      <c r="BC31" s="611"/>
      <c r="BD31" s="611"/>
      <c r="BE31" s="56">
        <v>0</v>
      </c>
      <c r="BF31" s="55"/>
      <c r="BG31" s="56"/>
      <c r="BH31" s="611"/>
      <c r="BI31" s="611"/>
      <c r="BJ31" s="56">
        <v>0</v>
      </c>
      <c r="BK31" s="55"/>
      <c r="BL31" s="56"/>
      <c r="BM31" s="611"/>
      <c r="BN31" s="611"/>
      <c r="BO31" s="56">
        <v>0</v>
      </c>
      <c r="BP31" s="55"/>
      <c r="BQ31" s="56"/>
      <c r="BR31" s="611"/>
      <c r="BS31" s="611"/>
      <c r="BT31" s="56">
        <f>SUM(L31:BO31)</f>
        <v>0</v>
      </c>
      <c r="BU31" s="55"/>
      <c r="BV31" s="56"/>
      <c r="BW31" s="611"/>
      <c r="BX31" s="611"/>
      <c r="BY31" s="56">
        <v>-200</v>
      </c>
      <c r="BZ31" s="55"/>
      <c r="CA31" s="56"/>
      <c r="CB31" s="611"/>
      <c r="CC31" s="611"/>
      <c r="CD31" s="56">
        <v>0</v>
      </c>
      <c r="CE31" s="55"/>
      <c r="CF31" s="56"/>
      <c r="CG31" s="611"/>
      <c r="CH31" s="611"/>
      <c r="CI31" s="56">
        <v>0</v>
      </c>
      <c r="CJ31" s="55"/>
      <c r="CK31" s="56"/>
      <c r="CL31" s="611"/>
      <c r="CM31" s="611"/>
      <c r="CN31" s="56">
        <v>-200</v>
      </c>
      <c r="CO31" s="55"/>
      <c r="CP31" s="56"/>
      <c r="CQ31" s="611"/>
      <c r="CR31" s="611"/>
      <c r="CS31" s="56">
        <v>0</v>
      </c>
      <c r="CT31" s="55"/>
      <c r="CU31" s="56"/>
      <c r="CV31" s="611"/>
      <c r="CW31" s="611"/>
      <c r="CX31" s="56">
        <v>0</v>
      </c>
      <c r="CY31" s="55"/>
      <c r="CZ31" s="56"/>
      <c r="DA31" s="611"/>
      <c r="DB31" s="611"/>
      <c r="DC31" s="56">
        <v>0</v>
      </c>
      <c r="DD31" s="55"/>
      <c r="DE31" s="56"/>
      <c r="DF31" s="611"/>
      <c r="DG31" s="611"/>
      <c r="DH31" s="56">
        <v>0</v>
      </c>
      <c r="DI31" s="55"/>
      <c r="DJ31" s="56"/>
      <c r="DK31" s="611"/>
      <c r="DL31" s="611"/>
      <c r="DM31" s="56">
        <v>0</v>
      </c>
      <c r="DN31" s="55"/>
      <c r="DO31" s="56"/>
      <c r="DP31" s="611"/>
      <c r="DQ31" s="611"/>
      <c r="DR31" s="56">
        <v>0</v>
      </c>
      <c r="DS31" s="55"/>
      <c r="DT31" s="56"/>
      <c r="DU31" s="611"/>
      <c r="DV31" s="611"/>
      <c r="DW31" s="56">
        <v>0</v>
      </c>
      <c r="DX31" s="55"/>
      <c r="DY31" s="56"/>
      <c r="DZ31" s="611"/>
      <c r="EA31" s="611"/>
      <c r="EB31" s="56">
        <v>0</v>
      </c>
      <c r="EC31" s="55"/>
      <c r="ED31" s="56"/>
      <c r="EE31" s="611"/>
      <c r="EF31" s="611"/>
      <c r="EG31" s="56">
        <v>0</v>
      </c>
      <c r="EH31" s="55"/>
      <c r="EI31" s="56"/>
      <c r="EJ31" s="611"/>
      <c r="EK31" s="611"/>
      <c r="EL31" s="56">
        <f t="shared" si="0"/>
        <v>-200</v>
      </c>
      <c r="EM31" s="55"/>
      <c r="EN31" s="56"/>
      <c r="EO31" s="144"/>
      <c r="ER31" s="42"/>
      <c r="ES31" s="42"/>
    </row>
    <row r="32" spans="4:149" ht="12.75" customHeight="1" x14ac:dyDescent="0.3">
      <c r="D32" s="144" t="s">
        <v>340</v>
      </c>
      <c r="E32" s="611"/>
      <c r="F32" s="513"/>
      <c r="G32" s="117">
        <v>0</v>
      </c>
      <c r="H32" s="116"/>
      <c r="I32" s="56"/>
      <c r="J32" s="611"/>
      <c r="K32" s="620"/>
      <c r="L32" s="117">
        <v>0</v>
      </c>
      <c r="M32" s="116"/>
      <c r="N32" s="56"/>
      <c r="O32" s="611"/>
      <c r="P32" s="620"/>
      <c r="Q32" s="117">
        <v>0</v>
      </c>
      <c r="R32" s="116"/>
      <c r="S32" s="56"/>
      <c r="T32" s="611"/>
      <c r="U32" s="620"/>
      <c r="V32" s="117">
        <v>0</v>
      </c>
      <c r="W32" s="116"/>
      <c r="X32" s="56"/>
      <c r="Y32" s="611"/>
      <c r="Z32" s="620"/>
      <c r="AA32" s="117">
        <v>0</v>
      </c>
      <c r="AB32" s="116"/>
      <c r="AC32" s="56"/>
      <c r="AD32" s="611"/>
      <c r="AE32" s="620"/>
      <c r="AF32" s="117">
        <v>0</v>
      </c>
      <c r="AG32" s="116"/>
      <c r="AH32" s="56"/>
      <c r="AI32" s="611"/>
      <c r="AJ32" s="620"/>
      <c r="AK32" s="117">
        <v>0</v>
      </c>
      <c r="AL32" s="116"/>
      <c r="AM32" s="56"/>
      <c r="AN32" s="611"/>
      <c r="AO32" s="620"/>
      <c r="AP32" s="117">
        <v>0</v>
      </c>
      <c r="AQ32" s="116"/>
      <c r="AR32" s="56"/>
      <c r="AS32" s="611"/>
      <c r="AT32" s="620"/>
      <c r="AU32" s="117">
        <v>0</v>
      </c>
      <c r="AV32" s="116"/>
      <c r="AW32" s="56"/>
      <c r="AX32" s="611"/>
      <c r="AY32" s="620"/>
      <c r="AZ32" s="117">
        <v>0</v>
      </c>
      <c r="BA32" s="116"/>
      <c r="BB32" s="56"/>
      <c r="BC32" s="611"/>
      <c r="BD32" s="620"/>
      <c r="BE32" s="117">
        <v>0</v>
      </c>
      <c r="BF32" s="116"/>
      <c r="BG32" s="56"/>
      <c r="BH32" s="611"/>
      <c r="BI32" s="620"/>
      <c r="BJ32" s="117">
        <v>0</v>
      </c>
      <c r="BK32" s="116"/>
      <c r="BL32" s="56"/>
      <c r="BM32" s="611"/>
      <c r="BN32" s="620"/>
      <c r="BO32" s="117">
        <v>0</v>
      </c>
      <c r="BP32" s="116"/>
      <c r="BQ32" s="56"/>
      <c r="BR32" s="611"/>
      <c r="BS32" s="620"/>
      <c r="BT32" s="117">
        <f>SUM(L32:BO32)</f>
        <v>0</v>
      </c>
      <c r="BU32" s="116"/>
      <c r="BV32" s="56"/>
      <c r="BW32" s="611"/>
      <c r="BX32" s="620"/>
      <c r="BY32" s="117">
        <v>2480659</v>
      </c>
      <c r="BZ32" s="116"/>
      <c r="CA32" s="56"/>
      <c r="CB32" s="611"/>
      <c r="CC32" s="620"/>
      <c r="CD32" s="117">
        <v>164328</v>
      </c>
      <c r="CE32" s="116"/>
      <c r="CF32" s="56"/>
      <c r="CG32" s="611"/>
      <c r="CH32" s="620"/>
      <c r="CI32" s="117">
        <v>290726</v>
      </c>
      <c r="CJ32" s="116"/>
      <c r="CK32" s="56"/>
      <c r="CL32" s="611"/>
      <c r="CM32" s="620"/>
      <c r="CN32" s="117">
        <v>135117</v>
      </c>
      <c r="CO32" s="116"/>
      <c r="CP32" s="56"/>
      <c r="CQ32" s="611"/>
      <c r="CR32" s="620"/>
      <c r="CS32" s="117">
        <v>0</v>
      </c>
      <c r="CT32" s="116"/>
      <c r="CU32" s="56"/>
      <c r="CV32" s="611"/>
      <c r="CW32" s="620"/>
      <c r="CX32" s="117">
        <v>101240</v>
      </c>
      <c r="CY32" s="116"/>
      <c r="CZ32" s="56"/>
      <c r="DA32" s="611"/>
      <c r="DB32" s="620"/>
      <c r="DC32" s="117">
        <v>43945</v>
      </c>
      <c r="DD32" s="116"/>
      <c r="DE32" s="56"/>
      <c r="DF32" s="611"/>
      <c r="DG32" s="620"/>
      <c r="DH32" s="117">
        <v>5625</v>
      </c>
      <c r="DI32" s="116"/>
      <c r="DJ32" s="56"/>
      <c r="DK32" s="611"/>
      <c r="DL32" s="620"/>
      <c r="DM32" s="117">
        <v>0</v>
      </c>
      <c r="DN32" s="116"/>
      <c r="DO32" s="56"/>
      <c r="DP32" s="611"/>
      <c r="DQ32" s="620"/>
      <c r="DR32" s="117">
        <v>0</v>
      </c>
      <c r="DS32" s="116"/>
      <c r="DT32" s="56"/>
      <c r="DU32" s="611"/>
      <c r="DV32" s="620"/>
      <c r="DW32" s="117">
        <v>0</v>
      </c>
      <c r="DX32" s="116"/>
      <c r="DY32" s="56"/>
      <c r="DZ32" s="611"/>
      <c r="EA32" s="620"/>
      <c r="EB32" s="117">
        <v>399385</v>
      </c>
      <c r="EC32" s="116"/>
      <c r="ED32" s="56"/>
      <c r="EE32" s="611"/>
      <c r="EF32" s="620"/>
      <c r="EG32" s="117">
        <v>1340293</v>
      </c>
      <c r="EH32" s="116"/>
      <c r="EI32" s="56"/>
      <c r="EJ32" s="611"/>
      <c r="EK32" s="620"/>
      <c r="EL32" s="117">
        <f t="shared" si="0"/>
        <v>740981</v>
      </c>
      <c r="EM32" s="116"/>
      <c r="EN32" s="56"/>
      <c r="EO32" s="144"/>
      <c r="ER32" s="42"/>
      <c r="ES32" s="42"/>
    </row>
    <row r="33" spans="4:150" ht="12.75" customHeight="1" x14ac:dyDescent="0.3">
      <c r="D33" s="144"/>
      <c r="E33" s="611"/>
      <c r="G33" s="56"/>
      <c r="H33" s="56"/>
      <c r="I33" s="56"/>
      <c r="J33" s="611"/>
      <c r="K33" s="56"/>
      <c r="L33" s="56"/>
      <c r="M33" s="56"/>
      <c r="N33" s="56"/>
      <c r="O33" s="611"/>
      <c r="P33" s="56"/>
      <c r="Q33" s="56"/>
      <c r="R33" s="56"/>
      <c r="S33" s="56"/>
      <c r="T33" s="611"/>
      <c r="U33" s="56"/>
      <c r="V33" s="56"/>
      <c r="W33" s="56"/>
      <c r="X33" s="56"/>
      <c r="Y33" s="611"/>
      <c r="Z33" s="56"/>
      <c r="AA33" s="56"/>
      <c r="AB33" s="56"/>
      <c r="AC33" s="56"/>
      <c r="AD33" s="611"/>
      <c r="AE33" s="56"/>
      <c r="AF33" s="56"/>
      <c r="AG33" s="56"/>
      <c r="AH33" s="56"/>
      <c r="AI33" s="611"/>
      <c r="AJ33" s="56"/>
      <c r="AK33" s="56"/>
      <c r="AL33" s="56"/>
      <c r="AM33" s="56"/>
      <c r="AN33" s="611"/>
      <c r="AO33" s="56"/>
      <c r="AP33" s="56"/>
      <c r="AQ33" s="56"/>
      <c r="AR33" s="56"/>
      <c r="AS33" s="611"/>
      <c r="AT33" s="56"/>
      <c r="AU33" s="56"/>
      <c r="AV33" s="56"/>
      <c r="AW33" s="56"/>
      <c r="AX33" s="611"/>
      <c r="AY33" s="56"/>
      <c r="AZ33" s="56"/>
      <c r="BA33" s="56"/>
      <c r="BB33" s="56"/>
      <c r="BC33" s="611"/>
      <c r="BD33" s="56"/>
      <c r="BE33" s="56"/>
      <c r="BF33" s="56"/>
      <c r="BG33" s="56"/>
      <c r="BH33" s="611"/>
      <c r="BI33" s="56"/>
      <c r="BJ33" s="56"/>
      <c r="BK33" s="56"/>
      <c r="BL33" s="56"/>
      <c r="BM33" s="611"/>
      <c r="BN33" s="56"/>
      <c r="BO33" s="56"/>
      <c r="BP33" s="56"/>
      <c r="BQ33" s="56"/>
      <c r="BR33" s="611"/>
      <c r="BS33" s="56"/>
      <c r="BT33" s="56"/>
      <c r="BU33" s="56"/>
      <c r="BV33" s="56"/>
      <c r="BW33" s="611"/>
      <c r="BX33" s="56"/>
      <c r="BY33" s="56"/>
      <c r="BZ33" s="56"/>
      <c r="CA33" s="56"/>
      <c r="CB33" s="611"/>
      <c r="CC33" s="56"/>
      <c r="CD33" s="56"/>
      <c r="CE33" s="56"/>
      <c r="CF33" s="56"/>
      <c r="CG33" s="611"/>
      <c r="CH33" s="56"/>
      <c r="CI33" s="56"/>
      <c r="CJ33" s="56"/>
      <c r="CK33" s="56"/>
      <c r="CL33" s="611"/>
      <c r="CM33" s="56"/>
      <c r="CN33" s="56"/>
      <c r="CO33" s="56"/>
      <c r="CP33" s="56"/>
      <c r="CQ33" s="611"/>
      <c r="CR33" s="56"/>
      <c r="CS33" s="56"/>
      <c r="CT33" s="56"/>
      <c r="CU33" s="56"/>
      <c r="CV33" s="611"/>
      <c r="CW33" s="56"/>
      <c r="CX33" s="56"/>
      <c r="CY33" s="56"/>
      <c r="CZ33" s="56"/>
      <c r="DA33" s="611"/>
      <c r="DB33" s="56"/>
      <c r="DC33" s="56"/>
      <c r="DD33" s="56"/>
      <c r="DE33" s="56"/>
      <c r="DF33" s="611"/>
      <c r="DG33" s="56"/>
      <c r="DH33" s="56"/>
      <c r="DI33" s="56"/>
      <c r="DJ33" s="56"/>
      <c r="DK33" s="611"/>
      <c r="DL33" s="56"/>
      <c r="DM33" s="56"/>
      <c r="DN33" s="56"/>
      <c r="DO33" s="56"/>
      <c r="DP33" s="611"/>
      <c r="DQ33" s="56"/>
      <c r="DR33" s="56"/>
      <c r="DS33" s="56"/>
      <c r="DT33" s="56"/>
      <c r="DU33" s="611"/>
      <c r="DV33" s="56"/>
      <c r="DW33" s="56"/>
      <c r="DX33" s="56"/>
      <c r="DY33" s="56"/>
      <c r="DZ33" s="611"/>
      <c r="EA33" s="56"/>
      <c r="EB33" s="56"/>
      <c r="EC33" s="56"/>
      <c r="ED33" s="56"/>
      <c r="EE33" s="611"/>
      <c r="EF33" s="56"/>
      <c r="EG33" s="56"/>
      <c r="EH33" s="56"/>
      <c r="EI33" s="56"/>
      <c r="EJ33" s="611"/>
      <c r="EK33" s="56"/>
      <c r="EL33" s="56"/>
      <c r="EM33" s="56"/>
      <c r="EN33" s="56"/>
      <c r="EO33" s="144"/>
      <c r="ER33" s="42"/>
      <c r="ES33" s="42"/>
    </row>
    <row r="34" spans="4:150" ht="12.75" customHeight="1" x14ac:dyDescent="0.3">
      <c r="D34" s="144" t="s">
        <v>342</v>
      </c>
      <c r="E34" s="611"/>
      <c r="G34" s="56">
        <f>SUM(G35:G38)</f>
        <v>0</v>
      </c>
      <c r="H34" s="56"/>
      <c r="I34" s="56"/>
      <c r="J34" s="611"/>
      <c r="K34" s="56"/>
      <c r="L34" s="56">
        <f>SUM(L35:L38)</f>
        <v>0</v>
      </c>
      <c r="M34" s="56"/>
      <c r="N34" s="56"/>
      <c r="O34" s="611"/>
      <c r="P34" s="56"/>
      <c r="Q34" s="56">
        <f>SUM(Q35:Q38)</f>
        <v>0</v>
      </c>
      <c r="R34" s="56"/>
      <c r="S34" s="56"/>
      <c r="T34" s="611"/>
      <c r="U34" s="56"/>
      <c r="V34" s="56">
        <f>SUM(V35:V38)</f>
        <v>0</v>
      </c>
      <c r="W34" s="56"/>
      <c r="X34" s="56"/>
      <c r="Y34" s="611"/>
      <c r="Z34" s="56"/>
      <c r="AA34" s="56">
        <f>SUM(AA35:AA38)</f>
        <v>0</v>
      </c>
      <c r="AB34" s="56"/>
      <c r="AC34" s="56"/>
      <c r="AD34" s="611"/>
      <c r="AE34" s="56"/>
      <c r="AF34" s="56">
        <f>SUM(AF35:AF38)</f>
        <v>0</v>
      </c>
      <c r="AG34" s="56"/>
      <c r="AH34" s="56"/>
      <c r="AI34" s="611"/>
      <c r="AJ34" s="56"/>
      <c r="AK34" s="56">
        <f>SUM(AK35:AK38)</f>
        <v>0</v>
      </c>
      <c r="AL34" s="56"/>
      <c r="AM34" s="56"/>
      <c r="AN34" s="611"/>
      <c r="AO34" s="56"/>
      <c r="AP34" s="56">
        <f>SUM(AP35:AP38)</f>
        <v>0</v>
      </c>
      <c r="AQ34" s="56"/>
      <c r="AR34" s="56"/>
      <c r="AS34" s="611"/>
      <c r="AT34" s="56"/>
      <c r="AU34" s="56">
        <f>SUM(AU35:AU38)</f>
        <v>1176535</v>
      </c>
      <c r="AV34" s="56"/>
      <c r="AW34" s="56"/>
      <c r="AX34" s="611"/>
      <c r="AY34" s="56"/>
      <c r="AZ34" s="56">
        <f>SUM(AZ35:AZ38)</f>
        <v>0</v>
      </c>
      <c r="BA34" s="56"/>
      <c r="BB34" s="56"/>
      <c r="BC34" s="611"/>
      <c r="BD34" s="56"/>
      <c r="BE34" s="56">
        <f>SUM(BE35:BE38)</f>
        <v>0</v>
      </c>
      <c r="BF34" s="56"/>
      <c r="BG34" s="56"/>
      <c r="BH34" s="611"/>
      <c r="BI34" s="56"/>
      <c r="BJ34" s="56">
        <f>SUM(BJ35:BJ38)</f>
        <v>0</v>
      </c>
      <c r="BK34" s="56"/>
      <c r="BL34" s="56"/>
      <c r="BM34" s="611"/>
      <c r="BN34" s="56"/>
      <c r="BO34" s="56">
        <f>SUM(BO35:BO38)</f>
        <v>0</v>
      </c>
      <c r="BP34" s="56"/>
      <c r="BQ34" s="56"/>
      <c r="BR34" s="611"/>
      <c r="BS34" s="56"/>
      <c r="BT34" s="56">
        <f>SUM(BT35:BT38)</f>
        <v>1176535</v>
      </c>
      <c r="BU34" s="56"/>
      <c r="BV34" s="56"/>
      <c r="BW34" s="611"/>
      <c r="BX34" s="56"/>
      <c r="BY34" s="56">
        <f>SUM(BY35:BY38)</f>
        <v>0</v>
      </c>
      <c r="BZ34" s="56"/>
      <c r="CA34" s="56"/>
      <c r="CB34" s="611"/>
      <c r="CC34" s="56"/>
      <c r="CD34" s="56">
        <f>SUM(CD35:CD38)</f>
        <v>0</v>
      </c>
      <c r="CE34" s="56"/>
      <c r="CF34" s="56"/>
      <c r="CG34" s="611"/>
      <c r="CH34" s="56"/>
      <c r="CI34" s="56">
        <f>SUM(CI35:CI38)</f>
        <v>0</v>
      </c>
      <c r="CJ34" s="56"/>
      <c r="CK34" s="56"/>
      <c r="CL34" s="611"/>
      <c r="CM34" s="56"/>
      <c r="CN34" s="56">
        <f>SUM(CN35:CN38)</f>
        <v>0</v>
      </c>
      <c r="CO34" s="56"/>
      <c r="CP34" s="56"/>
      <c r="CQ34" s="611"/>
      <c r="CR34" s="56"/>
      <c r="CS34" s="56">
        <f>SUM(CS35:CS38)</f>
        <v>0</v>
      </c>
      <c r="CT34" s="56"/>
      <c r="CU34" s="56"/>
      <c r="CV34" s="611"/>
      <c r="CW34" s="56"/>
      <c r="CX34" s="56">
        <f>SUM(CX35:CX38)</f>
        <v>0</v>
      </c>
      <c r="CY34" s="56"/>
      <c r="CZ34" s="56"/>
      <c r="DA34" s="611"/>
      <c r="DB34" s="56"/>
      <c r="DC34" s="56">
        <f>SUM(DC35:DC38)</f>
        <v>0</v>
      </c>
      <c r="DD34" s="56"/>
      <c r="DE34" s="56"/>
      <c r="DF34" s="611"/>
      <c r="DG34" s="56"/>
      <c r="DH34" s="56">
        <f>SUM(DH35:DH38)</f>
        <v>0</v>
      </c>
      <c r="DI34" s="56"/>
      <c r="DJ34" s="56"/>
      <c r="DK34" s="611"/>
      <c r="DL34" s="56"/>
      <c r="DM34" s="56">
        <f>SUM(DM35:DM38)</f>
        <v>0</v>
      </c>
      <c r="DN34" s="56"/>
      <c r="DO34" s="56"/>
      <c r="DP34" s="611"/>
      <c r="DQ34" s="56"/>
      <c r="DR34" s="56">
        <f>SUM(DR35:DR38)</f>
        <v>0</v>
      </c>
      <c r="DS34" s="56"/>
      <c r="DT34" s="56"/>
      <c r="DU34" s="611"/>
      <c r="DV34" s="56"/>
      <c r="DW34" s="56">
        <f>SUM(DW35:DW38)</f>
        <v>0</v>
      </c>
      <c r="DX34" s="56"/>
      <c r="DY34" s="56"/>
      <c r="DZ34" s="611"/>
      <c r="EA34" s="56"/>
      <c r="EB34" s="56">
        <f>SUM(EB35:EB38)</f>
        <v>0</v>
      </c>
      <c r="EC34" s="56"/>
      <c r="ED34" s="56"/>
      <c r="EE34" s="611"/>
      <c r="EF34" s="56"/>
      <c r="EG34" s="56">
        <f>SUM(EG35:EG38)</f>
        <v>0</v>
      </c>
      <c r="EH34" s="56"/>
      <c r="EI34" s="56"/>
      <c r="EJ34" s="611"/>
      <c r="EK34" s="56"/>
      <c r="EL34" s="56">
        <f>SUM(EL35:EL38)</f>
        <v>0</v>
      </c>
      <c r="EM34" s="56"/>
      <c r="EN34" s="56"/>
      <c r="EO34" s="144"/>
      <c r="ER34" s="42"/>
      <c r="ES34" s="42"/>
    </row>
    <row r="35" spans="4:150" ht="12.75" customHeight="1" x14ac:dyDescent="0.3">
      <c r="D35" s="144" t="s">
        <v>335</v>
      </c>
      <c r="E35" s="611"/>
      <c r="F35" s="500"/>
      <c r="G35" s="609">
        <v>0</v>
      </c>
      <c r="H35" s="610"/>
      <c r="I35" s="56"/>
      <c r="J35" s="611"/>
      <c r="K35" s="612"/>
      <c r="L35" s="609">
        <v>0</v>
      </c>
      <c r="M35" s="610"/>
      <c r="N35" s="56"/>
      <c r="O35" s="611"/>
      <c r="P35" s="612"/>
      <c r="Q35" s="609">
        <v>0</v>
      </c>
      <c r="R35" s="610"/>
      <c r="S35" s="56"/>
      <c r="T35" s="611"/>
      <c r="U35" s="612"/>
      <c r="V35" s="609">
        <v>0</v>
      </c>
      <c r="W35" s="610"/>
      <c r="X35" s="56"/>
      <c r="Y35" s="611"/>
      <c r="Z35" s="612"/>
      <c r="AA35" s="609">
        <v>0</v>
      </c>
      <c r="AB35" s="610"/>
      <c r="AC35" s="56"/>
      <c r="AD35" s="611"/>
      <c r="AE35" s="612"/>
      <c r="AF35" s="609">
        <v>0</v>
      </c>
      <c r="AG35" s="610"/>
      <c r="AH35" s="56"/>
      <c r="AI35" s="611"/>
      <c r="AJ35" s="612"/>
      <c r="AK35" s="609">
        <v>0</v>
      </c>
      <c r="AL35" s="610"/>
      <c r="AM35" s="56"/>
      <c r="AN35" s="611"/>
      <c r="AO35" s="612"/>
      <c r="AP35" s="609">
        <v>0</v>
      </c>
      <c r="AQ35" s="610"/>
      <c r="AR35" s="56"/>
      <c r="AS35" s="611"/>
      <c r="AT35" s="612"/>
      <c r="AU35" s="609">
        <f>505000-70307</f>
        <v>434693</v>
      </c>
      <c r="AV35" s="610"/>
      <c r="AW35" s="56"/>
      <c r="AX35" s="611"/>
      <c r="AY35" s="612"/>
      <c r="AZ35" s="609">
        <v>0</v>
      </c>
      <c r="BA35" s="610"/>
      <c r="BB35" s="56"/>
      <c r="BC35" s="611"/>
      <c r="BD35" s="612"/>
      <c r="BE35" s="609">
        <v>0</v>
      </c>
      <c r="BF35" s="610"/>
      <c r="BG35" s="56"/>
      <c r="BH35" s="611"/>
      <c r="BI35" s="612"/>
      <c r="BJ35" s="609">
        <v>0</v>
      </c>
      <c r="BK35" s="610"/>
      <c r="BL35" s="56"/>
      <c r="BM35" s="611"/>
      <c r="BN35" s="612"/>
      <c r="BO35" s="609">
        <v>0</v>
      </c>
      <c r="BP35" s="610"/>
      <c r="BQ35" s="56"/>
      <c r="BR35" s="611"/>
      <c r="BS35" s="612"/>
      <c r="BT35" s="609">
        <f>SUM(L35:BO35)</f>
        <v>434693</v>
      </c>
      <c r="BU35" s="610"/>
      <c r="BV35" s="56"/>
      <c r="BW35" s="611"/>
      <c r="BX35" s="612"/>
      <c r="BY35" s="609">
        <v>0</v>
      </c>
      <c r="BZ35" s="610"/>
      <c r="CA35" s="56"/>
      <c r="CB35" s="611"/>
      <c r="CC35" s="612"/>
      <c r="CD35" s="609">
        <v>0</v>
      </c>
      <c r="CE35" s="610"/>
      <c r="CF35" s="56"/>
      <c r="CG35" s="611"/>
      <c r="CH35" s="612"/>
      <c r="CI35" s="609">
        <v>0</v>
      </c>
      <c r="CJ35" s="610"/>
      <c r="CK35" s="56"/>
      <c r="CL35" s="611"/>
      <c r="CM35" s="612"/>
      <c r="CN35" s="609">
        <v>0</v>
      </c>
      <c r="CO35" s="610"/>
      <c r="CP35" s="56"/>
      <c r="CQ35" s="611"/>
      <c r="CR35" s="612"/>
      <c r="CS35" s="609">
        <v>0</v>
      </c>
      <c r="CT35" s="610"/>
      <c r="CU35" s="56"/>
      <c r="CV35" s="611"/>
      <c r="CW35" s="612"/>
      <c r="CX35" s="609">
        <v>0</v>
      </c>
      <c r="CY35" s="610"/>
      <c r="CZ35" s="56"/>
      <c r="DA35" s="611"/>
      <c r="DB35" s="612"/>
      <c r="DC35" s="609">
        <v>0</v>
      </c>
      <c r="DD35" s="610"/>
      <c r="DE35" s="56"/>
      <c r="DF35" s="611"/>
      <c r="DG35" s="612"/>
      <c r="DH35" s="609">
        <v>0</v>
      </c>
      <c r="DI35" s="610"/>
      <c r="DJ35" s="56"/>
      <c r="DK35" s="611"/>
      <c r="DL35" s="612"/>
      <c r="DM35" s="609">
        <v>0</v>
      </c>
      <c r="DN35" s="610"/>
      <c r="DO35" s="56"/>
      <c r="DP35" s="611"/>
      <c r="DQ35" s="612"/>
      <c r="DR35" s="609">
        <v>0</v>
      </c>
      <c r="DS35" s="610"/>
      <c r="DT35" s="56"/>
      <c r="DU35" s="611"/>
      <c r="DV35" s="612"/>
      <c r="DW35" s="609">
        <v>0</v>
      </c>
      <c r="DX35" s="610"/>
      <c r="DY35" s="56"/>
      <c r="DZ35" s="611"/>
      <c r="EA35" s="612"/>
      <c r="EB35" s="609">
        <v>0</v>
      </c>
      <c r="EC35" s="610"/>
      <c r="ED35" s="56"/>
      <c r="EE35" s="611"/>
      <c r="EF35" s="612"/>
      <c r="EG35" s="609">
        <v>0</v>
      </c>
      <c r="EH35" s="610"/>
      <c r="EI35" s="56"/>
      <c r="EJ35" s="611"/>
      <c r="EK35" s="612"/>
      <c r="EL35" s="609">
        <f t="shared" ref="EL35:EL38" si="1">SUM(CD35:DW35)</f>
        <v>0</v>
      </c>
      <c r="EM35" s="610"/>
      <c r="EN35" s="56"/>
      <c r="EO35" s="144"/>
      <c r="ER35" s="42"/>
      <c r="ES35" s="42"/>
    </row>
    <row r="36" spans="4:150" ht="12.75" customHeight="1" x14ac:dyDescent="0.3">
      <c r="D36" s="144" t="s">
        <v>338</v>
      </c>
      <c r="E36" s="611"/>
      <c r="F36" s="494"/>
      <c r="G36" s="56">
        <v>0</v>
      </c>
      <c r="H36" s="55"/>
      <c r="I36" s="56"/>
      <c r="J36" s="611"/>
      <c r="K36" s="611"/>
      <c r="L36" s="56">
        <v>0</v>
      </c>
      <c r="M36" s="55"/>
      <c r="N36" s="56"/>
      <c r="O36" s="611"/>
      <c r="P36" s="611"/>
      <c r="Q36" s="56">
        <v>0</v>
      </c>
      <c r="R36" s="55"/>
      <c r="S36" s="56"/>
      <c r="T36" s="611"/>
      <c r="U36" s="611"/>
      <c r="V36" s="56">
        <v>0</v>
      </c>
      <c r="W36" s="55"/>
      <c r="X36" s="56"/>
      <c r="Y36" s="611"/>
      <c r="Z36" s="611"/>
      <c r="AA36" s="56">
        <v>0</v>
      </c>
      <c r="AB36" s="55"/>
      <c r="AC36" s="56"/>
      <c r="AD36" s="611"/>
      <c r="AE36" s="611"/>
      <c r="AF36" s="56">
        <v>0</v>
      </c>
      <c r="AG36" s="55"/>
      <c r="AH36" s="56"/>
      <c r="AI36" s="611"/>
      <c r="AJ36" s="611"/>
      <c r="AK36" s="56">
        <v>0</v>
      </c>
      <c r="AL36" s="55"/>
      <c r="AM36" s="56"/>
      <c r="AN36" s="611"/>
      <c r="AO36" s="611"/>
      <c r="AP36" s="56">
        <v>0</v>
      </c>
      <c r="AQ36" s="55"/>
      <c r="AR36" s="56"/>
      <c r="AS36" s="611"/>
      <c r="AT36" s="611"/>
      <c r="AU36" s="56">
        <v>70307</v>
      </c>
      <c r="AV36" s="55"/>
      <c r="AW36" s="56"/>
      <c r="AX36" s="611"/>
      <c r="AY36" s="611"/>
      <c r="AZ36" s="56">
        <v>0</v>
      </c>
      <c r="BA36" s="55"/>
      <c r="BB36" s="56"/>
      <c r="BC36" s="611"/>
      <c r="BD36" s="611"/>
      <c r="BE36" s="56">
        <v>0</v>
      </c>
      <c r="BF36" s="55"/>
      <c r="BG36" s="56"/>
      <c r="BH36" s="611"/>
      <c r="BI36" s="611"/>
      <c r="BJ36" s="56">
        <v>0</v>
      </c>
      <c r="BK36" s="55"/>
      <c r="BL36" s="56"/>
      <c r="BM36" s="611"/>
      <c r="BN36" s="611"/>
      <c r="BO36" s="56">
        <v>0</v>
      </c>
      <c r="BP36" s="55"/>
      <c r="BQ36" s="56"/>
      <c r="BR36" s="611"/>
      <c r="BS36" s="611"/>
      <c r="BT36" s="56">
        <f>SUM(L36:BO36)</f>
        <v>70307</v>
      </c>
      <c r="BU36" s="55"/>
      <c r="BV36" s="56"/>
      <c r="BW36" s="611"/>
      <c r="BX36" s="611"/>
      <c r="BY36" s="56">
        <v>0</v>
      </c>
      <c r="BZ36" s="55"/>
      <c r="CA36" s="56"/>
      <c r="CB36" s="611"/>
      <c r="CC36" s="611"/>
      <c r="CD36" s="56">
        <v>0</v>
      </c>
      <c r="CE36" s="55"/>
      <c r="CF36" s="56"/>
      <c r="CG36" s="611"/>
      <c r="CH36" s="611"/>
      <c r="CI36" s="56">
        <v>0</v>
      </c>
      <c r="CJ36" s="55"/>
      <c r="CK36" s="56"/>
      <c r="CL36" s="611"/>
      <c r="CM36" s="611"/>
      <c r="CN36" s="56">
        <v>0</v>
      </c>
      <c r="CO36" s="55"/>
      <c r="CP36" s="56"/>
      <c r="CQ36" s="611"/>
      <c r="CR36" s="611"/>
      <c r="CS36" s="56">
        <v>0</v>
      </c>
      <c r="CT36" s="55"/>
      <c r="CU36" s="56"/>
      <c r="CV36" s="611"/>
      <c r="CW36" s="611"/>
      <c r="CX36" s="56">
        <v>0</v>
      </c>
      <c r="CY36" s="55"/>
      <c r="CZ36" s="56"/>
      <c r="DA36" s="611"/>
      <c r="DB36" s="611"/>
      <c r="DC36" s="56">
        <v>0</v>
      </c>
      <c r="DD36" s="55"/>
      <c r="DE36" s="56"/>
      <c r="DF36" s="611"/>
      <c r="DG36" s="611"/>
      <c r="DH36" s="56">
        <v>0</v>
      </c>
      <c r="DI36" s="55"/>
      <c r="DJ36" s="56"/>
      <c r="DK36" s="611"/>
      <c r="DL36" s="611"/>
      <c r="DM36" s="56">
        <v>0</v>
      </c>
      <c r="DN36" s="55"/>
      <c r="DO36" s="56"/>
      <c r="DP36" s="611"/>
      <c r="DQ36" s="611"/>
      <c r="DR36" s="56">
        <v>0</v>
      </c>
      <c r="DS36" s="55"/>
      <c r="DT36" s="56"/>
      <c r="DU36" s="611"/>
      <c r="DV36" s="611"/>
      <c r="DW36" s="56">
        <v>0</v>
      </c>
      <c r="DX36" s="55"/>
      <c r="DY36" s="56"/>
      <c r="DZ36" s="611"/>
      <c r="EA36" s="611"/>
      <c r="EB36" s="56">
        <v>0</v>
      </c>
      <c r="EC36" s="55"/>
      <c r="ED36" s="56"/>
      <c r="EE36" s="611"/>
      <c r="EF36" s="611"/>
      <c r="EG36" s="56">
        <v>0</v>
      </c>
      <c r="EH36" s="55"/>
      <c r="EI36" s="56"/>
      <c r="EJ36" s="611"/>
      <c r="EK36" s="611"/>
      <c r="EL36" s="56">
        <f t="shared" si="1"/>
        <v>0</v>
      </c>
      <c r="EM36" s="55"/>
      <c r="EN36" s="56"/>
      <c r="EO36" s="144"/>
      <c r="ER36" s="42"/>
      <c r="ES36" s="42"/>
    </row>
    <row r="37" spans="4:150" ht="12.75" customHeight="1" x14ac:dyDescent="0.3">
      <c r="D37" s="144" t="s">
        <v>339</v>
      </c>
      <c r="E37" s="611"/>
      <c r="F37" s="494"/>
      <c r="G37" s="56">
        <v>0</v>
      </c>
      <c r="H37" s="55"/>
      <c r="I37" s="56"/>
      <c r="J37" s="611"/>
      <c r="K37" s="611"/>
      <c r="L37" s="56">
        <v>0</v>
      </c>
      <c r="M37" s="55"/>
      <c r="N37" s="56"/>
      <c r="O37" s="611"/>
      <c r="P37" s="611"/>
      <c r="Q37" s="56">
        <v>0</v>
      </c>
      <c r="R37" s="55"/>
      <c r="S37" s="56"/>
      <c r="T37" s="611"/>
      <c r="U37" s="611"/>
      <c r="V37" s="56">
        <v>0</v>
      </c>
      <c r="W37" s="55"/>
      <c r="X37" s="56"/>
      <c r="Y37" s="611"/>
      <c r="Z37" s="611"/>
      <c r="AA37" s="56">
        <v>0</v>
      </c>
      <c r="AB37" s="55"/>
      <c r="AC37" s="56"/>
      <c r="AD37" s="611"/>
      <c r="AE37" s="611"/>
      <c r="AF37" s="56">
        <v>0</v>
      </c>
      <c r="AG37" s="55"/>
      <c r="AH37" s="56"/>
      <c r="AI37" s="611"/>
      <c r="AJ37" s="611"/>
      <c r="AK37" s="56">
        <v>0</v>
      </c>
      <c r="AL37" s="55"/>
      <c r="AM37" s="56"/>
      <c r="AN37" s="611"/>
      <c r="AO37" s="611"/>
      <c r="AP37" s="56">
        <v>0</v>
      </c>
      <c r="AQ37" s="55"/>
      <c r="AR37" s="56"/>
      <c r="AS37" s="611"/>
      <c r="AT37" s="611"/>
      <c r="AU37" s="56">
        <v>0</v>
      </c>
      <c r="AV37" s="55"/>
      <c r="AW37" s="56"/>
      <c r="AX37" s="611"/>
      <c r="AY37" s="611"/>
      <c r="AZ37" s="56">
        <v>0</v>
      </c>
      <c r="BA37" s="55"/>
      <c r="BB37" s="56"/>
      <c r="BC37" s="611"/>
      <c r="BD37" s="611"/>
      <c r="BE37" s="56">
        <v>0</v>
      </c>
      <c r="BF37" s="55"/>
      <c r="BG37" s="56"/>
      <c r="BH37" s="611"/>
      <c r="BI37" s="611"/>
      <c r="BJ37" s="56">
        <v>0</v>
      </c>
      <c r="BK37" s="55"/>
      <c r="BL37" s="56"/>
      <c r="BM37" s="611"/>
      <c r="BN37" s="611"/>
      <c r="BO37" s="56">
        <v>0</v>
      </c>
      <c r="BP37" s="55"/>
      <c r="BQ37" s="56"/>
      <c r="BR37" s="611"/>
      <c r="BS37" s="611"/>
      <c r="BT37" s="56">
        <f>SUM(L37:BO37)</f>
        <v>0</v>
      </c>
      <c r="BU37" s="55"/>
      <c r="BV37" s="56"/>
      <c r="BW37" s="611"/>
      <c r="BX37" s="611"/>
      <c r="BY37" s="56">
        <v>0</v>
      </c>
      <c r="BZ37" s="55"/>
      <c r="CA37" s="56"/>
      <c r="CB37" s="611"/>
      <c r="CC37" s="611"/>
      <c r="CD37" s="56">
        <v>0</v>
      </c>
      <c r="CE37" s="55"/>
      <c r="CF37" s="56"/>
      <c r="CG37" s="611"/>
      <c r="CH37" s="611"/>
      <c r="CI37" s="56">
        <v>0</v>
      </c>
      <c r="CJ37" s="55"/>
      <c r="CK37" s="56"/>
      <c r="CL37" s="611"/>
      <c r="CM37" s="611"/>
      <c r="CN37" s="56">
        <v>0</v>
      </c>
      <c r="CO37" s="55"/>
      <c r="CP37" s="56"/>
      <c r="CQ37" s="611"/>
      <c r="CR37" s="611"/>
      <c r="CS37" s="56">
        <v>0</v>
      </c>
      <c r="CT37" s="55"/>
      <c r="CU37" s="56"/>
      <c r="CV37" s="611"/>
      <c r="CW37" s="611"/>
      <c r="CX37" s="56">
        <v>0</v>
      </c>
      <c r="CY37" s="55"/>
      <c r="CZ37" s="56"/>
      <c r="DA37" s="611"/>
      <c r="DB37" s="611"/>
      <c r="DC37" s="56">
        <v>0</v>
      </c>
      <c r="DD37" s="55"/>
      <c r="DE37" s="56"/>
      <c r="DF37" s="611"/>
      <c r="DG37" s="611"/>
      <c r="DH37" s="56">
        <v>0</v>
      </c>
      <c r="DI37" s="55"/>
      <c r="DJ37" s="56"/>
      <c r="DK37" s="611"/>
      <c r="DL37" s="611"/>
      <c r="DM37" s="56">
        <v>0</v>
      </c>
      <c r="DN37" s="55"/>
      <c r="DO37" s="56"/>
      <c r="DP37" s="611"/>
      <c r="DQ37" s="611"/>
      <c r="DR37" s="56">
        <v>0</v>
      </c>
      <c r="DS37" s="55"/>
      <c r="DT37" s="56"/>
      <c r="DU37" s="611"/>
      <c r="DV37" s="611"/>
      <c r="DW37" s="56">
        <v>0</v>
      </c>
      <c r="DX37" s="55"/>
      <c r="DY37" s="56"/>
      <c r="DZ37" s="611"/>
      <c r="EA37" s="611"/>
      <c r="EB37" s="56">
        <v>0</v>
      </c>
      <c r="EC37" s="55"/>
      <c r="ED37" s="56"/>
      <c r="EE37" s="611"/>
      <c r="EF37" s="611"/>
      <c r="EG37" s="56">
        <v>0</v>
      </c>
      <c r="EH37" s="55"/>
      <c r="EI37" s="56"/>
      <c r="EJ37" s="611"/>
      <c r="EK37" s="611"/>
      <c r="EL37" s="56">
        <f t="shared" si="1"/>
        <v>0</v>
      </c>
      <c r="EM37" s="55"/>
      <c r="EN37" s="56"/>
      <c r="EO37" s="144"/>
      <c r="ER37" s="42"/>
      <c r="ES37" s="42"/>
    </row>
    <row r="38" spans="4:150" ht="12.75" customHeight="1" x14ac:dyDescent="0.3">
      <c r="D38" s="144" t="s">
        <v>340</v>
      </c>
      <c r="E38" s="611"/>
      <c r="F38" s="513"/>
      <c r="G38" s="117">
        <v>0</v>
      </c>
      <c r="H38" s="116"/>
      <c r="I38" s="56"/>
      <c r="J38" s="611"/>
      <c r="K38" s="620"/>
      <c r="L38" s="117">
        <v>0</v>
      </c>
      <c r="M38" s="116"/>
      <c r="N38" s="56"/>
      <c r="O38" s="611"/>
      <c r="P38" s="620"/>
      <c r="Q38" s="117">
        <v>0</v>
      </c>
      <c r="R38" s="116"/>
      <c r="S38" s="56"/>
      <c r="T38" s="611"/>
      <c r="U38" s="620"/>
      <c r="V38" s="117">
        <v>0</v>
      </c>
      <c r="W38" s="116"/>
      <c r="X38" s="56"/>
      <c r="Y38" s="611"/>
      <c r="Z38" s="620"/>
      <c r="AA38" s="117">
        <v>0</v>
      </c>
      <c r="AB38" s="116"/>
      <c r="AC38" s="56"/>
      <c r="AD38" s="611"/>
      <c r="AE38" s="620"/>
      <c r="AF38" s="117">
        <v>0</v>
      </c>
      <c r="AG38" s="116"/>
      <c r="AH38" s="56"/>
      <c r="AI38" s="611"/>
      <c r="AJ38" s="620"/>
      <c r="AK38" s="117">
        <v>0</v>
      </c>
      <c r="AL38" s="116"/>
      <c r="AM38" s="56"/>
      <c r="AN38" s="611"/>
      <c r="AO38" s="620"/>
      <c r="AP38" s="117">
        <v>0</v>
      </c>
      <c r="AQ38" s="116"/>
      <c r="AR38" s="56"/>
      <c r="AS38" s="611"/>
      <c r="AT38" s="620"/>
      <c r="AU38" s="117">
        <v>671535</v>
      </c>
      <c r="AV38" s="116"/>
      <c r="AW38" s="56"/>
      <c r="AX38" s="611"/>
      <c r="AY38" s="620"/>
      <c r="AZ38" s="117">
        <v>0</v>
      </c>
      <c r="BA38" s="116"/>
      <c r="BB38" s="56"/>
      <c r="BC38" s="611"/>
      <c r="BD38" s="620"/>
      <c r="BE38" s="117">
        <v>0</v>
      </c>
      <c r="BF38" s="116"/>
      <c r="BG38" s="56"/>
      <c r="BH38" s="611"/>
      <c r="BI38" s="620"/>
      <c r="BJ38" s="117">
        <v>0</v>
      </c>
      <c r="BK38" s="116"/>
      <c r="BL38" s="56"/>
      <c r="BM38" s="611"/>
      <c r="BN38" s="620"/>
      <c r="BO38" s="117">
        <v>0</v>
      </c>
      <c r="BP38" s="116"/>
      <c r="BQ38" s="56"/>
      <c r="BR38" s="611"/>
      <c r="BS38" s="620"/>
      <c r="BT38" s="117">
        <f>SUM(L38:BO38)</f>
        <v>671535</v>
      </c>
      <c r="BU38" s="116"/>
      <c r="BV38" s="56"/>
      <c r="BW38" s="611"/>
      <c r="BX38" s="620"/>
      <c r="BY38" s="117">
        <v>0</v>
      </c>
      <c r="BZ38" s="116"/>
      <c r="CA38" s="56"/>
      <c r="CB38" s="611"/>
      <c r="CC38" s="620"/>
      <c r="CD38" s="117">
        <v>0</v>
      </c>
      <c r="CE38" s="116"/>
      <c r="CF38" s="56"/>
      <c r="CG38" s="611"/>
      <c r="CH38" s="620"/>
      <c r="CI38" s="117">
        <v>0</v>
      </c>
      <c r="CJ38" s="116"/>
      <c r="CK38" s="56"/>
      <c r="CL38" s="611"/>
      <c r="CM38" s="620"/>
      <c r="CN38" s="117">
        <v>0</v>
      </c>
      <c r="CO38" s="116"/>
      <c r="CP38" s="56"/>
      <c r="CQ38" s="611"/>
      <c r="CR38" s="620"/>
      <c r="CS38" s="117">
        <v>0</v>
      </c>
      <c r="CT38" s="116"/>
      <c r="CU38" s="56"/>
      <c r="CV38" s="611"/>
      <c r="CW38" s="620"/>
      <c r="CX38" s="117">
        <v>0</v>
      </c>
      <c r="CY38" s="116"/>
      <c r="CZ38" s="56"/>
      <c r="DA38" s="611"/>
      <c r="DB38" s="620"/>
      <c r="DC38" s="117">
        <v>0</v>
      </c>
      <c r="DD38" s="116"/>
      <c r="DE38" s="56"/>
      <c r="DF38" s="611"/>
      <c r="DG38" s="620"/>
      <c r="DH38" s="117">
        <v>0</v>
      </c>
      <c r="DI38" s="116"/>
      <c r="DJ38" s="56"/>
      <c r="DK38" s="611"/>
      <c r="DL38" s="620"/>
      <c r="DM38" s="117">
        <v>0</v>
      </c>
      <c r="DN38" s="116"/>
      <c r="DO38" s="56"/>
      <c r="DP38" s="611"/>
      <c r="DQ38" s="620"/>
      <c r="DR38" s="117">
        <v>0</v>
      </c>
      <c r="DS38" s="116"/>
      <c r="DT38" s="56"/>
      <c r="DU38" s="611"/>
      <c r="DV38" s="620"/>
      <c r="DW38" s="117">
        <v>0</v>
      </c>
      <c r="DX38" s="116"/>
      <c r="DY38" s="56"/>
      <c r="DZ38" s="611"/>
      <c r="EA38" s="620"/>
      <c r="EB38" s="117">
        <v>0</v>
      </c>
      <c r="EC38" s="116"/>
      <c r="ED38" s="56"/>
      <c r="EE38" s="611"/>
      <c r="EF38" s="620"/>
      <c r="EG38" s="117">
        <v>0</v>
      </c>
      <c r="EH38" s="116"/>
      <c r="EI38" s="56"/>
      <c r="EJ38" s="611"/>
      <c r="EK38" s="620"/>
      <c r="EL38" s="117">
        <f t="shared" si="1"/>
        <v>0</v>
      </c>
      <c r="EM38" s="116"/>
      <c r="EN38" s="56"/>
      <c r="EO38" s="144"/>
      <c r="ER38" s="42"/>
      <c r="ES38" s="42"/>
    </row>
    <row r="39" spans="4:150" x14ac:dyDescent="0.3">
      <c r="D39" s="144"/>
      <c r="E39" s="611"/>
      <c r="G39" s="56"/>
      <c r="H39" s="56"/>
      <c r="I39" s="56"/>
      <c r="J39" s="611"/>
      <c r="K39" s="56"/>
      <c r="L39" s="56"/>
      <c r="M39" s="56"/>
      <c r="N39" s="56"/>
      <c r="O39" s="611"/>
      <c r="P39" s="56"/>
      <c r="Q39" s="56"/>
      <c r="R39" s="56"/>
      <c r="S39" s="56"/>
      <c r="T39" s="611"/>
      <c r="U39" s="56"/>
      <c r="V39" s="56"/>
      <c r="W39" s="56"/>
      <c r="X39" s="56"/>
      <c r="Y39" s="611"/>
      <c r="Z39" s="56"/>
      <c r="AA39" s="56"/>
      <c r="AB39" s="56"/>
      <c r="AC39" s="56"/>
      <c r="AD39" s="611"/>
      <c r="AE39" s="56"/>
      <c r="AF39" s="56"/>
      <c r="AG39" s="56"/>
      <c r="AH39" s="56"/>
      <c r="AI39" s="611"/>
      <c r="AJ39" s="56"/>
      <c r="AK39" s="56"/>
      <c r="AL39" s="56"/>
      <c r="AM39" s="56"/>
      <c r="AN39" s="611"/>
      <c r="AO39" s="56"/>
      <c r="AP39" s="56"/>
      <c r="AQ39" s="56"/>
      <c r="AR39" s="56"/>
      <c r="AS39" s="611"/>
      <c r="AT39" s="56"/>
      <c r="AU39" s="56"/>
      <c r="AV39" s="56"/>
      <c r="AW39" s="56"/>
      <c r="AX39" s="611"/>
      <c r="AY39" s="56"/>
      <c r="AZ39" s="56"/>
      <c r="BA39" s="56"/>
      <c r="BB39" s="56"/>
      <c r="BC39" s="611"/>
      <c r="BD39" s="56"/>
      <c r="BE39" s="56"/>
      <c r="BF39" s="56"/>
      <c r="BG39" s="56"/>
      <c r="BH39" s="611"/>
      <c r="BI39" s="56"/>
      <c r="BJ39" s="56"/>
      <c r="BK39" s="56"/>
      <c r="BL39" s="56"/>
      <c r="BM39" s="611"/>
      <c r="BN39" s="56"/>
      <c r="BO39" s="56"/>
      <c r="BP39" s="56"/>
      <c r="BQ39" s="56"/>
      <c r="BR39" s="611"/>
      <c r="BS39" s="56"/>
      <c r="BT39" s="56"/>
      <c r="BU39" s="56"/>
      <c r="BV39" s="56"/>
      <c r="BW39" s="611"/>
      <c r="BX39" s="56"/>
      <c r="BY39" s="56"/>
      <c r="BZ39" s="56"/>
      <c r="CA39" s="56"/>
      <c r="CB39" s="611"/>
      <c r="CC39" s="56"/>
      <c r="CD39" s="56"/>
      <c r="CE39" s="56"/>
      <c r="CF39" s="56"/>
      <c r="CG39" s="611"/>
      <c r="CH39" s="56"/>
      <c r="CI39" s="56"/>
      <c r="CJ39" s="56"/>
      <c r="CK39" s="56"/>
      <c r="CL39" s="611"/>
      <c r="CM39" s="56"/>
      <c r="CN39" s="56"/>
      <c r="CO39" s="56"/>
      <c r="CP39" s="56"/>
      <c r="CQ39" s="611"/>
      <c r="CR39" s="56"/>
      <c r="CS39" s="56"/>
      <c r="CT39" s="56"/>
      <c r="CU39" s="56"/>
      <c r="CV39" s="611"/>
      <c r="CW39" s="56"/>
      <c r="CX39" s="56"/>
      <c r="CY39" s="56"/>
      <c r="CZ39" s="56"/>
      <c r="DA39" s="611"/>
      <c r="DB39" s="56"/>
      <c r="DC39" s="56"/>
      <c r="DD39" s="56"/>
      <c r="DE39" s="56"/>
      <c r="DF39" s="611"/>
      <c r="DG39" s="56"/>
      <c r="DH39" s="56"/>
      <c r="DI39" s="56"/>
      <c r="DJ39" s="56"/>
      <c r="DK39" s="611"/>
      <c r="DL39" s="56"/>
      <c r="DM39" s="56"/>
      <c r="DN39" s="56"/>
      <c r="DO39" s="56"/>
      <c r="DP39" s="611"/>
      <c r="DQ39" s="56"/>
      <c r="DR39" s="56"/>
      <c r="DS39" s="56"/>
      <c r="DT39" s="56"/>
      <c r="DU39" s="611"/>
      <c r="DV39" s="56"/>
      <c r="DW39" s="56"/>
      <c r="DX39" s="56"/>
      <c r="DY39" s="56"/>
      <c r="DZ39" s="611"/>
      <c r="EA39" s="56"/>
      <c r="EB39" s="56"/>
      <c r="EC39" s="56"/>
      <c r="ED39" s="56"/>
      <c r="EE39" s="611"/>
      <c r="EF39" s="56"/>
      <c r="EG39" s="56"/>
      <c r="EH39" s="56"/>
      <c r="EI39" s="56"/>
      <c r="EJ39" s="611"/>
      <c r="EK39" s="56"/>
      <c r="EL39" s="56"/>
      <c r="EM39" s="56"/>
      <c r="EN39" s="56"/>
      <c r="EO39" s="144"/>
      <c r="ER39" s="42"/>
      <c r="ES39" s="42"/>
    </row>
    <row r="40" spans="4:150" ht="12.75" customHeight="1" x14ac:dyDescent="0.3">
      <c r="D40" s="144" t="s">
        <v>343</v>
      </c>
      <c r="E40" s="611"/>
      <c r="G40" s="56">
        <f>SUM(G41:G44)</f>
        <v>0</v>
      </c>
      <c r="H40" s="56"/>
      <c r="I40" s="56"/>
      <c r="J40" s="611"/>
      <c r="K40" s="56"/>
      <c r="L40" s="56">
        <f>SUM(L41:L44)</f>
        <v>0</v>
      </c>
      <c r="M40" s="56"/>
      <c r="N40" s="56"/>
      <c r="O40" s="611"/>
      <c r="P40" s="56"/>
      <c r="Q40" s="56">
        <f>SUM(Q41:Q44)</f>
        <v>2132749</v>
      </c>
      <c r="R40" s="56"/>
      <c r="S40" s="56"/>
      <c r="T40" s="611"/>
      <c r="U40" s="56"/>
      <c r="V40" s="56">
        <f>SUM(V41:V44)</f>
        <v>1572085</v>
      </c>
      <c r="W40" s="56"/>
      <c r="X40" s="56"/>
      <c r="Y40" s="611"/>
      <c r="Z40" s="56"/>
      <c r="AA40" s="56">
        <f>SUM(AA41:AA44)</f>
        <v>202633</v>
      </c>
      <c r="AB40" s="56"/>
      <c r="AC40" s="56"/>
      <c r="AD40" s="611"/>
      <c r="AE40" s="56"/>
      <c r="AF40" s="56">
        <f>SUM(AF41:AF44)</f>
        <v>688200</v>
      </c>
      <c r="AG40" s="56"/>
      <c r="AH40" s="56"/>
      <c r="AI40" s="611"/>
      <c r="AJ40" s="56"/>
      <c r="AK40" s="56">
        <f>SUM(AK41:AK44)</f>
        <v>0</v>
      </c>
      <c r="AL40" s="56"/>
      <c r="AM40" s="56"/>
      <c r="AN40" s="611"/>
      <c r="AO40" s="56"/>
      <c r="AP40" s="56">
        <f>SUM(AP41:AP44)</f>
        <v>898186</v>
      </c>
      <c r="AQ40" s="56"/>
      <c r="AR40" s="56"/>
      <c r="AS40" s="611"/>
      <c r="AT40" s="56"/>
      <c r="AU40" s="56">
        <f>SUM(AU41:AU44)</f>
        <v>352096</v>
      </c>
      <c r="AV40" s="56"/>
      <c r="AW40" s="56"/>
      <c r="AX40" s="611"/>
      <c r="AY40" s="56"/>
      <c r="AZ40" s="56">
        <f>SUM(AZ41:AZ44)</f>
        <v>0</v>
      </c>
      <c r="BA40" s="56"/>
      <c r="BB40" s="56"/>
      <c r="BC40" s="611"/>
      <c r="BD40" s="56"/>
      <c r="BE40" s="56">
        <f>SUM(BE41:BE44)</f>
        <v>0</v>
      </c>
      <c r="BF40" s="56"/>
      <c r="BG40" s="56"/>
      <c r="BH40" s="611"/>
      <c r="BI40" s="56"/>
      <c r="BJ40" s="56">
        <f>SUM(BJ41:BJ44)</f>
        <v>0</v>
      </c>
      <c r="BK40" s="56"/>
      <c r="BL40" s="56"/>
      <c r="BM40" s="611"/>
      <c r="BN40" s="56"/>
      <c r="BO40" s="56">
        <f>SUM(BO41:BO44)</f>
        <v>0</v>
      </c>
      <c r="BP40" s="56"/>
      <c r="BQ40" s="56"/>
      <c r="BR40" s="611"/>
      <c r="BS40" s="56"/>
      <c r="BT40" s="56">
        <f>SUM(BT41:BT44)</f>
        <v>5845949</v>
      </c>
      <c r="BU40" s="56"/>
      <c r="BV40" s="56"/>
      <c r="BW40" s="611"/>
      <c r="BX40" s="56"/>
      <c r="BY40" s="56">
        <f>SUM(BY41:BY44)</f>
        <v>8418715</v>
      </c>
      <c r="BZ40" s="56"/>
      <c r="CA40" s="56"/>
      <c r="CB40" s="611"/>
      <c r="CC40" s="56"/>
      <c r="CD40" s="56">
        <f>SUM(CD41:CD44)</f>
        <v>133235</v>
      </c>
      <c r="CE40" s="56"/>
      <c r="CF40" s="56"/>
      <c r="CG40" s="611"/>
      <c r="CH40" s="56"/>
      <c r="CI40" s="56">
        <f>SUM(CI41:CI44)</f>
        <v>967163</v>
      </c>
      <c r="CJ40" s="56"/>
      <c r="CK40" s="56"/>
      <c r="CL40" s="611"/>
      <c r="CM40" s="56"/>
      <c r="CN40" s="56">
        <f>SUM(CN41:CN44)</f>
        <v>813686</v>
      </c>
      <c r="CO40" s="56"/>
      <c r="CP40" s="56"/>
      <c r="CQ40" s="611"/>
      <c r="CR40" s="56"/>
      <c r="CS40" s="56">
        <f>SUM(CS41:CS44)</f>
        <v>2665979</v>
      </c>
      <c r="CT40" s="56"/>
      <c r="CU40" s="56"/>
      <c r="CV40" s="611"/>
      <c r="CW40" s="56"/>
      <c r="CX40" s="56">
        <f>SUM(CX41:CX44)</f>
        <v>810714</v>
      </c>
      <c r="CY40" s="56"/>
      <c r="CZ40" s="56"/>
      <c r="DA40" s="611"/>
      <c r="DB40" s="56"/>
      <c r="DC40" s="56">
        <f>SUM(DC41:DC44)</f>
        <v>223294</v>
      </c>
      <c r="DD40" s="56"/>
      <c r="DE40" s="56"/>
      <c r="DF40" s="611"/>
      <c r="DG40" s="56"/>
      <c r="DH40" s="56">
        <f>SUM(DH41:DH44)</f>
        <v>0</v>
      </c>
      <c r="DI40" s="56"/>
      <c r="DJ40" s="56"/>
      <c r="DK40" s="611"/>
      <c r="DL40" s="56"/>
      <c r="DM40" s="56">
        <f>SUM(DM41:DM44)</f>
        <v>370634</v>
      </c>
      <c r="DN40" s="56"/>
      <c r="DO40" s="56"/>
      <c r="DP40" s="611"/>
      <c r="DQ40" s="56"/>
      <c r="DR40" s="56">
        <f>SUM(DR41:DR44)</f>
        <v>18910</v>
      </c>
      <c r="DS40" s="56"/>
      <c r="DT40" s="56"/>
      <c r="DU40" s="611"/>
      <c r="DV40" s="56"/>
      <c r="DW40" s="56">
        <f>SUM(DW41:DW44)</f>
        <v>0</v>
      </c>
      <c r="DX40" s="56"/>
      <c r="DY40" s="56"/>
      <c r="DZ40" s="611"/>
      <c r="EA40" s="56"/>
      <c r="EB40" s="56">
        <f>SUM(EB41:EB44)</f>
        <v>1713808</v>
      </c>
      <c r="EC40" s="56"/>
      <c r="ED40" s="56"/>
      <c r="EE40" s="611"/>
      <c r="EF40" s="56"/>
      <c r="EG40" s="56">
        <f>SUM(EG41:EG44)</f>
        <v>701292</v>
      </c>
      <c r="EH40" s="56"/>
      <c r="EI40" s="56"/>
      <c r="EJ40" s="611"/>
      <c r="EK40" s="56"/>
      <c r="EL40" s="56">
        <f>SUM(EL41:EL44)</f>
        <v>6003615</v>
      </c>
      <c r="EM40" s="56"/>
      <c r="EN40" s="56"/>
      <c r="EO40" s="144"/>
      <c r="ER40" s="42"/>
      <c r="ES40" s="42"/>
    </row>
    <row r="41" spans="4:150" ht="12.75" customHeight="1" x14ac:dyDescent="0.3">
      <c r="D41" s="144" t="s">
        <v>335</v>
      </c>
      <c r="E41" s="611"/>
      <c r="F41" s="500"/>
      <c r="G41" s="609">
        <v>0</v>
      </c>
      <c r="H41" s="610"/>
      <c r="I41" s="56"/>
      <c r="J41" s="611"/>
      <c r="K41" s="612"/>
      <c r="L41" s="609">
        <v>0</v>
      </c>
      <c r="M41" s="610"/>
      <c r="N41" s="56"/>
      <c r="O41" s="611"/>
      <c r="P41" s="612"/>
      <c r="Q41" s="609">
        <f>1660000-187133</f>
        <v>1472867</v>
      </c>
      <c r="R41" s="610"/>
      <c r="S41" s="56"/>
      <c r="T41" s="611"/>
      <c r="U41" s="612"/>
      <c r="V41" s="609">
        <f>1215000-117223</f>
        <v>1097777</v>
      </c>
      <c r="W41" s="610"/>
      <c r="X41" s="56"/>
      <c r="Y41" s="611"/>
      <c r="Z41" s="612"/>
      <c r="AA41" s="609">
        <f>155000-19627</f>
        <v>135373</v>
      </c>
      <c r="AB41" s="610"/>
      <c r="AC41" s="56"/>
      <c r="AD41" s="611"/>
      <c r="AE41" s="612"/>
      <c r="AF41" s="609">
        <f>525000-68994</f>
        <v>456006</v>
      </c>
      <c r="AG41" s="610"/>
      <c r="AH41" s="56"/>
      <c r="AI41" s="611"/>
      <c r="AJ41" s="612"/>
      <c r="AK41" s="609">
        <v>0</v>
      </c>
      <c r="AL41" s="610"/>
      <c r="AM41" s="56"/>
      <c r="AN41" s="611"/>
      <c r="AO41" s="612"/>
      <c r="AP41" s="609">
        <f>670000-105458</f>
        <v>564542</v>
      </c>
      <c r="AQ41" s="610"/>
      <c r="AR41" s="56"/>
      <c r="AS41" s="611"/>
      <c r="AT41" s="612"/>
      <c r="AU41" s="609">
        <f>260000-42211</f>
        <v>217789</v>
      </c>
      <c r="AV41" s="610"/>
      <c r="AW41" s="56"/>
      <c r="AX41" s="611"/>
      <c r="AY41" s="612"/>
      <c r="AZ41" s="609">
        <v>0</v>
      </c>
      <c r="BA41" s="610"/>
      <c r="BB41" s="56"/>
      <c r="BC41" s="611"/>
      <c r="BD41" s="612"/>
      <c r="BE41" s="609">
        <v>0</v>
      </c>
      <c r="BF41" s="610"/>
      <c r="BG41" s="56"/>
      <c r="BH41" s="611"/>
      <c r="BI41" s="612"/>
      <c r="BJ41" s="609">
        <v>0</v>
      </c>
      <c r="BK41" s="610"/>
      <c r="BL41" s="56"/>
      <c r="BM41" s="611"/>
      <c r="BN41" s="612"/>
      <c r="BO41" s="609">
        <v>0</v>
      </c>
      <c r="BP41" s="610"/>
      <c r="BQ41" s="56"/>
      <c r="BR41" s="611"/>
      <c r="BS41" s="612"/>
      <c r="BT41" s="609">
        <f>SUM(L41:BO41)</f>
        <v>3944354</v>
      </c>
      <c r="BU41" s="610"/>
      <c r="BV41" s="56"/>
      <c r="BW41" s="611"/>
      <c r="BX41" s="612"/>
      <c r="BY41" s="609">
        <v>6023979</v>
      </c>
      <c r="BZ41" s="610"/>
      <c r="CA41" s="56"/>
      <c r="CB41" s="611"/>
      <c r="CC41" s="612"/>
      <c r="CD41" s="609">
        <f>110000-11945</f>
        <v>98055</v>
      </c>
      <c r="CE41" s="610"/>
      <c r="CF41" s="56"/>
      <c r="CG41" s="611"/>
      <c r="CH41" s="612"/>
      <c r="CI41" s="609">
        <f>795000-85527</f>
        <v>709473</v>
      </c>
      <c r="CJ41" s="610"/>
      <c r="CK41" s="56"/>
      <c r="CL41" s="611"/>
      <c r="CM41" s="612"/>
      <c r="CN41" s="609">
        <f>665000-60996</f>
        <v>604004</v>
      </c>
      <c r="CO41" s="610"/>
      <c r="CP41" s="56"/>
      <c r="CQ41" s="611"/>
      <c r="CR41" s="612"/>
      <c r="CS41" s="609">
        <f>2160000-235729</f>
        <v>1924271</v>
      </c>
      <c r="CT41" s="610"/>
      <c r="CU41" s="56"/>
      <c r="CV41" s="611"/>
      <c r="CW41" s="612"/>
      <c r="CX41" s="609">
        <f>655000-70649</f>
        <v>584351</v>
      </c>
      <c r="CY41" s="610"/>
      <c r="CZ41" s="56"/>
      <c r="DA41" s="611"/>
      <c r="DB41" s="612"/>
      <c r="DC41" s="609">
        <f>180000-17942</f>
        <v>162058</v>
      </c>
      <c r="DD41" s="610"/>
      <c r="DE41" s="56"/>
      <c r="DF41" s="611"/>
      <c r="DG41" s="612"/>
      <c r="DH41" s="609">
        <v>0</v>
      </c>
      <c r="DI41" s="610"/>
      <c r="DJ41" s="56"/>
      <c r="DK41" s="611"/>
      <c r="DL41" s="612"/>
      <c r="DM41" s="609">
        <f>295000-40258</f>
        <v>254742</v>
      </c>
      <c r="DN41" s="610"/>
      <c r="DO41" s="56"/>
      <c r="DP41" s="611"/>
      <c r="DQ41" s="612"/>
      <c r="DR41" s="609">
        <f>15000-2283</f>
        <v>12717</v>
      </c>
      <c r="DS41" s="610"/>
      <c r="DT41" s="56"/>
      <c r="DU41" s="611"/>
      <c r="DV41" s="612"/>
      <c r="DW41" s="609">
        <v>0</v>
      </c>
      <c r="DX41" s="610"/>
      <c r="DY41" s="56"/>
      <c r="DZ41" s="611"/>
      <c r="EA41" s="612"/>
      <c r="EB41" s="609">
        <f>1350000-164295</f>
        <v>1185705</v>
      </c>
      <c r="EC41" s="610"/>
      <c r="ED41" s="56"/>
      <c r="EE41" s="611"/>
      <c r="EF41" s="612"/>
      <c r="EG41" s="609">
        <f>550000-61397</f>
        <v>488603</v>
      </c>
      <c r="EH41" s="610"/>
      <c r="EI41" s="56"/>
      <c r="EJ41" s="611"/>
      <c r="EK41" s="612"/>
      <c r="EL41" s="609">
        <f t="shared" ref="EL41:EL44" si="2">SUM(CD41:DW41)</f>
        <v>4349671</v>
      </c>
      <c r="EM41" s="610"/>
      <c r="EN41" s="56"/>
      <c r="EO41" s="144"/>
      <c r="ER41" s="42"/>
      <c r="ES41" s="42"/>
    </row>
    <row r="42" spans="4:150" ht="12.75" customHeight="1" x14ac:dyDescent="0.3">
      <c r="D42" s="144" t="s">
        <v>338</v>
      </c>
      <c r="E42" s="611"/>
      <c r="F42" s="494"/>
      <c r="G42" s="56">
        <v>0</v>
      </c>
      <c r="H42" s="55"/>
      <c r="I42" s="56"/>
      <c r="J42" s="611"/>
      <c r="K42" s="611"/>
      <c r="L42" s="56">
        <v>0</v>
      </c>
      <c r="M42" s="55"/>
      <c r="N42" s="56"/>
      <c r="O42" s="611"/>
      <c r="P42" s="611"/>
      <c r="Q42" s="56">
        <v>187133</v>
      </c>
      <c r="R42" s="55"/>
      <c r="S42" s="56"/>
      <c r="T42" s="611"/>
      <c r="U42" s="611"/>
      <c r="V42" s="56">
        <v>117223</v>
      </c>
      <c r="W42" s="55"/>
      <c r="X42" s="56"/>
      <c r="Y42" s="611"/>
      <c r="Z42" s="611"/>
      <c r="AA42" s="56">
        <v>19627</v>
      </c>
      <c r="AB42" s="55"/>
      <c r="AC42" s="56"/>
      <c r="AD42" s="611"/>
      <c r="AE42" s="611"/>
      <c r="AF42" s="56">
        <v>68994</v>
      </c>
      <c r="AG42" s="55"/>
      <c r="AH42" s="56"/>
      <c r="AI42" s="611"/>
      <c r="AJ42" s="611"/>
      <c r="AK42" s="56">
        <v>0</v>
      </c>
      <c r="AL42" s="55"/>
      <c r="AM42" s="56"/>
      <c r="AN42" s="611"/>
      <c r="AO42" s="611"/>
      <c r="AP42" s="56">
        <v>105458</v>
      </c>
      <c r="AQ42" s="55"/>
      <c r="AR42" s="56"/>
      <c r="AS42" s="611"/>
      <c r="AT42" s="611"/>
      <c r="AU42" s="56">
        <v>42211</v>
      </c>
      <c r="AV42" s="55"/>
      <c r="AW42" s="56"/>
      <c r="AX42" s="611"/>
      <c r="AY42" s="611"/>
      <c r="AZ42" s="56">
        <v>0</v>
      </c>
      <c r="BA42" s="55"/>
      <c r="BB42" s="56"/>
      <c r="BC42" s="611"/>
      <c r="BD42" s="611"/>
      <c r="BE42" s="56">
        <v>0</v>
      </c>
      <c r="BF42" s="55"/>
      <c r="BG42" s="56"/>
      <c r="BH42" s="611"/>
      <c r="BI42" s="611"/>
      <c r="BJ42" s="56">
        <v>0</v>
      </c>
      <c r="BK42" s="55"/>
      <c r="BL42" s="56"/>
      <c r="BM42" s="611"/>
      <c r="BN42" s="611"/>
      <c r="BO42" s="56">
        <v>0</v>
      </c>
      <c r="BP42" s="55"/>
      <c r="BQ42" s="56"/>
      <c r="BR42" s="611"/>
      <c r="BS42" s="611"/>
      <c r="BT42" s="56">
        <f>SUM(L42:BO42)</f>
        <v>540646</v>
      </c>
      <c r="BU42" s="55"/>
      <c r="BV42" s="56"/>
      <c r="BW42" s="611"/>
      <c r="BX42" s="611"/>
      <c r="BY42" s="56">
        <v>751021</v>
      </c>
      <c r="BZ42" s="55"/>
      <c r="CA42" s="56"/>
      <c r="CB42" s="611"/>
      <c r="CC42" s="611"/>
      <c r="CD42" s="56">
        <v>11945</v>
      </c>
      <c r="CE42" s="55"/>
      <c r="CF42" s="56"/>
      <c r="CG42" s="611"/>
      <c r="CH42" s="611"/>
      <c r="CI42" s="56">
        <v>85527</v>
      </c>
      <c r="CJ42" s="55"/>
      <c r="CK42" s="56"/>
      <c r="CL42" s="611"/>
      <c r="CM42" s="611"/>
      <c r="CN42" s="56">
        <v>60996</v>
      </c>
      <c r="CO42" s="55"/>
      <c r="CP42" s="56"/>
      <c r="CQ42" s="611"/>
      <c r="CR42" s="611"/>
      <c r="CS42" s="56">
        <v>235729</v>
      </c>
      <c r="CT42" s="55"/>
      <c r="CU42" s="56"/>
      <c r="CV42" s="611"/>
      <c r="CW42" s="611"/>
      <c r="CX42" s="56">
        <v>70649</v>
      </c>
      <c r="CY42" s="55"/>
      <c r="CZ42" s="56"/>
      <c r="DA42" s="611"/>
      <c r="DB42" s="611"/>
      <c r="DC42" s="56">
        <v>17942</v>
      </c>
      <c r="DD42" s="55"/>
      <c r="DE42" s="56"/>
      <c r="DF42" s="611"/>
      <c r="DG42" s="611"/>
      <c r="DH42" s="56">
        <v>0</v>
      </c>
      <c r="DI42" s="55"/>
      <c r="DJ42" s="56"/>
      <c r="DK42" s="611"/>
      <c r="DL42" s="611"/>
      <c r="DM42" s="56">
        <v>40258</v>
      </c>
      <c r="DN42" s="55"/>
      <c r="DO42" s="56"/>
      <c r="DP42" s="611"/>
      <c r="DQ42" s="611"/>
      <c r="DR42" s="56">
        <v>2283</v>
      </c>
      <c r="DS42" s="55"/>
      <c r="DT42" s="56"/>
      <c r="DU42" s="611"/>
      <c r="DV42" s="611"/>
      <c r="DW42" s="56">
        <v>0</v>
      </c>
      <c r="DX42" s="55"/>
      <c r="DY42" s="56"/>
      <c r="DZ42" s="611"/>
      <c r="EA42" s="611"/>
      <c r="EB42" s="56">
        <v>164295</v>
      </c>
      <c r="EC42" s="55"/>
      <c r="ED42" s="56"/>
      <c r="EE42" s="611"/>
      <c r="EF42" s="611"/>
      <c r="EG42" s="56">
        <v>61397</v>
      </c>
      <c r="EH42" s="55"/>
      <c r="EI42" s="56"/>
      <c r="EJ42" s="611"/>
      <c r="EK42" s="611"/>
      <c r="EL42" s="56">
        <f t="shared" si="2"/>
        <v>525329</v>
      </c>
      <c r="EM42" s="55"/>
      <c r="EN42" s="56"/>
      <c r="EO42" s="144"/>
      <c r="ER42" s="42"/>
      <c r="ES42" s="42"/>
    </row>
    <row r="43" spans="4:150" ht="12.75" customHeight="1" x14ac:dyDescent="0.3">
      <c r="D43" s="144" t="s">
        <v>339</v>
      </c>
      <c r="E43" s="611"/>
      <c r="F43" s="494"/>
      <c r="G43" s="56">
        <v>0</v>
      </c>
      <c r="H43" s="55"/>
      <c r="I43" s="56"/>
      <c r="J43" s="611"/>
      <c r="K43" s="611"/>
      <c r="L43" s="56">
        <v>0</v>
      </c>
      <c r="M43" s="55"/>
      <c r="N43" s="56"/>
      <c r="O43" s="611"/>
      <c r="P43" s="611"/>
      <c r="Q43" s="56">
        <v>0</v>
      </c>
      <c r="R43" s="55"/>
      <c r="S43" s="56"/>
      <c r="T43" s="611"/>
      <c r="U43" s="611"/>
      <c r="V43" s="56">
        <v>0</v>
      </c>
      <c r="W43" s="55"/>
      <c r="X43" s="56"/>
      <c r="Y43" s="611"/>
      <c r="Z43" s="611"/>
      <c r="AA43" s="56">
        <v>0</v>
      </c>
      <c r="AB43" s="55"/>
      <c r="AC43" s="56"/>
      <c r="AD43" s="611"/>
      <c r="AE43" s="611"/>
      <c r="AF43" s="56">
        <v>0</v>
      </c>
      <c r="AG43" s="55"/>
      <c r="AH43" s="56"/>
      <c r="AI43" s="611"/>
      <c r="AJ43" s="611"/>
      <c r="AK43" s="56">
        <v>0</v>
      </c>
      <c r="AL43" s="55"/>
      <c r="AM43" s="56"/>
      <c r="AN43" s="611"/>
      <c r="AO43" s="611"/>
      <c r="AP43" s="56">
        <v>0</v>
      </c>
      <c r="AQ43" s="55"/>
      <c r="AR43" s="56"/>
      <c r="AS43" s="611"/>
      <c r="AT43" s="611"/>
      <c r="AU43" s="56">
        <v>0</v>
      </c>
      <c r="AV43" s="55"/>
      <c r="AW43" s="56"/>
      <c r="AX43" s="611"/>
      <c r="AY43" s="611"/>
      <c r="AZ43" s="56">
        <v>0</v>
      </c>
      <c r="BA43" s="55"/>
      <c r="BB43" s="56"/>
      <c r="BC43" s="611"/>
      <c r="BD43" s="611"/>
      <c r="BE43" s="56">
        <v>0</v>
      </c>
      <c r="BF43" s="55"/>
      <c r="BG43" s="56"/>
      <c r="BH43" s="611"/>
      <c r="BI43" s="611"/>
      <c r="BJ43" s="56">
        <v>0</v>
      </c>
      <c r="BK43" s="55"/>
      <c r="BL43" s="56"/>
      <c r="BM43" s="611"/>
      <c r="BN43" s="611"/>
      <c r="BO43" s="56">
        <v>0</v>
      </c>
      <c r="BP43" s="55"/>
      <c r="BQ43" s="56"/>
      <c r="BR43" s="611"/>
      <c r="BS43" s="611"/>
      <c r="BT43" s="56">
        <f>SUM(L43:BO43)</f>
        <v>0</v>
      </c>
      <c r="BU43" s="55"/>
      <c r="BV43" s="56"/>
      <c r="BW43" s="611"/>
      <c r="BX43" s="611"/>
      <c r="BY43" s="56">
        <v>0</v>
      </c>
      <c r="BZ43" s="55"/>
      <c r="CA43" s="56"/>
      <c r="CB43" s="611"/>
      <c r="CC43" s="611"/>
      <c r="CD43" s="56">
        <v>0</v>
      </c>
      <c r="CE43" s="55"/>
      <c r="CF43" s="56"/>
      <c r="CG43" s="611"/>
      <c r="CH43" s="611"/>
      <c r="CI43" s="56">
        <v>0</v>
      </c>
      <c r="CJ43" s="55"/>
      <c r="CK43" s="56"/>
      <c r="CL43" s="611"/>
      <c r="CM43" s="611"/>
      <c r="CN43" s="56">
        <v>0</v>
      </c>
      <c r="CO43" s="55"/>
      <c r="CP43" s="56"/>
      <c r="CQ43" s="611"/>
      <c r="CR43" s="611"/>
      <c r="CS43" s="56">
        <v>0</v>
      </c>
      <c r="CT43" s="55"/>
      <c r="CU43" s="56"/>
      <c r="CV43" s="611"/>
      <c r="CW43" s="611"/>
      <c r="CX43" s="56">
        <v>0</v>
      </c>
      <c r="CY43" s="55"/>
      <c r="CZ43" s="56"/>
      <c r="DA43" s="611"/>
      <c r="DB43" s="611"/>
      <c r="DC43" s="56">
        <v>0</v>
      </c>
      <c r="DD43" s="55"/>
      <c r="DE43" s="56"/>
      <c r="DF43" s="611"/>
      <c r="DG43" s="611"/>
      <c r="DH43" s="56">
        <v>0</v>
      </c>
      <c r="DI43" s="55"/>
      <c r="DJ43" s="56"/>
      <c r="DK43" s="611"/>
      <c r="DL43" s="611"/>
      <c r="DM43" s="56">
        <v>0</v>
      </c>
      <c r="DN43" s="55"/>
      <c r="DO43" s="56"/>
      <c r="DP43" s="611"/>
      <c r="DQ43" s="611"/>
      <c r="DR43" s="56">
        <v>0</v>
      </c>
      <c r="DS43" s="55"/>
      <c r="DT43" s="56"/>
      <c r="DU43" s="611"/>
      <c r="DV43" s="611"/>
      <c r="DW43" s="56">
        <v>0</v>
      </c>
      <c r="DX43" s="55"/>
      <c r="DY43" s="56"/>
      <c r="DZ43" s="611"/>
      <c r="EA43" s="611"/>
      <c r="EB43" s="56">
        <v>0</v>
      </c>
      <c r="EC43" s="55"/>
      <c r="ED43" s="56"/>
      <c r="EE43" s="611"/>
      <c r="EF43" s="611"/>
      <c r="EG43" s="56">
        <v>0</v>
      </c>
      <c r="EH43" s="55"/>
      <c r="EI43" s="56"/>
      <c r="EJ43" s="611"/>
      <c r="EK43" s="611"/>
      <c r="EL43" s="56">
        <f t="shared" si="2"/>
        <v>0</v>
      </c>
      <c r="EM43" s="55"/>
      <c r="EN43" s="56"/>
      <c r="EO43" s="144"/>
      <c r="ER43" s="42"/>
      <c r="ES43" s="42"/>
    </row>
    <row r="44" spans="4:150" ht="12.75" customHeight="1" x14ac:dyDescent="0.3">
      <c r="D44" s="144" t="s">
        <v>340</v>
      </c>
      <c r="E44" s="611"/>
      <c r="F44" s="513"/>
      <c r="G44" s="117">
        <v>0</v>
      </c>
      <c r="H44" s="116"/>
      <c r="I44" s="56"/>
      <c r="J44" s="611"/>
      <c r="K44" s="620"/>
      <c r="L44" s="117">
        <v>0</v>
      </c>
      <c r="M44" s="116"/>
      <c r="N44" s="56"/>
      <c r="O44" s="611"/>
      <c r="P44" s="620"/>
      <c r="Q44" s="117">
        <v>472749</v>
      </c>
      <c r="R44" s="116"/>
      <c r="S44" s="56"/>
      <c r="T44" s="611"/>
      <c r="U44" s="620"/>
      <c r="V44" s="117">
        <v>357085</v>
      </c>
      <c r="W44" s="116"/>
      <c r="X44" s="56"/>
      <c r="Y44" s="611"/>
      <c r="Z44" s="620"/>
      <c r="AA44" s="117">
        <v>47633</v>
      </c>
      <c r="AB44" s="116"/>
      <c r="AC44" s="56"/>
      <c r="AD44" s="611"/>
      <c r="AE44" s="620"/>
      <c r="AF44" s="117">
        <v>163200</v>
      </c>
      <c r="AG44" s="116"/>
      <c r="AH44" s="56"/>
      <c r="AI44" s="611"/>
      <c r="AJ44" s="620"/>
      <c r="AK44" s="117">
        <v>0</v>
      </c>
      <c r="AL44" s="116"/>
      <c r="AM44" s="56"/>
      <c r="AN44" s="611"/>
      <c r="AO44" s="620"/>
      <c r="AP44" s="117">
        <v>228186</v>
      </c>
      <c r="AQ44" s="116"/>
      <c r="AR44" s="56"/>
      <c r="AS44" s="611"/>
      <c r="AT44" s="620"/>
      <c r="AU44" s="117">
        <v>92096</v>
      </c>
      <c r="AV44" s="116"/>
      <c r="AW44" s="56"/>
      <c r="AX44" s="611"/>
      <c r="AY44" s="620"/>
      <c r="AZ44" s="117">
        <v>0</v>
      </c>
      <c r="BA44" s="116"/>
      <c r="BB44" s="56"/>
      <c r="BC44" s="611"/>
      <c r="BD44" s="620"/>
      <c r="BE44" s="117">
        <v>0</v>
      </c>
      <c r="BF44" s="116"/>
      <c r="BG44" s="56"/>
      <c r="BH44" s="611"/>
      <c r="BI44" s="620"/>
      <c r="BJ44" s="117">
        <v>0</v>
      </c>
      <c r="BK44" s="116"/>
      <c r="BL44" s="56"/>
      <c r="BM44" s="611"/>
      <c r="BN44" s="620"/>
      <c r="BO44" s="117">
        <v>0</v>
      </c>
      <c r="BP44" s="116"/>
      <c r="BQ44" s="56"/>
      <c r="BR44" s="611"/>
      <c r="BS44" s="620"/>
      <c r="BT44" s="117">
        <f>SUM(L44:BO44)</f>
        <v>1360949</v>
      </c>
      <c r="BU44" s="116"/>
      <c r="BV44" s="56"/>
      <c r="BW44" s="611"/>
      <c r="BX44" s="620"/>
      <c r="BY44" s="117">
        <v>1643715</v>
      </c>
      <c r="BZ44" s="116"/>
      <c r="CA44" s="56"/>
      <c r="CB44" s="611"/>
      <c r="CC44" s="620"/>
      <c r="CD44" s="117">
        <v>23235</v>
      </c>
      <c r="CE44" s="116"/>
      <c r="CF44" s="56"/>
      <c r="CG44" s="611"/>
      <c r="CH44" s="620"/>
      <c r="CI44" s="117">
        <v>172163</v>
      </c>
      <c r="CJ44" s="116"/>
      <c r="CK44" s="56"/>
      <c r="CL44" s="611"/>
      <c r="CM44" s="620"/>
      <c r="CN44" s="117">
        <v>148686</v>
      </c>
      <c r="CO44" s="116"/>
      <c r="CP44" s="56"/>
      <c r="CQ44" s="611"/>
      <c r="CR44" s="620"/>
      <c r="CS44" s="117">
        <v>505979</v>
      </c>
      <c r="CT44" s="116"/>
      <c r="CU44" s="56"/>
      <c r="CV44" s="611"/>
      <c r="CW44" s="620"/>
      <c r="CX44" s="117">
        <v>155714</v>
      </c>
      <c r="CY44" s="116"/>
      <c r="CZ44" s="56"/>
      <c r="DA44" s="611"/>
      <c r="DB44" s="620"/>
      <c r="DC44" s="117">
        <v>43294</v>
      </c>
      <c r="DD44" s="116"/>
      <c r="DE44" s="56"/>
      <c r="DF44" s="611"/>
      <c r="DG44" s="620"/>
      <c r="DH44" s="117">
        <v>0</v>
      </c>
      <c r="DI44" s="116"/>
      <c r="DJ44" s="56"/>
      <c r="DK44" s="611"/>
      <c r="DL44" s="620"/>
      <c r="DM44" s="117">
        <v>75634</v>
      </c>
      <c r="DN44" s="116"/>
      <c r="DO44" s="56"/>
      <c r="DP44" s="611"/>
      <c r="DQ44" s="620"/>
      <c r="DR44" s="117">
        <v>3910</v>
      </c>
      <c r="DS44" s="116"/>
      <c r="DT44" s="56"/>
      <c r="DU44" s="611"/>
      <c r="DV44" s="620"/>
      <c r="DW44" s="117">
        <v>0</v>
      </c>
      <c r="DX44" s="116"/>
      <c r="DY44" s="56"/>
      <c r="DZ44" s="611"/>
      <c r="EA44" s="620"/>
      <c r="EB44" s="117">
        <v>363808</v>
      </c>
      <c r="EC44" s="116"/>
      <c r="ED44" s="56"/>
      <c r="EE44" s="611"/>
      <c r="EF44" s="620"/>
      <c r="EG44" s="117">
        <v>151292</v>
      </c>
      <c r="EH44" s="116"/>
      <c r="EI44" s="56"/>
      <c r="EJ44" s="611"/>
      <c r="EK44" s="620"/>
      <c r="EL44" s="117">
        <f t="shared" si="2"/>
        <v>1128615</v>
      </c>
      <c r="EM44" s="116"/>
      <c r="EN44" s="56"/>
      <c r="EO44" s="144"/>
      <c r="ER44" s="42"/>
      <c r="ES44" s="42"/>
    </row>
    <row r="45" spans="4:150" ht="12.75" customHeight="1" x14ac:dyDescent="0.3">
      <c r="D45" s="144"/>
      <c r="E45" s="611"/>
      <c r="G45" s="56"/>
      <c r="H45" s="56"/>
      <c r="I45" s="56"/>
      <c r="J45" s="611"/>
      <c r="K45" s="56"/>
      <c r="L45" s="56"/>
      <c r="M45" s="56"/>
      <c r="N45" s="56"/>
      <c r="O45" s="611"/>
      <c r="P45" s="56"/>
      <c r="Q45" s="56"/>
      <c r="R45" s="56"/>
      <c r="S45" s="56"/>
      <c r="T45" s="611"/>
      <c r="U45" s="56"/>
      <c r="V45" s="56"/>
      <c r="W45" s="56"/>
      <c r="X45" s="56"/>
      <c r="Y45" s="611"/>
      <c r="Z45" s="56"/>
      <c r="AA45" s="56"/>
      <c r="AB45" s="56"/>
      <c r="AC45" s="56"/>
      <c r="AD45" s="611"/>
      <c r="AE45" s="56"/>
      <c r="AF45" s="56"/>
      <c r="AG45" s="56"/>
      <c r="AH45" s="56"/>
      <c r="AI45" s="611"/>
      <c r="AJ45" s="56"/>
      <c r="AK45" s="56"/>
      <c r="AL45" s="56"/>
      <c r="AM45" s="56"/>
      <c r="AN45" s="611"/>
      <c r="AO45" s="56"/>
      <c r="AP45" s="56"/>
      <c r="AQ45" s="56"/>
      <c r="AR45" s="56"/>
      <c r="AS45" s="611"/>
      <c r="AT45" s="56"/>
      <c r="AU45" s="56"/>
      <c r="AV45" s="56"/>
      <c r="AW45" s="56"/>
      <c r="AX45" s="611"/>
      <c r="AY45" s="56"/>
      <c r="AZ45" s="56"/>
      <c r="BA45" s="56"/>
      <c r="BB45" s="56"/>
      <c r="BC45" s="611"/>
      <c r="BD45" s="56"/>
      <c r="BE45" s="56"/>
      <c r="BF45" s="56"/>
      <c r="BG45" s="56"/>
      <c r="BH45" s="611"/>
      <c r="BI45" s="56"/>
      <c r="BJ45" s="56"/>
      <c r="BK45" s="56"/>
      <c r="BL45" s="56"/>
      <c r="BM45" s="611"/>
      <c r="BN45" s="56"/>
      <c r="BO45" s="56"/>
      <c r="BP45" s="56"/>
      <c r="BQ45" s="56"/>
      <c r="BR45" s="611"/>
      <c r="BS45" s="56"/>
      <c r="BT45" s="56"/>
      <c r="BU45" s="56"/>
      <c r="BV45" s="56"/>
      <c r="BW45" s="611"/>
      <c r="BX45" s="56"/>
      <c r="BY45" s="56"/>
      <c r="BZ45" s="56"/>
      <c r="CA45" s="56"/>
      <c r="CB45" s="611"/>
      <c r="CC45" s="56"/>
      <c r="CD45" s="56"/>
      <c r="CE45" s="56"/>
      <c r="CF45" s="56"/>
      <c r="CG45" s="611"/>
      <c r="CH45" s="56"/>
      <c r="CI45" s="56"/>
      <c r="CJ45" s="56"/>
      <c r="CK45" s="56"/>
      <c r="CL45" s="611"/>
      <c r="CM45" s="56"/>
      <c r="CN45" s="56"/>
      <c r="CO45" s="56"/>
      <c r="CP45" s="56"/>
      <c r="CQ45" s="611"/>
      <c r="CR45" s="56"/>
      <c r="CS45" s="56"/>
      <c r="CT45" s="56"/>
      <c r="CU45" s="56"/>
      <c r="CV45" s="611"/>
      <c r="CW45" s="56"/>
      <c r="CX45" s="56"/>
      <c r="CY45" s="56"/>
      <c r="CZ45" s="56"/>
      <c r="DA45" s="611"/>
      <c r="DB45" s="56"/>
      <c r="DC45" s="56"/>
      <c r="DD45" s="56"/>
      <c r="DE45" s="56"/>
      <c r="DF45" s="611"/>
      <c r="DG45" s="56"/>
      <c r="DH45" s="56"/>
      <c r="DI45" s="56"/>
      <c r="DJ45" s="56"/>
      <c r="DK45" s="611"/>
      <c r="DL45" s="56"/>
      <c r="DM45" s="56"/>
      <c r="DN45" s="56"/>
      <c r="DO45" s="56"/>
      <c r="DP45" s="611"/>
      <c r="DQ45" s="56"/>
      <c r="DR45" s="56"/>
      <c r="DS45" s="56"/>
      <c r="DT45" s="56"/>
      <c r="DU45" s="611"/>
      <c r="DV45" s="56"/>
      <c r="DW45" s="56"/>
      <c r="DX45" s="56"/>
      <c r="DY45" s="56"/>
      <c r="DZ45" s="611"/>
      <c r="EA45" s="56"/>
      <c r="EB45" s="56"/>
      <c r="EC45" s="56"/>
      <c r="ED45" s="56"/>
      <c r="EE45" s="611"/>
      <c r="EF45" s="56"/>
      <c r="EG45" s="56"/>
      <c r="EH45" s="56"/>
      <c r="EI45" s="56"/>
      <c r="EJ45" s="611"/>
      <c r="EK45" s="56"/>
      <c r="EL45" s="56"/>
      <c r="EM45" s="56"/>
      <c r="EN45" s="56"/>
      <c r="EO45" s="144"/>
      <c r="ER45" s="42"/>
      <c r="ES45" s="42"/>
    </row>
    <row r="46" spans="4:150" ht="12.75" customHeight="1" x14ac:dyDescent="0.3">
      <c r="D46" s="144" t="s">
        <v>344</v>
      </c>
      <c r="E46" s="611"/>
      <c r="G46" s="56">
        <f>SUM(G47:G50)</f>
        <v>0</v>
      </c>
      <c r="H46" s="56"/>
      <c r="I46" s="56"/>
      <c r="J46" s="611"/>
      <c r="K46" s="56"/>
      <c r="L46" s="56">
        <f>SUM(L47:L50)</f>
        <v>3010097</v>
      </c>
      <c r="M46" s="56"/>
      <c r="N46" s="56"/>
      <c r="O46" s="611"/>
      <c r="P46" s="56"/>
      <c r="Q46" s="56">
        <f>SUM(Q47:Q50)</f>
        <v>1884698</v>
      </c>
      <c r="R46" s="56"/>
      <c r="S46" s="56"/>
      <c r="T46" s="611"/>
      <c r="U46" s="56"/>
      <c r="V46" s="56">
        <f>SUM(V47:V50)</f>
        <v>1178361</v>
      </c>
      <c r="W46" s="56"/>
      <c r="X46" s="56"/>
      <c r="Y46" s="611"/>
      <c r="Z46" s="56"/>
      <c r="AA46" s="56">
        <f>SUM(AA47:AA50)</f>
        <v>1683351</v>
      </c>
      <c r="AB46" s="56"/>
      <c r="AC46" s="56"/>
      <c r="AD46" s="611"/>
      <c r="AE46" s="56"/>
      <c r="AF46" s="56">
        <f>SUM(AF47:AF50)</f>
        <v>1228258</v>
      </c>
      <c r="AG46" s="56"/>
      <c r="AH46" s="56"/>
      <c r="AI46" s="611"/>
      <c r="AJ46" s="56"/>
      <c r="AK46" s="56">
        <f>SUM(AK47:AK50)</f>
        <v>4393495</v>
      </c>
      <c r="AL46" s="56"/>
      <c r="AM46" s="56"/>
      <c r="AN46" s="611"/>
      <c r="AO46" s="56"/>
      <c r="AP46" s="56">
        <f>SUM(AP47:AP50)</f>
        <v>614456</v>
      </c>
      <c r="AQ46" s="56"/>
      <c r="AR46" s="56"/>
      <c r="AS46" s="611"/>
      <c r="AT46" s="56"/>
      <c r="AU46" s="56">
        <f>SUM(AU47:AU50)</f>
        <v>2751965</v>
      </c>
      <c r="AV46" s="56"/>
      <c r="AW46" s="56"/>
      <c r="AX46" s="611"/>
      <c r="AY46" s="56"/>
      <c r="AZ46" s="56">
        <f>SUM(AZ47:AZ50)</f>
        <v>1489648</v>
      </c>
      <c r="BA46" s="56"/>
      <c r="BB46" s="56"/>
      <c r="BC46" s="611"/>
      <c r="BD46" s="56"/>
      <c r="BE46" s="56">
        <f>SUM(BE47:BE50)</f>
        <v>906393</v>
      </c>
      <c r="BF46" s="56"/>
      <c r="BG46" s="56"/>
      <c r="BH46" s="611"/>
      <c r="BI46" s="56"/>
      <c r="BJ46" s="56">
        <f>SUM(BJ47:BJ50)</f>
        <v>0</v>
      </c>
      <c r="BK46" s="56"/>
      <c r="BL46" s="56"/>
      <c r="BM46" s="611"/>
      <c r="BN46" s="56"/>
      <c r="BO46" s="56">
        <f>SUM(BO47:BO50)</f>
        <v>0</v>
      </c>
      <c r="BP46" s="56"/>
      <c r="BQ46" s="56"/>
      <c r="BR46" s="611"/>
      <c r="BS46" s="56"/>
      <c r="BT46" s="56">
        <f>SUM(BT47:BT50)</f>
        <v>19140722</v>
      </c>
      <c r="BU46" s="56"/>
      <c r="BV46" s="56"/>
      <c r="BW46" s="611"/>
      <c r="BX46" s="56"/>
      <c r="BY46" s="56">
        <f>SUM(BY47:BY50)</f>
        <v>7353693</v>
      </c>
      <c r="BZ46" s="56"/>
      <c r="CA46" s="56"/>
      <c r="CB46" s="611"/>
      <c r="CC46" s="56"/>
      <c r="CD46" s="56">
        <f>SUM(CD47:CD50)</f>
        <v>19384</v>
      </c>
      <c r="CE46" s="56"/>
      <c r="CF46" s="56"/>
      <c r="CG46" s="611"/>
      <c r="CH46" s="56"/>
      <c r="CI46" s="56">
        <f>SUM(CI47:CI50)</f>
        <v>538528</v>
      </c>
      <c r="CJ46" s="56"/>
      <c r="CK46" s="56"/>
      <c r="CL46" s="611"/>
      <c r="CM46" s="56"/>
      <c r="CN46" s="56">
        <f>SUM(CN47:CN50)</f>
        <v>1123720</v>
      </c>
      <c r="CO46" s="56"/>
      <c r="CP46" s="56"/>
      <c r="CQ46" s="611"/>
      <c r="CR46" s="56"/>
      <c r="CS46" s="56">
        <f>SUM(CS47:CS50)</f>
        <v>387465</v>
      </c>
      <c r="CT46" s="56"/>
      <c r="CU46" s="56"/>
      <c r="CV46" s="611"/>
      <c r="CW46" s="56"/>
      <c r="CX46" s="56">
        <f>SUM(CX47:CX50)</f>
        <v>329833</v>
      </c>
      <c r="CY46" s="56"/>
      <c r="CZ46" s="56"/>
      <c r="DA46" s="611"/>
      <c r="DB46" s="56"/>
      <c r="DC46" s="56">
        <f>SUM(DC47:DC50)</f>
        <v>680509</v>
      </c>
      <c r="DD46" s="56"/>
      <c r="DE46" s="56"/>
      <c r="DF46" s="611"/>
      <c r="DG46" s="56"/>
      <c r="DH46" s="56">
        <f>SUM(DH47:DH50)</f>
        <v>1697517</v>
      </c>
      <c r="DI46" s="56"/>
      <c r="DJ46" s="56"/>
      <c r="DK46" s="611"/>
      <c r="DL46" s="56"/>
      <c r="DM46" s="56">
        <f>SUM(DM47:DM50)</f>
        <v>488882</v>
      </c>
      <c r="DN46" s="56"/>
      <c r="DO46" s="56"/>
      <c r="DP46" s="611"/>
      <c r="DQ46" s="56"/>
      <c r="DR46" s="56">
        <f>SUM(DR47:DR50)</f>
        <v>1102190</v>
      </c>
      <c r="DS46" s="56"/>
      <c r="DT46" s="56"/>
      <c r="DU46" s="611"/>
      <c r="DV46" s="56"/>
      <c r="DW46" s="56">
        <f>SUM(DW47:DW50)</f>
        <v>424474</v>
      </c>
      <c r="DX46" s="56"/>
      <c r="DY46" s="56"/>
      <c r="DZ46" s="611"/>
      <c r="EA46" s="56"/>
      <c r="EB46" s="56">
        <f>SUM(EB47:EB50)</f>
        <v>500071</v>
      </c>
      <c r="EC46" s="56"/>
      <c r="ED46" s="56"/>
      <c r="EE46" s="611"/>
      <c r="EF46" s="56"/>
      <c r="EG46" s="56">
        <f>SUM(EG47:EG50)</f>
        <v>61120</v>
      </c>
      <c r="EH46" s="56"/>
      <c r="EI46" s="56"/>
      <c r="EJ46" s="611"/>
      <c r="EK46" s="56"/>
      <c r="EL46" s="56">
        <f>SUM(EL47:EL50)</f>
        <v>6792502</v>
      </c>
      <c r="EM46" s="56"/>
      <c r="EN46" s="56"/>
      <c r="EO46" s="144"/>
      <c r="ER46" s="42"/>
      <c r="ES46" s="42"/>
    </row>
    <row r="47" spans="4:150" ht="12.75" customHeight="1" x14ac:dyDescent="0.3">
      <c r="D47" s="144" t="s">
        <v>335</v>
      </c>
      <c r="E47" s="611"/>
      <c r="F47" s="500"/>
      <c r="G47" s="609">
        <v>0</v>
      </c>
      <c r="H47" s="610"/>
      <c r="I47" s="56"/>
      <c r="J47" s="611"/>
      <c r="K47" s="612"/>
      <c r="L47" s="609">
        <f>2205000-543381</f>
        <v>1661619</v>
      </c>
      <c r="M47" s="610"/>
      <c r="N47" s="56"/>
      <c r="O47" s="611"/>
      <c r="P47" s="612"/>
      <c r="Q47" s="609">
        <f>1375000-337898</f>
        <v>1037102</v>
      </c>
      <c r="R47" s="610"/>
      <c r="S47" s="56"/>
      <c r="T47" s="611"/>
      <c r="U47" s="612"/>
      <c r="V47" s="609">
        <f>850000-212145</f>
        <v>637855</v>
      </c>
      <c r="W47" s="610"/>
      <c r="X47" s="56"/>
      <c r="Y47" s="611"/>
      <c r="Z47" s="612"/>
      <c r="AA47" s="609">
        <f>1210000-328215</f>
        <v>881785</v>
      </c>
      <c r="AB47" s="610"/>
      <c r="AC47" s="56"/>
      <c r="AD47" s="611"/>
      <c r="AE47" s="612"/>
      <c r="AF47" s="609">
        <f>875000-238067</f>
        <v>636933</v>
      </c>
      <c r="AG47" s="610"/>
      <c r="AH47" s="56"/>
      <c r="AI47" s="611"/>
      <c r="AJ47" s="612"/>
      <c r="AK47" s="609">
        <f>3110000-865322</f>
        <v>2244678</v>
      </c>
      <c r="AL47" s="610"/>
      <c r="AM47" s="56"/>
      <c r="AN47" s="611"/>
      <c r="AO47" s="612"/>
      <c r="AP47" s="609">
        <f>430000-131754</f>
        <v>298246</v>
      </c>
      <c r="AQ47" s="610"/>
      <c r="AR47" s="56"/>
      <c r="AS47" s="611"/>
      <c r="AT47" s="612"/>
      <c r="AU47" s="609">
        <f>1905000-614773</f>
        <v>1290227</v>
      </c>
      <c r="AV47" s="610"/>
      <c r="AW47" s="56"/>
      <c r="AX47" s="611"/>
      <c r="AY47" s="612"/>
      <c r="AZ47" s="609">
        <f>1030000-353966</f>
        <v>676034</v>
      </c>
      <c r="BA47" s="610"/>
      <c r="BB47" s="56"/>
      <c r="BC47" s="611"/>
      <c r="BD47" s="612"/>
      <c r="BE47" s="609">
        <f>625000-184319</f>
        <v>440681</v>
      </c>
      <c r="BF47" s="610"/>
      <c r="BG47" s="56"/>
      <c r="BH47" s="611"/>
      <c r="BI47" s="612"/>
      <c r="BJ47" s="609">
        <v>0</v>
      </c>
      <c r="BK47" s="610"/>
      <c r="BL47" s="56"/>
      <c r="BM47" s="611"/>
      <c r="BN47" s="612"/>
      <c r="BO47" s="609">
        <v>0</v>
      </c>
      <c r="BP47" s="610"/>
      <c r="BQ47" s="56"/>
      <c r="BR47" s="611"/>
      <c r="BS47" s="612"/>
      <c r="BT47" s="609">
        <f>SUM(L47:BO47)</f>
        <v>9805160</v>
      </c>
      <c r="BU47" s="610"/>
      <c r="BV47" s="56"/>
      <c r="BW47" s="611"/>
      <c r="BX47" s="612"/>
      <c r="BY47" s="609">
        <v>4155684</v>
      </c>
      <c r="BZ47" s="610"/>
      <c r="CA47" s="56"/>
      <c r="CB47" s="611"/>
      <c r="CC47" s="612"/>
      <c r="CD47" s="609">
        <f>15000-3742</f>
        <v>11258</v>
      </c>
      <c r="CE47" s="610"/>
      <c r="CF47" s="56"/>
      <c r="CG47" s="611"/>
      <c r="CH47" s="612"/>
      <c r="CI47" s="609">
        <f>415000-109801</f>
        <v>305199</v>
      </c>
      <c r="CJ47" s="610"/>
      <c r="CK47" s="56"/>
      <c r="CL47" s="611"/>
      <c r="CM47" s="612"/>
      <c r="CN47" s="609">
        <f>860000-204385</f>
        <v>655615</v>
      </c>
      <c r="CO47" s="610"/>
      <c r="CP47" s="56"/>
      <c r="CQ47" s="611"/>
      <c r="CR47" s="612"/>
      <c r="CS47" s="609">
        <f>295000-75163</f>
        <v>219837</v>
      </c>
      <c r="CT47" s="610"/>
      <c r="CU47" s="56"/>
      <c r="CV47" s="611"/>
      <c r="CW47" s="612"/>
      <c r="CX47" s="609">
        <f>250000-63591</f>
        <v>186409</v>
      </c>
      <c r="CY47" s="610"/>
      <c r="CZ47" s="56"/>
      <c r="DA47" s="611"/>
      <c r="DB47" s="612"/>
      <c r="DC47" s="609">
        <f>515000-123930</f>
        <v>391070</v>
      </c>
      <c r="DD47" s="610"/>
      <c r="DE47" s="56"/>
      <c r="DF47" s="611"/>
      <c r="DG47" s="612"/>
      <c r="DH47" s="609">
        <f>1275000-324672</f>
        <v>950328</v>
      </c>
      <c r="DI47" s="610"/>
      <c r="DJ47" s="56"/>
      <c r="DK47" s="611"/>
      <c r="DL47" s="612"/>
      <c r="DM47" s="609">
        <f>365000-92881</f>
        <v>272119</v>
      </c>
      <c r="DN47" s="610"/>
      <c r="DO47" s="56"/>
      <c r="DP47" s="611"/>
      <c r="DQ47" s="612"/>
      <c r="DR47" s="609">
        <f>820000-212564</f>
        <v>607436</v>
      </c>
      <c r="DS47" s="610"/>
      <c r="DT47" s="56"/>
      <c r="DU47" s="611"/>
      <c r="DV47" s="612"/>
      <c r="DW47" s="609">
        <f>315000-74268</f>
        <v>240732</v>
      </c>
      <c r="DX47" s="610"/>
      <c r="DY47" s="56"/>
      <c r="DZ47" s="611"/>
      <c r="EA47" s="612"/>
      <c r="EB47" s="609">
        <f>370000-88596</f>
        <v>281404</v>
      </c>
      <c r="EC47" s="610"/>
      <c r="ED47" s="56"/>
      <c r="EE47" s="611"/>
      <c r="EF47" s="612"/>
      <c r="EG47" s="609">
        <f>45000-10723</f>
        <v>34277</v>
      </c>
      <c r="EH47" s="610"/>
      <c r="EI47" s="56"/>
      <c r="EJ47" s="611"/>
      <c r="EK47" s="612"/>
      <c r="EL47" s="609">
        <f t="shared" ref="EL47:EL50" si="3">SUM(CD47:DW47)</f>
        <v>3840003</v>
      </c>
      <c r="EM47" s="610"/>
      <c r="EN47" s="56"/>
      <c r="EO47" s="144"/>
      <c r="ER47" s="42"/>
      <c r="ES47" s="42"/>
      <c r="ET47" s="42"/>
    </row>
    <row r="48" spans="4:150" ht="12.75" customHeight="1" x14ac:dyDescent="0.3">
      <c r="D48" s="144" t="s">
        <v>338</v>
      </c>
      <c r="E48" s="611"/>
      <c r="F48" s="494"/>
      <c r="G48" s="56">
        <v>0</v>
      </c>
      <c r="H48" s="55"/>
      <c r="I48" s="56"/>
      <c r="J48" s="611"/>
      <c r="K48" s="611"/>
      <c r="L48" s="56">
        <v>543381</v>
      </c>
      <c r="M48" s="55"/>
      <c r="N48" s="56"/>
      <c r="O48" s="611"/>
      <c r="P48" s="611"/>
      <c r="Q48" s="56">
        <v>337898</v>
      </c>
      <c r="R48" s="55"/>
      <c r="S48" s="56"/>
      <c r="T48" s="611"/>
      <c r="U48" s="611"/>
      <c r="V48" s="56">
        <v>212145</v>
      </c>
      <c r="W48" s="55"/>
      <c r="X48" s="56"/>
      <c r="Y48" s="611"/>
      <c r="Z48" s="611"/>
      <c r="AA48" s="56">
        <v>328215</v>
      </c>
      <c r="AB48" s="55"/>
      <c r="AC48" s="56"/>
      <c r="AD48" s="611"/>
      <c r="AE48" s="611"/>
      <c r="AF48" s="56">
        <v>238067</v>
      </c>
      <c r="AG48" s="55"/>
      <c r="AH48" s="56"/>
      <c r="AI48" s="611"/>
      <c r="AJ48" s="611"/>
      <c r="AK48" s="56">
        <v>865322</v>
      </c>
      <c r="AL48" s="55"/>
      <c r="AM48" s="56"/>
      <c r="AN48" s="611"/>
      <c r="AO48" s="611"/>
      <c r="AP48" s="56">
        <v>131754</v>
      </c>
      <c r="AQ48" s="55"/>
      <c r="AR48" s="56"/>
      <c r="AS48" s="611"/>
      <c r="AT48" s="611"/>
      <c r="AU48" s="56">
        <v>614773</v>
      </c>
      <c r="AV48" s="55"/>
      <c r="AW48" s="56"/>
      <c r="AX48" s="611"/>
      <c r="AY48" s="611"/>
      <c r="AZ48" s="56">
        <v>353966</v>
      </c>
      <c r="BA48" s="55"/>
      <c r="BB48" s="56"/>
      <c r="BC48" s="611"/>
      <c r="BD48" s="611"/>
      <c r="BE48" s="56">
        <v>184319</v>
      </c>
      <c r="BF48" s="55"/>
      <c r="BG48" s="56"/>
      <c r="BH48" s="611"/>
      <c r="BI48" s="611"/>
      <c r="BJ48" s="56">
        <v>0</v>
      </c>
      <c r="BK48" s="55"/>
      <c r="BL48" s="56"/>
      <c r="BM48" s="611"/>
      <c r="BN48" s="611"/>
      <c r="BO48" s="56">
        <v>0</v>
      </c>
      <c r="BP48" s="55"/>
      <c r="BQ48" s="56"/>
      <c r="BR48" s="611"/>
      <c r="BS48" s="611"/>
      <c r="BT48" s="56">
        <f>SUM(L48:BO48)</f>
        <v>3809840</v>
      </c>
      <c r="BU48" s="55"/>
      <c r="BV48" s="56"/>
      <c r="BW48" s="611"/>
      <c r="BX48" s="611"/>
      <c r="BY48" s="56">
        <v>1384316</v>
      </c>
      <c r="BZ48" s="55"/>
      <c r="CA48" s="56"/>
      <c r="CB48" s="611"/>
      <c r="CC48" s="611"/>
      <c r="CD48" s="56">
        <v>3742</v>
      </c>
      <c r="CE48" s="55"/>
      <c r="CF48" s="56"/>
      <c r="CG48" s="611"/>
      <c r="CH48" s="611"/>
      <c r="CI48" s="56">
        <v>109801</v>
      </c>
      <c r="CJ48" s="55"/>
      <c r="CK48" s="56"/>
      <c r="CL48" s="611"/>
      <c r="CM48" s="611"/>
      <c r="CN48" s="56">
        <v>204385</v>
      </c>
      <c r="CO48" s="55"/>
      <c r="CP48" s="56"/>
      <c r="CQ48" s="611"/>
      <c r="CR48" s="611"/>
      <c r="CS48" s="56">
        <v>75163</v>
      </c>
      <c r="CT48" s="55"/>
      <c r="CU48" s="56"/>
      <c r="CV48" s="611"/>
      <c r="CW48" s="611"/>
      <c r="CX48" s="56">
        <v>63591</v>
      </c>
      <c r="CY48" s="55"/>
      <c r="CZ48" s="56"/>
      <c r="DA48" s="611"/>
      <c r="DB48" s="611"/>
      <c r="DC48" s="56">
        <v>123930</v>
      </c>
      <c r="DD48" s="55"/>
      <c r="DE48" s="56"/>
      <c r="DF48" s="611"/>
      <c r="DG48" s="611"/>
      <c r="DH48" s="56">
        <v>324672</v>
      </c>
      <c r="DI48" s="55"/>
      <c r="DJ48" s="56"/>
      <c r="DK48" s="611"/>
      <c r="DL48" s="611"/>
      <c r="DM48" s="56">
        <v>92881</v>
      </c>
      <c r="DN48" s="55"/>
      <c r="DO48" s="56"/>
      <c r="DP48" s="611"/>
      <c r="DQ48" s="611"/>
      <c r="DR48" s="56">
        <v>212564</v>
      </c>
      <c r="DS48" s="55"/>
      <c r="DT48" s="56"/>
      <c r="DU48" s="611"/>
      <c r="DV48" s="611"/>
      <c r="DW48" s="56">
        <v>74268</v>
      </c>
      <c r="DX48" s="55"/>
      <c r="DY48" s="56"/>
      <c r="DZ48" s="611"/>
      <c r="EA48" s="611"/>
      <c r="EB48" s="56">
        <v>88596</v>
      </c>
      <c r="EC48" s="55"/>
      <c r="ED48" s="56"/>
      <c r="EE48" s="611"/>
      <c r="EF48" s="611"/>
      <c r="EG48" s="56">
        <v>10723</v>
      </c>
      <c r="EH48" s="55"/>
      <c r="EI48" s="56"/>
      <c r="EJ48" s="611"/>
      <c r="EK48" s="611"/>
      <c r="EL48" s="56">
        <f t="shared" si="3"/>
        <v>1284997</v>
      </c>
      <c r="EM48" s="55"/>
      <c r="EN48" s="56"/>
      <c r="EO48" s="144"/>
      <c r="ER48" s="42"/>
      <c r="ES48" s="42"/>
    </row>
    <row r="49" spans="4:149" ht="12.75" customHeight="1" x14ac:dyDescent="0.3">
      <c r="D49" s="144" t="s">
        <v>339</v>
      </c>
      <c r="E49" s="611"/>
      <c r="F49" s="494"/>
      <c r="G49" s="56">
        <v>0</v>
      </c>
      <c r="H49" s="55"/>
      <c r="I49" s="56"/>
      <c r="J49" s="611"/>
      <c r="K49" s="611"/>
      <c r="L49" s="56">
        <v>0</v>
      </c>
      <c r="M49" s="55"/>
      <c r="N49" s="56"/>
      <c r="O49" s="611"/>
      <c r="P49" s="611"/>
      <c r="Q49" s="56">
        <v>0</v>
      </c>
      <c r="R49" s="55"/>
      <c r="S49" s="56"/>
      <c r="T49" s="611"/>
      <c r="U49" s="611"/>
      <c r="V49" s="56">
        <v>0</v>
      </c>
      <c r="W49" s="55"/>
      <c r="X49" s="56"/>
      <c r="Y49" s="611"/>
      <c r="Z49" s="611"/>
      <c r="AA49" s="56">
        <v>0</v>
      </c>
      <c r="AB49" s="55"/>
      <c r="AC49" s="56"/>
      <c r="AD49" s="611"/>
      <c r="AE49" s="611"/>
      <c r="AF49" s="56">
        <v>0</v>
      </c>
      <c r="AG49" s="55"/>
      <c r="AH49" s="56"/>
      <c r="AI49" s="611"/>
      <c r="AJ49" s="611"/>
      <c r="AK49" s="56">
        <v>0</v>
      </c>
      <c r="AL49" s="55"/>
      <c r="AM49" s="56"/>
      <c r="AN49" s="611"/>
      <c r="AO49" s="611"/>
      <c r="AP49" s="56">
        <v>0</v>
      </c>
      <c r="AQ49" s="55"/>
      <c r="AR49" s="56"/>
      <c r="AS49" s="611"/>
      <c r="AT49" s="611"/>
      <c r="AU49" s="56">
        <v>0</v>
      </c>
      <c r="AV49" s="55"/>
      <c r="AW49" s="56"/>
      <c r="AX49" s="611"/>
      <c r="AY49" s="611"/>
      <c r="AZ49" s="56">
        <v>0</v>
      </c>
      <c r="BA49" s="55"/>
      <c r="BB49" s="56"/>
      <c r="BC49" s="611"/>
      <c r="BD49" s="611"/>
      <c r="BE49" s="56">
        <v>0</v>
      </c>
      <c r="BF49" s="55"/>
      <c r="BG49" s="56"/>
      <c r="BH49" s="611"/>
      <c r="BI49" s="611"/>
      <c r="BJ49" s="56">
        <v>0</v>
      </c>
      <c r="BK49" s="55"/>
      <c r="BL49" s="56"/>
      <c r="BM49" s="611"/>
      <c r="BN49" s="611"/>
      <c r="BO49" s="56">
        <v>0</v>
      </c>
      <c r="BP49" s="55"/>
      <c r="BQ49" s="56"/>
      <c r="BR49" s="611"/>
      <c r="BS49" s="611"/>
      <c r="BT49" s="56">
        <f>SUM(L49:BO49)</f>
        <v>0</v>
      </c>
      <c r="BU49" s="55"/>
      <c r="BV49" s="56"/>
      <c r="BW49" s="611"/>
      <c r="BX49" s="611"/>
      <c r="BY49" s="56">
        <v>0</v>
      </c>
      <c r="BZ49" s="55"/>
      <c r="CA49" s="56"/>
      <c r="CB49" s="611"/>
      <c r="CC49" s="611"/>
      <c r="CD49" s="56">
        <v>0</v>
      </c>
      <c r="CE49" s="55"/>
      <c r="CF49" s="56"/>
      <c r="CG49" s="611"/>
      <c r="CH49" s="611"/>
      <c r="CI49" s="56">
        <v>0</v>
      </c>
      <c r="CJ49" s="55"/>
      <c r="CK49" s="56"/>
      <c r="CL49" s="611"/>
      <c r="CM49" s="611"/>
      <c r="CN49" s="56">
        <v>0</v>
      </c>
      <c r="CO49" s="55"/>
      <c r="CP49" s="56"/>
      <c r="CQ49" s="611"/>
      <c r="CR49" s="611"/>
      <c r="CS49" s="56">
        <v>0</v>
      </c>
      <c r="CT49" s="55"/>
      <c r="CU49" s="56"/>
      <c r="CV49" s="611"/>
      <c r="CW49" s="611"/>
      <c r="CX49" s="56">
        <v>0</v>
      </c>
      <c r="CY49" s="55"/>
      <c r="CZ49" s="56"/>
      <c r="DA49" s="611"/>
      <c r="DB49" s="611"/>
      <c r="DC49" s="56">
        <v>0</v>
      </c>
      <c r="DD49" s="55"/>
      <c r="DE49" s="56"/>
      <c r="DF49" s="611"/>
      <c r="DG49" s="611"/>
      <c r="DH49" s="56">
        <v>0</v>
      </c>
      <c r="DI49" s="55"/>
      <c r="DJ49" s="56"/>
      <c r="DK49" s="611"/>
      <c r="DL49" s="611"/>
      <c r="DM49" s="56">
        <v>0</v>
      </c>
      <c r="DN49" s="55"/>
      <c r="DO49" s="56"/>
      <c r="DP49" s="611"/>
      <c r="DQ49" s="611"/>
      <c r="DR49" s="56">
        <v>0</v>
      </c>
      <c r="DS49" s="55"/>
      <c r="DT49" s="56"/>
      <c r="DU49" s="611"/>
      <c r="DV49" s="611"/>
      <c r="DW49" s="56">
        <v>0</v>
      </c>
      <c r="DX49" s="55"/>
      <c r="DY49" s="56"/>
      <c r="DZ49" s="611"/>
      <c r="EA49" s="611"/>
      <c r="EB49" s="56">
        <v>0</v>
      </c>
      <c r="EC49" s="55"/>
      <c r="ED49" s="56"/>
      <c r="EE49" s="611"/>
      <c r="EF49" s="611"/>
      <c r="EG49" s="56">
        <v>0</v>
      </c>
      <c r="EH49" s="55"/>
      <c r="EI49" s="56"/>
      <c r="EJ49" s="611"/>
      <c r="EK49" s="611"/>
      <c r="EL49" s="56">
        <f t="shared" si="3"/>
        <v>0</v>
      </c>
      <c r="EM49" s="55"/>
      <c r="EN49" s="56"/>
      <c r="EO49" s="144"/>
      <c r="ER49" s="42"/>
      <c r="ES49" s="42"/>
    </row>
    <row r="50" spans="4:149" ht="12.75" customHeight="1" x14ac:dyDescent="0.3">
      <c r="D50" s="144" t="s">
        <v>340</v>
      </c>
      <c r="E50" s="611"/>
      <c r="F50" s="513"/>
      <c r="G50" s="117">
        <v>0</v>
      </c>
      <c r="H50" s="116"/>
      <c r="I50" s="56"/>
      <c r="J50" s="611"/>
      <c r="K50" s="620"/>
      <c r="L50" s="117">
        <v>805097</v>
      </c>
      <c r="M50" s="116"/>
      <c r="N50" s="56"/>
      <c r="O50" s="611"/>
      <c r="P50" s="620"/>
      <c r="Q50" s="117">
        <v>509698</v>
      </c>
      <c r="R50" s="116"/>
      <c r="S50" s="56"/>
      <c r="T50" s="611"/>
      <c r="U50" s="620"/>
      <c r="V50" s="117">
        <v>328361</v>
      </c>
      <c r="W50" s="116"/>
      <c r="X50" s="56"/>
      <c r="Y50" s="611"/>
      <c r="Z50" s="620"/>
      <c r="AA50" s="117">
        <v>473351</v>
      </c>
      <c r="AB50" s="116"/>
      <c r="AC50" s="56"/>
      <c r="AD50" s="611"/>
      <c r="AE50" s="620"/>
      <c r="AF50" s="117">
        <v>353258</v>
      </c>
      <c r="AG50" s="116"/>
      <c r="AH50" s="56"/>
      <c r="AI50" s="611"/>
      <c r="AJ50" s="620"/>
      <c r="AK50" s="117">
        <v>1283495</v>
      </c>
      <c r="AL50" s="116"/>
      <c r="AM50" s="56"/>
      <c r="AN50" s="611"/>
      <c r="AO50" s="620"/>
      <c r="AP50" s="117">
        <v>184456</v>
      </c>
      <c r="AQ50" s="116"/>
      <c r="AR50" s="56"/>
      <c r="AS50" s="611"/>
      <c r="AT50" s="620"/>
      <c r="AU50" s="117">
        <v>846965</v>
      </c>
      <c r="AV50" s="116"/>
      <c r="AW50" s="56"/>
      <c r="AX50" s="611"/>
      <c r="AY50" s="620"/>
      <c r="AZ50" s="117">
        <v>459648</v>
      </c>
      <c r="BA50" s="116"/>
      <c r="BB50" s="56"/>
      <c r="BC50" s="611"/>
      <c r="BD50" s="620"/>
      <c r="BE50" s="117">
        <v>281393</v>
      </c>
      <c r="BF50" s="116"/>
      <c r="BG50" s="56"/>
      <c r="BH50" s="611"/>
      <c r="BI50" s="620"/>
      <c r="BJ50" s="117">
        <v>0</v>
      </c>
      <c r="BK50" s="116"/>
      <c r="BL50" s="56"/>
      <c r="BM50" s="611"/>
      <c r="BN50" s="620"/>
      <c r="BO50" s="117">
        <v>0</v>
      </c>
      <c r="BP50" s="116"/>
      <c r="BQ50" s="56"/>
      <c r="BR50" s="611"/>
      <c r="BS50" s="620"/>
      <c r="BT50" s="117">
        <f>SUM(L50:BO50)</f>
        <v>5525722</v>
      </c>
      <c r="BU50" s="116"/>
      <c r="BV50" s="56"/>
      <c r="BW50" s="611"/>
      <c r="BX50" s="620"/>
      <c r="BY50" s="117">
        <v>1813693</v>
      </c>
      <c r="BZ50" s="116"/>
      <c r="CA50" s="56"/>
      <c r="CB50" s="611"/>
      <c r="CC50" s="620"/>
      <c r="CD50" s="117">
        <v>4384</v>
      </c>
      <c r="CE50" s="116"/>
      <c r="CF50" s="56"/>
      <c r="CG50" s="611"/>
      <c r="CH50" s="620"/>
      <c r="CI50" s="117">
        <v>123528</v>
      </c>
      <c r="CJ50" s="116"/>
      <c r="CK50" s="56"/>
      <c r="CL50" s="611"/>
      <c r="CM50" s="620"/>
      <c r="CN50" s="117">
        <v>263720</v>
      </c>
      <c r="CO50" s="116"/>
      <c r="CP50" s="56"/>
      <c r="CQ50" s="611"/>
      <c r="CR50" s="620"/>
      <c r="CS50" s="117">
        <v>92465</v>
      </c>
      <c r="CT50" s="116"/>
      <c r="CU50" s="56"/>
      <c r="CV50" s="611"/>
      <c r="CW50" s="620"/>
      <c r="CX50" s="117">
        <v>79833</v>
      </c>
      <c r="CY50" s="116"/>
      <c r="CZ50" s="56"/>
      <c r="DA50" s="611"/>
      <c r="DB50" s="620"/>
      <c r="DC50" s="117">
        <v>165509</v>
      </c>
      <c r="DD50" s="116"/>
      <c r="DE50" s="56"/>
      <c r="DF50" s="611"/>
      <c r="DG50" s="620"/>
      <c r="DH50" s="117">
        <v>422517</v>
      </c>
      <c r="DI50" s="116"/>
      <c r="DJ50" s="56"/>
      <c r="DK50" s="611"/>
      <c r="DL50" s="620"/>
      <c r="DM50" s="117">
        <v>123882</v>
      </c>
      <c r="DN50" s="116"/>
      <c r="DO50" s="56"/>
      <c r="DP50" s="611"/>
      <c r="DQ50" s="620"/>
      <c r="DR50" s="117">
        <v>282190</v>
      </c>
      <c r="DS50" s="116"/>
      <c r="DT50" s="56"/>
      <c r="DU50" s="611"/>
      <c r="DV50" s="620"/>
      <c r="DW50" s="117">
        <v>109474</v>
      </c>
      <c r="DX50" s="116"/>
      <c r="DY50" s="56"/>
      <c r="DZ50" s="611"/>
      <c r="EA50" s="620"/>
      <c r="EB50" s="117">
        <v>130071</v>
      </c>
      <c r="EC50" s="116"/>
      <c r="ED50" s="56"/>
      <c r="EE50" s="611"/>
      <c r="EF50" s="620"/>
      <c r="EG50" s="117">
        <v>16120</v>
      </c>
      <c r="EH50" s="116"/>
      <c r="EI50" s="56"/>
      <c r="EJ50" s="611"/>
      <c r="EK50" s="620"/>
      <c r="EL50" s="117">
        <f t="shared" si="3"/>
        <v>1667502</v>
      </c>
      <c r="EM50" s="116"/>
      <c r="EN50" s="56"/>
      <c r="EO50" s="144"/>
      <c r="ER50" s="42"/>
      <c r="ES50" s="42"/>
    </row>
    <row r="51" spans="4:149" x14ac:dyDescent="0.3">
      <c r="D51" s="144"/>
      <c r="E51" s="611"/>
      <c r="G51" s="56"/>
      <c r="H51" s="56"/>
      <c r="I51" s="56"/>
      <c r="J51" s="611"/>
      <c r="K51" s="56"/>
      <c r="L51" s="56"/>
      <c r="M51" s="56"/>
      <c r="N51" s="56"/>
      <c r="O51" s="611"/>
      <c r="P51" s="56"/>
      <c r="Q51" s="56"/>
      <c r="R51" s="56"/>
      <c r="S51" s="56"/>
      <c r="T51" s="611"/>
      <c r="U51" s="56"/>
      <c r="V51" s="56"/>
      <c r="W51" s="56"/>
      <c r="X51" s="56"/>
      <c r="Y51" s="611"/>
      <c r="Z51" s="56"/>
      <c r="AA51" s="56"/>
      <c r="AB51" s="56"/>
      <c r="AC51" s="56"/>
      <c r="AD51" s="611"/>
      <c r="AE51" s="56"/>
      <c r="AF51" s="56"/>
      <c r="AG51" s="56"/>
      <c r="AH51" s="56"/>
      <c r="AI51" s="611"/>
      <c r="AJ51" s="56"/>
      <c r="AK51" s="56"/>
      <c r="AL51" s="56"/>
      <c r="AM51" s="56"/>
      <c r="AN51" s="611"/>
      <c r="AO51" s="56"/>
      <c r="AP51" s="56"/>
      <c r="AQ51" s="56"/>
      <c r="AR51" s="56"/>
      <c r="AS51" s="611"/>
      <c r="AT51" s="56"/>
      <c r="AU51" s="56"/>
      <c r="AV51" s="56"/>
      <c r="AW51" s="56"/>
      <c r="AX51" s="611"/>
      <c r="AY51" s="56"/>
      <c r="AZ51" s="56"/>
      <c r="BA51" s="56"/>
      <c r="BB51" s="56"/>
      <c r="BC51" s="611"/>
      <c r="BD51" s="56"/>
      <c r="BE51" s="56"/>
      <c r="BF51" s="56"/>
      <c r="BG51" s="56"/>
      <c r="BH51" s="611"/>
      <c r="BI51" s="56"/>
      <c r="BJ51" s="56"/>
      <c r="BK51" s="56"/>
      <c r="BL51" s="56"/>
      <c r="BM51" s="611"/>
      <c r="BN51" s="56"/>
      <c r="BO51" s="56"/>
      <c r="BP51" s="56"/>
      <c r="BQ51" s="56"/>
      <c r="BR51" s="611"/>
      <c r="BS51" s="56"/>
      <c r="BT51" s="56"/>
      <c r="BU51" s="56"/>
      <c r="BV51" s="56"/>
      <c r="BW51" s="611"/>
      <c r="BX51" s="56"/>
      <c r="BY51" s="56"/>
      <c r="BZ51" s="56"/>
      <c r="CA51" s="56"/>
      <c r="CB51" s="611"/>
      <c r="CC51" s="56"/>
      <c r="CD51" s="56"/>
      <c r="CE51" s="56"/>
      <c r="CF51" s="56"/>
      <c r="CG51" s="611"/>
      <c r="CH51" s="56"/>
      <c r="CI51" s="56"/>
      <c r="CJ51" s="56"/>
      <c r="CK51" s="56"/>
      <c r="CL51" s="611"/>
      <c r="CM51" s="56"/>
      <c r="CN51" s="56"/>
      <c r="CO51" s="56"/>
      <c r="CP51" s="56"/>
      <c r="CQ51" s="611"/>
      <c r="CR51" s="56"/>
      <c r="CS51" s="56"/>
      <c r="CT51" s="56"/>
      <c r="CU51" s="56"/>
      <c r="CV51" s="611"/>
      <c r="CW51" s="56"/>
      <c r="CX51" s="56"/>
      <c r="CY51" s="56"/>
      <c r="CZ51" s="56"/>
      <c r="DA51" s="611"/>
      <c r="DB51" s="56"/>
      <c r="DC51" s="56"/>
      <c r="DD51" s="56"/>
      <c r="DE51" s="56"/>
      <c r="DF51" s="611"/>
      <c r="DG51" s="56"/>
      <c r="DH51" s="56"/>
      <c r="DI51" s="56"/>
      <c r="DJ51" s="56"/>
      <c r="DK51" s="611"/>
      <c r="DL51" s="56"/>
      <c r="DM51" s="56"/>
      <c r="DN51" s="56"/>
      <c r="DO51" s="56"/>
      <c r="DP51" s="611"/>
      <c r="DQ51" s="56"/>
      <c r="DR51" s="56"/>
      <c r="DS51" s="56"/>
      <c r="DT51" s="56"/>
      <c r="DU51" s="611"/>
      <c r="DV51" s="56"/>
      <c r="DW51" s="56"/>
      <c r="DX51" s="56"/>
      <c r="DY51" s="56"/>
      <c r="DZ51" s="611"/>
      <c r="EA51" s="56"/>
      <c r="EB51" s="56"/>
      <c r="EC51" s="56"/>
      <c r="ED51" s="56"/>
      <c r="EE51" s="611"/>
      <c r="EF51" s="56"/>
      <c r="EG51" s="56"/>
      <c r="EH51" s="56"/>
      <c r="EI51" s="56"/>
      <c r="EJ51" s="611"/>
      <c r="EK51" s="56"/>
      <c r="EL51" s="56"/>
      <c r="EM51" s="56"/>
      <c r="EN51" s="56"/>
      <c r="EO51" s="144"/>
      <c r="ER51" s="42"/>
      <c r="ES51" s="42"/>
    </row>
    <row r="52" spans="4:149" ht="12.75" hidden="1" customHeight="1" x14ac:dyDescent="0.3">
      <c r="D52" s="144" t="s">
        <v>345</v>
      </c>
      <c r="E52" s="611"/>
      <c r="G52" s="56">
        <f>SUM(G53:G56)</f>
        <v>0</v>
      </c>
      <c r="H52" s="56"/>
      <c r="I52" s="56"/>
      <c r="J52" s="611"/>
      <c r="K52" s="56"/>
      <c r="L52" s="56">
        <f>SUM(L53:L56)</f>
        <v>0</v>
      </c>
      <c r="M52" s="56"/>
      <c r="N52" s="56"/>
      <c r="O52" s="611"/>
      <c r="P52" s="56"/>
      <c r="Q52" s="56">
        <f>SUM(Q53:Q56)</f>
        <v>0</v>
      </c>
      <c r="R52" s="56"/>
      <c r="S52" s="56"/>
      <c r="T52" s="611"/>
      <c r="U52" s="56"/>
      <c r="V52" s="56">
        <f>SUM(V53:V56)</f>
        <v>0</v>
      </c>
      <c r="W52" s="56"/>
      <c r="X52" s="56"/>
      <c r="Y52" s="611"/>
      <c r="Z52" s="56"/>
      <c r="AA52" s="56">
        <f>SUM(AA53:AA56)</f>
        <v>0</v>
      </c>
      <c r="AB52" s="56"/>
      <c r="AC52" s="56"/>
      <c r="AD52" s="611"/>
      <c r="AE52" s="56"/>
      <c r="AF52" s="56">
        <f>SUM(AF53:AF56)</f>
        <v>0</v>
      </c>
      <c r="AG52" s="56"/>
      <c r="AH52" s="56"/>
      <c r="AI52" s="611"/>
      <c r="AJ52" s="56"/>
      <c r="AK52" s="56">
        <f>SUM(AK53:AK56)</f>
        <v>0</v>
      </c>
      <c r="AL52" s="56"/>
      <c r="AM52" s="56"/>
      <c r="AN52" s="611"/>
      <c r="AO52" s="56"/>
      <c r="AP52" s="56">
        <f>SUM(AP53:AP56)</f>
        <v>0</v>
      </c>
      <c r="AQ52" s="56"/>
      <c r="AR52" s="56"/>
      <c r="AS52" s="611"/>
      <c r="AT52" s="56"/>
      <c r="AU52" s="56">
        <f>SUM(AU53:AU56)</f>
        <v>0</v>
      </c>
      <c r="AV52" s="56"/>
      <c r="AW52" s="56"/>
      <c r="AX52" s="611"/>
      <c r="AY52" s="56"/>
      <c r="AZ52" s="56">
        <f>SUM(AZ53:AZ56)</f>
        <v>0</v>
      </c>
      <c r="BA52" s="56"/>
      <c r="BB52" s="56"/>
      <c r="BC52" s="611"/>
      <c r="BD52" s="56"/>
      <c r="BE52" s="56">
        <f>SUM(BE53:BE56)</f>
        <v>0</v>
      </c>
      <c r="BF52" s="56"/>
      <c r="BG52" s="56"/>
      <c r="BH52" s="611"/>
      <c r="BI52" s="56"/>
      <c r="BJ52" s="56">
        <f>SUM(BJ53:BJ56)</f>
        <v>0</v>
      </c>
      <c r="BK52" s="56"/>
      <c r="BL52" s="56"/>
      <c r="BM52" s="611"/>
      <c r="BN52" s="56"/>
      <c r="BO52" s="56">
        <f>SUM(BO53:BO56)</f>
        <v>0</v>
      </c>
      <c r="BP52" s="56"/>
      <c r="BQ52" s="56"/>
      <c r="BR52" s="611"/>
      <c r="BS52" s="56"/>
      <c r="BT52" s="56">
        <f>SUM(BT53:BT56)</f>
        <v>0</v>
      </c>
      <c r="BU52" s="56"/>
      <c r="BV52" s="56"/>
      <c r="BW52" s="611"/>
      <c r="BX52" s="56"/>
      <c r="BY52" s="56">
        <f>SUM(BY53:BY56)</f>
        <v>0</v>
      </c>
      <c r="BZ52" s="56"/>
      <c r="CA52" s="56"/>
      <c r="CB52" s="611"/>
      <c r="CC52" s="56"/>
      <c r="CD52" s="56">
        <f>SUM(CD53:CD56)</f>
        <v>0</v>
      </c>
      <c r="CE52" s="56"/>
      <c r="CF52" s="56"/>
      <c r="CG52" s="611"/>
      <c r="CH52" s="56"/>
      <c r="CI52" s="56">
        <f>SUM(CI53:CI56)</f>
        <v>0</v>
      </c>
      <c r="CJ52" s="56"/>
      <c r="CK52" s="56"/>
      <c r="CL52" s="611"/>
      <c r="CM52" s="56"/>
      <c r="CN52" s="56">
        <f>SUM(CN53:CN56)</f>
        <v>0</v>
      </c>
      <c r="CO52" s="56"/>
      <c r="CP52" s="56"/>
      <c r="CQ52" s="611"/>
      <c r="CR52" s="56"/>
      <c r="CS52" s="56">
        <f>SUM(CS53:CS56)</f>
        <v>0</v>
      </c>
      <c r="CT52" s="56"/>
      <c r="CU52" s="56"/>
      <c r="CV52" s="611"/>
      <c r="CW52" s="56"/>
      <c r="CX52" s="56">
        <f>SUM(CX53:CX56)</f>
        <v>0</v>
      </c>
      <c r="CY52" s="56"/>
      <c r="CZ52" s="56"/>
      <c r="DA52" s="611"/>
      <c r="DB52" s="56"/>
      <c r="DC52" s="56">
        <f>SUM(DC53:DC56)</f>
        <v>0</v>
      </c>
      <c r="DD52" s="56"/>
      <c r="DE52" s="56"/>
      <c r="DF52" s="611"/>
      <c r="DG52" s="56"/>
      <c r="DH52" s="56">
        <f>SUM(DH53:DH56)</f>
        <v>0</v>
      </c>
      <c r="DI52" s="56"/>
      <c r="DJ52" s="56"/>
      <c r="DK52" s="611"/>
      <c r="DL52" s="56"/>
      <c r="DM52" s="56">
        <f>SUM(DM53:DM56)</f>
        <v>0</v>
      </c>
      <c r="DN52" s="56"/>
      <c r="DO52" s="56"/>
      <c r="DP52" s="611"/>
      <c r="DQ52" s="56"/>
      <c r="DR52" s="56">
        <f>SUM(DR53:DR56)</f>
        <v>0</v>
      </c>
      <c r="DS52" s="56"/>
      <c r="DT52" s="56"/>
      <c r="DU52" s="611"/>
      <c r="DV52" s="56"/>
      <c r="DW52" s="56">
        <f>SUM(DW53:DW56)</f>
        <v>0</v>
      </c>
      <c r="DX52" s="56"/>
      <c r="DY52" s="56"/>
      <c r="DZ52" s="611"/>
      <c r="EA52" s="56"/>
      <c r="EB52" s="56">
        <f>SUM(EB53:EB56)</f>
        <v>0</v>
      </c>
      <c r="EC52" s="56"/>
      <c r="ED52" s="56"/>
      <c r="EE52" s="611"/>
      <c r="EF52" s="56"/>
      <c r="EG52" s="56">
        <f>SUM(EG53:EG56)</f>
        <v>0</v>
      </c>
      <c r="EH52" s="56"/>
      <c r="EI52" s="56"/>
      <c r="EJ52" s="611"/>
      <c r="EK52" s="56"/>
      <c r="EL52" s="56">
        <f>SUM(EL53:EL56)</f>
        <v>0</v>
      </c>
      <c r="EM52" s="56"/>
      <c r="EN52" s="56"/>
      <c r="EO52" s="144"/>
      <c r="ER52" s="42"/>
      <c r="ES52" s="42"/>
    </row>
    <row r="53" spans="4:149" ht="12.75" hidden="1" customHeight="1" x14ac:dyDescent="0.3">
      <c r="D53" s="144" t="s">
        <v>335</v>
      </c>
      <c r="E53" s="611"/>
      <c r="F53" s="500"/>
      <c r="G53" s="609">
        <v>0</v>
      </c>
      <c r="H53" s="610"/>
      <c r="I53" s="56"/>
      <c r="J53" s="611"/>
      <c r="K53" s="612"/>
      <c r="L53" s="609">
        <v>0</v>
      </c>
      <c r="M53" s="610"/>
      <c r="N53" s="56"/>
      <c r="O53" s="611"/>
      <c r="P53" s="612"/>
      <c r="Q53" s="609">
        <v>0</v>
      </c>
      <c r="R53" s="610"/>
      <c r="S53" s="56"/>
      <c r="T53" s="611"/>
      <c r="U53" s="612"/>
      <c r="V53" s="609">
        <v>0</v>
      </c>
      <c r="W53" s="610"/>
      <c r="X53" s="56"/>
      <c r="Y53" s="611"/>
      <c r="Z53" s="612"/>
      <c r="AA53" s="609">
        <v>0</v>
      </c>
      <c r="AB53" s="610"/>
      <c r="AC53" s="56"/>
      <c r="AD53" s="611"/>
      <c r="AE53" s="612"/>
      <c r="AF53" s="609">
        <v>0</v>
      </c>
      <c r="AG53" s="610"/>
      <c r="AH53" s="56"/>
      <c r="AI53" s="611"/>
      <c r="AJ53" s="612"/>
      <c r="AK53" s="609">
        <v>0</v>
      </c>
      <c r="AL53" s="610"/>
      <c r="AM53" s="56"/>
      <c r="AN53" s="611"/>
      <c r="AO53" s="612"/>
      <c r="AP53" s="609">
        <v>0</v>
      </c>
      <c r="AQ53" s="610"/>
      <c r="AR53" s="56"/>
      <c r="AS53" s="611"/>
      <c r="AT53" s="612"/>
      <c r="AU53" s="609">
        <v>0</v>
      </c>
      <c r="AV53" s="610"/>
      <c r="AW53" s="56"/>
      <c r="AX53" s="611"/>
      <c r="AY53" s="612"/>
      <c r="AZ53" s="609">
        <v>0</v>
      </c>
      <c r="BA53" s="610"/>
      <c r="BB53" s="56"/>
      <c r="BC53" s="611"/>
      <c r="BD53" s="612"/>
      <c r="BE53" s="609">
        <v>0</v>
      </c>
      <c r="BF53" s="610"/>
      <c r="BG53" s="56"/>
      <c r="BH53" s="611"/>
      <c r="BI53" s="612"/>
      <c r="BJ53" s="609">
        <v>0</v>
      </c>
      <c r="BK53" s="610"/>
      <c r="BL53" s="56"/>
      <c r="BM53" s="611"/>
      <c r="BN53" s="612"/>
      <c r="BO53" s="609">
        <v>0</v>
      </c>
      <c r="BP53" s="610"/>
      <c r="BQ53" s="56"/>
      <c r="BR53" s="611"/>
      <c r="BS53" s="612"/>
      <c r="BT53" s="609">
        <f>SUM(L53:BO53)</f>
        <v>0</v>
      </c>
      <c r="BU53" s="610"/>
      <c r="BV53" s="56"/>
      <c r="BW53" s="611"/>
      <c r="BX53" s="612"/>
      <c r="BY53" s="609">
        <v>0</v>
      </c>
      <c r="BZ53" s="610"/>
      <c r="CA53" s="56"/>
      <c r="CB53" s="611"/>
      <c r="CC53" s="612"/>
      <c r="CD53" s="609">
        <v>0</v>
      </c>
      <c r="CE53" s="610"/>
      <c r="CF53" s="56"/>
      <c r="CG53" s="611"/>
      <c r="CH53" s="612"/>
      <c r="CI53" s="609">
        <v>0</v>
      </c>
      <c r="CJ53" s="610"/>
      <c r="CK53" s="56"/>
      <c r="CL53" s="611"/>
      <c r="CM53" s="612"/>
      <c r="CN53" s="609">
        <v>0</v>
      </c>
      <c r="CO53" s="610"/>
      <c r="CP53" s="56"/>
      <c r="CQ53" s="611"/>
      <c r="CR53" s="612"/>
      <c r="CS53" s="609">
        <v>0</v>
      </c>
      <c r="CT53" s="610"/>
      <c r="CU53" s="56"/>
      <c r="CV53" s="611"/>
      <c r="CW53" s="612"/>
      <c r="CX53" s="609">
        <v>0</v>
      </c>
      <c r="CY53" s="610"/>
      <c r="CZ53" s="56"/>
      <c r="DA53" s="611"/>
      <c r="DB53" s="612"/>
      <c r="DC53" s="609">
        <v>0</v>
      </c>
      <c r="DD53" s="610"/>
      <c r="DE53" s="56"/>
      <c r="DF53" s="611"/>
      <c r="DG53" s="612"/>
      <c r="DH53" s="609">
        <v>0</v>
      </c>
      <c r="DI53" s="610"/>
      <c r="DJ53" s="56"/>
      <c r="DK53" s="611"/>
      <c r="DL53" s="612"/>
      <c r="DM53" s="609">
        <v>0</v>
      </c>
      <c r="DN53" s="610"/>
      <c r="DO53" s="56"/>
      <c r="DP53" s="611"/>
      <c r="DQ53" s="612"/>
      <c r="DR53" s="609">
        <v>0</v>
      </c>
      <c r="DS53" s="610"/>
      <c r="DT53" s="56"/>
      <c r="DU53" s="611"/>
      <c r="DV53" s="612"/>
      <c r="DW53" s="609">
        <v>0</v>
      </c>
      <c r="DX53" s="610"/>
      <c r="DY53" s="56"/>
      <c r="DZ53" s="611"/>
      <c r="EA53" s="612"/>
      <c r="EB53" s="609">
        <v>0</v>
      </c>
      <c r="EC53" s="610"/>
      <c r="ED53" s="56"/>
      <c r="EE53" s="611"/>
      <c r="EF53" s="612"/>
      <c r="EG53" s="609">
        <v>0</v>
      </c>
      <c r="EH53" s="610"/>
      <c r="EI53" s="56"/>
      <c r="EJ53" s="611"/>
      <c r="EK53" s="612"/>
      <c r="EL53" s="609">
        <f>SUM(CD53:CD53)</f>
        <v>0</v>
      </c>
      <c r="EM53" s="610"/>
      <c r="EN53" s="56"/>
      <c r="EO53" s="144"/>
      <c r="ER53" s="42"/>
      <c r="ES53" s="42"/>
    </row>
    <row r="54" spans="4:149" ht="12.75" hidden="1" customHeight="1" x14ac:dyDescent="0.3">
      <c r="D54" s="144" t="s">
        <v>338</v>
      </c>
      <c r="E54" s="611"/>
      <c r="F54" s="494"/>
      <c r="G54" s="56">
        <v>0</v>
      </c>
      <c r="H54" s="55"/>
      <c r="I54" s="56"/>
      <c r="J54" s="611"/>
      <c r="K54" s="611"/>
      <c r="L54" s="56">
        <v>0</v>
      </c>
      <c r="M54" s="55"/>
      <c r="N54" s="56"/>
      <c r="O54" s="611"/>
      <c r="P54" s="611"/>
      <c r="Q54" s="56">
        <v>0</v>
      </c>
      <c r="R54" s="55"/>
      <c r="S54" s="56"/>
      <c r="T54" s="611"/>
      <c r="U54" s="611"/>
      <c r="V54" s="56">
        <v>0</v>
      </c>
      <c r="W54" s="55"/>
      <c r="X54" s="56"/>
      <c r="Y54" s="611"/>
      <c r="Z54" s="611"/>
      <c r="AA54" s="56">
        <v>0</v>
      </c>
      <c r="AB54" s="55"/>
      <c r="AC54" s="56"/>
      <c r="AD54" s="611"/>
      <c r="AE54" s="611"/>
      <c r="AF54" s="56">
        <v>0</v>
      </c>
      <c r="AG54" s="55"/>
      <c r="AH54" s="56"/>
      <c r="AI54" s="611"/>
      <c r="AJ54" s="611"/>
      <c r="AK54" s="56">
        <v>0</v>
      </c>
      <c r="AL54" s="55"/>
      <c r="AM54" s="56"/>
      <c r="AN54" s="611"/>
      <c r="AO54" s="611"/>
      <c r="AP54" s="56">
        <v>0</v>
      </c>
      <c r="AQ54" s="55"/>
      <c r="AR54" s="56"/>
      <c r="AS54" s="611"/>
      <c r="AT54" s="611"/>
      <c r="AU54" s="56">
        <v>0</v>
      </c>
      <c r="AV54" s="55"/>
      <c r="AW54" s="56"/>
      <c r="AX54" s="611"/>
      <c r="AY54" s="611"/>
      <c r="AZ54" s="56">
        <v>0</v>
      </c>
      <c r="BA54" s="55"/>
      <c r="BB54" s="56"/>
      <c r="BC54" s="611"/>
      <c r="BD54" s="611"/>
      <c r="BE54" s="56">
        <v>0</v>
      </c>
      <c r="BF54" s="55"/>
      <c r="BG54" s="56"/>
      <c r="BH54" s="611"/>
      <c r="BI54" s="611"/>
      <c r="BJ54" s="56">
        <v>0</v>
      </c>
      <c r="BK54" s="55"/>
      <c r="BL54" s="56"/>
      <c r="BM54" s="611"/>
      <c r="BN54" s="611"/>
      <c r="BO54" s="56">
        <v>0</v>
      </c>
      <c r="BP54" s="55"/>
      <c r="BQ54" s="56"/>
      <c r="BR54" s="611"/>
      <c r="BS54" s="611"/>
      <c r="BT54" s="56">
        <f>SUM(L54:BO54)</f>
        <v>0</v>
      </c>
      <c r="BU54" s="55"/>
      <c r="BV54" s="56"/>
      <c r="BW54" s="611"/>
      <c r="BX54" s="611"/>
      <c r="BY54" s="56">
        <v>0</v>
      </c>
      <c r="BZ54" s="55"/>
      <c r="CA54" s="56"/>
      <c r="CB54" s="611"/>
      <c r="CC54" s="611"/>
      <c r="CD54" s="56">
        <v>0</v>
      </c>
      <c r="CE54" s="55"/>
      <c r="CF54" s="56"/>
      <c r="CG54" s="611"/>
      <c r="CH54" s="611"/>
      <c r="CI54" s="56">
        <v>0</v>
      </c>
      <c r="CJ54" s="55"/>
      <c r="CK54" s="56"/>
      <c r="CL54" s="611"/>
      <c r="CM54" s="611"/>
      <c r="CN54" s="56">
        <v>0</v>
      </c>
      <c r="CO54" s="55"/>
      <c r="CP54" s="56"/>
      <c r="CQ54" s="611"/>
      <c r="CR54" s="611"/>
      <c r="CS54" s="56">
        <v>0</v>
      </c>
      <c r="CT54" s="55"/>
      <c r="CU54" s="56"/>
      <c r="CV54" s="611"/>
      <c r="CW54" s="611"/>
      <c r="CX54" s="56">
        <v>0</v>
      </c>
      <c r="CY54" s="55"/>
      <c r="CZ54" s="56"/>
      <c r="DA54" s="611"/>
      <c r="DB54" s="611"/>
      <c r="DC54" s="56">
        <v>0</v>
      </c>
      <c r="DD54" s="55"/>
      <c r="DE54" s="56"/>
      <c r="DF54" s="611"/>
      <c r="DG54" s="611"/>
      <c r="DH54" s="56">
        <v>0</v>
      </c>
      <c r="DI54" s="55"/>
      <c r="DJ54" s="56"/>
      <c r="DK54" s="611"/>
      <c r="DL54" s="611"/>
      <c r="DM54" s="56">
        <v>0</v>
      </c>
      <c r="DN54" s="55"/>
      <c r="DO54" s="56"/>
      <c r="DP54" s="611"/>
      <c r="DQ54" s="611"/>
      <c r="DR54" s="56">
        <v>0</v>
      </c>
      <c r="DS54" s="55"/>
      <c r="DT54" s="56"/>
      <c r="DU54" s="611"/>
      <c r="DV54" s="611"/>
      <c r="DW54" s="56">
        <v>0</v>
      </c>
      <c r="DX54" s="55"/>
      <c r="DY54" s="56"/>
      <c r="DZ54" s="611"/>
      <c r="EA54" s="611"/>
      <c r="EB54" s="56">
        <v>0</v>
      </c>
      <c r="EC54" s="55"/>
      <c r="ED54" s="56"/>
      <c r="EE54" s="611"/>
      <c r="EF54" s="611"/>
      <c r="EG54" s="56">
        <v>0</v>
      </c>
      <c r="EH54" s="55"/>
      <c r="EI54" s="56"/>
      <c r="EJ54" s="611"/>
      <c r="EK54" s="611"/>
      <c r="EL54" s="56">
        <f>SUM(CD54:CD54)</f>
        <v>0</v>
      </c>
      <c r="EM54" s="55"/>
      <c r="EN54" s="56"/>
      <c r="EO54" s="144"/>
      <c r="ER54" s="42"/>
      <c r="ES54" s="42"/>
    </row>
    <row r="55" spans="4:149" ht="12.75" hidden="1" customHeight="1" x14ac:dyDescent="0.3">
      <c r="D55" s="144" t="s">
        <v>339</v>
      </c>
      <c r="E55" s="611"/>
      <c r="F55" s="494"/>
      <c r="G55" s="56">
        <v>0</v>
      </c>
      <c r="H55" s="55"/>
      <c r="I55" s="56"/>
      <c r="J55" s="611"/>
      <c r="K55" s="611"/>
      <c r="L55" s="56">
        <v>0</v>
      </c>
      <c r="M55" s="55"/>
      <c r="N55" s="56"/>
      <c r="O55" s="611"/>
      <c r="P55" s="611"/>
      <c r="Q55" s="56">
        <v>0</v>
      </c>
      <c r="R55" s="55"/>
      <c r="S55" s="56"/>
      <c r="T55" s="611"/>
      <c r="U55" s="611"/>
      <c r="V55" s="56">
        <v>0</v>
      </c>
      <c r="W55" s="55"/>
      <c r="X55" s="56"/>
      <c r="Y55" s="611"/>
      <c r="Z55" s="611"/>
      <c r="AA55" s="56">
        <v>0</v>
      </c>
      <c r="AB55" s="55"/>
      <c r="AC55" s="56"/>
      <c r="AD55" s="611"/>
      <c r="AE55" s="611"/>
      <c r="AF55" s="56">
        <v>0</v>
      </c>
      <c r="AG55" s="55"/>
      <c r="AH55" s="56"/>
      <c r="AI55" s="611"/>
      <c r="AJ55" s="611"/>
      <c r="AK55" s="56">
        <v>0</v>
      </c>
      <c r="AL55" s="55"/>
      <c r="AM55" s="56"/>
      <c r="AN55" s="611"/>
      <c r="AO55" s="611"/>
      <c r="AP55" s="56">
        <v>0</v>
      </c>
      <c r="AQ55" s="55"/>
      <c r="AR55" s="56"/>
      <c r="AS55" s="611"/>
      <c r="AT55" s="611"/>
      <c r="AU55" s="56">
        <v>0</v>
      </c>
      <c r="AV55" s="55"/>
      <c r="AW55" s="56"/>
      <c r="AX55" s="611"/>
      <c r="AY55" s="611"/>
      <c r="AZ55" s="56">
        <v>0</v>
      </c>
      <c r="BA55" s="55"/>
      <c r="BB55" s="56"/>
      <c r="BC55" s="611"/>
      <c r="BD55" s="611"/>
      <c r="BE55" s="56">
        <v>0</v>
      </c>
      <c r="BF55" s="55"/>
      <c r="BG55" s="56"/>
      <c r="BH55" s="611"/>
      <c r="BI55" s="611"/>
      <c r="BJ55" s="56">
        <v>0</v>
      </c>
      <c r="BK55" s="55"/>
      <c r="BL55" s="56"/>
      <c r="BM55" s="611"/>
      <c r="BN55" s="611"/>
      <c r="BO55" s="56">
        <v>0</v>
      </c>
      <c r="BP55" s="55"/>
      <c r="BQ55" s="56"/>
      <c r="BR55" s="611"/>
      <c r="BS55" s="611"/>
      <c r="BT55" s="56">
        <f>SUM(L55:BO55)</f>
        <v>0</v>
      </c>
      <c r="BU55" s="55"/>
      <c r="BV55" s="56"/>
      <c r="BW55" s="611"/>
      <c r="BX55" s="611"/>
      <c r="BY55" s="56">
        <v>0</v>
      </c>
      <c r="BZ55" s="55"/>
      <c r="CA55" s="56"/>
      <c r="CB55" s="611"/>
      <c r="CC55" s="611"/>
      <c r="CD55" s="56">
        <v>0</v>
      </c>
      <c r="CE55" s="55"/>
      <c r="CF55" s="56"/>
      <c r="CG55" s="611"/>
      <c r="CH55" s="611"/>
      <c r="CI55" s="56">
        <v>0</v>
      </c>
      <c r="CJ55" s="55"/>
      <c r="CK55" s="56"/>
      <c r="CL55" s="611"/>
      <c r="CM55" s="611"/>
      <c r="CN55" s="56">
        <v>0</v>
      </c>
      <c r="CO55" s="55"/>
      <c r="CP55" s="56"/>
      <c r="CQ55" s="611"/>
      <c r="CR55" s="611"/>
      <c r="CS55" s="56">
        <v>0</v>
      </c>
      <c r="CT55" s="55"/>
      <c r="CU55" s="56"/>
      <c r="CV55" s="611"/>
      <c r="CW55" s="611"/>
      <c r="CX55" s="56">
        <v>0</v>
      </c>
      <c r="CY55" s="55"/>
      <c r="CZ55" s="56"/>
      <c r="DA55" s="611"/>
      <c r="DB55" s="611"/>
      <c r="DC55" s="56">
        <v>0</v>
      </c>
      <c r="DD55" s="55"/>
      <c r="DE55" s="56"/>
      <c r="DF55" s="611"/>
      <c r="DG55" s="611"/>
      <c r="DH55" s="56">
        <v>0</v>
      </c>
      <c r="DI55" s="55"/>
      <c r="DJ55" s="56"/>
      <c r="DK55" s="611"/>
      <c r="DL55" s="611"/>
      <c r="DM55" s="56">
        <v>0</v>
      </c>
      <c r="DN55" s="55"/>
      <c r="DO55" s="56"/>
      <c r="DP55" s="611"/>
      <c r="DQ55" s="611"/>
      <c r="DR55" s="56">
        <v>0</v>
      </c>
      <c r="DS55" s="55"/>
      <c r="DT55" s="56"/>
      <c r="DU55" s="611"/>
      <c r="DV55" s="611"/>
      <c r="DW55" s="56">
        <v>0</v>
      </c>
      <c r="DX55" s="55"/>
      <c r="DY55" s="56"/>
      <c r="DZ55" s="611"/>
      <c r="EA55" s="611"/>
      <c r="EB55" s="56">
        <v>0</v>
      </c>
      <c r="EC55" s="55"/>
      <c r="ED55" s="56"/>
      <c r="EE55" s="611"/>
      <c r="EF55" s="611"/>
      <c r="EG55" s="56">
        <v>0</v>
      </c>
      <c r="EH55" s="55"/>
      <c r="EI55" s="56"/>
      <c r="EJ55" s="611"/>
      <c r="EK55" s="611"/>
      <c r="EL55" s="56">
        <f>SUM(CD55:CD55)</f>
        <v>0</v>
      </c>
      <c r="EM55" s="55"/>
      <c r="EN55" s="56"/>
      <c r="EO55" s="144"/>
      <c r="ER55" s="42"/>
      <c r="ES55" s="42"/>
    </row>
    <row r="56" spans="4:149" ht="12.75" hidden="1" customHeight="1" x14ac:dyDescent="0.3">
      <c r="D56" s="144" t="s">
        <v>340</v>
      </c>
      <c r="E56" s="611"/>
      <c r="F56" s="513"/>
      <c r="G56" s="117">
        <v>0</v>
      </c>
      <c r="H56" s="116"/>
      <c r="I56" s="56"/>
      <c r="J56" s="611"/>
      <c r="K56" s="620"/>
      <c r="L56" s="117">
        <v>0</v>
      </c>
      <c r="M56" s="116"/>
      <c r="N56" s="56"/>
      <c r="O56" s="611"/>
      <c r="P56" s="620"/>
      <c r="Q56" s="117">
        <v>0</v>
      </c>
      <c r="R56" s="116"/>
      <c r="S56" s="56"/>
      <c r="T56" s="611"/>
      <c r="U56" s="620"/>
      <c r="V56" s="117">
        <v>0</v>
      </c>
      <c r="W56" s="116"/>
      <c r="X56" s="56"/>
      <c r="Y56" s="611"/>
      <c r="Z56" s="620"/>
      <c r="AA56" s="117">
        <v>0</v>
      </c>
      <c r="AB56" s="116"/>
      <c r="AC56" s="56"/>
      <c r="AD56" s="611"/>
      <c r="AE56" s="620"/>
      <c r="AF56" s="117">
        <v>0</v>
      </c>
      <c r="AG56" s="116"/>
      <c r="AH56" s="56"/>
      <c r="AI56" s="611"/>
      <c r="AJ56" s="620"/>
      <c r="AK56" s="117">
        <v>0</v>
      </c>
      <c r="AL56" s="116"/>
      <c r="AM56" s="56"/>
      <c r="AN56" s="611"/>
      <c r="AO56" s="620"/>
      <c r="AP56" s="117">
        <v>0</v>
      </c>
      <c r="AQ56" s="116"/>
      <c r="AR56" s="56"/>
      <c r="AS56" s="611"/>
      <c r="AT56" s="620"/>
      <c r="AU56" s="117">
        <v>0</v>
      </c>
      <c r="AV56" s="116"/>
      <c r="AW56" s="56"/>
      <c r="AX56" s="611"/>
      <c r="AY56" s="620"/>
      <c r="AZ56" s="117">
        <v>0</v>
      </c>
      <c r="BA56" s="116"/>
      <c r="BB56" s="56"/>
      <c r="BC56" s="611"/>
      <c r="BD56" s="620"/>
      <c r="BE56" s="117">
        <v>0</v>
      </c>
      <c r="BF56" s="116"/>
      <c r="BG56" s="56"/>
      <c r="BH56" s="611"/>
      <c r="BI56" s="620"/>
      <c r="BJ56" s="117">
        <v>0</v>
      </c>
      <c r="BK56" s="116"/>
      <c r="BL56" s="56"/>
      <c r="BM56" s="611"/>
      <c r="BN56" s="620"/>
      <c r="BO56" s="117">
        <v>0</v>
      </c>
      <c r="BP56" s="116"/>
      <c r="BQ56" s="56"/>
      <c r="BR56" s="611"/>
      <c r="BS56" s="620"/>
      <c r="BT56" s="117">
        <f>SUM(L56:BO56)</f>
        <v>0</v>
      </c>
      <c r="BU56" s="116"/>
      <c r="BV56" s="56"/>
      <c r="BW56" s="611"/>
      <c r="BX56" s="620"/>
      <c r="BY56" s="117">
        <v>0</v>
      </c>
      <c r="BZ56" s="116"/>
      <c r="CA56" s="56"/>
      <c r="CB56" s="611"/>
      <c r="CC56" s="620"/>
      <c r="CD56" s="117">
        <v>0</v>
      </c>
      <c r="CE56" s="116"/>
      <c r="CF56" s="56"/>
      <c r="CG56" s="611"/>
      <c r="CH56" s="620"/>
      <c r="CI56" s="117">
        <v>0</v>
      </c>
      <c r="CJ56" s="116"/>
      <c r="CK56" s="56"/>
      <c r="CL56" s="611"/>
      <c r="CM56" s="620"/>
      <c r="CN56" s="117">
        <v>0</v>
      </c>
      <c r="CO56" s="116"/>
      <c r="CP56" s="56"/>
      <c r="CQ56" s="611"/>
      <c r="CR56" s="620"/>
      <c r="CS56" s="117">
        <v>0</v>
      </c>
      <c r="CT56" s="116"/>
      <c r="CU56" s="56"/>
      <c r="CV56" s="611"/>
      <c r="CW56" s="620"/>
      <c r="CX56" s="117">
        <v>0</v>
      </c>
      <c r="CY56" s="116"/>
      <c r="CZ56" s="56"/>
      <c r="DA56" s="611"/>
      <c r="DB56" s="620"/>
      <c r="DC56" s="117">
        <v>0</v>
      </c>
      <c r="DD56" s="116"/>
      <c r="DE56" s="56"/>
      <c r="DF56" s="611"/>
      <c r="DG56" s="620"/>
      <c r="DH56" s="117">
        <v>0</v>
      </c>
      <c r="DI56" s="116"/>
      <c r="DJ56" s="56"/>
      <c r="DK56" s="611"/>
      <c r="DL56" s="620"/>
      <c r="DM56" s="117">
        <v>0</v>
      </c>
      <c r="DN56" s="116"/>
      <c r="DO56" s="56"/>
      <c r="DP56" s="611"/>
      <c r="DQ56" s="620"/>
      <c r="DR56" s="117">
        <v>0</v>
      </c>
      <c r="DS56" s="116"/>
      <c r="DT56" s="56"/>
      <c r="DU56" s="611"/>
      <c r="DV56" s="620"/>
      <c r="DW56" s="117">
        <v>0</v>
      </c>
      <c r="DX56" s="116"/>
      <c r="DY56" s="56"/>
      <c r="DZ56" s="611"/>
      <c r="EA56" s="620"/>
      <c r="EB56" s="117">
        <v>0</v>
      </c>
      <c r="EC56" s="116"/>
      <c r="ED56" s="56"/>
      <c r="EE56" s="611"/>
      <c r="EF56" s="620"/>
      <c r="EG56" s="117">
        <v>0</v>
      </c>
      <c r="EH56" s="116"/>
      <c r="EI56" s="56"/>
      <c r="EJ56" s="611"/>
      <c r="EK56" s="620"/>
      <c r="EL56" s="117">
        <f>SUM(CD56:CD56)</f>
        <v>0</v>
      </c>
      <c r="EM56" s="116"/>
      <c r="EN56" s="56"/>
      <c r="EO56" s="144"/>
      <c r="ER56" s="42"/>
      <c r="ES56" s="42"/>
    </row>
    <row r="57" spans="4:149" ht="12.75" hidden="1" customHeight="1" x14ac:dyDescent="0.3">
      <c r="D57" s="144"/>
      <c r="E57" s="611"/>
      <c r="G57" s="56"/>
      <c r="H57" s="56"/>
      <c r="I57" s="56"/>
      <c r="J57" s="611"/>
      <c r="K57" s="56"/>
      <c r="L57" s="56"/>
      <c r="M57" s="56"/>
      <c r="N57" s="56"/>
      <c r="O57" s="611"/>
      <c r="P57" s="56"/>
      <c r="Q57" s="56"/>
      <c r="R57" s="56"/>
      <c r="S57" s="56"/>
      <c r="T57" s="611"/>
      <c r="U57" s="56"/>
      <c r="V57" s="56"/>
      <c r="W57" s="56"/>
      <c r="X57" s="56"/>
      <c r="Y57" s="611"/>
      <c r="Z57" s="56"/>
      <c r="AA57" s="56"/>
      <c r="AB57" s="56"/>
      <c r="AC57" s="56"/>
      <c r="AD57" s="611"/>
      <c r="AE57" s="56"/>
      <c r="AF57" s="56"/>
      <c r="AG57" s="56"/>
      <c r="AH57" s="56"/>
      <c r="AI57" s="611"/>
      <c r="AJ57" s="56"/>
      <c r="AK57" s="56"/>
      <c r="AL57" s="56"/>
      <c r="AM57" s="56"/>
      <c r="AN57" s="611"/>
      <c r="AO57" s="56"/>
      <c r="AP57" s="56"/>
      <c r="AQ57" s="56"/>
      <c r="AR57" s="56"/>
      <c r="AS57" s="611"/>
      <c r="AT57" s="56"/>
      <c r="AU57" s="56"/>
      <c r="AV57" s="56"/>
      <c r="AW57" s="56"/>
      <c r="AX57" s="611"/>
      <c r="AY57" s="56"/>
      <c r="AZ57" s="56"/>
      <c r="BA57" s="56"/>
      <c r="BB57" s="56"/>
      <c r="BC57" s="611"/>
      <c r="BD57" s="56"/>
      <c r="BE57" s="56"/>
      <c r="BF57" s="56"/>
      <c r="BG57" s="56"/>
      <c r="BH57" s="611"/>
      <c r="BI57" s="56"/>
      <c r="BJ57" s="56"/>
      <c r="BK57" s="56"/>
      <c r="BL57" s="56"/>
      <c r="BM57" s="611"/>
      <c r="BN57" s="56"/>
      <c r="BO57" s="56"/>
      <c r="BP57" s="56"/>
      <c r="BQ57" s="56"/>
      <c r="BR57" s="611"/>
      <c r="BS57" s="56"/>
      <c r="BT57" s="56"/>
      <c r="BU57" s="56"/>
      <c r="BV57" s="56"/>
      <c r="BW57" s="611"/>
      <c r="BX57" s="56"/>
      <c r="BY57" s="56"/>
      <c r="BZ57" s="56"/>
      <c r="CA57" s="56"/>
      <c r="CB57" s="611"/>
      <c r="CC57" s="56"/>
      <c r="CD57" s="56"/>
      <c r="CE57" s="56"/>
      <c r="CF57" s="56"/>
      <c r="CG57" s="611"/>
      <c r="CH57" s="56"/>
      <c r="CI57" s="56"/>
      <c r="CJ57" s="56"/>
      <c r="CK57" s="56"/>
      <c r="CL57" s="611"/>
      <c r="CM57" s="56"/>
      <c r="CN57" s="56"/>
      <c r="CO57" s="56"/>
      <c r="CP57" s="56"/>
      <c r="CQ57" s="611"/>
      <c r="CR57" s="56"/>
      <c r="CS57" s="56"/>
      <c r="CT57" s="56"/>
      <c r="CU57" s="56"/>
      <c r="CV57" s="611"/>
      <c r="CW57" s="56"/>
      <c r="CX57" s="56"/>
      <c r="CY57" s="56"/>
      <c r="CZ57" s="56"/>
      <c r="DA57" s="611"/>
      <c r="DB57" s="56"/>
      <c r="DC57" s="56"/>
      <c r="DD57" s="56"/>
      <c r="DE57" s="56"/>
      <c r="DF57" s="611"/>
      <c r="DG57" s="56"/>
      <c r="DH57" s="56"/>
      <c r="DI57" s="56"/>
      <c r="DJ57" s="56"/>
      <c r="DK57" s="611"/>
      <c r="DL57" s="56"/>
      <c r="DM57" s="56"/>
      <c r="DN57" s="56"/>
      <c r="DO57" s="56"/>
      <c r="DP57" s="611"/>
      <c r="DQ57" s="56"/>
      <c r="DR57" s="56"/>
      <c r="DS57" s="56"/>
      <c r="DT57" s="56"/>
      <c r="DU57" s="611"/>
      <c r="DV57" s="56"/>
      <c r="DW57" s="56"/>
      <c r="DX57" s="56"/>
      <c r="DY57" s="56"/>
      <c r="DZ57" s="611"/>
      <c r="EA57" s="56"/>
      <c r="EB57" s="56"/>
      <c r="EC57" s="56"/>
      <c r="ED57" s="56"/>
      <c r="EE57" s="611"/>
      <c r="EF57" s="56"/>
      <c r="EG57" s="56"/>
      <c r="EH57" s="56"/>
      <c r="EI57" s="56"/>
      <c r="EJ57" s="611"/>
      <c r="EK57" s="56"/>
      <c r="EL57" s="56"/>
      <c r="EM57" s="56"/>
      <c r="EN57" s="56"/>
      <c r="EO57" s="144"/>
      <c r="ER57" s="42"/>
      <c r="ES57" s="42"/>
    </row>
    <row r="58" spans="4:149" x14ac:dyDescent="0.3">
      <c r="D58" s="144" t="s">
        <v>346</v>
      </c>
      <c r="E58" s="611"/>
      <c r="G58" s="56">
        <f>SUM(G59:G62)</f>
        <v>0</v>
      </c>
      <c r="H58" s="56"/>
      <c r="I58" s="56"/>
      <c r="J58" s="611"/>
      <c r="K58" s="56"/>
      <c r="L58" s="56">
        <f>SUM(L59:L62)</f>
        <v>256135</v>
      </c>
      <c r="M58" s="56"/>
      <c r="N58" s="56"/>
      <c r="O58" s="611"/>
      <c r="P58" s="56"/>
      <c r="Q58" s="56">
        <f>SUM(Q59:Q62)</f>
        <v>772596</v>
      </c>
      <c r="R58" s="56"/>
      <c r="S58" s="56"/>
      <c r="T58" s="611"/>
      <c r="U58" s="56"/>
      <c r="V58" s="56">
        <f>SUM(V59:V62)</f>
        <v>1786049</v>
      </c>
      <c r="W58" s="56"/>
      <c r="X58" s="56"/>
      <c r="Y58" s="611"/>
      <c r="Z58" s="56"/>
      <c r="AA58" s="56">
        <f>SUM(AA59:AA62)</f>
        <v>351367</v>
      </c>
      <c r="AB58" s="56"/>
      <c r="AC58" s="56"/>
      <c r="AD58" s="611"/>
      <c r="AE58" s="56"/>
      <c r="AF58" s="56">
        <f>SUM(AF59:AF62)</f>
        <v>1602308</v>
      </c>
      <c r="AG58" s="56"/>
      <c r="AH58" s="56"/>
      <c r="AI58" s="611"/>
      <c r="AJ58" s="56"/>
      <c r="AK58" s="56">
        <f>SUM(AK59:AK62)</f>
        <v>1106653</v>
      </c>
      <c r="AL58" s="56"/>
      <c r="AM58" s="56"/>
      <c r="AN58" s="611"/>
      <c r="AO58" s="56"/>
      <c r="AP58" s="56">
        <f>SUM(AP59:AP62)</f>
        <v>320100</v>
      </c>
      <c r="AQ58" s="56"/>
      <c r="AR58" s="56"/>
      <c r="AS58" s="611"/>
      <c r="AT58" s="56"/>
      <c r="AU58" s="56">
        <f>SUM(AU59:AU62)</f>
        <v>118555</v>
      </c>
      <c r="AV58" s="56"/>
      <c r="AW58" s="56"/>
      <c r="AX58" s="611"/>
      <c r="AY58" s="56"/>
      <c r="AZ58" s="56">
        <f>SUM(AZ59:AZ62)</f>
        <v>279936</v>
      </c>
      <c r="BA58" s="56"/>
      <c r="BB58" s="56"/>
      <c r="BC58" s="611"/>
      <c r="BD58" s="56"/>
      <c r="BE58" s="56">
        <f>SUM(BE59:BE62)</f>
        <v>612462</v>
      </c>
      <c r="BF58" s="56"/>
      <c r="BG58" s="56"/>
      <c r="BH58" s="611"/>
      <c r="BI58" s="56"/>
      <c r="BJ58" s="56">
        <f>SUM(BJ59:BJ62)</f>
        <v>0</v>
      </c>
      <c r="BK58" s="56"/>
      <c r="BL58" s="56"/>
      <c r="BM58" s="611"/>
      <c r="BN58" s="56"/>
      <c r="BO58" s="56">
        <f>SUM(BO59:BO62)</f>
        <v>0</v>
      </c>
      <c r="BP58" s="56"/>
      <c r="BQ58" s="56"/>
      <c r="BR58" s="611"/>
      <c r="BS58" s="56"/>
      <c r="BT58" s="56">
        <f>SUM(BT59:BT62)</f>
        <v>7206161</v>
      </c>
      <c r="BU58" s="56"/>
      <c r="BV58" s="56"/>
      <c r="BW58" s="611"/>
      <c r="BX58" s="56"/>
      <c r="BY58" s="56">
        <f>SUM(BY59:BY62)</f>
        <v>14568929</v>
      </c>
      <c r="BZ58" s="56"/>
      <c r="CA58" s="56"/>
      <c r="CB58" s="611"/>
      <c r="CC58" s="56"/>
      <c r="CD58" s="56">
        <f>SUM(CD59:CD62)</f>
        <v>1036984</v>
      </c>
      <c r="CE58" s="56"/>
      <c r="CF58" s="56"/>
      <c r="CG58" s="611"/>
      <c r="CH58" s="56"/>
      <c r="CI58" s="56">
        <f>SUM(CI59:CI62)</f>
        <v>1271737</v>
      </c>
      <c r="CJ58" s="56"/>
      <c r="CK58" s="56"/>
      <c r="CL58" s="611"/>
      <c r="CM58" s="56"/>
      <c r="CN58" s="56">
        <f>SUM(CN59:CN62)</f>
        <v>3612872</v>
      </c>
      <c r="CO58" s="56"/>
      <c r="CP58" s="56"/>
      <c r="CQ58" s="611"/>
      <c r="CR58" s="56"/>
      <c r="CS58" s="56">
        <f>SUM(CS59:CS62)</f>
        <v>800426</v>
      </c>
      <c r="CT58" s="56"/>
      <c r="CU58" s="56"/>
      <c r="CV58" s="611"/>
      <c r="CW58" s="56"/>
      <c r="CX58" s="56">
        <f>SUM(CX59:CX62)</f>
        <v>2166657</v>
      </c>
      <c r="CY58" s="56"/>
      <c r="CZ58" s="56"/>
      <c r="DA58" s="611"/>
      <c r="DB58" s="56"/>
      <c r="DC58" s="56">
        <f>SUM(DC59:DC62)</f>
        <v>2176750</v>
      </c>
      <c r="DD58" s="56"/>
      <c r="DE58" s="56"/>
      <c r="DF58" s="611"/>
      <c r="DG58" s="56"/>
      <c r="DH58" s="56">
        <f>SUM(DH59:DH62)</f>
        <v>1417182</v>
      </c>
      <c r="DI58" s="56"/>
      <c r="DJ58" s="56"/>
      <c r="DK58" s="611"/>
      <c r="DL58" s="56"/>
      <c r="DM58" s="56">
        <f>SUM(DM59:DM62)</f>
        <v>479599</v>
      </c>
      <c r="DN58" s="56"/>
      <c r="DO58" s="56"/>
      <c r="DP58" s="611"/>
      <c r="DQ58" s="56"/>
      <c r="DR58" s="56">
        <f>SUM(DR59:DR62)</f>
        <v>0</v>
      </c>
      <c r="DS58" s="56"/>
      <c r="DT58" s="56"/>
      <c r="DU58" s="611"/>
      <c r="DV58" s="56"/>
      <c r="DW58" s="56">
        <f>SUM(DW59:DW62)</f>
        <v>1289328</v>
      </c>
      <c r="DX58" s="56"/>
      <c r="DY58" s="56"/>
      <c r="DZ58" s="611"/>
      <c r="EA58" s="56"/>
      <c r="EB58" s="56">
        <f>SUM(EB59:EB62)</f>
        <v>190016</v>
      </c>
      <c r="EC58" s="56"/>
      <c r="ED58" s="56"/>
      <c r="EE58" s="611"/>
      <c r="EF58" s="56"/>
      <c r="EG58" s="56">
        <f>SUM(EG59:EG62)</f>
        <v>127378</v>
      </c>
      <c r="EH58" s="56"/>
      <c r="EI58" s="56"/>
      <c r="EJ58" s="611"/>
      <c r="EK58" s="56"/>
      <c r="EL58" s="56">
        <f>SUM(EL59:EL62)</f>
        <v>14251535</v>
      </c>
      <c r="EM58" s="56"/>
      <c r="EN58" s="56"/>
      <c r="EO58" s="144"/>
      <c r="ER58" s="42"/>
      <c r="ES58" s="42"/>
    </row>
    <row r="59" spans="4:149" x14ac:dyDescent="0.3">
      <c r="D59" s="144" t="s">
        <v>335</v>
      </c>
      <c r="E59" s="611"/>
      <c r="F59" s="500"/>
      <c r="G59" s="609">
        <v>0</v>
      </c>
      <c r="H59" s="610"/>
      <c r="I59" s="56"/>
      <c r="J59" s="611"/>
      <c r="K59" s="612"/>
      <c r="L59" s="609">
        <f>160000-53377</f>
        <v>106623</v>
      </c>
      <c r="M59" s="610"/>
      <c r="N59" s="56"/>
      <c r="O59" s="611"/>
      <c r="P59" s="612"/>
      <c r="Q59" s="609">
        <f>480000-159614</f>
        <v>320386</v>
      </c>
      <c r="R59" s="610"/>
      <c r="S59" s="56"/>
      <c r="T59" s="611"/>
      <c r="U59" s="612"/>
      <c r="V59" s="609">
        <f>1100000-362869</f>
        <v>737131</v>
      </c>
      <c r="W59" s="610"/>
      <c r="X59" s="56"/>
      <c r="Y59" s="611"/>
      <c r="Z59" s="612"/>
      <c r="AA59" s="609">
        <f>215000-81728</f>
        <v>133272</v>
      </c>
      <c r="AB59" s="610"/>
      <c r="AC59" s="56"/>
      <c r="AD59" s="611"/>
      <c r="AE59" s="612"/>
      <c r="AF59" s="609">
        <f>975000-356162</f>
        <v>618838</v>
      </c>
      <c r="AG59" s="610"/>
      <c r="AH59" s="56"/>
      <c r="AI59" s="611"/>
      <c r="AJ59" s="612"/>
      <c r="AK59" s="609">
        <f>665000-262756</f>
        <v>402244</v>
      </c>
      <c r="AL59" s="610"/>
      <c r="AM59" s="56"/>
      <c r="AN59" s="611"/>
      <c r="AO59" s="612"/>
      <c r="AP59" s="609">
        <f>190000-85210</f>
        <v>104790</v>
      </c>
      <c r="AQ59" s="610"/>
      <c r="AR59" s="56"/>
      <c r="AS59" s="611"/>
      <c r="AT59" s="612"/>
      <c r="AU59" s="609">
        <f>70000-31068</f>
        <v>38932</v>
      </c>
      <c r="AV59" s="610"/>
      <c r="AW59" s="56"/>
      <c r="AX59" s="611"/>
      <c r="AY59" s="612"/>
      <c r="AZ59" s="609">
        <f>165000-78571</f>
        <v>86429</v>
      </c>
      <c r="BA59" s="610"/>
      <c r="BB59" s="56"/>
      <c r="BC59" s="611"/>
      <c r="BD59" s="612"/>
      <c r="BE59" s="609">
        <f>360000-147333</f>
        <v>212667</v>
      </c>
      <c r="BF59" s="610"/>
      <c r="BG59" s="56"/>
      <c r="BH59" s="611"/>
      <c r="BI59" s="612"/>
      <c r="BJ59" s="609">
        <v>0</v>
      </c>
      <c r="BK59" s="610"/>
      <c r="BL59" s="56"/>
      <c r="BM59" s="611"/>
      <c r="BN59" s="612"/>
      <c r="BO59" s="609">
        <v>0</v>
      </c>
      <c r="BP59" s="610"/>
      <c r="BQ59" s="56"/>
      <c r="BR59" s="611"/>
      <c r="BS59" s="612"/>
      <c r="BT59" s="609">
        <f>SUM(L59:BO59)</f>
        <v>2761312</v>
      </c>
      <c r="BU59" s="610"/>
      <c r="BV59" s="56"/>
      <c r="BW59" s="611"/>
      <c r="BX59" s="612"/>
      <c r="BY59" s="609">
        <v>6158974</v>
      </c>
      <c r="BZ59" s="610"/>
      <c r="CA59" s="56"/>
      <c r="CB59" s="611"/>
      <c r="CC59" s="612"/>
      <c r="CD59" s="609">
        <f>685000-240896</f>
        <v>444104</v>
      </c>
      <c r="CE59" s="610"/>
      <c r="CF59" s="56"/>
      <c r="CG59" s="611"/>
      <c r="CH59" s="612"/>
      <c r="CI59" s="609">
        <f>835000-288954</f>
        <v>546046</v>
      </c>
      <c r="CJ59" s="610"/>
      <c r="CK59" s="56"/>
      <c r="CL59" s="611"/>
      <c r="CM59" s="612"/>
      <c r="CN59" s="609">
        <f>2360000-772691</f>
        <v>1587309</v>
      </c>
      <c r="CO59" s="610"/>
      <c r="CP59" s="56"/>
      <c r="CQ59" s="611"/>
      <c r="CR59" s="612"/>
      <c r="CS59" s="609">
        <f>520000-188084</f>
        <v>331916</v>
      </c>
      <c r="CT59" s="610"/>
      <c r="CU59" s="56"/>
      <c r="CV59" s="611"/>
      <c r="CW59" s="612"/>
      <c r="CX59" s="609">
        <f>1400000-518207</f>
        <v>881793</v>
      </c>
      <c r="CY59" s="610"/>
      <c r="CZ59" s="56"/>
      <c r="DA59" s="611"/>
      <c r="DB59" s="612"/>
      <c r="DC59" s="609">
        <f>1405000-503151</f>
        <v>901849</v>
      </c>
      <c r="DD59" s="610"/>
      <c r="DE59" s="56"/>
      <c r="DF59" s="611"/>
      <c r="DG59" s="612"/>
      <c r="DH59" s="609">
        <f>910000-326988</f>
        <v>583012</v>
      </c>
      <c r="DI59" s="610"/>
      <c r="DJ59" s="56"/>
      <c r="DK59" s="611"/>
      <c r="DL59" s="612"/>
      <c r="DM59" s="609">
        <f>305000-101884</f>
        <v>203116</v>
      </c>
      <c r="DN59" s="610"/>
      <c r="DO59" s="56"/>
      <c r="DP59" s="611"/>
      <c r="DQ59" s="612"/>
      <c r="DR59" s="609">
        <v>0</v>
      </c>
      <c r="DS59" s="610"/>
      <c r="DT59" s="56"/>
      <c r="DU59" s="611"/>
      <c r="DV59" s="612"/>
      <c r="DW59" s="609">
        <f>815000-271565</f>
        <v>543435</v>
      </c>
      <c r="DX59" s="610"/>
      <c r="DY59" s="56"/>
      <c r="DZ59" s="611"/>
      <c r="EA59" s="612"/>
      <c r="EB59" s="609">
        <f>120000-39398</f>
        <v>80602</v>
      </c>
      <c r="EC59" s="610"/>
      <c r="ED59" s="56"/>
      <c r="EE59" s="611"/>
      <c r="EF59" s="612"/>
      <c r="EG59" s="609">
        <f>80000-24208</f>
        <v>55792</v>
      </c>
      <c r="EH59" s="610"/>
      <c r="EI59" s="56"/>
      <c r="EJ59" s="611"/>
      <c r="EK59" s="612"/>
      <c r="EL59" s="609">
        <f t="shared" ref="EL59:EL62" si="4">SUM(CD59:DW59)</f>
        <v>6022580</v>
      </c>
      <c r="EM59" s="610"/>
      <c r="EN59" s="56"/>
      <c r="EO59" s="144"/>
      <c r="ER59" s="42"/>
      <c r="ES59" s="42"/>
    </row>
    <row r="60" spans="4:149" x14ac:dyDescent="0.3">
      <c r="D60" s="144" t="s">
        <v>338</v>
      </c>
      <c r="E60" s="611"/>
      <c r="F60" s="494"/>
      <c r="G60" s="56">
        <v>0</v>
      </c>
      <c r="H60" s="55"/>
      <c r="I60" s="56"/>
      <c r="J60" s="611"/>
      <c r="K60" s="611"/>
      <c r="L60" s="56">
        <v>53377</v>
      </c>
      <c r="M60" s="55"/>
      <c r="N60" s="56"/>
      <c r="O60" s="611"/>
      <c r="P60" s="611"/>
      <c r="Q60" s="56">
        <v>159614</v>
      </c>
      <c r="R60" s="55"/>
      <c r="S60" s="56"/>
      <c r="T60" s="611"/>
      <c r="U60" s="611"/>
      <c r="V60" s="56">
        <v>362869</v>
      </c>
      <c r="W60" s="55"/>
      <c r="X60" s="56"/>
      <c r="Y60" s="611"/>
      <c r="Z60" s="611"/>
      <c r="AA60" s="56">
        <v>81728</v>
      </c>
      <c r="AB60" s="55"/>
      <c r="AC60" s="56"/>
      <c r="AD60" s="611"/>
      <c r="AE60" s="611"/>
      <c r="AF60" s="56">
        <v>356162</v>
      </c>
      <c r="AG60" s="55"/>
      <c r="AH60" s="56"/>
      <c r="AI60" s="611"/>
      <c r="AJ60" s="611"/>
      <c r="AK60" s="56">
        <v>262756</v>
      </c>
      <c r="AL60" s="55"/>
      <c r="AM60" s="56"/>
      <c r="AN60" s="611"/>
      <c r="AO60" s="611"/>
      <c r="AP60" s="56">
        <v>85210</v>
      </c>
      <c r="AQ60" s="55"/>
      <c r="AR60" s="56"/>
      <c r="AS60" s="611"/>
      <c r="AT60" s="611"/>
      <c r="AU60" s="56">
        <v>31068</v>
      </c>
      <c r="AV60" s="55"/>
      <c r="AW60" s="56"/>
      <c r="AX60" s="611"/>
      <c r="AY60" s="611"/>
      <c r="AZ60" s="56">
        <v>78571</v>
      </c>
      <c r="BA60" s="55"/>
      <c r="BB60" s="56"/>
      <c r="BC60" s="611"/>
      <c r="BD60" s="611"/>
      <c r="BE60" s="56">
        <v>147333</v>
      </c>
      <c r="BF60" s="55"/>
      <c r="BG60" s="56"/>
      <c r="BH60" s="611"/>
      <c r="BI60" s="611"/>
      <c r="BJ60" s="56">
        <v>0</v>
      </c>
      <c r="BK60" s="55"/>
      <c r="BL60" s="56"/>
      <c r="BM60" s="611"/>
      <c r="BN60" s="611"/>
      <c r="BO60" s="56">
        <v>0</v>
      </c>
      <c r="BP60" s="55"/>
      <c r="BQ60" s="56"/>
      <c r="BR60" s="611"/>
      <c r="BS60" s="611"/>
      <c r="BT60" s="56">
        <f>SUM(L60:BO60)</f>
        <v>1618688</v>
      </c>
      <c r="BU60" s="55"/>
      <c r="BV60" s="56"/>
      <c r="BW60" s="611"/>
      <c r="BX60" s="611"/>
      <c r="BY60" s="56">
        <v>3276026</v>
      </c>
      <c r="BZ60" s="55"/>
      <c r="CA60" s="56"/>
      <c r="CB60" s="611"/>
      <c r="CC60" s="611"/>
      <c r="CD60" s="56">
        <v>240896</v>
      </c>
      <c r="CE60" s="55"/>
      <c r="CF60" s="56"/>
      <c r="CG60" s="611"/>
      <c r="CH60" s="611"/>
      <c r="CI60" s="56">
        <v>288954</v>
      </c>
      <c r="CJ60" s="55"/>
      <c r="CK60" s="56"/>
      <c r="CL60" s="611"/>
      <c r="CM60" s="611"/>
      <c r="CN60" s="56">
        <v>772691</v>
      </c>
      <c r="CO60" s="55"/>
      <c r="CP60" s="56"/>
      <c r="CQ60" s="611"/>
      <c r="CR60" s="611"/>
      <c r="CS60" s="56">
        <v>188084</v>
      </c>
      <c r="CT60" s="55"/>
      <c r="CU60" s="56"/>
      <c r="CV60" s="611"/>
      <c r="CW60" s="611"/>
      <c r="CX60" s="56">
        <v>518207</v>
      </c>
      <c r="CY60" s="55"/>
      <c r="CZ60" s="56"/>
      <c r="DA60" s="611"/>
      <c r="DB60" s="611"/>
      <c r="DC60" s="56">
        <v>503151</v>
      </c>
      <c r="DD60" s="55"/>
      <c r="DE60" s="56"/>
      <c r="DF60" s="611"/>
      <c r="DG60" s="611"/>
      <c r="DH60" s="56">
        <v>326988</v>
      </c>
      <c r="DI60" s="55"/>
      <c r="DJ60" s="56"/>
      <c r="DK60" s="611"/>
      <c r="DL60" s="611"/>
      <c r="DM60" s="56">
        <v>101884</v>
      </c>
      <c r="DN60" s="55"/>
      <c r="DO60" s="56"/>
      <c r="DP60" s="611"/>
      <c r="DQ60" s="611"/>
      <c r="DR60" s="56">
        <v>0</v>
      </c>
      <c r="DS60" s="55"/>
      <c r="DT60" s="56"/>
      <c r="DU60" s="611"/>
      <c r="DV60" s="611"/>
      <c r="DW60" s="56">
        <v>271565</v>
      </c>
      <c r="DX60" s="55"/>
      <c r="DY60" s="56"/>
      <c r="DZ60" s="611"/>
      <c r="EA60" s="611"/>
      <c r="EB60" s="56">
        <v>39398</v>
      </c>
      <c r="EC60" s="55"/>
      <c r="ED60" s="56"/>
      <c r="EE60" s="611"/>
      <c r="EF60" s="611"/>
      <c r="EG60" s="56">
        <v>24208</v>
      </c>
      <c r="EH60" s="55"/>
      <c r="EI60" s="56"/>
      <c r="EJ60" s="611"/>
      <c r="EK60" s="611"/>
      <c r="EL60" s="56">
        <f t="shared" si="4"/>
        <v>3212420</v>
      </c>
      <c r="EM60" s="55"/>
      <c r="EN60" s="56"/>
      <c r="EO60" s="144"/>
      <c r="ER60" s="42"/>
      <c r="ES60" s="42"/>
    </row>
    <row r="61" spans="4:149" x14ac:dyDescent="0.3">
      <c r="D61" s="144" t="s">
        <v>339</v>
      </c>
      <c r="E61" s="611"/>
      <c r="F61" s="494"/>
      <c r="G61" s="56">
        <v>0</v>
      </c>
      <c r="H61" s="55"/>
      <c r="I61" s="56"/>
      <c r="J61" s="611"/>
      <c r="K61" s="611"/>
      <c r="L61" s="56">
        <v>0</v>
      </c>
      <c r="M61" s="55"/>
      <c r="N61" s="56"/>
      <c r="O61" s="611"/>
      <c r="P61" s="611"/>
      <c r="Q61" s="56">
        <v>0</v>
      </c>
      <c r="R61" s="55"/>
      <c r="S61" s="56"/>
      <c r="T61" s="611"/>
      <c r="U61" s="611"/>
      <c r="V61" s="56">
        <v>0</v>
      </c>
      <c r="W61" s="55"/>
      <c r="X61" s="56"/>
      <c r="Y61" s="611"/>
      <c r="Z61" s="611"/>
      <c r="AA61" s="56">
        <v>0</v>
      </c>
      <c r="AB61" s="55"/>
      <c r="AC61" s="56"/>
      <c r="AD61" s="611"/>
      <c r="AE61" s="611"/>
      <c r="AF61" s="56">
        <v>0</v>
      </c>
      <c r="AG61" s="55"/>
      <c r="AH61" s="56"/>
      <c r="AI61" s="611"/>
      <c r="AJ61" s="611"/>
      <c r="AK61" s="56">
        <v>0</v>
      </c>
      <c r="AL61" s="55"/>
      <c r="AM61" s="56"/>
      <c r="AN61" s="611"/>
      <c r="AO61" s="611"/>
      <c r="AP61" s="56">
        <v>0</v>
      </c>
      <c r="AQ61" s="55"/>
      <c r="AR61" s="56"/>
      <c r="AS61" s="611"/>
      <c r="AT61" s="611"/>
      <c r="AU61" s="56">
        <v>0</v>
      </c>
      <c r="AV61" s="55"/>
      <c r="AW61" s="56"/>
      <c r="AX61" s="611"/>
      <c r="AY61" s="611"/>
      <c r="AZ61" s="56">
        <v>0</v>
      </c>
      <c r="BA61" s="55"/>
      <c r="BB61" s="56"/>
      <c r="BC61" s="611"/>
      <c r="BD61" s="611"/>
      <c r="BE61" s="56">
        <v>0</v>
      </c>
      <c r="BF61" s="55"/>
      <c r="BG61" s="56"/>
      <c r="BH61" s="611"/>
      <c r="BI61" s="611"/>
      <c r="BJ61" s="56">
        <v>0</v>
      </c>
      <c r="BK61" s="55"/>
      <c r="BL61" s="56"/>
      <c r="BM61" s="611"/>
      <c r="BN61" s="611"/>
      <c r="BO61" s="56">
        <v>0</v>
      </c>
      <c r="BP61" s="55"/>
      <c r="BQ61" s="56"/>
      <c r="BR61" s="611"/>
      <c r="BS61" s="611"/>
      <c r="BT61" s="56">
        <f>SUM(L61:BO61)</f>
        <v>0</v>
      </c>
      <c r="BU61" s="55"/>
      <c r="BV61" s="56"/>
      <c r="BW61" s="611"/>
      <c r="BX61" s="611"/>
      <c r="BY61" s="56">
        <v>0</v>
      </c>
      <c r="BZ61" s="55"/>
      <c r="CA61" s="56"/>
      <c r="CB61" s="611"/>
      <c r="CC61" s="611"/>
      <c r="CD61" s="56">
        <v>0</v>
      </c>
      <c r="CE61" s="55"/>
      <c r="CF61" s="56"/>
      <c r="CG61" s="611"/>
      <c r="CH61" s="611"/>
      <c r="CI61" s="56">
        <v>0</v>
      </c>
      <c r="CJ61" s="55"/>
      <c r="CK61" s="56"/>
      <c r="CL61" s="611"/>
      <c r="CM61" s="611"/>
      <c r="CN61" s="56">
        <v>0</v>
      </c>
      <c r="CO61" s="55"/>
      <c r="CP61" s="56"/>
      <c r="CQ61" s="611"/>
      <c r="CR61" s="611"/>
      <c r="CS61" s="56">
        <v>0</v>
      </c>
      <c r="CT61" s="55"/>
      <c r="CU61" s="56"/>
      <c r="CV61" s="611"/>
      <c r="CW61" s="611"/>
      <c r="CX61" s="56">
        <v>0</v>
      </c>
      <c r="CY61" s="55"/>
      <c r="CZ61" s="56"/>
      <c r="DA61" s="611"/>
      <c r="DB61" s="611"/>
      <c r="DC61" s="56">
        <v>0</v>
      </c>
      <c r="DD61" s="55"/>
      <c r="DE61" s="56"/>
      <c r="DF61" s="611"/>
      <c r="DG61" s="611"/>
      <c r="DH61" s="56">
        <v>0</v>
      </c>
      <c r="DI61" s="55"/>
      <c r="DJ61" s="56"/>
      <c r="DK61" s="611"/>
      <c r="DL61" s="611"/>
      <c r="DM61" s="56">
        <v>0</v>
      </c>
      <c r="DN61" s="55"/>
      <c r="DO61" s="56"/>
      <c r="DP61" s="611"/>
      <c r="DQ61" s="611"/>
      <c r="DR61" s="56">
        <v>0</v>
      </c>
      <c r="DS61" s="55"/>
      <c r="DT61" s="56"/>
      <c r="DU61" s="611"/>
      <c r="DV61" s="611"/>
      <c r="DW61" s="56">
        <v>0</v>
      </c>
      <c r="DX61" s="55"/>
      <c r="DY61" s="56"/>
      <c r="DZ61" s="611"/>
      <c r="EA61" s="611"/>
      <c r="EB61" s="56">
        <v>0</v>
      </c>
      <c r="EC61" s="55"/>
      <c r="ED61" s="56"/>
      <c r="EE61" s="611"/>
      <c r="EF61" s="611"/>
      <c r="EG61" s="56">
        <v>0</v>
      </c>
      <c r="EH61" s="55"/>
      <c r="EI61" s="56"/>
      <c r="EJ61" s="611"/>
      <c r="EK61" s="611"/>
      <c r="EL61" s="56">
        <f t="shared" si="4"/>
        <v>0</v>
      </c>
      <c r="EM61" s="55"/>
      <c r="EN61" s="56"/>
      <c r="EO61" s="144"/>
      <c r="ER61" s="42"/>
      <c r="ES61" s="42"/>
    </row>
    <row r="62" spans="4:149" x14ac:dyDescent="0.3">
      <c r="D62" s="144" t="s">
        <v>340</v>
      </c>
      <c r="E62" s="611"/>
      <c r="F62" s="513"/>
      <c r="G62" s="117">
        <v>0</v>
      </c>
      <c r="H62" s="116"/>
      <c r="I62" s="56"/>
      <c r="J62" s="611"/>
      <c r="K62" s="620"/>
      <c r="L62" s="117">
        <v>96135</v>
      </c>
      <c r="M62" s="116"/>
      <c r="N62" s="56"/>
      <c r="O62" s="611"/>
      <c r="P62" s="620"/>
      <c r="Q62" s="117">
        <v>292596</v>
      </c>
      <c r="R62" s="116"/>
      <c r="S62" s="56"/>
      <c r="T62" s="611"/>
      <c r="U62" s="620"/>
      <c r="V62" s="117">
        <v>686049</v>
      </c>
      <c r="W62" s="116"/>
      <c r="X62" s="56"/>
      <c r="Y62" s="611"/>
      <c r="Z62" s="620"/>
      <c r="AA62" s="117">
        <v>136367</v>
      </c>
      <c r="AB62" s="116"/>
      <c r="AC62" s="56"/>
      <c r="AD62" s="611"/>
      <c r="AE62" s="620"/>
      <c r="AF62" s="117">
        <v>627308</v>
      </c>
      <c r="AG62" s="116"/>
      <c r="AH62" s="56"/>
      <c r="AI62" s="611"/>
      <c r="AJ62" s="620"/>
      <c r="AK62" s="117">
        <v>441653</v>
      </c>
      <c r="AL62" s="116"/>
      <c r="AM62" s="56"/>
      <c r="AN62" s="611"/>
      <c r="AO62" s="620"/>
      <c r="AP62" s="117">
        <v>130100</v>
      </c>
      <c r="AQ62" s="116"/>
      <c r="AR62" s="56"/>
      <c r="AS62" s="611"/>
      <c r="AT62" s="620"/>
      <c r="AU62" s="117">
        <v>48555</v>
      </c>
      <c r="AV62" s="116"/>
      <c r="AW62" s="56"/>
      <c r="AX62" s="611"/>
      <c r="AY62" s="620"/>
      <c r="AZ62" s="117">
        <v>114936</v>
      </c>
      <c r="BA62" s="116"/>
      <c r="BB62" s="56"/>
      <c r="BC62" s="611"/>
      <c r="BD62" s="620"/>
      <c r="BE62" s="117">
        <v>252462</v>
      </c>
      <c r="BF62" s="116"/>
      <c r="BG62" s="56"/>
      <c r="BH62" s="611"/>
      <c r="BI62" s="620"/>
      <c r="BJ62" s="117">
        <v>0</v>
      </c>
      <c r="BK62" s="116"/>
      <c r="BL62" s="56"/>
      <c r="BM62" s="611"/>
      <c r="BN62" s="620"/>
      <c r="BO62" s="117">
        <v>0</v>
      </c>
      <c r="BP62" s="116"/>
      <c r="BQ62" s="56"/>
      <c r="BR62" s="611"/>
      <c r="BS62" s="620"/>
      <c r="BT62" s="117">
        <f>SUM(L62:BO62)</f>
        <v>2826161</v>
      </c>
      <c r="BU62" s="116"/>
      <c r="BV62" s="56"/>
      <c r="BW62" s="611"/>
      <c r="BX62" s="620"/>
      <c r="BY62" s="117">
        <v>5133929</v>
      </c>
      <c r="BZ62" s="116"/>
      <c r="CA62" s="56"/>
      <c r="CB62" s="611"/>
      <c r="CC62" s="620"/>
      <c r="CD62" s="117">
        <v>351984</v>
      </c>
      <c r="CE62" s="116"/>
      <c r="CF62" s="56"/>
      <c r="CG62" s="611"/>
      <c r="CH62" s="620"/>
      <c r="CI62" s="117">
        <v>436737</v>
      </c>
      <c r="CJ62" s="116"/>
      <c r="CK62" s="56"/>
      <c r="CL62" s="611"/>
      <c r="CM62" s="620"/>
      <c r="CN62" s="117">
        <v>1252872</v>
      </c>
      <c r="CO62" s="116"/>
      <c r="CP62" s="56"/>
      <c r="CQ62" s="611"/>
      <c r="CR62" s="620"/>
      <c r="CS62" s="117">
        <v>280426</v>
      </c>
      <c r="CT62" s="116"/>
      <c r="CU62" s="56"/>
      <c r="CV62" s="611"/>
      <c r="CW62" s="620"/>
      <c r="CX62" s="117">
        <v>766657</v>
      </c>
      <c r="CY62" s="116"/>
      <c r="CZ62" s="56"/>
      <c r="DA62" s="611"/>
      <c r="DB62" s="620"/>
      <c r="DC62" s="117">
        <v>771750</v>
      </c>
      <c r="DD62" s="116"/>
      <c r="DE62" s="56"/>
      <c r="DF62" s="611"/>
      <c r="DG62" s="620"/>
      <c r="DH62" s="117">
        <v>507182</v>
      </c>
      <c r="DI62" s="116"/>
      <c r="DJ62" s="56"/>
      <c r="DK62" s="611"/>
      <c r="DL62" s="620"/>
      <c r="DM62" s="117">
        <v>174599</v>
      </c>
      <c r="DN62" s="116"/>
      <c r="DO62" s="56"/>
      <c r="DP62" s="611"/>
      <c r="DQ62" s="620"/>
      <c r="DR62" s="117">
        <v>0</v>
      </c>
      <c r="DS62" s="116"/>
      <c r="DT62" s="56"/>
      <c r="DU62" s="611"/>
      <c r="DV62" s="620"/>
      <c r="DW62" s="117">
        <v>474328</v>
      </c>
      <c r="DX62" s="116"/>
      <c r="DY62" s="56"/>
      <c r="DZ62" s="611"/>
      <c r="EA62" s="620"/>
      <c r="EB62" s="117">
        <v>70016</v>
      </c>
      <c r="EC62" s="116"/>
      <c r="ED62" s="56"/>
      <c r="EE62" s="611"/>
      <c r="EF62" s="620"/>
      <c r="EG62" s="117">
        <v>47378</v>
      </c>
      <c r="EH62" s="116"/>
      <c r="EI62" s="56"/>
      <c r="EJ62" s="611"/>
      <c r="EK62" s="620"/>
      <c r="EL62" s="117">
        <f t="shared" si="4"/>
        <v>5016535</v>
      </c>
      <c r="EM62" s="116"/>
      <c r="EN62" s="56"/>
      <c r="EO62" s="144"/>
      <c r="ER62" s="42"/>
      <c r="ES62" s="42"/>
    </row>
    <row r="63" spans="4:149" x14ac:dyDescent="0.3">
      <c r="D63" s="144"/>
      <c r="E63" s="611"/>
      <c r="G63" s="56"/>
      <c r="H63" s="56"/>
      <c r="I63" s="56"/>
      <c r="J63" s="611"/>
      <c r="K63" s="56"/>
      <c r="L63" s="56"/>
      <c r="M63" s="56"/>
      <c r="N63" s="56"/>
      <c r="O63" s="611"/>
      <c r="P63" s="56"/>
      <c r="Q63" s="56"/>
      <c r="R63" s="56"/>
      <c r="S63" s="56"/>
      <c r="T63" s="611"/>
      <c r="U63" s="56"/>
      <c r="V63" s="56"/>
      <c r="W63" s="56"/>
      <c r="X63" s="56"/>
      <c r="Y63" s="611"/>
      <c r="Z63" s="56"/>
      <c r="AA63" s="56"/>
      <c r="AB63" s="56"/>
      <c r="AC63" s="56"/>
      <c r="AD63" s="611"/>
      <c r="AE63" s="56"/>
      <c r="AF63" s="56"/>
      <c r="AG63" s="56"/>
      <c r="AH63" s="56"/>
      <c r="AI63" s="611"/>
      <c r="AJ63" s="56"/>
      <c r="AK63" s="56"/>
      <c r="AL63" s="56"/>
      <c r="AM63" s="56"/>
      <c r="AN63" s="611"/>
      <c r="AO63" s="56"/>
      <c r="AP63" s="56"/>
      <c r="AQ63" s="56"/>
      <c r="AR63" s="56"/>
      <c r="AS63" s="611"/>
      <c r="AT63" s="56"/>
      <c r="AU63" s="56"/>
      <c r="AV63" s="56"/>
      <c r="AW63" s="56"/>
      <c r="AX63" s="611"/>
      <c r="AY63" s="56"/>
      <c r="AZ63" s="56"/>
      <c r="BA63" s="56"/>
      <c r="BB63" s="56"/>
      <c r="BC63" s="611"/>
      <c r="BD63" s="56"/>
      <c r="BE63" s="56"/>
      <c r="BF63" s="56"/>
      <c r="BG63" s="56"/>
      <c r="BH63" s="611"/>
      <c r="BI63" s="56"/>
      <c r="BJ63" s="56"/>
      <c r="BK63" s="56"/>
      <c r="BL63" s="56"/>
      <c r="BM63" s="611"/>
      <c r="BN63" s="56"/>
      <c r="BO63" s="56"/>
      <c r="BP63" s="56"/>
      <c r="BQ63" s="56"/>
      <c r="BR63" s="611"/>
      <c r="BS63" s="56"/>
      <c r="BT63" s="56"/>
      <c r="BU63" s="56"/>
      <c r="BV63" s="56"/>
      <c r="BW63" s="611"/>
      <c r="BX63" s="56"/>
      <c r="BY63" s="56"/>
      <c r="BZ63" s="56"/>
      <c r="CA63" s="56"/>
      <c r="CB63" s="611"/>
      <c r="CC63" s="56"/>
      <c r="CD63" s="56"/>
      <c r="CE63" s="56"/>
      <c r="CF63" s="56"/>
      <c r="CG63" s="611"/>
      <c r="CH63" s="56"/>
      <c r="CI63" s="56"/>
      <c r="CJ63" s="56"/>
      <c r="CK63" s="56"/>
      <c r="CL63" s="611"/>
      <c r="CM63" s="56"/>
      <c r="CN63" s="56"/>
      <c r="CO63" s="56"/>
      <c r="CP63" s="56"/>
      <c r="CQ63" s="611"/>
      <c r="CR63" s="56"/>
      <c r="CS63" s="56"/>
      <c r="CT63" s="56"/>
      <c r="CU63" s="56"/>
      <c r="CV63" s="611"/>
      <c r="CW63" s="56"/>
      <c r="CX63" s="56"/>
      <c r="CY63" s="56"/>
      <c r="CZ63" s="56"/>
      <c r="DA63" s="611"/>
      <c r="DB63" s="56"/>
      <c r="DC63" s="56"/>
      <c r="DD63" s="56"/>
      <c r="DE63" s="56"/>
      <c r="DF63" s="611"/>
      <c r="DG63" s="56"/>
      <c r="DH63" s="56"/>
      <c r="DI63" s="56"/>
      <c r="DJ63" s="56"/>
      <c r="DK63" s="611"/>
      <c r="DL63" s="56"/>
      <c r="DM63" s="56"/>
      <c r="DN63" s="56"/>
      <c r="DO63" s="56"/>
      <c r="DP63" s="611"/>
      <c r="DQ63" s="56"/>
      <c r="DR63" s="56"/>
      <c r="DS63" s="56"/>
      <c r="DT63" s="56"/>
      <c r="DU63" s="611"/>
      <c r="DV63" s="56"/>
      <c r="DW63" s="56"/>
      <c r="DX63" s="56"/>
      <c r="DY63" s="56"/>
      <c r="DZ63" s="611"/>
      <c r="EA63" s="56"/>
      <c r="EB63" s="56"/>
      <c r="EC63" s="56"/>
      <c r="ED63" s="56"/>
      <c r="EE63" s="611"/>
      <c r="EF63" s="56"/>
      <c r="EG63" s="56"/>
      <c r="EH63" s="56"/>
      <c r="EI63" s="56"/>
      <c r="EJ63" s="611"/>
      <c r="EK63" s="56"/>
      <c r="EL63" s="56"/>
      <c r="EM63" s="56"/>
      <c r="EN63" s="56"/>
      <c r="EO63" s="144"/>
      <c r="ER63" s="42"/>
      <c r="ES63" s="42"/>
    </row>
    <row r="64" spans="4:149" ht="12.75" customHeight="1" x14ac:dyDescent="0.3">
      <c r="D64" s="144" t="s">
        <v>347</v>
      </c>
      <c r="E64" s="611"/>
      <c r="G64" s="56">
        <f>SUM(G65:G68)</f>
        <v>0</v>
      </c>
      <c r="H64" s="56"/>
      <c r="I64" s="56"/>
      <c r="J64" s="611"/>
      <c r="K64" s="56"/>
      <c r="L64" s="56">
        <f>SUM(L65:L68)</f>
        <v>414894</v>
      </c>
      <c r="M64" s="56"/>
      <c r="N64" s="56"/>
      <c r="O64" s="611"/>
      <c r="P64" s="56"/>
      <c r="Q64" s="56">
        <f>SUM(Q65:Q68)</f>
        <v>15159</v>
      </c>
      <c r="R64" s="56"/>
      <c r="S64" s="56"/>
      <c r="T64" s="611"/>
      <c r="U64" s="56"/>
      <c r="V64" s="56">
        <f>SUM(V65:V68)</f>
        <v>2912748</v>
      </c>
      <c r="W64" s="56"/>
      <c r="X64" s="56"/>
      <c r="Y64" s="611"/>
      <c r="Z64" s="56"/>
      <c r="AA64" s="56">
        <f>SUM(AA65:AA68)</f>
        <v>1193932</v>
      </c>
      <c r="AB64" s="56"/>
      <c r="AC64" s="56"/>
      <c r="AD64" s="611"/>
      <c r="AE64" s="56"/>
      <c r="AF64" s="56">
        <f>SUM(AF65:AF68)</f>
        <v>2264270</v>
      </c>
      <c r="AG64" s="56"/>
      <c r="AH64" s="56"/>
      <c r="AI64" s="611"/>
      <c r="AJ64" s="56"/>
      <c r="AK64" s="56">
        <f>SUM(AK65:AK68)</f>
        <v>948469</v>
      </c>
      <c r="AL64" s="56"/>
      <c r="AM64" s="56"/>
      <c r="AN64" s="611"/>
      <c r="AO64" s="56"/>
      <c r="AP64" s="56">
        <f>SUM(AP65:AP68)</f>
        <v>2673282</v>
      </c>
      <c r="AQ64" s="56"/>
      <c r="AR64" s="56"/>
      <c r="AS64" s="611"/>
      <c r="AT64" s="56"/>
      <c r="AU64" s="56">
        <f>SUM(AU65:AU68)</f>
        <v>1293908</v>
      </c>
      <c r="AV64" s="56"/>
      <c r="AW64" s="56"/>
      <c r="AX64" s="611"/>
      <c r="AY64" s="56"/>
      <c r="AZ64" s="56">
        <f>SUM(AZ65:AZ68)</f>
        <v>487717</v>
      </c>
      <c r="BA64" s="56"/>
      <c r="BB64" s="56"/>
      <c r="BC64" s="611"/>
      <c r="BD64" s="56"/>
      <c r="BE64" s="56">
        <f>SUM(BE65:BE68)</f>
        <v>0</v>
      </c>
      <c r="BF64" s="56"/>
      <c r="BG64" s="56"/>
      <c r="BH64" s="611"/>
      <c r="BI64" s="56"/>
      <c r="BJ64" s="56">
        <f>SUM(BJ65:BJ68)</f>
        <v>0</v>
      </c>
      <c r="BK64" s="56"/>
      <c r="BL64" s="56"/>
      <c r="BM64" s="611"/>
      <c r="BN64" s="56"/>
      <c r="BO64" s="56">
        <f>SUM(BO65:BO68)</f>
        <v>0</v>
      </c>
      <c r="BP64" s="56"/>
      <c r="BQ64" s="56"/>
      <c r="BR64" s="611"/>
      <c r="BS64" s="56"/>
      <c r="BT64" s="56">
        <f>SUM(BT65:BT68)</f>
        <v>12204379</v>
      </c>
      <c r="BU64" s="56"/>
      <c r="BV64" s="56"/>
      <c r="BW64" s="611"/>
      <c r="BX64" s="56"/>
      <c r="BY64" s="56">
        <f>SUM(BY65:BY68)</f>
        <v>19443086</v>
      </c>
      <c r="BZ64" s="56"/>
      <c r="CA64" s="56"/>
      <c r="CB64" s="611"/>
      <c r="CC64" s="56"/>
      <c r="CD64" s="56">
        <f>SUM(CD65:CD68)</f>
        <v>813046</v>
      </c>
      <c r="CE64" s="56"/>
      <c r="CF64" s="56"/>
      <c r="CG64" s="611"/>
      <c r="CH64" s="56"/>
      <c r="CI64" s="56">
        <f>SUM(CI65:CI68)</f>
        <v>515696</v>
      </c>
      <c r="CJ64" s="56"/>
      <c r="CK64" s="56"/>
      <c r="CL64" s="611"/>
      <c r="CM64" s="56"/>
      <c r="CN64" s="56">
        <f>SUM(CN65:CN68)</f>
        <v>1552379</v>
      </c>
      <c r="CO64" s="56"/>
      <c r="CP64" s="56"/>
      <c r="CQ64" s="611"/>
      <c r="CR64" s="56"/>
      <c r="CS64" s="56">
        <f>SUM(CS65:CS68)</f>
        <v>893971</v>
      </c>
      <c r="CT64" s="56"/>
      <c r="CU64" s="56"/>
      <c r="CV64" s="611"/>
      <c r="CW64" s="56"/>
      <c r="CX64" s="56">
        <f>SUM(CX65:CX68)</f>
        <v>2414344</v>
      </c>
      <c r="CY64" s="56"/>
      <c r="CZ64" s="56"/>
      <c r="DA64" s="611"/>
      <c r="DB64" s="56"/>
      <c r="DC64" s="56">
        <f>SUM(DC65:DC68)</f>
        <v>2009028</v>
      </c>
      <c r="DD64" s="56"/>
      <c r="DE64" s="56"/>
      <c r="DF64" s="611"/>
      <c r="DG64" s="56"/>
      <c r="DH64" s="56">
        <f>SUM(DH65:DH68)</f>
        <v>1723893</v>
      </c>
      <c r="DI64" s="56"/>
      <c r="DJ64" s="56"/>
      <c r="DK64" s="611"/>
      <c r="DL64" s="56"/>
      <c r="DM64" s="56">
        <f>SUM(DM65:DM68)</f>
        <v>1888507</v>
      </c>
      <c r="DN64" s="56"/>
      <c r="DO64" s="56"/>
      <c r="DP64" s="611"/>
      <c r="DQ64" s="56"/>
      <c r="DR64" s="56">
        <f>SUM(DR65:DR68)</f>
        <v>3440295</v>
      </c>
      <c r="DS64" s="56"/>
      <c r="DT64" s="56"/>
      <c r="DU64" s="611"/>
      <c r="DV64" s="56"/>
      <c r="DW64" s="56">
        <f>SUM(DW65:DW68)</f>
        <v>1170008</v>
      </c>
      <c r="DX64" s="56"/>
      <c r="DY64" s="56"/>
      <c r="DZ64" s="611"/>
      <c r="EA64" s="56"/>
      <c r="EB64" s="56">
        <f>SUM(EB65:EB68)</f>
        <v>1861992</v>
      </c>
      <c r="EC64" s="56"/>
      <c r="ED64" s="56"/>
      <c r="EE64" s="611"/>
      <c r="EF64" s="56"/>
      <c r="EG64" s="56">
        <f>SUM(EG65:EG68)</f>
        <v>1159927</v>
      </c>
      <c r="EH64" s="56"/>
      <c r="EI64" s="56"/>
      <c r="EJ64" s="611"/>
      <c r="EK64" s="56"/>
      <c r="EL64" s="56">
        <f>SUM(EL65:EL68)</f>
        <v>16421167</v>
      </c>
      <c r="EM64" s="56"/>
      <c r="EN64" s="56"/>
      <c r="EO64" s="144"/>
      <c r="ER64" s="42"/>
      <c r="ES64" s="42"/>
    </row>
    <row r="65" spans="4:149" ht="12.75" customHeight="1" x14ac:dyDescent="0.3">
      <c r="D65" s="144" t="s">
        <v>335</v>
      </c>
      <c r="E65" s="611"/>
      <c r="F65" s="500"/>
      <c r="G65" s="609">
        <v>0</v>
      </c>
      <c r="H65" s="610"/>
      <c r="I65" s="56"/>
      <c r="J65" s="611"/>
      <c r="K65" s="612"/>
      <c r="L65" s="609">
        <f>275000-99079</f>
        <v>175921</v>
      </c>
      <c r="M65" s="610"/>
      <c r="N65" s="56"/>
      <c r="O65" s="611"/>
      <c r="P65" s="612"/>
      <c r="Q65" s="609">
        <f>10000-3378</f>
        <v>6622</v>
      </c>
      <c r="R65" s="610"/>
      <c r="S65" s="56"/>
      <c r="T65" s="611"/>
      <c r="U65" s="612"/>
      <c r="V65" s="609">
        <f>1910000-661411</f>
        <v>1248589</v>
      </c>
      <c r="W65" s="610"/>
      <c r="X65" s="56"/>
      <c r="Y65" s="611"/>
      <c r="Z65" s="612"/>
      <c r="AA65" s="609">
        <f>775000-302352</f>
        <v>472648</v>
      </c>
      <c r="AB65" s="610"/>
      <c r="AC65" s="56"/>
      <c r="AD65" s="611"/>
      <c r="AE65" s="612"/>
      <c r="AF65" s="609">
        <f>1460000-592353</f>
        <v>867647</v>
      </c>
      <c r="AG65" s="610"/>
      <c r="AH65" s="56"/>
      <c r="AI65" s="611"/>
      <c r="AJ65" s="612"/>
      <c r="AK65" s="609">
        <f>605000-260980</f>
        <v>344020</v>
      </c>
      <c r="AL65" s="610"/>
      <c r="AM65" s="56"/>
      <c r="AN65" s="611"/>
      <c r="AO65" s="612"/>
      <c r="AP65" s="609">
        <f>1690000-794835</f>
        <v>895165</v>
      </c>
      <c r="AQ65" s="610"/>
      <c r="AR65" s="56"/>
      <c r="AS65" s="611"/>
      <c r="AT65" s="612"/>
      <c r="AU65" s="609">
        <f>810000-390624</f>
        <v>419376</v>
      </c>
      <c r="AV65" s="610"/>
      <c r="AW65" s="56"/>
      <c r="AX65" s="611"/>
      <c r="AY65" s="612"/>
      <c r="AZ65" s="609">
        <f>305000-162063</f>
        <v>142937</v>
      </c>
      <c r="BA65" s="610"/>
      <c r="BB65" s="56"/>
      <c r="BC65" s="611"/>
      <c r="BD65" s="612"/>
      <c r="BE65" s="609">
        <v>0</v>
      </c>
      <c r="BF65" s="610"/>
      <c r="BG65" s="56"/>
      <c r="BH65" s="611"/>
      <c r="BI65" s="612"/>
      <c r="BJ65" s="609">
        <v>0</v>
      </c>
      <c r="BK65" s="610"/>
      <c r="BL65" s="56"/>
      <c r="BM65" s="611"/>
      <c r="BN65" s="612"/>
      <c r="BO65" s="609">
        <v>0</v>
      </c>
      <c r="BP65" s="610"/>
      <c r="BQ65" s="56"/>
      <c r="BR65" s="611"/>
      <c r="BS65" s="612"/>
      <c r="BT65" s="609">
        <f>SUM(L65:BO65)</f>
        <v>4572925</v>
      </c>
      <c r="BU65" s="610"/>
      <c r="BV65" s="56"/>
      <c r="BW65" s="611"/>
      <c r="BX65" s="612"/>
      <c r="BY65" s="609">
        <v>8283003</v>
      </c>
      <c r="BZ65" s="610"/>
      <c r="CA65" s="56"/>
      <c r="CB65" s="611"/>
      <c r="CC65" s="612"/>
      <c r="CD65" s="609">
        <f>570000-218585</f>
        <v>351415</v>
      </c>
      <c r="CE65" s="610"/>
      <c r="CF65" s="56"/>
      <c r="CG65" s="611"/>
      <c r="CH65" s="612"/>
      <c r="CI65" s="609">
        <f>360000-139083</f>
        <v>220917</v>
      </c>
      <c r="CJ65" s="610"/>
      <c r="CK65" s="56"/>
      <c r="CL65" s="611"/>
      <c r="CM65" s="612"/>
      <c r="CN65" s="609">
        <f>1075000-368240</f>
        <v>706760</v>
      </c>
      <c r="CO65" s="610"/>
      <c r="CP65" s="56"/>
      <c r="CQ65" s="611"/>
      <c r="CR65" s="612"/>
      <c r="CS65" s="609">
        <f>615000-233396</f>
        <v>381604</v>
      </c>
      <c r="CT65" s="610"/>
      <c r="CU65" s="56"/>
      <c r="CV65" s="611"/>
      <c r="CW65" s="612"/>
      <c r="CX65" s="609">
        <f>1655000-661887</f>
        <v>993113</v>
      </c>
      <c r="CY65" s="610"/>
      <c r="CZ65" s="56"/>
      <c r="DA65" s="611"/>
      <c r="DB65" s="612"/>
      <c r="DC65" s="609">
        <f>1375000-528777</f>
        <v>846223</v>
      </c>
      <c r="DD65" s="610"/>
      <c r="DE65" s="56"/>
      <c r="DF65" s="611"/>
      <c r="DG65" s="612"/>
      <c r="DH65" s="609">
        <f>1170000-454177</f>
        <v>715823</v>
      </c>
      <c r="DI65" s="610"/>
      <c r="DJ65" s="56"/>
      <c r="DK65" s="611"/>
      <c r="DL65" s="612"/>
      <c r="DM65" s="609">
        <f>1275000-495992</f>
        <v>779008</v>
      </c>
      <c r="DN65" s="610"/>
      <c r="DO65" s="56"/>
      <c r="DP65" s="611"/>
      <c r="DQ65" s="612"/>
      <c r="DR65" s="609">
        <f>2315000-886396</f>
        <v>1428604</v>
      </c>
      <c r="DS65" s="610"/>
      <c r="DT65" s="56"/>
      <c r="DU65" s="611"/>
      <c r="DV65" s="612"/>
      <c r="DW65" s="609">
        <f>785000-267136</f>
        <v>517864</v>
      </c>
      <c r="DX65" s="610"/>
      <c r="DY65" s="56"/>
      <c r="DZ65" s="611"/>
      <c r="EA65" s="612"/>
      <c r="EB65" s="609">
        <f>1245000-398991</f>
        <v>846009</v>
      </c>
      <c r="EC65" s="610"/>
      <c r="ED65" s="56"/>
      <c r="EE65" s="611"/>
      <c r="EF65" s="612"/>
      <c r="EG65" s="609">
        <f>770000-274337</f>
        <v>495663</v>
      </c>
      <c r="EH65" s="610"/>
      <c r="EI65" s="56"/>
      <c r="EJ65" s="611"/>
      <c r="EK65" s="612"/>
      <c r="EL65" s="609">
        <f t="shared" ref="EL65:EL68" si="5">SUM(CD65:DW65)</f>
        <v>6941331</v>
      </c>
      <c r="EM65" s="610"/>
      <c r="EN65" s="56"/>
      <c r="EO65" s="144"/>
      <c r="ER65" s="42"/>
      <c r="ES65" s="42"/>
    </row>
    <row r="66" spans="4:149" ht="12.75" customHeight="1" x14ac:dyDescent="0.3">
      <c r="D66" s="144" t="s">
        <v>338</v>
      </c>
      <c r="E66" s="611"/>
      <c r="F66" s="494"/>
      <c r="G66" s="56">
        <v>0</v>
      </c>
      <c r="H66" s="55"/>
      <c r="I66" s="56"/>
      <c r="J66" s="611"/>
      <c r="K66" s="611"/>
      <c r="L66" s="56">
        <v>99079</v>
      </c>
      <c r="M66" s="55"/>
      <c r="N66" s="56"/>
      <c r="O66" s="611"/>
      <c r="P66" s="611"/>
      <c r="Q66" s="56">
        <v>3378</v>
      </c>
      <c r="R66" s="55"/>
      <c r="S66" s="56"/>
      <c r="T66" s="611"/>
      <c r="U66" s="611"/>
      <c r="V66" s="56">
        <v>661411</v>
      </c>
      <c r="W66" s="55"/>
      <c r="X66" s="56"/>
      <c r="Y66" s="611"/>
      <c r="Z66" s="611"/>
      <c r="AA66" s="56">
        <v>302352</v>
      </c>
      <c r="AB66" s="55"/>
      <c r="AC66" s="56"/>
      <c r="AD66" s="611"/>
      <c r="AE66" s="611"/>
      <c r="AF66" s="56">
        <v>592353</v>
      </c>
      <c r="AG66" s="55"/>
      <c r="AH66" s="56"/>
      <c r="AI66" s="611"/>
      <c r="AJ66" s="611"/>
      <c r="AK66" s="56">
        <v>260980</v>
      </c>
      <c r="AL66" s="55"/>
      <c r="AM66" s="56"/>
      <c r="AN66" s="611"/>
      <c r="AO66" s="611"/>
      <c r="AP66" s="56">
        <v>794835</v>
      </c>
      <c r="AQ66" s="55"/>
      <c r="AR66" s="56"/>
      <c r="AS66" s="611"/>
      <c r="AT66" s="611"/>
      <c r="AU66" s="56">
        <v>390624</v>
      </c>
      <c r="AV66" s="55"/>
      <c r="AW66" s="56"/>
      <c r="AX66" s="611"/>
      <c r="AY66" s="611"/>
      <c r="AZ66" s="56">
        <v>162063</v>
      </c>
      <c r="BA66" s="55"/>
      <c r="BB66" s="56"/>
      <c r="BC66" s="611"/>
      <c r="BD66" s="611"/>
      <c r="BE66" s="56">
        <v>0</v>
      </c>
      <c r="BF66" s="55"/>
      <c r="BG66" s="56"/>
      <c r="BH66" s="611"/>
      <c r="BI66" s="611"/>
      <c r="BJ66" s="56">
        <v>0</v>
      </c>
      <c r="BK66" s="55"/>
      <c r="BL66" s="56"/>
      <c r="BM66" s="611"/>
      <c r="BN66" s="611"/>
      <c r="BO66" s="56">
        <v>0</v>
      </c>
      <c r="BP66" s="55"/>
      <c r="BQ66" s="56"/>
      <c r="BR66" s="611"/>
      <c r="BS66" s="611"/>
      <c r="BT66" s="56">
        <f>SUM(L66:BO66)</f>
        <v>3267075</v>
      </c>
      <c r="BU66" s="55"/>
      <c r="BV66" s="56"/>
      <c r="BW66" s="611"/>
      <c r="BX66" s="611"/>
      <c r="BY66" s="56">
        <v>4926997</v>
      </c>
      <c r="BZ66" s="55"/>
      <c r="CA66" s="56"/>
      <c r="CB66" s="611"/>
      <c r="CC66" s="611"/>
      <c r="CD66" s="56">
        <v>218585</v>
      </c>
      <c r="CE66" s="55"/>
      <c r="CF66" s="56"/>
      <c r="CG66" s="611"/>
      <c r="CH66" s="611"/>
      <c r="CI66" s="56">
        <v>139083</v>
      </c>
      <c r="CJ66" s="55"/>
      <c r="CK66" s="56"/>
      <c r="CL66" s="611"/>
      <c r="CM66" s="611"/>
      <c r="CN66" s="56">
        <v>368240</v>
      </c>
      <c r="CO66" s="55"/>
      <c r="CP66" s="56"/>
      <c r="CQ66" s="611"/>
      <c r="CR66" s="611"/>
      <c r="CS66" s="56">
        <v>233396</v>
      </c>
      <c r="CT66" s="55"/>
      <c r="CU66" s="56"/>
      <c r="CV66" s="611"/>
      <c r="CW66" s="611"/>
      <c r="CX66" s="56">
        <v>661887</v>
      </c>
      <c r="CY66" s="55"/>
      <c r="CZ66" s="56"/>
      <c r="DA66" s="611"/>
      <c r="DB66" s="611"/>
      <c r="DC66" s="56">
        <v>528777</v>
      </c>
      <c r="DD66" s="55"/>
      <c r="DE66" s="56"/>
      <c r="DF66" s="611"/>
      <c r="DG66" s="611"/>
      <c r="DH66" s="56">
        <v>454177</v>
      </c>
      <c r="DI66" s="55"/>
      <c r="DJ66" s="56"/>
      <c r="DK66" s="611"/>
      <c r="DL66" s="611"/>
      <c r="DM66" s="56">
        <v>495992</v>
      </c>
      <c r="DN66" s="55"/>
      <c r="DO66" s="56"/>
      <c r="DP66" s="611"/>
      <c r="DQ66" s="611"/>
      <c r="DR66" s="56">
        <v>886396</v>
      </c>
      <c r="DS66" s="55"/>
      <c r="DT66" s="56"/>
      <c r="DU66" s="611"/>
      <c r="DV66" s="611"/>
      <c r="DW66" s="56">
        <v>267136</v>
      </c>
      <c r="DX66" s="55"/>
      <c r="DY66" s="56"/>
      <c r="DZ66" s="611"/>
      <c r="EA66" s="611"/>
      <c r="EB66" s="56">
        <v>398991</v>
      </c>
      <c r="EC66" s="55"/>
      <c r="ED66" s="56"/>
      <c r="EE66" s="611"/>
      <c r="EF66" s="611"/>
      <c r="EG66" s="56">
        <v>274337</v>
      </c>
      <c r="EH66" s="55"/>
      <c r="EI66" s="56"/>
      <c r="EJ66" s="611"/>
      <c r="EK66" s="611"/>
      <c r="EL66" s="56">
        <f t="shared" si="5"/>
        <v>4253669</v>
      </c>
      <c r="EM66" s="55"/>
      <c r="EN66" s="56"/>
      <c r="EO66" s="144"/>
      <c r="ER66" s="42"/>
      <c r="ES66" s="42"/>
    </row>
    <row r="67" spans="4:149" ht="12.75" customHeight="1" x14ac:dyDescent="0.3">
      <c r="D67" s="144" t="s">
        <v>339</v>
      </c>
      <c r="E67" s="611"/>
      <c r="F67" s="494"/>
      <c r="G67" s="56">
        <v>0</v>
      </c>
      <c r="H67" s="55"/>
      <c r="I67" s="56"/>
      <c r="J67" s="611"/>
      <c r="K67" s="611"/>
      <c r="L67" s="56">
        <v>0</v>
      </c>
      <c r="M67" s="55"/>
      <c r="N67" s="56"/>
      <c r="O67" s="611"/>
      <c r="P67" s="611"/>
      <c r="Q67" s="56">
        <v>0</v>
      </c>
      <c r="R67" s="55"/>
      <c r="S67" s="56"/>
      <c r="T67" s="611"/>
      <c r="U67" s="611"/>
      <c r="V67" s="56">
        <v>0</v>
      </c>
      <c r="W67" s="55"/>
      <c r="X67" s="56"/>
      <c r="Y67" s="611"/>
      <c r="Z67" s="611"/>
      <c r="AA67" s="56">
        <v>0</v>
      </c>
      <c r="AB67" s="55"/>
      <c r="AC67" s="56"/>
      <c r="AD67" s="611"/>
      <c r="AE67" s="611"/>
      <c r="AF67" s="56">
        <v>0</v>
      </c>
      <c r="AG67" s="55"/>
      <c r="AH67" s="56"/>
      <c r="AI67" s="611"/>
      <c r="AJ67" s="611"/>
      <c r="AK67" s="56">
        <v>0</v>
      </c>
      <c r="AL67" s="55"/>
      <c r="AM67" s="56"/>
      <c r="AN67" s="611"/>
      <c r="AO67" s="611"/>
      <c r="AP67" s="56">
        <v>0</v>
      </c>
      <c r="AQ67" s="55"/>
      <c r="AR67" s="56"/>
      <c r="AS67" s="611"/>
      <c r="AT67" s="611"/>
      <c r="AU67" s="56">
        <v>0</v>
      </c>
      <c r="AV67" s="55"/>
      <c r="AW67" s="56"/>
      <c r="AX67" s="611"/>
      <c r="AY67" s="611"/>
      <c r="AZ67" s="56">
        <v>0</v>
      </c>
      <c r="BA67" s="55"/>
      <c r="BB67" s="56"/>
      <c r="BC67" s="611"/>
      <c r="BD67" s="611"/>
      <c r="BE67" s="56">
        <v>0</v>
      </c>
      <c r="BF67" s="55"/>
      <c r="BG67" s="56"/>
      <c r="BH67" s="611"/>
      <c r="BI67" s="611"/>
      <c r="BJ67" s="56">
        <v>0</v>
      </c>
      <c r="BK67" s="55"/>
      <c r="BL67" s="56"/>
      <c r="BM67" s="611"/>
      <c r="BN67" s="611"/>
      <c r="BO67" s="56">
        <v>0</v>
      </c>
      <c r="BP67" s="55"/>
      <c r="BQ67" s="56"/>
      <c r="BR67" s="611"/>
      <c r="BS67" s="611"/>
      <c r="BT67" s="56">
        <f>SUM(L67:BO67)</f>
        <v>0</v>
      </c>
      <c r="BU67" s="55"/>
      <c r="BV67" s="56"/>
      <c r="BW67" s="611"/>
      <c r="BX67" s="611"/>
      <c r="BY67" s="56">
        <v>0</v>
      </c>
      <c r="BZ67" s="55"/>
      <c r="CA67" s="56"/>
      <c r="CB67" s="611"/>
      <c r="CC67" s="611"/>
      <c r="CD67" s="56">
        <v>0</v>
      </c>
      <c r="CE67" s="55"/>
      <c r="CF67" s="56"/>
      <c r="CG67" s="611"/>
      <c r="CH67" s="611"/>
      <c r="CI67" s="56">
        <v>0</v>
      </c>
      <c r="CJ67" s="55"/>
      <c r="CK67" s="56"/>
      <c r="CL67" s="611"/>
      <c r="CM67" s="611"/>
      <c r="CN67" s="56">
        <v>0</v>
      </c>
      <c r="CO67" s="55"/>
      <c r="CP67" s="56"/>
      <c r="CQ67" s="611"/>
      <c r="CR67" s="611"/>
      <c r="CS67" s="56">
        <v>0</v>
      </c>
      <c r="CT67" s="55"/>
      <c r="CU67" s="56"/>
      <c r="CV67" s="611"/>
      <c r="CW67" s="611"/>
      <c r="CX67" s="56">
        <v>0</v>
      </c>
      <c r="CY67" s="55"/>
      <c r="CZ67" s="56"/>
      <c r="DA67" s="611"/>
      <c r="DB67" s="611"/>
      <c r="DC67" s="56">
        <v>0</v>
      </c>
      <c r="DD67" s="55"/>
      <c r="DE67" s="56"/>
      <c r="DF67" s="611"/>
      <c r="DG67" s="611"/>
      <c r="DH67" s="56">
        <v>0</v>
      </c>
      <c r="DI67" s="55"/>
      <c r="DJ67" s="56"/>
      <c r="DK67" s="611"/>
      <c r="DL67" s="611"/>
      <c r="DM67" s="56">
        <v>0</v>
      </c>
      <c r="DN67" s="55"/>
      <c r="DO67" s="56"/>
      <c r="DP67" s="611"/>
      <c r="DQ67" s="611"/>
      <c r="DR67" s="56">
        <v>0</v>
      </c>
      <c r="DS67" s="55"/>
      <c r="DT67" s="56"/>
      <c r="DU67" s="611"/>
      <c r="DV67" s="611"/>
      <c r="DW67" s="56">
        <v>0</v>
      </c>
      <c r="DX67" s="55"/>
      <c r="DY67" s="56"/>
      <c r="DZ67" s="611"/>
      <c r="EA67" s="611"/>
      <c r="EB67" s="56">
        <v>0</v>
      </c>
      <c r="EC67" s="55"/>
      <c r="ED67" s="56"/>
      <c r="EE67" s="611"/>
      <c r="EF67" s="611"/>
      <c r="EG67" s="56">
        <v>0</v>
      </c>
      <c r="EH67" s="55"/>
      <c r="EI67" s="56"/>
      <c r="EJ67" s="611"/>
      <c r="EK67" s="611"/>
      <c r="EL67" s="56">
        <f t="shared" si="5"/>
        <v>0</v>
      </c>
      <c r="EM67" s="55"/>
      <c r="EN67" s="56"/>
      <c r="EO67" s="144"/>
      <c r="ER67" s="42"/>
      <c r="ES67" s="42"/>
    </row>
    <row r="68" spans="4:149" ht="12.75" customHeight="1" x14ac:dyDescent="0.3">
      <c r="D68" s="144" t="s">
        <v>340</v>
      </c>
      <c r="E68" s="611"/>
      <c r="F68" s="513"/>
      <c r="G68" s="117">
        <v>0</v>
      </c>
      <c r="H68" s="116"/>
      <c r="I68" s="56"/>
      <c r="J68" s="611"/>
      <c r="K68" s="620"/>
      <c r="L68" s="117">
        <v>139894</v>
      </c>
      <c r="M68" s="116"/>
      <c r="N68" s="56"/>
      <c r="O68" s="611"/>
      <c r="P68" s="620"/>
      <c r="Q68" s="117">
        <v>5159</v>
      </c>
      <c r="R68" s="116"/>
      <c r="S68" s="56"/>
      <c r="T68" s="611"/>
      <c r="U68" s="620"/>
      <c r="V68" s="117">
        <v>1002748</v>
      </c>
      <c r="W68" s="116"/>
      <c r="X68" s="56"/>
      <c r="Y68" s="611"/>
      <c r="Z68" s="620"/>
      <c r="AA68" s="117">
        <v>418932</v>
      </c>
      <c r="AB68" s="116"/>
      <c r="AC68" s="56"/>
      <c r="AD68" s="611"/>
      <c r="AE68" s="620"/>
      <c r="AF68" s="117">
        <v>804270</v>
      </c>
      <c r="AG68" s="116"/>
      <c r="AH68" s="56"/>
      <c r="AI68" s="611"/>
      <c r="AJ68" s="620"/>
      <c r="AK68" s="117">
        <v>343469</v>
      </c>
      <c r="AL68" s="116"/>
      <c r="AM68" s="56"/>
      <c r="AN68" s="611"/>
      <c r="AO68" s="620"/>
      <c r="AP68" s="117">
        <v>983282</v>
      </c>
      <c r="AQ68" s="116"/>
      <c r="AR68" s="56"/>
      <c r="AS68" s="611"/>
      <c r="AT68" s="620"/>
      <c r="AU68" s="117">
        <v>483908</v>
      </c>
      <c r="AV68" s="116"/>
      <c r="AW68" s="56"/>
      <c r="AX68" s="611"/>
      <c r="AY68" s="620"/>
      <c r="AZ68" s="117">
        <v>182717</v>
      </c>
      <c r="BA68" s="116"/>
      <c r="BB68" s="56"/>
      <c r="BC68" s="611"/>
      <c r="BD68" s="620"/>
      <c r="BE68" s="117">
        <v>0</v>
      </c>
      <c r="BF68" s="116"/>
      <c r="BG68" s="56"/>
      <c r="BH68" s="611"/>
      <c r="BI68" s="620"/>
      <c r="BJ68" s="117">
        <v>0</v>
      </c>
      <c r="BK68" s="116"/>
      <c r="BL68" s="56"/>
      <c r="BM68" s="611"/>
      <c r="BN68" s="620"/>
      <c r="BO68" s="117">
        <v>0</v>
      </c>
      <c r="BP68" s="116"/>
      <c r="BQ68" s="56"/>
      <c r="BR68" s="611"/>
      <c r="BS68" s="620"/>
      <c r="BT68" s="117">
        <f>SUM(L68:BO68)</f>
        <v>4364379</v>
      </c>
      <c r="BU68" s="116"/>
      <c r="BV68" s="56"/>
      <c r="BW68" s="611"/>
      <c r="BX68" s="620"/>
      <c r="BY68" s="117">
        <v>6233086</v>
      </c>
      <c r="BZ68" s="116"/>
      <c r="CA68" s="56"/>
      <c r="CB68" s="611"/>
      <c r="CC68" s="620"/>
      <c r="CD68" s="117">
        <v>243046</v>
      </c>
      <c r="CE68" s="116"/>
      <c r="CF68" s="56"/>
      <c r="CG68" s="611"/>
      <c r="CH68" s="620"/>
      <c r="CI68" s="117">
        <v>155696</v>
      </c>
      <c r="CJ68" s="116"/>
      <c r="CK68" s="56"/>
      <c r="CL68" s="611"/>
      <c r="CM68" s="620"/>
      <c r="CN68" s="117">
        <v>477379</v>
      </c>
      <c r="CO68" s="116"/>
      <c r="CP68" s="56"/>
      <c r="CQ68" s="611"/>
      <c r="CR68" s="620"/>
      <c r="CS68" s="117">
        <v>278971</v>
      </c>
      <c r="CT68" s="116"/>
      <c r="CU68" s="56"/>
      <c r="CV68" s="611"/>
      <c r="CW68" s="620"/>
      <c r="CX68" s="117">
        <v>759344</v>
      </c>
      <c r="CY68" s="116"/>
      <c r="CZ68" s="56"/>
      <c r="DA68" s="611"/>
      <c r="DB68" s="620"/>
      <c r="DC68" s="117">
        <v>634028</v>
      </c>
      <c r="DD68" s="116"/>
      <c r="DE68" s="56"/>
      <c r="DF68" s="611"/>
      <c r="DG68" s="620"/>
      <c r="DH68" s="117">
        <v>553893</v>
      </c>
      <c r="DI68" s="116"/>
      <c r="DJ68" s="56"/>
      <c r="DK68" s="611"/>
      <c r="DL68" s="620"/>
      <c r="DM68" s="117">
        <v>613507</v>
      </c>
      <c r="DN68" s="116"/>
      <c r="DO68" s="56"/>
      <c r="DP68" s="611"/>
      <c r="DQ68" s="620"/>
      <c r="DR68" s="117">
        <v>1125295</v>
      </c>
      <c r="DS68" s="116"/>
      <c r="DT68" s="56"/>
      <c r="DU68" s="611"/>
      <c r="DV68" s="620"/>
      <c r="DW68" s="117">
        <v>385008</v>
      </c>
      <c r="DX68" s="116"/>
      <c r="DY68" s="56"/>
      <c r="DZ68" s="611"/>
      <c r="EA68" s="620"/>
      <c r="EB68" s="117">
        <v>616992</v>
      </c>
      <c r="EC68" s="116"/>
      <c r="ED68" s="56"/>
      <c r="EE68" s="611"/>
      <c r="EF68" s="620"/>
      <c r="EG68" s="117">
        <v>389927</v>
      </c>
      <c r="EH68" s="116"/>
      <c r="EI68" s="56"/>
      <c r="EJ68" s="611"/>
      <c r="EK68" s="620"/>
      <c r="EL68" s="117">
        <f t="shared" si="5"/>
        <v>5226167</v>
      </c>
      <c r="EM68" s="116"/>
      <c r="EN68" s="56"/>
      <c r="EO68" s="144"/>
      <c r="ER68" s="42"/>
      <c r="ES68" s="42"/>
    </row>
    <row r="69" spans="4:149" ht="12.75" customHeight="1" x14ac:dyDescent="0.3">
      <c r="D69" s="144"/>
      <c r="E69" s="611"/>
      <c r="G69" s="56"/>
      <c r="H69" s="56"/>
      <c r="I69" s="56"/>
      <c r="J69" s="611"/>
      <c r="K69" s="56"/>
      <c r="L69" s="56"/>
      <c r="M69" s="56"/>
      <c r="N69" s="56"/>
      <c r="O69" s="611"/>
      <c r="P69" s="56"/>
      <c r="Q69" s="56"/>
      <c r="R69" s="56"/>
      <c r="S69" s="56"/>
      <c r="T69" s="611"/>
      <c r="U69" s="56"/>
      <c r="V69" s="56"/>
      <c r="W69" s="56"/>
      <c r="X69" s="56"/>
      <c r="Y69" s="611"/>
      <c r="Z69" s="56"/>
      <c r="AA69" s="56"/>
      <c r="AB69" s="56"/>
      <c r="AC69" s="56"/>
      <c r="AD69" s="611"/>
      <c r="AE69" s="56"/>
      <c r="AF69" s="56"/>
      <c r="AG69" s="56"/>
      <c r="AH69" s="56"/>
      <c r="AI69" s="611"/>
      <c r="AJ69" s="56"/>
      <c r="AK69" s="56"/>
      <c r="AL69" s="56"/>
      <c r="AM69" s="56"/>
      <c r="AN69" s="611"/>
      <c r="AO69" s="56"/>
      <c r="AP69" s="56"/>
      <c r="AQ69" s="56"/>
      <c r="AR69" s="56"/>
      <c r="AS69" s="611"/>
      <c r="AT69" s="56"/>
      <c r="AU69" s="56"/>
      <c r="AV69" s="56"/>
      <c r="AW69" s="56"/>
      <c r="AX69" s="611"/>
      <c r="AY69" s="56"/>
      <c r="AZ69" s="56"/>
      <c r="BA69" s="56"/>
      <c r="BB69" s="56"/>
      <c r="BC69" s="611"/>
      <c r="BD69" s="56"/>
      <c r="BE69" s="56"/>
      <c r="BF69" s="56"/>
      <c r="BG69" s="56"/>
      <c r="BH69" s="611"/>
      <c r="BI69" s="56"/>
      <c r="BJ69" s="56"/>
      <c r="BK69" s="56"/>
      <c r="BL69" s="56"/>
      <c r="BM69" s="611"/>
      <c r="BN69" s="56"/>
      <c r="BO69" s="56"/>
      <c r="BP69" s="56"/>
      <c r="BQ69" s="56"/>
      <c r="BR69" s="611"/>
      <c r="BS69" s="56"/>
      <c r="BT69" s="56"/>
      <c r="BU69" s="56"/>
      <c r="BV69" s="56"/>
      <c r="BW69" s="611"/>
      <c r="BX69" s="56"/>
      <c r="BY69" s="56"/>
      <c r="BZ69" s="56"/>
      <c r="CA69" s="56"/>
      <c r="CB69" s="611"/>
      <c r="CC69" s="56"/>
      <c r="CD69" s="56"/>
      <c r="CE69" s="56"/>
      <c r="CF69" s="56"/>
      <c r="CG69" s="611"/>
      <c r="CH69" s="56"/>
      <c r="CI69" s="56"/>
      <c r="CJ69" s="56"/>
      <c r="CK69" s="56"/>
      <c r="CL69" s="611"/>
      <c r="CM69" s="56"/>
      <c r="CN69" s="56"/>
      <c r="CO69" s="56"/>
      <c r="CP69" s="56"/>
      <c r="CQ69" s="611"/>
      <c r="CR69" s="56"/>
      <c r="CS69" s="56"/>
      <c r="CT69" s="56"/>
      <c r="CU69" s="56"/>
      <c r="CV69" s="611"/>
      <c r="CW69" s="56"/>
      <c r="CX69" s="56"/>
      <c r="CY69" s="56"/>
      <c r="CZ69" s="56"/>
      <c r="DA69" s="611"/>
      <c r="DB69" s="56"/>
      <c r="DC69" s="56"/>
      <c r="DD69" s="56"/>
      <c r="DE69" s="56"/>
      <c r="DF69" s="611"/>
      <c r="DG69" s="56"/>
      <c r="DH69" s="56"/>
      <c r="DI69" s="56"/>
      <c r="DJ69" s="56"/>
      <c r="DK69" s="611"/>
      <c r="DL69" s="56"/>
      <c r="DM69" s="56"/>
      <c r="DN69" s="56"/>
      <c r="DO69" s="56"/>
      <c r="DP69" s="611"/>
      <c r="DQ69" s="56"/>
      <c r="DR69" s="56"/>
      <c r="DS69" s="56"/>
      <c r="DT69" s="56"/>
      <c r="DU69" s="611"/>
      <c r="DV69" s="56"/>
      <c r="DW69" s="56"/>
      <c r="DX69" s="56"/>
      <c r="DY69" s="56"/>
      <c r="DZ69" s="611"/>
      <c r="EA69" s="56"/>
      <c r="EB69" s="56"/>
      <c r="EC69" s="56"/>
      <c r="ED69" s="56"/>
      <c r="EE69" s="611"/>
      <c r="EF69" s="56"/>
      <c r="EG69" s="56"/>
      <c r="EH69" s="56"/>
      <c r="EI69" s="56"/>
      <c r="EJ69" s="611"/>
      <c r="EK69" s="56"/>
      <c r="EL69" s="56"/>
      <c r="EM69" s="56"/>
      <c r="EN69" s="56"/>
      <c r="EO69" s="144"/>
      <c r="ER69" s="42"/>
      <c r="ES69" s="42"/>
    </row>
    <row r="70" spans="4:149" ht="12.75" customHeight="1" x14ac:dyDescent="0.3">
      <c r="D70" s="144" t="s">
        <v>348</v>
      </c>
      <c r="E70" s="611"/>
      <c r="G70" s="56">
        <f>SUM(G71:G74)</f>
        <v>0</v>
      </c>
      <c r="H70" s="56"/>
      <c r="I70" s="56"/>
      <c r="J70" s="611"/>
      <c r="K70" s="56"/>
      <c r="L70" s="56">
        <f>SUM(L71:L74)</f>
        <v>1536729</v>
      </c>
      <c r="M70" s="56"/>
      <c r="N70" s="56"/>
      <c r="O70" s="611"/>
      <c r="P70" s="56"/>
      <c r="Q70" s="56">
        <f>SUM(Q71:Q74)</f>
        <v>72130</v>
      </c>
      <c r="R70" s="56"/>
      <c r="S70" s="56"/>
      <c r="T70" s="611"/>
      <c r="U70" s="56"/>
      <c r="V70" s="56">
        <f>SUM(V71:V74)</f>
        <v>1052350</v>
      </c>
      <c r="W70" s="56"/>
      <c r="X70" s="56"/>
      <c r="Y70" s="611"/>
      <c r="Z70" s="56"/>
      <c r="AA70" s="56">
        <f>SUM(AA71:AA74)</f>
        <v>1442806</v>
      </c>
      <c r="AB70" s="56"/>
      <c r="AC70" s="56"/>
      <c r="AD70" s="611"/>
      <c r="AE70" s="56"/>
      <c r="AF70" s="56">
        <f>SUM(AF71:AF74)</f>
        <v>2660992</v>
      </c>
      <c r="AG70" s="56"/>
      <c r="AH70" s="56"/>
      <c r="AI70" s="611"/>
      <c r="AJ70" s="56"/>
      <c r="AK70" s="56">
        <f>SUM(AK71:AK74)</f>
        <v>696927</v>
      </c>
      <c r="AL70" s="56"/>
      <c r="AM70" s="56"/>
      <c r="AN70" s="611"/>
      <c r="AO70" s="56"/>
      <c r="AP70" s="56">
        <f>SUM(AP71:AP74)</f>
        <v>2947026</v>
      </c>
      <c r="AQ70" s="56"/>
      <c r="AR70" s="56"/>
      <c r="AS70" s="611"/>
      <c r="AT70" s="56"/>
      <c r="AU70" s="56">
        <f>SUM(AU71:AU74)</f>
        <v>1126191</v>
      </c>
      <c r="AV70" s="56"/>
      <c r="AW70" s="56"/>
      <c r="AX70" s="611"/>
      <c r="AY70" s="56"/>
      <c r="AZ70" s="56">
        <f>SUM(AZ71:AZ74)</f>
        <v>279623</v>
      </c>
      <c r="BA70" s="56"/>
      <c r="BB70" s="56"/>
      <c r="BC70" s="611"/>
      <c r="BD70" s="56"/>
      <c r="BE70" s="56">
        <f>SUM(BE71:BE74)</f>
        <v>688404</v>
      </c>
      <c r="BF70" s="56"/>
      <c r="BG70" s="56"/>
      <c r="BH70" s="611"/>
      <c r="BI70" s="56"/>
      <c r="BJ70" s="56">
        <f>SUM(BJ71:BJ74)</f>
        <v>0</v>
      </c>
      <c r="BK70" s="56"/>
      <c r="BL70" s="56"/>
      <c r="BM70" s="611"/>
      <c r="BN70" s="56"/>
      <c r="BO70" s="56">
        <f>SUM(BO71:BO74)</f>
        <v>0</v>
      </c>
      <c r="BP70" s="56"/>
      <c r="BQ70" s="56"/>
      <c r="BR70" s="611"/>
      <c r="BS70" s="56"/>
      <c r="BT70" s="56">
        <f>SUM(BT71:BT74)</f>
        <v>12503178</v>
      </c>
      <c r="BU70" s="56"/>
      <c r="BV70" s="56"/>
      <c r="BW70" s="611"/>
      <c r="BX70" s="56"/>
      <c r="BY70" s="56">
        <f>SUM(BY71:BY74)</f>
        <v>19625911</v>
      </c>
      <c r="BZ70" s="56"/>
      <c r="CA70" s="56"/>
      <c r="CB70" s="611"/>
      <c r="CC70" s="56"/>
      <c r="CD70" s="56">
        <f>SUM(CD71:CD74)</f>
        <v>643065</v>
      </c>
      <c r="CE70" s="56"/>
      <c r="CF70" s="56"/>
      <c r="CG70" s="611"/>
      <c r="CH70" s="56"/>
      <c r="CI70" s="56">
        <f>SUM(CI71:CI74)</f>
        <v>2787717</v>
      </c>
      <c r="CJ70" s="56"/>
      <c r="CK70" s="56"/>
      <c r="CL70" s="611"/>
      <c r="CM70" s="56"/>
      <c r="CN70" s="56">
        <f>SUM(CN71:CN74)</f>
        <v>221586</v>
      </c>
      <c r="CO70" s="56"/>
      <c r="CP70" s="56"/>
      <c r="CQ70" s="611"/>
      <c r="CR70" s="56"/>
      <c r="CS70" s="56">
        <f>SUM(CS71:CS74)</f>
        <v>1864433</v>
      </c>
      <c r="CT70" s="56"/>
      <c r="CU70" s="56"/>
      <c r="CV70" s="611"/>
      <c r="CW70" s="56"/>
      <c r="CX70" s="56">
        <f>SUM(CX71:CX74)</f>
        <v>1012894</v>
      </c>
      <c r="CY70" s="56"/>
      <c r="CZ70" s="56"/>
      <c r="DA70" s="611"/>
      <c r="DB70" s="56"/>
      <c r="DC70" s="56">
        <f>SUM(DC71:DC74)</f>
        <v>1927366</v>
      </c>
      <c r="DD70" s="56"/>
      <c r="DE70" s="56"/>
      <c r="DF70" s="611"/>
      <c r="DG70" s="56"/>
      <c r="DH70" s="56">
        <f>SUM(DH71:DH74)</f>
        <v>2235967</v>
      </c>
      <c r="DI70" s="56"/>
      <c r="DJ70" s="56"/>
      <c r="DK70" s="611"/>
      <c r="DL70" s="56"/>
      <c r="DM70" s="56">
        <f>SUM(DM71:DM74)</f>
        <v>1594101</v>
      </c>
      <c r="DN70" s="56"/>
      <c r="DO70" s="56"/>
      <c r="DP70" s="611"/>
      <c r="DQ70" s="56"/>
      <c r="DR70" s="56">
        <f>SUM(DR71:DR74)</f>
        <v>2127227</v>
      </c>
      <c r="DS70" s="56"/>
      <c r="DT70" s="56"/>
      <c r="DU70" s="611"/>
      <c r="DV70" s="56"/>
      <c r="DW70" s="56">
        <f>SUM(DW71:DW74)</f>
        <v>2662581</v>
      </c>
      <c r="DX70" s="56"/>
      <c r="DY70" s="56"/>
      <c r="DZ70" s="611"/>
      <c r="EA70" s="56"/>
      <c r="EB70" s="56">
        <f>SUM(EB71:EB74)</f>
        <v>1638587</v>
      </c>
      <c r="EC70" s="56"/>
      <c r="ED70" s="56"/>
      <c r="EE70" s="611"/>
      <c r="EF70" s="56"/>
      <c r="EG70" s="56">
        <f>SUM(EG71:EG74)</f>
        <v>910387</v>
      </c>
      <c r="EH70" s="56"/>
      <c r="EI70" s="56"/>
      <c r="EJ70" s="611"/>
      <c r="EK70" s="56"/>
      <c r="EL70" s="56">
        <f>SUM(EL71:EL74)</f>
        <v>17076937</v>
      </c>
      <c r="EM70" s="56"/>
      <c r="EN70" s="56"/>
      <c r="EO70" s="144"/>
      <c r="ER70" s="42"/>
      <c r="ES70" s="42"/>
    </row>
    <row r="71" spans="4:149" ht="12.75" customHeight="1" x14ac:dyDescent="0.3">
      <c r="D71" s="144" t="s">
        <v>335</v>
      </c>
      <c r="E71" s="611"/>
      <c r="F71" s="500"/>
      <c r="G71" s="609">
        <v>0</v>
      </c>
      <c r="H71" s="610"/>
      <c r="I71" s="56"/>
      <c r="J71" s="611"/>
      <c r="K71" s="612"/>
      <c r="L71" s="609">
        <f>960000-384524</f>
        <v>575476</v>
      </c>
      <c r="M71" s="610"/>
      <c r="N71" s="56"/>
      <c r="O71" s="611"/>
      <c r="P71" s="612"/>
      <c r="Q71" s="609">
        <f>45000-17638</f>
        <v>27362</v>
      </c>
      <c r="R71" s="610"/>
      <c r="S71" s="56"/>
      <c r="T71" s="611"/>
      <c r="U71" s="612"/>
      <c r="V71" s="609">
        <f>650000-261613</f>
        <v>388387</v>
      </c>
      <c r="W71" s="610"/>
      <c r="X71" s="56"/>
      <c r="Y71" s="611"/>
      <c r="Z71" s="612"/>
      <c r="AA71" s="609">
        <f>885000-431578</f>
        <v>453422</v>
      </c>
      <c r="AB71" s="610"/>
      <c r="AC71" s="56"/>
      <c r="AD71" s="611"/>
      <c r="AE71" s="612"/>
      <c r="AF71" s="609">
        <f>1620000-788653</f>
        <v>831347</v>
      </c>
      <c r="AG71" s="610"/>
      <c r="AH71" s="56"/>
      <c r="AI71" s="611"/>
      <c r="AJ71" s="612"/>
      <c r="AK71" s="609">
        <f>420000-206658</f>
        <v>213342</v>
      </c>
      <c r="AL71" s="610"/>
      <c r="AM71" s="56"/>
      <c r="AN71" s="611"/>
      <c r="AO71" s="612"/>
      <c r="AP71" s="609">
        <f>1755000-1051987</f>
        <v>703013</v>
      </c>
      <c r="AQ71" s="610"/>
      <c r="AR71" s="56"/>
      <c r="AS71" s="611"/>
      <c r="AT71" s="612"/>
      <c r="AU71" s="609">
        <f>665000-404513</f>
        <v>260487</v>
      </c>
      <c r="AV71" s="610"/>
      <c r="AW71" s="56"/>
      <c r="AX71" s="611"/>
      <c r="AY71" s="612"/>
      <c r="AZ71" s="609">
        <f>165000-103959</f>
        <v>61041</v>
      </c>
      <c r="BA71" s="610"/>
      <c r="BB71" s="56"/>
      <c r="BC71" s="611"/>
      <c r="BD71" s="612"/>
      <c r="BE71" s="609">
        <f>405000-216530</f>
        <v>188470</v>
      </c>
      <c r="BF71" s="610"/>
      <c r="BG71" s="56"/>
      <c r="BH71" s="611"/>
      <c r="BI71" s="612"/>
      <c r="BJ71" s="609">
        <v>0</v>
      </c>
      <c r="BK71" s="610"/>
      <c r="BL71" s="56"/>
      <c r="BM71" s="611"/>
      <c r="BN71" s="612"/>
      <c r="BO71" s="609">
        <v>0</v>
      </c>
      <c r="BP71" s="610"/>
      <c r="BQ71" s="56"/>
      <c r="BR71" s="611"/>
      <c r="BS71" s="612"/>
      <c r="BT71" s="609">
        <f>SUM(L71:BO71)</f>
        <v>3702347</v>
      </c>
      <c r="BU71" s="610"/>
      <c r="BV71" s="56"/>
      <c r="BW71" s="611"/>
      <c r="BX71" s="612"/>
      <c r="BY71" s="609">
        <v>7120738</v>
      </c>
      <c r="BZ71" s="610"/>
      <c r="CA71" s="56"/>
      <c r="CB71" s="611"/>
      <c r="CC71" s="612"/>
      <c r="CD71" s="609">
        <f>425000-175731</f>
        <v>249269</v>
      </c>
      <c r="CE71" s="610"/>
      <c r="CF71" s="56"/>
      <c r="CG71" s="611"/>
      <c r="CH71" s="612"/>
      <c r="CI71" s="609">
        <f>1835000-809832</f>
        <v>1025168</v>
      </c>
      <c r="CJ71" s="610"/>
      <c r="CK71" s="56"/>
      <c r="CL71" s="611"/>
      <c r="CM71" s="612"/>
      <c r="CN71" s="609">
        <f>145000-56498</f>
        <v>88502</v>
      </c>
      <c r="CO71" s="610"/>
      <c r="CP71" s="56"/>
      <c r="CQ71" s="611"/>
      <c r="CR71" s="612"/>
      <c r="CS71" s="609">
        <f>1210000-566983</f>
        <v>643017</v>
      </c>
      <c r="CT71" s="610"/>
      <c r="CU71" s="56"/>
      <c r="CV71" s="611"/>
      <c r="CW71" s="612"/>
      <c r="CX71" s="609">
        <f>655000-305150</f>
        <v>349850</v>
      </c>
      <c r="CY71" s="610"/>
      <c r="CZ71" s="56"/>
      <c r="DA71" s="611"/>
      <c r="DB71" s="612"/>
      <c r="DC71" s="609">
        <f>1245000-551930</f>
        <v>693070</v>
      </c>
      <c r="DD71" s="610"/>
      <c r="DE71" s="56"/>
      <c r="DF71" s="611"/>
      <c r="DG71" s="612"/>
      <c r="DH71" s="609">
        <f>1435000-649456</f>
        <v>785544</v>
      </c>
      <c r="DI71" s="610"/>
      <c r="DJ71" s="56"/>
      <c r="DK71" s="611"/>
      <c r="DL71" s="612"/>
      <c r="DM71" s="609">
        <f>1015000-443637</f>
        <v>571363</v>
      </c>
      <c r="DN71" s="610"/>
      <c r="DO71" s="56"/>
      <c r="DP71" s="611"/>
      <c r="DQ71" s="612"/>
      <c r="DR71" s="609">
        <f>1350000-579344</f>
        <v>770656</v>
      </c>
      <c r="DS71" s="610"/>
      <c r="DT71" s="56"/>
      <c r="DU71" s="611"/>
      <c r="DV71" s="612"/>
      <c r="DW71" s="609">
        <f>1685000-690613</f>
        <v>994387</v>
      </c>
      <c r="DX71" s="610"/>
      <c r="DY71" s="56"/>
      <c r="DZ71" s="611"/>
      <c r="EA71" s="612"/>
      <c r="EB71" s="609">
        <f>1035000-413201</f>
        <v>621799</v>
      </c>
      <c r="EC71" s="610"/>
      <c r="ED71" s="56"/>
      <c r="EE71" s="611"/>
      <c r="EF71" s="612"/>
      <c r="EG71" s="609">
        <f>570000-241887</f>
        <v>328113</v>
      </c>
      <c r="EH71" s="610"/>
      <c r="EI71" s="56"/>
      <c r="EJ71" s="611"/>
      <c r="EK71" s="612"/>
      <c r="EL71" s="609">
        <f t="shared" ref="EL71:EL74" si="6">SUM(CD71:DW71)</f>
        <v>6170826</v>
      </c>
      <c r="EM71" s="610"/>
      <c r="EN71" s="56"/>
      <c r="EO71" s="144"/>
      <c r="ER71" s="42"/>
      <c r="ES71" s="42"/>
    </row>
    <row r="72" spans="4:149" ht="12.75" customHeight="1" x14ac:dyDescent="0.3">
      <c r="D72" s="144" t="s">
        <v>338</v>
      </c>
      <c r="E72" s="611"/>
      <c r="F72" s="494"/>
      <c r="G72" s="56">
        <v>0</v>
      </c>
      <c r="H72" s="55"/>
      <c r="I72" s="56"/>
      <c r="J72" s="611"/>
      <c r="K72" s="611"/>
      <c r="L72" s="56">
        <v>384524</v>
      </c>
      <c r="M72" s="55"/>
      <c r="N72" s="56"/>
      <c r="O72" s="611"/>
      <c r="P72" s="611"/>
      <c r="Q72" s="56">
        <v>17638</v>
      </c>
      <c r="R72" s="55"/>
      <c r="S72" s="56"/>
      <c r="T72" s="611"/>
      <c r="U72" s="611"/>
      <c r="V72" s="56">
        <v>261613</v>
      </c>
      <c r="W72" s="55"/>
      <c r="X72" s="56"/>
      <c r="Y72" s="611"/>
      <c r="Z72" s="611"/>
      <c r="AA72" s="56">
        <v>431578</v>
      </c>
      <c r="AB72" s="55"/>
      <c r="AC72" s="56"/>
      <c r="AD72" s="611"/>
      <c r="AE72" s="611"/>
      <c r="AF72" s="56">
        <v>788653</v>
      </c>
      <c r="AG72" s="55"/>
      <c r="AH72" s="56"/>
      <c r="AI72" s="611"/>
      <c r="AJ72" s="611"/>
      <c r="AK72" s="56">
        <v>206658</v>
      </c>
      <c r="AL72" s="55"/>
      <c r="AM72" s="56"/>
      <c r="AN72" s="611"/>
      <c r="AO72" s="611"/>
      <c r="AP72" s="56">
        <v>1051987</v>
      </c>
      <c r="AQ72" s="55"/>
      <c r="AR72" s="56"/>
      <c r="AS72" s="611"/>
      <c r="AT72" s="611"/>
      <c r="AU72" s="56">
        <v>404513</v>
      </c>
      <c r="AV72" s="55"/>
      <c r="AW72" s="56"/>
      <c r="AX72" s="611"/>
      <c r="AY72" s="611"/>
      <c r="AZ72" s="56">
        <v>103959</v>
      </c>
      <c r="BA72" s="55"/>
      <c r="BB72" s="56"/>
      <c r="BC72" s="611"/>
      <c r="BD72" s="611"/>
      <c r="BE72" s="56">
        <v>216530</v>
      </c>
      <c r="BF72" s="55"/>
      <c r="BG72" s="56"/>
      <c r="BH72" s="611"/>
      <c r="BI72" s="611"/>
      <c r="BJ72" s="56">
        <v>0</v>
      </c>
      <c r="BK72" s="55"/>
      <c r="BL72" s="56"/>
      <c r="BM72" s="611"/>
      <c r="BN72" s="611"/>
      <c r="BO72" s="56">
        <v>0</v>
      </c>
      <c r="BP72" s="55"/>
      <c r="BQ72" s="56"/>
      <c r="BR72" s="611"/>
      <c r="BS72" s="611"/>
      <c r="BT72" s="56">
        <f>SUM(L72:BO72)</f>
        <v>3867653</v>
      </c>
      <c r="BU72" s="55"/>
      <c r="BV72" s="56"/>
      <c r="BW72" s="611"/>
      <c r="BX72" s="611"/>
      <c r="BY72" s="56">
        <v>5484262</v>
      </c>
      <c r="BZ72" s="55"/>
      <c r="CA72" s="56"/>
      <c r="CB72" s="611"/>
      <c r="CC72" s="611"/>
      <c r="CD72" s="56">
        <v>175731</v>
      </c>
      <c r="CE72" s="55"/>
      <c r="CF72" s="56"/>
      <c r="CG72" s="611"/>
      <c r="CH72" s="611"/>
      <c r="CI72" s="56">
        <v>809832</v>
      </c>
      <c r="CJ72" s="55"/>
      <c r="CK72" s="56"/>
      <c r="CL72" s="611"/>
      <c r="CM72" s="611"/>
      <c r="CN72" s="56">
        <v>56498</v>
      </c>
      <c r="CO72" s="55"/>
      <c r="CP72" s="56"/>
      <c r="CQ72" s="611"/>
      <c r="CR72" s="611"/>
      <c r="CS72" s="56">
        <v>566983</v>
      </c>
      <c r="CT72" s="55"/>
      <c r="CU72" s="56"/>
      <c r="CV72" s="611"/>
      <c r="CW72" s="611"/>
      <c r="CX72" s="56">
        <v>305150</v>
      </c>
      <c r="CY72" s="55"/>
      <c r="CZ72" s="56"/>
      <c r="DA72" s="611"/>
      <c r="DB72" s="611"/>
      <c r="DC72" s="56">
        <v>551930</v>
      </c>
      <c r="DD72" s="55"/>
      <c r="DE72" s="56"/>
      <c r="DF72" s="611"/>
      <c r="DG72" s="611"/>
      <c r="DH72" s="56">
        <v>649456</v>
      </c>
      <c r="DI72" s="55"/>
      <c r="DJ72" s="56"/>
      <c r="DK72" s="611"/>
      <c r="DL72" s="611"/>
      <c r="DM72" s="56">
        <v>443637</v>
      </c>
      <c r="DN72" s="55"/>
      <c r="DO72" s="56"/>
      <c r="DP72" s="611"/>
      <c r="DQ72" s="611"/>
      <c r="DR72" s="56">
        <v>579344</v>
      </c>
      <c r="DS72" s="55"/>
      <c r="DT72" s="56"/>
      <c r="DU72" s="611"/>
      <c r="DV72" s="611"/>
      <c r="DW72" s="56">
        <v>690613</v>
      </c>
      <c r="DX72" s="55"/>
      <c r="DY72" s="56"/>
      <c r="DZ72" s="611"/>
      <c r="EA72" s="611"/>
      <c r="EB72" s="56">
        <v>413201</v>
      </c>
      <c r="EC72" s="55"/>
      <c r="ED72" s="56"/>
      <c r="EE72" s="611"/>
      <c r="EF72" s="611"/>
      <c r="EG72" s="56">
        <v>241887</v>
      </c>
      <c r="EH72" s="55"/>
      <c r="EI72" s="56"/>
      <c r="EJ72" s="611"/>
      <c r="EK72" s="611"/>
      <c r="EL72" s="56">
        <f t="shared" si="6"/>
        <v>4829174</v>
      </c>
      <c r="EM72" s="55"/>
      <c r="EN72" s="56"/>
      <c r="EO72" s="144"/>
      <c r="ER72" s="42"/>
      <c r="ES72" s="42"/>
    </row>
    <row r="73" spans="4:149" ht="12.75" customHeight="1" x14ac:dyDescent="0.3">
      <c r="D73" s="144" t="s">
        <v>339</v>
      </c>
      <c r="E73" s="611"/>
      <c r="F73" s="494"/>
      <c r="G73" s="56">
        <v>0</v>
      </c>
      <c r="H73" s="55"/>
      <c r="I73" s="56"/>
      <c r="J73" s="611"/>
      <c r="K73" s="611"/>
      <c r="L73" s="56">
        <v>0</v>
      </c>
      <c r="M73" s="55"/>
      <c r="N73" s="56"/>
      <c r="O73" s="611"/>
      <c r="P73" s="611"/>
      <c r="Q73" s="56">
        <v>0</v>
      </c>
      <c r="R73" s="55"/>
      <c r="S73" s="56"/>
      <c r="T73" s="611"/>
      <c r="U73" s="611"/>
      <c r="V73" s="56">
        <v>0</v>
      </c>
      <c r="W73" s="55"/>
      <c r="X73" s="56"/>
      <c r="Y73" s="611"/>
      <c r="Z73" s="611"/>
      <c r="AA73" s="56">
        <v>0</v>
      </c>
      <c r="AB73" s="55"/>
      <c r="AC73" s="56"/>
      <c r="AD73" s="611"/>
      <c r="AE73" s="611"/>
      <c r="AF73" s="56">
        <v>0</v>
      </c>
      <c r="AG73" s="55"/>
      <c r="AH73" s="56"/>
      <c r="AI73" s="611"/>
      <c r="AJ73" s="611"/>
      <c r="AK73" s="56">
        <v>0</v>
      </c>
      <c r="AL73" s="55"/>
      <c r="AM73" s="56"/>
      <c r="AN73" s="611"/>
      <c r="AO73" s="611"/>
      <c r="AP73" s="56">
        <v>0</v>
      </c>
      <c r="AQ73" s="55"/>
      <c r="AR73" s="56"/>
      <c r="AS73" s="611"/>
      <c r="AT73" s="611"/>
      <c r="AU73" s="56">
        <v>0</v>
      </c>
      <c r="AV73" s="55"/>
      <c r="AW73" s="56"/>
      <c r="AX73" s="611"/>
      <c r="AY73" s="611"/>
      <c r="AZ73" s="56">
        <v>0</v>
      </c>
      <c r="BA73" s="55"/>
      <c r="BB73" s="56"/>
      <c r="BC73" s="611"/>
      <c r="BD73" s="611"/>
      <c r="BE73" s="56">
        <v>0</v>
      </c>
      <c r="BF73" s="55"/>
      <c r="BG73" s="56"/>
      <c r="BH73" s="611"/>
      <c r="BI73" s="611"/>
      <c r="BJ73" s="56">
        <v>0</v>
      </c>
      <c r="BK73" s="55"/>
      <c r="BL73" s="56"/>
      <c r="BM73" s="611"/>
      <c r="BN73" s="611"/>
      <c r="BO73" s="56">
        <v>0</v>
      </c>
      <c r="BP73" s="55"/>
      <c r="BQ73" s="56"/>
      <c r="BR73" s="611"/>
      <c r="BS73" s="611"/>
      <c r="BT73" s="56">
        <f>SUM(L73:BO73)</f>
        <v>0</v>
      </c>
      <c r="BU73" s="55"/>
      <c r="BV73" s="56"/>
      <c r="BW73" s="611"/>
      <c r="BX73" s="611"/>
      <c r="BY73" s="56">
        <v>0</v>
      </c>
      <c r="BZ73" s="55"/>
      <c r="CA73" s="56"/>
      <c r="CB73" s="611"/>
      <c r="CC73" s="611"/>
      <c r="CD73" s="56">
        <v>0</v>
      </c>
      <c r="CE73" s="55"/>
      <c r="CF73" s="56"/>
      <c r="CG73" s="611"/>
      <c r="CH73" s="611"/>
      <c r="CI73" s="56">
        <v>0</v>
      </c>
      <c r="CJ73" s="55"/>
      <c r="CK73" s="56"/>
      <c r="CL73" s="611"/>
      <c r="CM73" s="611"/>
      <c r="CN73" s="56">
        <v>0</v>
      </c>
      <c r="CO73" s="55"/>
      <c r="CP73" s="56"/>
      <c r="CQ73" s="611"/>
      <c r="CR73" s="611"/>
      <c r="CS73" s="56">
        <v>0</v>
      </c>
      <c r="CT73" s="55"/>
      <c r="CU73" s="56"/>
      <c r="CV73" s="611"/>
      <c r="CW73" s="611"/>
      <c r="CX73" s="56">
        <v>0</v>
      </c>
      <c r="CY73" s="55"/>
      <c r="CZ73" s="56"/>
      <c r="DA73" s="611"/>
      <c r="DB73" s="611"/>
      <c r="DC73" s="56">
        <v>0</v>
      </c>
      <c r="DD73" s="55"/>
      <c r="DE73" s="56"/>
      <c r="DF73" s="611"/>
      <c r="DG73" s="611"/>
      <c r="DH73" s="56">
        <v>0</v>
      </c>
      <c r="DI73" s="55"/>
      <c r="DJ73" s="56"/>
      <c r="DK73" s="611"/>
      <c r="DL73" s="611"/>
      <c r="DM73" s="56">
        <v>0</v>
      </c>
      <c r="DN73" s="55"/>
      <c r="DO73" s="56"/>
      <c r="DP73" s="611"/>
      <c r="DQ73" s="611"/>
      <c r="DR73" s="56">
        <v>0</v>
      </c>
      <c r="DS73" s="55"/>
      <c r="DT73" s="56"/>
      <c r="DU73" s="611"/>
      <c r="DV73" s="611"/>
      <c r="DW73" s="56">
        <v>0</v>
      </c>
      <c r="DX73" s="55"/>
      <c r="DY73" s="56"/>
      <c r="DZ73" s="611"/>
      <c r="EA73" s="611"/>
      <c r="EB73" s="56">
        <v>0</v>
      </c>
      <c r="EC73" s="55"/>
      <c r="ED73" s="56"/>
      <c r="EE73" s="611"/>
      <c r="EF73" s="611"/>
      <c r="EG73" s="56">
        <v>0</v>
      </c>
      <c r="EH73" s="55"/>
      <c r="EI73" s="56"/>
      <c r="EJ73" s="611"/>
      <c r="EK73" s="611"/>
      <c r="EL73" s="56">
        <f t="shared" si="6"/>
        <v>0</v>
      </c>
      <c r="EM73" s="55"/>
      <c r="EN73" s="56"/>
      <c r="EO73" s="144"/>
      <c r="ER73" s="42"/>
      <c r="ES73" s="42"/>
    </row>
    <row r="74" spans="4:149" ht="12.75" customHeight="1" x14ac:dyDescent="0.3">
      <c r="D74" s="144" t="s">
        <v>340</v>
      </c>
      <c r="E74" s="611"/>
      <c r="F74" s="513"/>
      <c r="G74" s="117">
        <v>0</v>
      </c>
      <c r="H74" s="116"/>
      <c r="I74" s="56"/>
      <c r="J74" s="611"/>
      <c r="K74" s="620"/>
      <c r="L74" s="117">
        <v>576729</v>
      </c>
      <c r="M74" s="116"/>
      <c r="N74" s="56"/>
      <c r="O74" s="611"/>
      <c r="P74" s="620"/>
      <c r="Q74" s="117">
        <v>27130</v>
      </c>
      <c r="R74" s="116"/>
      <c r="S74" s="56"/>
      <c r="T74" s="611"/>
      <c r="U74" s="620"/>
      <c r="V74" s="117">
        <v>402350</v>
      </c>
      <c r="W74" s="116"/>
      <c r="X74" s="56"/>
      <c r="Y74" s="611"/>
      <c r="Z74" s="620"/>
      <c r="AA74" s="117">
        <v>557806</v>
      </c>
      <c r="AB74" s="116"/>
      <c r="AC74" s="56"/>
      <c r="AD74" s="611"/>
      <c r="AE74" s="620"/>
      <c r="AF74" s="117">
        <v>1040992</v>
      </c>
      <c r="AG74" s="116"/>
      <c r="AH74" s="56"/>
      <c r="AI74" s="611"/>
      <c r="AJ74" s="620"/>
      <c r="AK74" s="117">
        <v>276927</v>
      </c>
      <c r="AL74" s="116"/>
      <c r="AM74" s="56"/>
      <c r="AN74" s="611"/>
      <c r="AO74" s="620"/>
      <c r="AP74" s="117">
        <v>1192026</v>
      </c>
      <c r="AQ74" s="116"/>
      <c r="AR74" s="56"/>
      <c r="AS74" s="611"/>
      <c r="AT74" s="620"/>
      <c r="AU74" s="117">
        <v>461191</v>
      </c>
      <c r="AV74" s="116"/>
      <c r="AW74" s="56"/>
      <c r="AX74" s="611"/>
      <c r="AY74" s="620"/>
      <c r="AZ74" s="117">
        <v>114623</v>
      </c>
      <c r="BA74" s="116"/>
      <c r="BB74" s="56"/>
      <c r="BC74" s="611"/>
      <c r="BD74" s="620"/>
      <c r="BE74" s="117">
        <v>283404</v>
      </c>
      <c r="BF74" s="116"/>
      <c r="BG74" s="56"/>
      <c r="BH74" s="611"/>
      <c r="BI74" s="620"/>
      <c r="BJ74" s="117">
        <v>0</v>
      </c>
      <c r="BK74" s="116"/>
      <c r="BL74" s="56"/>
      <c r="BM74" s="611"/>
      <c r="BN74" s="620"/>
      <c r="BO74" s="117">
        <v>0</v>
      </c>
      <c r="BP74" s="116"/>
      <c r="BQ74" s="56"/>
      <c r="BR74" s="611"/>
      <c r="BS74" s="620"/>
      <c r="BT74" s="117">
        <f>SUM(L74:BO74)</f>
        <v>4933178</v>
      </c>
      <c r="BU74" s="116"/>
      <c r="BV74" s="56"/>
      <c r="BW74" s="611"/>
      <c r="BX74" s="620"/>
      <c r="BY74" s="117">
        <v>7020911</v>
      </c>
      <c r="BZ74" s="116"/>
      <c r="CA74" s="56"/>
      <c r="CB74" s="611"/>
      <c r="CC74" s="620"/>
      <c r="CD74" s="117">
        <v>218065</v>
      </c>
      <c r="CE74" s="116"/>
      <c r="CF74" s="56"/>
      <c r="CG74" s="611"/>
      <c r="CH74" s="620"/>
      <c r="CI74" s="117">
        <v>952717</v>
      </c>
      <c r="CJ74" s="116"/>
      <c r="CK74" s="56"/>
      <c r="CL74" s="611"/>
      <c r="CM74" s="620"/>
      <c r="CN74" s="117">
        <v>76586</v>
      </c>
      <c r="CO74" s="116"/>
      <c r="CP74" s="56"/>
      <c r="CQ74" s="611"/>
      <c r="CR74" s="620"/>
      <c r="CS74" s="117">
        <v>654433</v>
      </c>
      <c r="CT74" s="116"/>
      <c r="CU74" s="56"/>
      <c r="CV74" s="611"/>
      <c r="CW74" s="620"/>
      <c r="CX74" s="117">
        <v>357894</v>
      </c>
      <c r="CY74" s="116"/>
      <c r="CZ74" s="56"/>
      <c r="DA74" s="611"/>
      <c r="DB74" s="620"/>
      <c r="DC74" s="117">
        <v>682366</v>
      </c>
      <c r="DD74" s="116"/>
      <c r="DE74" s="56"/>
      <c r="DF74" s="611"/>
      <c r="DG74" s="620"/>
      <c r="DH74" s="117">
        <v>800967</v>
      </c>
      <c r="DI74" s="116"/>
      <c r="DJ74" s="56"/>
      <c r="DK74" s="611"/>
      <c r="DL74" s="620"/>
      <c r="DM74" s="117">
        <v>579101</v>
      </c>
      <c r="DN74" s="116"/>
      <c r="DO74" s="56"/>
      <c r="DP74" s="611"/>
      <c r="DQ74" s="620"/>
      <c r="DR74" s="117">
        <v>777227</v>
      </c>
      <c r="DS74" s="116"/>
      <c r="DT74" s="56"/>
      <c r="DU74" s="611"/>
      <c r="DV74" s="620"/>
      <c r="DW74" s="117">
        <v>977581</v>
      </c>
      <c r="DX74" s="116"/>
      <c r="DY74" s="56"/>
      <c r="DZ74" s="611"/>
      <c r="EA74" s="620"/>
      <c r="EB74" s="117">
        <v>603587</v>
      </c>
      <c r="EC74" s="116"/>
      <c r="ED74" s="56"/>
      <c r="EE74" s="611"/>
      <c r="EF74" s="620"/>
      <c r="EG74" s="117">
        <v>340387</v>
      </c>
      <c r="EH74" s="116"/>
      <c r="EI74" s="56"/>
      <c r="EJ74" s="611"/>
      <c r="EK74" s="620"/>
      <c r="EL74" s="117">
        <f t="shared" si="6"/>
        <v>6076937</v>
      </c>
      <c r="EM74" s="116"/>
      <c r="EN74" s="56"/>
      <c r="EO74" s="144"/>
      <c r="ER74" s="42"/>
      <c r="ES74" s="42"/>
    </row>
    <row r="75" spans="4:149" ht="12.75" customHeight="1" x14ac:dyDescent="0.3">
      <c r="D75" s="144"/>
      <c r="E75" s="611"/>
      <c r="G75" s="56"/>
      <c r="H75" s="56"/>
      <c r="I75" s="56"/>
      <c r="J75" s="611"/>
      <c r="K75" s="56"/>
      <c r="L75" s="56"/>
      <c r="M75" s="56"/>
      <c r="N75" s="56"/>
      <c r="O75" s="611"/>
      <c r="P75" s="56"/>
      <c r="Q75" s="56"/>
      <c r="R75" s="56"/>
      <c r="S75" s="56"/>
      <c r="T75" s="611"/>
      <c r="U75" s="56"/>
      <c r="V75" s="56"/>
      <c r="W75" s="56"/>
      <c r="X75" s="56"/>
      <c r="Y75" s="611"/>
      <c r="Z75" s="56"/>
      <c r="AA75" s="56"/>
      <c r="AB75" s="56"/>
      <c r="AC75" s="56"/>
      <c r="AD75" s="611"/>
      <c r="AE75" s="56"/>
      <c r="AF75" s="56"/>
      <c r="AG75" s="56"/>
      <c r="AH75" s="56"/>
      <c r="AI75" s="611"/>
      <c r="AJ75" s="56"/>
      <c r="AK75" s="56"/>
      <c r="AL75" s="56"/>
      <c r="AM75" s="56"/>
      <c r="AN75" s="611"/>
      <c r="AO75" s="56"/>
      <c r="AP75" s="56"/>
      <c r="AQ75" s="56"/>
      <c r="AR75" s="56"/>
      <c r="AS75" s="611"/>
      <c r="AT75" s="56"/>
      <c r="AU75" s="56"/>
      <c r="AV75" s="56"/>
      <c r="AW75" s="56"/>
      <c r="AX75" s="611"/>
      <c r="AY75" s="56"/>
      <c r="AZ75" s="56"/>
      <c r="BA75" s="56"/>
      <c r="BB75" s="56"/>
      <c r="BC75" s="611"/>
      <c r="BD75" s="56"/>
      <c r="BE75" s="56"/>
      <c r="BF75" s="56"/>
      <c r="BG75" s="56"/>
      <c r="BH75" s="611"/>
      <c r="BI75" s="56"/>
      <c r="BJ75" s="56"/>
      <c r="BK75" s="56"/>
      <c r="BL75" s="56"/>
      <c r="BM75" s="611"/>
      <c r="BN75" s="56"/>
      <c r="BO75" s="56"/>
      <c r="BP75" s="56"/>
      <c r="BQ75" s="56"/>
      <c r="BR75" s="611"/>
      <c r="BS75" s="56"/>
      <c r="BT75" s="56"/>
      <c r="BU75" s="56"/>
      <c r="BV75" s="56"/>
      <c r="BW75" s="611"/>
      <c r="BX75" s="56"/>
      <c r="BY75" s="56"/>
      <c r="BZ75" s="56"/>
      <c r="CA75" s="56"/>
      <c r="CB75" s="611"/>
      <c r="CC75" s="56"/>
      <c r="CD75" s="56"/>
      <c r="CE75" s="56"/>
      <c r="CF75" s="56"/>
      <c r="CG75" s="611"/>
      <c r="CH75" s="56"/>
      <c r="CI75" s="56"/>
      <c r="CJ75" s="56"/>
      <c r="CK75" s="56"/>
      <c r="CL75" s="611"/>
      <c r="CM75" s="56"/>
      <c r="CN75" s="56"/>
      <c r="CO75" s="56"/>
      <c r="CP75" s="56"/>
      <c r="CQ75" s="611"/>
      <c r="CR75" s="56"/>
      <c r="CS75" s="56"/>
      <c r="CT75" s="56"/>
      <c r="CU75" s="56"/>
      <c r="CV75" s="611"/>
      <c r="CW75" s="56"/>
      <c r="CX75" s="56"/>
      <c r="CY75" s="56"/>
      <c r="CZ75" s="56"/>
      <c r="DA75" s="611"/>
      <c r="DB75" s="56"/>
      <c r="DC75" s="56"/>
      <c r="DD75" s="56"/>
      <c r="DE75" s="56"/>
      <c r="DF75" s="611"/>
      <c r="DG75" s="56"/>
      <c r="DH75" s="56"/>
      <c r="DI75" s="56"/>
      <c r="DJ75" s="56"/>
      <c r="DK75" s="611"/>
      <c r="DL75" s="56"/>
      <c r="DM75" s="56"/>
      <c r="DN75" s="56"/>
      <c r="DO75" s="56"/>
      <c r="DP75" s="611"/>
      <c r="DQ75" s="56"/>
      <c r="DR75" s="56"/>
      <c r="DS75" s="56"/>
      <c r="DT75" s="56"/>
      <c r="DU75" s="611"/>
      <c r="DV75" s="56"/>
      <c r="DW75" s="56"/>
      <c r="DX75" s="56"/>
      <c r="DY75" s="56"/>
      <c r="DZ75" s="611"/>
      <c r="EA75" s="56"/>
      <c r="EB75" s="56"/>
      <c r="EC75" s="56"/>
      <c r="ED75" s="56"/>
      <c r="EE75" s="611"/>
      <c r="EF75" s="56"/>
      <c r="EG75" s="56"/>
      <c r="EH75" s="56"/>
      <c r="EI75" s="56"/>
      <c r="EJ75" s="611"/>
      <c r="EK75" s="56"/>
      <c r="EL75" s="56"/>
      <c r="EM75" s="56"/>
      <c r="EN75" s="56"/>
      <c r="EO75" s="144"/>
      <c r="ER75" s="42"/>
      <c r="ES75" s="42"/>
    </row>
    <row r="76" spans="4:149" ht="12.75" hidden="1" customHeight="1" x14ac:dyDescent="0.3">
      <c r="D76" s="144" t="s">
        <v>349</v>
      </c>
      <c r="E76" s="611"/>
      <c r="G76" s="56">
        <f>SUM(G77:G80)</f>
        <v>0</v>
      </c>
      <c r="H76" s="56"/>
      <c r="I76" s="56"/>
      <c r="J76" s="611"/>
      <c r="K76" s="56"/>
      <c r="L76" s="56">
        <f>SUM(L77:L80)</f>
        <v>0</v>
      </c>
      <c r="M76" s="56"/>
      <c r="N76" s="56"/>
      <c r="O76" s="611"/>
      <c r="P76" s="56"/>
      <c r="Q76" s="56">
        <f>SUM(Q77:Q80)</f>
        <v>0</v>
      </c>
      <c r="R76" s="56"/>
      <c r="S76" s="56"/>
      <c r="T76" s="611"/>
      <c r="U76" s="56"/>
      <c r="V76" s="56">
        <f>SUM(V77:V80)</f>
        <v>0</v>
      </c>
      <c r="W76" s="56"/>
      <c r="X76" s="56"/>
      <c r="Y76" s="611"/>
      <c r="Z76" s="56"/>
      <c r="AA76" s="56">
        <f>SUM(AA77:AA80)</f>
        <v>0</v>
      </c>
      <c r="AB76" s="56"/>
      <c r="AC76" s="56"/>
      <c r="AD76" s="611"/>
      <c r="AE76" s="56"/>
      <c r="AF76" s="56">
        <f>SUM(AF77:AF80)</f>
        <v>0</v>
      </c>
      <c r="AG76" s="56"/>
      <c r="AH76" s="56"/>
      <c r="AI76" s="611"/>
      <c r="AJ76" s="56"/>
      <c r="AK76" s="56">
        <f>SUM(AK77:AK80)</f>
        <v>0</v>
      </c>
      <c r="AL76" s="56"/>
      <c r="AM76" s="56"/>
      <c r="AN76" s="611"/>
      <c r="AO76" s="56"/>
      <c r="AP76" s="56">
        <f>SUM(AP77:AP80)</f>
        <v>0</v>
      </c>
      <c r="AQ76" s="56"/>
      <c r="AR76" s="56"/>
      <c r="AS76" s="611"/>
      <c r="AT76" s="56"/>
      <c r="AU76" s="56">
        <f>SUM(AU77:AU80)</f>
        <v>0</v>
      </c>
      <c r="AV76" s="56"/>
      <c r="AW76" s="56"/>
      <c r="AX76" s="611"/>
      <c r="AY76" s="56"/>
      <c r="AZ76" s="56">
        <f>SUM(AZ77:AZ80)</f>
        <v>0</v>
      </c>
      <c r="BA76" s="56"/>
      <c r="BB76" s="56"/>
      <c r="BC76" s="611"/>
      <c r="BD76" s="56"/>
      <c r="BE76" s="56">
        <f>SUM(BE77:BE80)</f>
        <v>0</v>
      </c>
      <c r="BF76" s="56"/>
      <c r="BG76" s="56"/>
      <c r="BH76" s="611"/>
      <c r="BI76" s="56"/>
      <c r="BJ76" s="56">
        <f>SUM(BJ77:BJ80)</f>
        <v>0</v>
      </c>
      <c r="BK76" s="56"/>
      <c r="BL76" s="56"/>
      <c r="BM76" s="611"/>
      <c r="BN76" s="56"/>
      <c r="BO76" s="56">
        <f>SUM(BO77:BO80)</f>
        <v>0</v>
      </c>
      <c r="BP76" s="56"/>
      <c r="BQ76" s="56"/>
      <c r="BR76" s="611"/>
      <c r="BS76" s="56"/>
      <c r="BT76" s="56">
        <f>SUM(BT77:BT80)</f>
        <v>0</v>
      </c>
      <c r="BU76" s="56"/>
      <c r="BV76" s="56"/>
      <c r="BW76" s="611"/>
      <c r="BX76" s="56"/>
      <c r="BY76" s="56">
        <f>SUM(BY77:BY80)</f>
        <v>0</v>
      </c>
      <c r="BZ76" s="56"/>
      <c r="CA76" s="56"/>
      <c r="CB76" s="611"/>
      <c r="CC76" s="56"/>
      <c r="CD76" s="56">
        <f>SUM(CD77:CD80)</f>
        <v>0</v>
      </c>
      <c r="CE76" s="56"/>
      <c r="CF76" s="56"/>
      <c r="CG76" s="611"/>
      <c r="CH76" s="56"/>
      <c r="CI76" s="56">
        <f>SUM(CI77:CI80)</f>
        <v>0</v>
      </c>
      <c r="CJ76" s="56"/>
      <c r="CK76" s="56"/>
      <c r="CL76" s="611"/>
      <c r="CM76" s="56"/>
      <c r="CN76" s="56">
        <f>SUM(CN77:CN80)</f>
        <v>0</v>
      </c>
      <c r="CO76" s="56"/>
      <c r="CP76" s="56"/>
      <c r="CQ76" s="611"/>
      <c r="CR76" s="56"/>
      <c r="CS76" s="56">
        <f>SUM(CS77:CS80)</f>
        <v>0</v>
      </c>
      <c r="CT76" s="56"/>
      <c r="CU76" s="56"/>
      <c r="CV76" s="611"/>
      <c r="CW76" s="56"/>
      <c r="CX76" s="56">
        <f>SUM(CX77:CX80)</f>
        <v>0</v>
      </c>
      <c r="CY76" s="56"/>
      <c r="CZ76" s="56"/>
      <c r="DA76" s="611"/>
      <c r="DB76" s="56"/>
      <c r="DC76" s="56">
        <f>SUM(DC77:DC80)</f>
        <v>0</v>
      </c>
      <c r="DD76" s="56"/>
      <c r="DE76" s="56"/>
      <c r="DF76" s="611"/>
      <c r="DG76" s="56"/>
      <c r="DH76" s="56">
        <f>SUM(DH77:DH80)</f>
        <v>0</v>
      </c>
      <c r="DI76" s="56"/>
      <c r="DJ76" s="56"/>
      <c r="DK76" s="611"/>
      <c r="DL76" s="56"/>
      <c r="DM76" s="56">
        <f>SUM(DM77:DM80)</f>
        <v>0</v>
      </c>
      <c r="DN76" s="56"/>
      <c r="DO76" s="56"/>
      <c r="DP76" s="611"/>
      <c r="DQ76" s="56"/>
      <c r="DR76" s="56">
        <f>SUM(DR77:DR80)</f>
        <v>0</v>
      </c>
      <c r="DS76" s="56"/>
      <c r="DT76" s="56"/>
      <c r="DU76" s="611"/>
      <c r="DV76" s="56"/>
      <c r="DW76" s="56">
        <f>SUM(DW77:DW80)</f>
        <v>0</v>
      </c>
      <c r="DX76" s="56"/>
      <c r="DY76" s="56"/>
      <c r="DZ76" s="611"/>
      <c r="EA76" s="56"/>
      <c r="EB76" s="56">
        <f>SUM(EB77:EB80)</f>
        <v>0</v>
      </c>
      <c r="EC76" s="56"/>
      <c r="ED76" s="56"/>
      <c r="EE76" s="611"/>
      <c r="EF76" s="56"/>
      <c r="EG76" s="56">
        <f>SUM(EG77:EG80)</f>
        <v>0</v>
      </c>
      <c r="EH76" s="56"/>
      <c r="EI76" s="56"/>
      <c r="EJ76" s="611"/>
      <c r="EK76" s="56"/>
      <c r="EL76" s="56">
        <f>SUM(EL77:EL80)</f>
        <v>0</v>
      </c>
      <c r="EM76" s="56"/>
      <c r="EN76" s="56"/>
      <c r="EO76" s="144"/>
      <c r="ER76" s="42"/>
      <c r="ES76" s="42"/>
    </row>
    <row r="77" spans="4:149" ht="12.75" hidden="1" customHeight="1" x14ac:dyDescent="0.3">
      <c r="D77" s="144" t="s">
        <v>335</v>
      </c>
      <c r="E77" s="611"/>
      <c r="F77" s="500"/>
      <c r="G77" s="609">
        <v>0</v>
      </c>
      <c r="H77" s="610"/>
      <c r="I77" s="56"/>
      <c r="J77" s="611"/>
      <c r="K77" s="612"/>
      <c r="L77" s="609">
        <v>0</v>
      </c>
      <c r="M77" s="610"/>
      <c r="N77" s="56"/>
      <c r="O77" s="611"/>
      <c r="P77" s="612"/>
      <c r="Q77" s="609">
        <v>0</v>
      </c>
      <c r="R77" s="610"/>
      <c r="S77" s="56"/>
      <c r="T77" s="611"/>
      <c r="U77" s="612"/>
      <c r="V77" s="609">
        <v>0</v>
      </c>
      <c r="W77" s="610"/>
      <c r="X77" s="56"/>
      <c r="Y77" s="611"/>
      <c r="Z77" s="612"/>
      <c r="AA77" s="609">
        <v>0</v>
      </c>
      <c r="AB77" s="610"/>
      <c r="AC77" s="56"/>
      <c r="AD77" s="611"/>
      <c r="AE77" s="612"/>
      <c r="AF77" s="609">
        <v>0</v>
      </c>
      <c r="AG77" s="610"/>
      <c r="AH77" s="56"/>
      <c r="AI77" s="611"/>
      <c r="AJ77" s="612"/>
      <c r="AK77" s="609">
        <v>0</v>
      </c>
      <c r="AL77" s="610"/>
      <c r="AM77" s="56"/>
      <c r="AN77" s="611"/>
      <c r="AO77" s="612"/>
      <c r="AP77" s="609">
        <v>0</v>
      </c>
      <c r="AQ77" s="610"/>
      <c r="AR77" s="56"/>
      <c r="AS77" s="611"/>
      <c r="AT77" s="612"/>
      <c r="AU77" s="609">
        <v>0</v>
      </c>
      <c r="AV77" s="610"/>
      <c r="AW77" s="56"/>
      <c r="AX77" s="611"/>
      <c r="AY77" s="612"/>
      <c r="AZ77" s="609">
        <v>0</v>
      </c>
      <c r="BA77" s="610"/>
      <c r="BB77" s="56"/>
      <c r="BC77" s="611"/>
      <c r="BD77" s="612"/>
      <c r="BE77" s="609">
        <v>0</v>
      </c>
      <c r="BF77" s="610"/>
      <c r="BG77" s="56"/>
      <c r="BH77" s="611"/>
      <c r="BI77" s="612"/>
      <c r="BJ77" s="609">
        <v>0</v>
      </c>
      <c r="BK77" s="610"/>
      <c r="BL77" s="56"/>
      <c r="BM77" s="611"/>
      <c r="BN77" s="612"/>
      <c r="BO77" s="609">
        <v>0</v>
      </c>
      <c r="BP77" s="610"/>
      <c r="BQ77" s="56"/>
      <c r="BR77" s="611"/>
      <c r="BS77" s="612"/>
      <c r="BT77" s="609">
        <f>SUM(L77:BO77)</f>
        <v>0</v>
      </c>
      <c r="BU77" s="610"/>
      <c r="BV77" s="56"/>
      <c r="BW77" s="611"/>
      <c r="BX77" s="612"/>
      <c r="BY77" s="609">
        <v>0</v>
      </c>
      <c r="BZ77" s="610"/>
      <c r="CA77" s="56"/>
      <c r="CB77" s="611"/>
      <c r="CC77" s="612"/>
      <c r="CD77" s="609">
        <v>0</v>
      </c>
      <c r="CE77" s="610"/>
      <c r="CF77" s="56"/>
      <c r="CG77" s="611"/>
      <c r="CH77" s="612"/>
      <c r="CI77" s="609">
        <v>0</v>
      </c>
      <c r="CJ77" s="610"/>
      <c r="CK77" s="56"/>
      <c r="CL77" s="611"/>
      <c r="CM77" s="612"/>
      <c r="CN77" s="609">
        <v>0</v>
      </c>
      <c r="CO77" s="610"/>
      <c r="CP77" s="56"/>
      <c r="CQ77" s="611"/>
      <c r="CR77" s="612"/>
      <c r="CS77" s="609">
        <v>0</v>
      </c>
      <c r="CT77" s="610"/>
      <c r="CU77" s="56"/>
      <c r="CV77" s="611"/>
      <c r="CW77" s="612"/>
      <c r="CX77" s="609">
        <v>0</v>
      </c>
      <c r="CY77" s="610"/>
      <c r="CZ77" s="56"/>
      <c r="DA77" s="611"/>
      <c r="DB77" s="612"/>
      <c r="DC77" s="609">
        <v>0</v>
      </c>
      <c r="DD77" s="610"/>
      <c r="DE77" s="56"/>
      <c r="DF77" s="611"/>
      <c r="DG77" s="612"/>
      <c r="DH77" s="609">
        <v>0</v>
      </c>
      <c r="DI77" s="610"/>
      <c r="DJ77" s="56"/>
      <c r="DK77" s="611"/>
      <c r="DL77" s="612"/>
      <c r="DM77" s="609">
        <v>0</v>
      </c>
      <c r="DN77" s="610"/>
      <c r="DO77" s="56"/>
      <c r="DP77" s="611"/>
      <c r="DQ77" s="612"/>
      <c r="DR77" s="609">
        <v>0</v>
      </c>
      <c r="DS77" s="610"/>
      <c r="DT77" s="56"/>
      <c r="DU77" s="611"/>
      <c r="DV77" s="612"/>
      <c r="DW77" s="609">
        <v>0</v>
      </c>
      <c r="DX77" s="610"/>
      <c r="DY77" s="56"/>
      <c r="DZ77" s="611"/>
      <c r="EA77" s="612"/>
      <c r="EB77" s="609">
        <v>0</v>
      </c>
      <c r="EC77" s="610"/>
      <c r="ED77" s="56"/>
      <c r="EE77" s="611"/>
      <c r="EF77" s="612"/>
      <c r="EG77" s="609">
        <v>0</v>
      </c>
      <c r="EH77" s="610"/>
      <c r="EI77" s="56"/>
      <c r="EJ77" s="611"/>
      <c r="EK77" s="612"/>
      <c r="EL77" s="609">
        <f>SUM(CD77:CD77)</f>
        <v>0</v>
      </c>
      <c r="EM77" s="610"/>
      <c r="EN77" s="56"/>
      <c r="EO77" s="144"/>
      <c r="ER77" s="42"/>
      <c r="ES77" s="42"/>
    </row>
    <row r="78" spans="4:149" ht="12.75" hidden="1" customHeight="1" x14ac:dyDescent="0.3">
      <c r="D78" s="144" t="s">
        <v>338</v>
      </c>
      <c r="E78" s="611"/>
      <c r="F78" s="494"/>
      <c r="G78" s="56">
        <v>0</v>
      </c>
      <c r="H78" s="55"/>
      <c r="I78" s="56"/>
      <c r="J78" s="611"/>
      <c r="K78" s="611"/>
      <c r="L78" s="56">
        <v>0</v>
      </c>
      <c r="M78" s="55"/>
      <c r="N78" s="56"/>
      <c r="O78" s="611"/>
      <c r="P78" s="611"/>
      <c r="Q78" s="56">
        <v>0</v>
      </c>
      <c r="R78" s="55"/>
      <c r="S78" s="56"/>
      <c r="T78" s="611"/>
      <c r="U78" s="611"/>
      <c r="V78" s="56">
        <v>0</v>
      </c>
      <c r="W78" s="55"/>
      <c r="X78" s="56"/>
      <c r="Y78" s="611"/>
      <c r="Z78" s="611"/>
      <c r="AA78" s="56">
        <v>0</v>
      </c>
      <c r="AB78" s="55"/>
      <c r="AC78" s="56"/>
      <c r="AD78" s="611"/>
      <c r="AE78" s="611"/>
      <c r="AF78" s="56">
        <v>0</v>
      </c>
      <c r="AG78" s="55"/>
      <c r="AH78" s="56"/>
      <c r="AI78" s="611"/>
      <c r="AJ78" s="611"/>
      <c r="AK78" s="56">
        <v>0</v>
      </c>
      <c r="AL78" s="55"/>
      <c r="AM78" s="56"/>
      <c r="AN78" s="611"/>
      <c r="AO78" s="611"/>
      <c r="AP78" s="56">
        <v>0</v>
      </c>
      <c r="AQ78" s="55"/>
      <c r="AR78" s="56"/>
      <c r="AS78" s="611"/>
      <c r="AT78" s="611"/>
      <c r="AU78" s="56">
        <v>0</v>
      </c>
      <c r="AV78" s="55"/>
      <c r="AW78" s="56"/>
      <c r="AX78" s="611"/>
      <c r="AY78" s="611"/>
      <c r="AZ78" s="56">
        <v>0</v>
      </c>
      <c r="BA78" s="55"/>
      <c r="BB78" s="56"/>
      <c r="BC78" s="611"/>
      <c r="BD78" s="611"/>
      <c r="BE78" s="56">
        <v>0</v>
      </c>
      <c r="BF78" s="55"/>
      <c r="BG78" s="56"/>
      <c r="BH78" s="611"/>
      <c r="BI78" s="611"/>
      <c r="BJ78" s="56">
        <v>0</v>
      </c>
      <c r="BK78" s="55"/>
      <c r="BL78" s="56"/>
      <c r="BM78" s="611"/>
      <c r="BN78" s="611"/>
      <c r="BO78" s="56">
        <v>0</v>
      </c>
      <c r="BP78" s="55"/>
      <c r="BQ78" s="56"/>
      <c r="BR78" s="611"/>
      <c r="BS78" s="611"/>
      <c r="BT78" s="56">
        <f>SUM(L78:BO78)</f>
        <v>0</v>
      </c>
      <c r="BU78" s="55"/>
      <c r="BV78" s="56"/>
      <c r="BW78" s="611"/>
      <c r="BX78" s="611"/>
      <c r="BY78" s="56">
        <v>0</v>
      </c>
      <c r="BZ78" s="55"/>
      <c r="CA78" s="56"/>
      <c r="CB78" s="611"/>
      <c r="CC78" s="611"/>
      <c r="CD78" s="56">
        <v>0</v>
      </c>
      <c r="CE78" s="55"/>
      <c r="CF78" s="56"/>
      <c r="CG78" s="611"/>
      <c r="CH78" s="611"/>
      <c r="CI78" s="56">
        <v>0</v>
      </c>
      <c r="CJ78" s="55"/>
      <c r="CK78" s="56"/>
      <c r="CL78" s="611"/>
      <c r="CM78" s="611"/>
      <c r="CN78" s="56">
        <v>0</v>
      </c>
      <c r="CO78" s="55"/>
      <c r="CP78" s="56"/>
      <c r="CQ78" s="611"/>
      <c r="CR78" s="611"/>
      <c r="CS78" s="56">
        <v>0</v>
      </c>
      <c r="CT78" s="55"/>
      <c r="CU78" s="56"/>
      <c r="CV78" s="611"/>
      <c r="CW78" s="611"/>
      <c r="CX78" s="56">
        <v>0</v>
      </c>
      <c r="CY78" s="55"/>
      <c r="CZ78" s="56"/>
      <c r="DA78" s="611"/>
      <c r="DB78" s="611"/>
      <c r="DC78" s="56">
        <v>0</v>
      </c>
      <c r="DD78" s="55"/>
      <c r="DE78" s="56"/>
      <c r="DF78" s="611"/>
      <c r="DG78" s="611"/>
      <c r="DH78" s="56">
        <v>0</v>
      </c>
      <c r="DI78" s="55"/>
      <c r="DJ78" s="56"/>
      <c r="DK78" s="611"/>
      <c r="DL78" s="611"/>
      <c r="DM78" s="56">
        <v>0</v>
      </c>
      <c r="DN78" s="55"/>
      <c r="DO78" s="56"/>
      <c r="DP78" s="611"/>
      <c r="DQ78" s="611"/>
      <c r="DR78" s="56">
        <v>0</v>
      </c>
      <c r="DS78" s="55"/>
      <c r="DT78" s="56"/>
      <c r="DU78" s="611"/>
      <c r="DV78" s="611"/>
      <c r="DW78" s="56">
        <v>0</v>
      </c>
      <c r="DX78" s="55"/>
      <c r="DY78" s="56"/>
      <c r="DZ78" s="611"/>
      <c r="EA78" s="611"/>
      <c r="EB78" s="56">
        <v>0</v>
      </c>
      <c r="EC78" s="55"/>
      <c r="ED78" s="56"/>
      <c r="EE78" s="611"/>
      <c r="EF78" s="611"/>
      <c r="EG78" s="56">
        <v>0</v>
      </c>
      <c r="EH78" s="55"/>
      <c r="EI78" s="56"/>
      <c r="EJ78" s="611"/>
      <c r="EK78" s="611"/>
      <c r="EL78" s="56">
        <f>SUM(CD78:CD78)</f>
        <v>0</v>
      </c>
      <c r="EM78" s="55"/>
      <c r="EN78" s="56"/>
      <c r="EO78" s="144"/>
      <c r="ER78" s="42"/>
      <c r="ES78" s="42"/>
    </row>
    <row r="79" spans="4:149" ht="12.75" hidden="1" customHeight="1" x14ac:dyDescent="0.3">
      <c r="D79" s="144" t="s">
        <v>339</v>
      </c>
      <c r="E79" s="611"/>
      <c r="F79" s="494"/>
      <c r="G79" s="56">
        <v>0</v>
      </c>
      <c r="H79" s="55"/>
      <c r="I79" s="56"/>
      <c r="J79" s="611"/>
      <c r="K79" s="611"/>
      <c r="L79" s="56">
        <v>0</v>
      </c>
      <c r="M79" s="55"/>
      <c r="N79" s="56"/>
      <c r="O79" s="611"/>
      <c r="P79" s="611"/>
      <c r="Q79" s="56">
        <v>0</v>
      </c>
      <c r="R79" s="55"/>
      <c r="S79" s="56"/>
      <c r="T79" s="611"/>
      <c r="U79" s="611"/>
      <c r="V79" s="56">
        <v>0</v>
      </c>
      <c r="W79" s="55"/>
      <c r="X79" s="56"/>
      <c r="Y79" s="611"/>
      <c r="Z79" s="611"/>
      <c r="AA79" s="56">
        <v>0</v>
      </c>
      <c r="AB79" s="55"/>
      <c r="AC79" s="56"/>
      <c r="AD79" s="611"/>
      <c r="AE79" s="611"/>
      <c r="AF79" s="56">
        <v>0</v>
      </c>
      <c r="AG79" s="55"/>
      <c r="AH79" s="56"/>
      <c r="AI79" s="611"/>
      <c r="AJ79" s="611"/>
      <c r="AK79" s="56">
        <v>0</v>
      </c>
      <c r="AL79" s="55"/>
      <c r="AM79" s="56"/>
      <c r="AN79" s="611"/>
      <c r="AO79" s="611"/>
      <c r="AP79" s="56">
        <v>0</v>
      </c>
      <c r="AQ79" s="55"/>
      <c r="AR79" s="56"/>
      <c r="AS79" s="611"/>
      <c r="AT79" s="611"/>
      <c r="AU79" s="56">
        <v>0</v>
      </c>
      <c r="AV79" s="55"/>
      <c r="AW79" s="56"/>
      <c r="AX79" s="611"/>
      <c r="AY79" s="611"/>
      <c r="AZ79" s="56">
        <v>0</v>
      </c>
      <c r="BA79" s="55"/>
      <c r="BB79" s="56"/>
      <c r="BC79" s="611"/>
      <c r="BD79" s="611"/>
      <c r="BE79" s="56">
        <v>0</v>
      </c>
      <c r="BF79" s="55"/>
      <c r="BG79" s="56"/>
      <c r="BH79" s="611"/>
      <c r="BI79" s="611"/>
      <c r="BJ79" s="56">
        <v>0</v>
      </c>
      <c r="BK79" s="55"/>
      <c r="BL79" s="56"/>
      <c r="BM79" s="611"/>
      <c r="BN79" s="611"/>
      <c r="BO79" s="56">
        <v>0</v>
      </c>
      <c r="BP79" s="55"/>
      <c r="BQ79" s="56"/>
      <c r="BR79" s="611"/>
      <c r="BS79" s="611"/>
      <c r="BT79" s="56">
        <f>SUM(L79:BO79)</f>
        <v>0</v>
      </c>
      <c r="BU79" s="55"/>
      <c r="BV79" s="56"/>
      <c r="BW79" s="611"/>
      <c r="BX79" s="611"/>
      <c r="BY79" s="56">
        <v>0</v>
      </c>
      <c r="BZ79" s="55"/>
      <c r="CA79" s="56"/>
      <c r="CB79" s="611"/>
      <c r="CC79" s="611"/>
      <c r="CD79" s="56">
        <v>0</v>
      </c>
      <c r="CE79" s="55"/>
      <c r="CF79" s="56"/>
      <c r="CG79" s="611"/>
      <c r="CH79" s="611"/>
      <c r="CI79" s="56">
        <v>0</v>
      </c>
      <c r="CJ79" s="55"/>
      <c r="CK79" s="56"/>
      <c r="CL79" s="611"/>
      <c r="CM79" s="611"/>
      <c r="CN79" s="56">
        <v>0</v>
      </c>
      <c r="CO79" s="55"/>
      <c r="CP79" s="56"/>
      <c r="CQ79" s="611"/>
      <c r="CR79" s="611"/>
      <c r="CS79" s="56">
        <v>0</v>
      </c>
      <c r="CT79" s="55"/>
      <c r="CU79" s="56"/>
      <c r="CV79" s="611"/>
      <c r="CW79" s="611"/>
      <c r="CX79" s="56">
        <v>0</v>
      </c>
      <c r="CY79" s="55"/>
      <c r="CZ79" s="56"/>
      <c r="DA79" s="611"/>
      <c r="DB79" s="611"/>
      <c r="DC79" s="56">
        <v>0</v>
      </c>
      <c r="DD79" s="55"/>
      <c r="DE79" s="56"/>
      <c r="DF79" s="611"/>
      <c r="DG79" s="611"/>
      <c r="DH79" s="56">
        <v>0</v>
      </c>
      <c r="DI79" s="55"/>
      <c r="DJ79" s="56"/>
      <c r="DK79" s="611"/>
      <c r="DL79" s="611"/>
      <c r="DM79" s="56">
        <v>0</v>
      </c>
      <c r="DN79" s="55"/>
      <c r="DO79" s="56"/>
      <c r="DP79" s="611"/>
      <c r="DQ79" s="611"/>
      <c r="DR79" s="56">
        <v>0</v>
      </c>
      <c r="DS79" s="55"/>
      <c r="DT79" s="56"/>
      <c r="DU79" s="611"/>
      <c r="DV79" s="611"/>
      <c r="DW79" s="56">
        <v>0</v>
      </c>
      <c r="DX79" s="55"/>
      <c r="DY79" s="56"/>
      <c r="DZ79" s="611"/>
      <c r="EA79" s="611"/>
      <c r="EB79" s="56">
        <v>0</v>
      </c>
      <c r="EC79" s="55"/>
      <c r="ED79" s="56"/>
      <c r="EE79" s="611"/>
      <c r="EF79" s="611"/>
      <c r="EG79" s="56">
        <v>0</v>
      </c>
      <c r="EH79" s="55"/>
      <c r="EI79" s="56"/>
      <c r="EJ79" s="611"/>
      <c r="EK79" s="611"/>
      <c r="EL79" s="56">
        <f>SUM(CD79:CD79)</f>
        <v>0</v>
      </c>
      <c r="EM79" s="55"/>
      <c r="EN79" s="56"/>
      <c r="EO79" s="144"/>
      <c r="ER79" s="42"/>
      <c r="ES79" s="42"/>
    </row>
    <row r="80" spans="4:149" ht="12.75" hidden="1" customHeight="1" x14ac:dyDescent="0.3">
      <c r="D80" s="144" t="s">
        <v>340</v>
      </c>
      <c r="E80" s="611"/>
      <c r="F80" s="513"/>
      <c r="G80" s="117">
        <v>0</v>
      </c>
      <c r="H80" s="116"/>
      <c r="I80" s="56"/>
      <c r="J80" s="611"/>
      <c r="K80" s="620"/>
      <c r="L80" s="117">
        <v>0</v>
      </c>
      <c r="M80" s="116"/>
      <c r="N80" s="56"/>
      <c r="O80" s="611"/>
      <c r="P80" s="620"/>
      <c r="Q80" s="117">
        <v>0</v>
      </c>
      <c r="R80" s="116"/>
      <c r="S80" s="56"/>
      <c r="T80" s="611"/>
      <c r="U80" s="620"/>
      <c r="V80" s="117">
        <v>0</v>
      </c>
      <c r="W80" s="116"/>
      <c r="X80" s="56"/>
      <c r="Y80" s="611"/>
      <c r="Z80" s="620"/>
      <c r="AA80" s="117">
        <v>0</v>
      </c>
      <c r="AB80" s="116"/>
      <c r="AC80" s="56"/>
      <c r="AD80" s="611"/>
      <c r="AE80" s="620"/>
      <c r="AF80" s="117">
        <v>0</v>
      </c>
      <c r="AG80" s="116"/>
      <c r="AH80" s="56"/>
      <c r="AI80" s="611"/>
      <c r="AJ80" s="620"/>
      <c r="AK80" s="117">
        <v>0</v>
      </c>
      <c r="AL80" s="116"/>
      <c r="AM80" s="56"/>
      <c r="AN80" s="611"/>
      <c r="AO80" s="620"/>
      <c r="AP80" s="117">
        <v>0</v>
      </c>
      <c r="AQ80" s="116"/>
      <c r="AR80" s="56"/>
      <c r="AS80" s="611"/>
      <c r="AT80" s="620"/>
      <c r="AU80" s="117">
        <v>0</v>
      </c>
      <c r="AV80" s="116"/>
      <c r="AW80" s="56"/>
      <c r="AX80" s="611"/>
      <c r="AY80" s="620"/>
      <c r="AZ80" s="117">
        <v>0</v>
      </c>
      <c r="BA80" s="116"/>
      <c r="BB80" s="56"/>
      <c r="BC80" s="611"/>
      <c r="BD80" s="620"/>
      <c r="BE80" s="117">
        <v>0</v>
      </c>
      <c r="BF80" s="116"/>
      <c r="BG80" s="56"/>
      <c r="BH80" s="611"/>
      <c r="BI80" s="620"/>
      <c r="BJ80" s="117">
        <v>0</v>
      </c>
      <c r="BK80" s="116"/>
      <c r="BL80" s="56"/>
      <c r="BM80" s="611"/>
      <c r="BN80" s="620"/>
      <c r="BO80" s="117">
        <v>0</v>
      </c>
      <c r="BP80" s="116"/>
      <c r="BQ80" s="56"/>
      <c r="BR80" s="611"/>
      <c r="BS80" s="620"/>
      <c r="BT80" s="117">
        <f>SUM(L80:BO80)</f>
        <v>0</v>
      </c>
      <c r="BU80" s="116"/>
      <c r="BV80" s="56"/>
      <c r="BW80" s="611"/>
      <c r="BX80" s="620"/>
      <c r="BY80" s="117">
        <v>0</v>
      </c>
      <c r="BZ80" s="116"/>
      <c r="CA80" s="56"/>
      <c r="CB80" s="611"/>
      <c r="CC80" s="620"/>
      <c r="CD80" s="117">
        <v>0</v>
      </c>
      <c r="CE80" s="116"/>
      <c r="CF80" s="56"/>
      <c r="CG80" s="611"/>
      <c r="CH80" s="620"/>
      <c r="CI80" s="117">
        <v>0</v>
      </c>
      <c r="CJ80" s="116"/>
      <c r="CK80" s="56"/>
      <c r="CL80" s="611"/>
      <c r="CM80" s="620"/>
      <c r="CN80" s="117">
        <v>0</v>
      </c>
      <c r="CO80" s="116"/>
      <c r="CP80" s="56"/>
      <c r="CQ80" s="611"/>
      <c r="CR80" s="620"/>
      <c r="CS80" s="117">
        <v>0</v>
      </c>
      <c r="CT80" s="116"/>
      <c r="CU80" s="56"/>
      <c r="CV80" s="611"/>
      <c r="CW80" s="620"/>
      <c r="CX80" s="117">
        <v>0</v>
      </c>
      <c r="CY80" s="116"/>
      <c r="CZ80" s="56"/>
      <c r="DA80" s="611"/>
      <c r="DB80" s="620"/>
      <c r="DC80" s="117">
        <v>0</v>
      </c>
      <c r="DD80" s="116"/>
      <c r="DE80" s="56"/>
      <c r="DF80" s="611"/>
      <c r="DG80" s="620"/>
      <c r="DH80" s="117">
        <v>0</v>
      </c>
      <c r="DI80" s="116"/>
      <c r="DJ80" s="56"/>
      <c r="DK80" s="611"/>
      <c r="DL80" s="620"/>
      <c r="DM80" s="117">
        <v>0</v>
      </c>
      <c r="DN80" s="116"/>
      <c r="DO80" s="56"/>
      <c r="DP80" s="611"/>
      <c r="DQ80" s="620"/>
      <c r="DR80" s="117">
        <v>0</v>
      </c>
      <c r="DS80" s="116"/>
      <c r="DT80" s="56"/>
      <c r="DU80" s="611"/>
      <c r="DV80" s="620"/>
      <c r="DW80" s="117">
        <v>0</v>
      </c>
      <c r="DX80" s="116"/>
      <c r="DY80" s="56"/>
      <c r="DZ80" s="611"/>
      <c r="EA80" s="620"/>
      <c r="EB80" s="117">
        <v>0</v>
      </c>
      <c r="EC80" s="116"/>
      <c r="ED80" s="56"/>
      <c r="EE80" s="611"/>
      <c r="EF80" s="620"/>
      <c r="EG80" s="117">
        <v>0</v>
      </c>
      <c r="EH80" s="116"/>
      <c r="EI80" s="56"/>
      <c r="EJ80" s="611"/>
      <c r="EK80" s="620"/>
      <c r="EL80" s="117">
        <f>SUM(CD80:CD80)</f>
        <v>0</v>
      </c>
      <c r="EM80" s="116"/>
      <c r="EN80" s="56"/>
      <c r="EO80" s="144"/>
      <c r="ER80" s="42"/>
      <c r="ES80" s="42"/>
    </row>
    <row r="81" spans="3:149" ht="12.75" hidden="1" customHeight="1" x14ac:dyDescent="0.3">
      <c r="D81" s="623"/>
      <c r="E81" s="518"/>
      <c r="F81" s="519"/>
      <c r="G81" s="517"/>
      <c r="H81" s="517"/>
      <c r="I81" s="517"/>
      <c r="J81" s="516"/>
      <c r="K81" s="517"/>
      <c r="L81" s="517"/>
      <c r="M81" s="517"/>
      <c r="N81" s="517"/>
      <c r="O81" s="516"/>
      <c r="P81" s="517"/>
      <c r="Q81" s="517"/>
      <c r="R81" s="517"/>
      <c r="S81" s="517"/>
      <c r="T81" s="516"/>
      <c r="U81" s="517"/>
      <c r="V81" s="517"/>
      <c r="W81" s="517"/>
      <c r="X81" s="517"/>
      <c r="Y81" s="516"/>
      <c r="Z81" s="517"/>
      <c r="AA81" s="517"/>
      <c r="AB81" s="517"/>
      <c r="AC81" s="517"/>
      <c r="AD81" s="516"/>
      <c r="AE81" s="517"/>
      <c r="AF81" s="517"/>
      <c r="AG81" s="517"/>
      <c r="AH81" s="517"/>
      <c r="AI81" s="516"/>
      <c r="AJ81" s="517"/>
      <c r="AK81" s="517"/>
      <c r="AL81" s="517"/>
      <c r="AM81" s="517"/>
      <c r="AN81" s="516"/>
      <c r="AO81" s="517"/>
      <c r="AP81" s="517"/>
      <c r="AQ81" s="517"/>
      <c r="AR81" s="517"/>
      <c r="AS81" s="516"/>
      <c r="AT81" s="517"/>
      <c r="AU81" s="517"/>
      <c r="AV81" s="517"/>
      <c r="AW81" s="517"/>
      <c r="AX81" s="516"/>
      <c r="AY81" s="517"/>
      <c r="AZ81" s="517"/>
      <c r="BA81" s="517"/>
      <c r="BB81" s="517"/>
      <c r="BC81" s="516"/>
      <c r="BD81" s="517"/>
      <c r="BE81" s="517"/>
      <c r="BF81" s="517"/>
      <c r="BG81" s="517"/>
      <c r="BH81" s="516"/>
      <c r="BI81" s="517"/>
      <c r="BJ81" s="517"/>
      <c r="BK81" s="517"/>
      <c r="BL81" s="517"/>
      <c r="BM81" s="516"/>
      <c r="BN81" s="517"/>
      <c r="BO81" s="517"/>
      <c r="BP81" s="517"/>
      <c r="BQ81" s="517"/>
      <c r="BR81" s="516"/>
      <c r="BS81" s="517"/>
      <c r="BT81" s="517"/>
      <c r="BU81" s="517"/>
      <c r="BV81" s="517"/>
      <c r="BW81" s="516"/>
      <c r="BX81" s="517"/>
      <c r="BY81" s="517"/>
      <c r="BZ81" s="517"/>
      <c r="CA81" s="517"/>
      <c r="CB81" s="516"/>
      <c r="CC81" s="517"/>
      <c r="CD81" s="517"/>
      <c r="CE81" s="517"/>
      <c r="CF81" s="517"/>
      <c r="CG81" s="516"/>
      <c r="CH81" s="517"/>
      <c r="CI81" s="517"/>
      <c r="CJ81" s="517"/>
      <c r="CK81" s="517"/>
      <c r="CL81" s="516"/>
      <c r="CM81" s="517"/>
      <c r="CN81" s="517"/>
      <c r="CO81" s="517"/>
      <c r="CP81" s="517"/>
      <c r="CQ81" s="516"/>
      <c r="CR81" s="517"/>
      <c r="CS81" s="517"/>
      <c r="CT81" s="517"/>
      <c r="CU81" s="517"/>
      <c r="CV81" s="516"/>
      <c r="CW81" s="517"/>
      <c r="CX81" s="517"/>
      <c r="CY81" s="517"/>
      <c r="CZ81" s="517"/>
      <c r="DA81" s="516"/>
      <c r="DB81" s="517"/>
      <c r="DC81" s="517"/>
      <c r="DD81" s="517"/>
      <c r="DE81" s="517"/>
      <c r="DF81" s="516"/>
      <c r="DG81" s="517"/>
      <c r="DH81" s="517"/>
      <c r="DI81" s="517"/>
      <c r="DJ81" s="517"/>
      <c r="DK81" s="516"/>
      <c r="DL81" s="517"/>
      <c r="DM81" s="517"/>
      <c r="DN81" s="517"/>
      <c r="DO81" s="517"/>
      <c r="DP81" s="516"/>
      <c r="DQ81" s="517"/>
      <c r="DR81" s="517"/>
      <c r="DS81" s="517"/>
      <c r="DT81" s="517"/>
      <c r="DU81" s="516"/>
      <c r="DV81" s="517"/>
      <c r="DW81" s="517"/>
      <c r="DX81" s="517"/>
      <c r="DY81" s="517"/>
      <c r="DZ81" s="516"/>
      <c r="EA81" s="517"/>
      <c r="EB81" s="517"/>
      <c r="EC81" s="517"/>
      <c r="ED81" s="517"/>
      <c r="EE81" s="516"/>
      <c r="EF81" s="517"/>
      <c r="EG81" s="517"/>
      <c r="EH81" s="517"/>
      <c r="EI81" s="517"/>
      <c r="EJ81" s="516"/>
      <c r="EK81" s="517"/>
      <c r="EL81" s="517"/>
      <c r="EM81" s="519"/>
      <c r="EN81" s="519"/>
      <c r="EO81" s="144"/>
      <c r="ER81" s="42"/>
      <c r="ES81" s="42"/>
    </row>
    <row r="82" spans="3:149" ht="12.75" hidden="1" customHeight="1" x14ac:dyDescent="0.3">
      <c r="D82" s="144" t="s">
        <v>349</v>
      </c>
      <c r="E82" s="611"/>
      <c r="G82" s="56">
        <f>SUM(G83:G86)</f>
        <v>0</v>
      </c>
      <c r="H82" s="56"/>
      <c r="I82" s="56"/>
      <c r="J82" s="611"/>
      <c r="K82" s="56"/>
      <c r="L82" s="56">
        <f>SUM(L83:L86)</f>
        <v>0</v>
      </c>
      <c r="M82" s="56"/>
      <c r="N82" s="56"/>
      <c r="O82" s="611"/>
      <c r="P82" s="56"/>
      <c r="Q82" s="56">
        <f>SUM(Q83:Q86)</f>
        <v>0</v>
      </c>
      <c r="R82" s="56"/>
      <c r="S82" s="56"/>
      <c r="T82" s="611"/>
      <c r="U82" s="56"/>
      <c r="V82" s="56">
        <f>SUM(V83:V86)</f>
        <v>0</v>
      </c>
      <c r="W82" s="56"/>
      <c r="X82" s="56"/>
      <c r="Y82" s="611"/>
      <c r="Z82" s="56"/>
      <c r="AA82" s="56">
        <f>SUM(AA83:AA86)</f>
        <v>0</v>
      </c>
      <c r="AB82" s="56"/>
      <c r="AC82" s="56"/>
      <c r="AD82" s="611"/>
      <c r="AE82" s="56"/>
      <c r="AF82" s="56">
        <f>SUM(AF83:AF86)</f>
        <v>0</v>
      </c>
      <c r="AG82" s="56"/>
      <c r="AH82" s="56"/>
      <c r="AI82" s="611"/>
      <c r="AJ82" s="56"/>
      <c r="AK82" s="56">
        <f>SUM(AK83:AK86)</f>
        <v>0</v>
      </c>
      <c r="AL82" s="56"/>
      <c r="AM82" s="56"/>
      <c r="AN82" s="611"/>
      <c r="AO82" s="56"/>
      <c r="AP82" s="56">
        <f>SUM(AP83:AP86)</f>
        <v>0</v>
      </c>
      <c r="AQ82" s="56"/>
      <c r="AR82" s="56"/>
      <c r="AS82" s="611"/>
      <c r="AT82" s="56"/>
      <c r="AU82" s="56">
        <f>SUM(AU83:AU86)</f>
        <v>0</v>
      </c>
      <c r="AV82" s="56"/>
      <c r="AW82" s="56"/>
      <c r="AX82" s="611"/>
      <c r="AY82" s="56"/>
      <c r="AZ82" s="56">
        <f>SUM(AZ83:AZ86)</f>
        <v>0</v>
      </c>
      <c r="BA82" s="56"/>
      <c r="BB82" s="56"/>
      <c r="BC82" s="611"/>
      <c r="BD82" s="56"/>
      <c r="BE82" s="56">
        <f>SUM(BE83:BE86)</f>
        <v>0</v>
      </c>
      <c r="BF82" s="56"/>
      <c r="BG82" s="56"/>
      <c r="BH82" s="611"/>
      <c r="BI82" s="56"/>
      <c r="BJ82" s="56">
        <f>SUM(BJ83:BJ86)</f>
        <v>0</v>
      </c>
      <c r="BK82" s="56"/>
      <c r="BL82" s="56"/>
      <c r="BM82" s="611"/>
      <c r="BN82" s="56"/>
      <c r="BO82" s="56">
        <f>SUM(BO83:BO86)</f>
        <v>0</v>
      </c>
      <c r="BP82" s="56"/>
      <c r="BQ82" s="56"/>
      <c r="BR82" s="611"/>
      <c r="BS82" s="56"/>
      <c r="BT82" s="56">
        <f>SUM(BT83:BT86)</f>
        <v>0</v>
      </c>
      <c r="BU82" s="56"/>
      <c r="BV82" s="56"/>
      <c r="BW82" s="611"/>
      <c r="BX82" s="56"/>
      <c r="BY82" s="56">
        <f>SUM(BY83:BY86)</f>
        <v>0</v>
      </c>
      <c r="BZ82" s="56"/>
      <c r="CA82" s="56"/>
      <c r="CB82" s="611"/>
      <c r="CC82" s="56"/>
      <c r="CD82" s="56">
        <f>SUM(CD83:CD86)</f>
        <v>0</v>
      </c>
      <c r="CE82" s="56"/>
      <c r="CF82" s="56"/>
      <c r="CG82" s="611"/>
      <c r="CH82" s="56"/>
      <c r="CI82" s="56">
        <f>SUM(CI83:CI86)</f>
        <v>0</v>
      </c>
      <c r="CJ82" s="56"/>
      <c r="CK82" s="56"/>
      <c r="CL82" s="611"/>
      <c r="CM82" s="56"/>
      <c r="CN82" s="56">
        <f>SUM(CN83:CN86)</f>
        <v>0</v>
      </c>
      <c r="CO82" s="56"/>
      <c r="CP82" s="56"/>
      <c r="CQ82" s="611"/>
      <c r="CR82" s="56"/>
      <c r="CS82" s="56">
        <f>SUM(CS83:CS86)</f>
        <v>0</v>
      </c>
      <c r="CT82" s="56"/>
      <c r="CU82" s="56"/>
      <c r="CV82" s="611"/>
      <c r="CW82" s="56"/>
      <c r="CX82" s="56">
        <f>SUM(CX83:CX86)</f>
        <v>0</v>
      </c>
      <c r="CY82" s="56"/>
      <c r="CZ82" s="56"/>
      <c r="DA82" s="611"/>
      <c r="DB82" s="56"/>
      <c r="DC82" s="56">
        <f>SUM(DC83:DC86)</f>
        <v>0</v>
      </c>
      <c r="DD82" s="56"/>
      <c r="DE82" s="56"/>
      <c r="DF82" s="611"/>
      <c r="DG82" s="56"/>
      <c r="DH82" s="56">
        <f>SUM(DH83:DH86)</f>
        <v>0</v>
      </c>
      <c r="DI82" s="56"/>
      <c r="DJ82" s="56"/>
      <c r="DK82" s="611"/>
      <c r="DL82" s="56"/>
      <c r="DM82" s="56">
        <f>SUM(DM83:DM86)</f>
        <v>0</v>
      </c>
      <c r="DN82" s="56"/>
      <c r="DO82" s="56"/>
      <c r="DP82" s="611"/>
      <c r="DQ82" s="56"/>
      <c r="DR82" s="56">
        <f>SUM(DR83:DR86)</f>
        <v>0</v>
      </c>
      <c r="DS82" s="56"/>
      <c r="DT82" s="56"/>
      <c r="DU82" s="611"/>
      <c r="DV82" s="56"/>
      <c r="DW82" s="56">
        <f>SUM(DW83:DW86)</f>
        <v>0</v>
      </c>
      <c r="DX82" s="56"/>
      <c r="DY82" s="56"/>
      <c r="DZ82" s="611"/>
      <c r="EA82" s="56"/>
      <c r="EB82" s="56">
        <f>SUM(EB83:EB86)</f>
        <v>0</v>
      </c>
      <c r="EC82" s="56"/>
      <c r="ED82" s="56"/>
      <c r="EE82" s="611"/>
      <c r="EF82" s="56"/>
      <c r="EG82" s="56">
        <f>SUM(EG83:EG86)</f>
        <v>0</v>
      </c>
      <c r="EH82" s="56"/>
      <c r="EI82" s="56"/>
      <c r="EJ82" s="611"/>
      <c r="EK82" s="56"/>
      <c r="EL82" s="56">
        <f>SUM(EL83:EL86)</f>
        <v>0</v>
      </c>
      <c r="EM82" s="56"/>
      <c r="EN82" s="56"/>
      <c r="EO82" s="144"/>
      <c r="ER82" s="42"/>
      <c r="ES82" s="42"/>
    </row>
    <row r="83" spans="3:149" ht="12.75" hidden="1" customHeight="1" x14ac:dyDescent="0.3">
      <c r="D83" s="624" t="s">
        <v>335</v>
      </c>
      <c r="E83" s="611"/>
      <c r="F83" s="500"/>
      <c r="G83" s="609">
        <v>0</v>
      </c>
      <c r="H83" s="610"/>
      <c r="I83" s="56"/>
      <c r="J83" s="611"/>
      <c r="K83" s="612"/>
      <c r="L83" s="609">
        <v>0</v>
      </c>
      <c r="M83" s="610"/>
      <c r="N83" s="56"/>
      <c r="O83" s="611"/>
      <c r="P83" s="612"/>
      <c r="Q83" s="609">
        <v>0</v>
      </c>
      <c r="R83" s="610"/>
      <c r="S83" s="56"/>
      <c r="T83" s="611"/>
      <c r="U83" s="612"/>
      <c r="V83" s="609">
        <v>0</v>
      </c>
      <c r="W83" s="610"/>
      <c r="X83" s="56"/>
      <c r="Y83" s="611"/>
      <c r="Z83" s="612"/>
      <c r="AA83" s="609">
        <v>0</v>
      </c>
      <c r="AB83" s="610"/>
      <c r="AC83" s="56"/>
      <c r="AD83" s="611"/>
      <c r="AE83" s="612"/>
      <c r="AF83" s="609">
        <v>0</v>
      </c>
      <c r="AG83" s="610"/>
      <c r="AH83" s="56"/>
      <c r="AI83" s="611"/>
      <c r="AJ83" s="612"/>
      <c r="AK83" s="609">
        <v>0</v>
      </c>
      <c r="AL83" s="610"/>
      <c r="AM83" s="56"/>
      <c r="AN83" s="611"/>
      <c r="AO83" s="612"/>
      <c r="AP83" s="609">
        <v>0</v>
      </c>
      <c r="AQ83" s="610"/>
      <c r="AR83" s="56"/>
      <c r="AS83" s="611"/>
      <c r="AT83" s="612"/>
      <c r="AU83" s="609">
        <v>0</v>
      </c>
      <c r="AV83" s="610"/>
      <c r="AW83" s="56"/>
      <c r="AX83" s="611"/>
      <c r="AY83" s="612"/>
      <c r="AZ83" s="609">
        <v>0</v>
      </c>
      <c r="BA83" s="610"/>
      <c r="BB83" s="56"/>
      <c r="BC83" s="611"/>
      <c r="BD83" s="612"/>
      <c r="BE83" s="609">
        <v>0</v>
      </c>
      <c r="BF83" s="610"/>
      <c r="BG83" s="56"/>
      <c r="BH83" s="611"/>
      <c r="BI83" s="612"/>
      <c r="BJ83" s="609">
        <v>0</v>
      </c>
      <c r="BK83" s="610"/>
      <c r="BL83" s="56"/>
      <c r="BM83" s="611"/>
      <c r="BN83" s="612"/>
      <c r="BO83" s="609">
        <v>0</v>
      </c>
      <c r="BP83" s="610"/>
      <c r="BQ83" s="56"/>
      <c r="BR83" s="611"/>
      <c r="BS83" s="612"/>
      <c r="BT83" s="609">
        <f>SUM(L83:BO83)</f>
        <v>0</v>
      </c>
      <c r="BU83" s="610"/>
      <c r="BV83" s="56"/>
      <c r="BW83" s="611"/>
      <c r="BX83" s="612"/>
      <c r="BY83" s="609">
        <v>0</v>
      </c>
      <c r="BZ83" s="610"/>
      <c r="CA83" s="56"/>
      <c r="CB83" s="611"/>
      <c r="CC83" s="612"/>
      <c r="CD83" s="609">
        <v>0</v>
      </c>
      <c r="CE83" s="610"/>
      <c r="CF83" s="56"/>
      <c r="CG83" s="611"/>
      <c r="CH83" s="612"/>
      <c r="CI83" s="609">
        <v>0</v>
      </c>
      <c r="CJ83" s="610"/>
      <c r="CK83" s="56"/>
      <c r="CL83" s="611"/>
      <c r="CM83" s="612"/>
      <c r="CN83" s="609">
        <v>0</v>
      </c>
      <c r="CO83" s="610"/>
      <c r="CP83" s="56"/>
      <c r="CQ83" s="611"/>
      <c r="CR83" s="612"/>
      <c r="CS83" s="609">
        <v>0</v>
      </c>
      <c r="CT83" s="610"/>
      <c r="CU83" s="56"/>
      <c r="CV83" s="611"/>
      <c r="CW83" s="612"/>
      <c r="CX83" s="609">
        <v>0</v>
      </c>
      <c r="CY83" s="610"/>
      <c r="CZ83" s="56"/>
      <c r="DA83" s="611"/>
      <c r="DB83" s="612"/>
      <c r="DC83" s="609">
        <v>0</v>
      </c>
      <c r="DD83" s="610"/>
      <c r="DE83" s="56"/>
      <c r="DF83" s="611"/>
      <c r="DG83" s="612"/>
      <c r="DH83" s="609">
        <v>0</v>
      </c>
      <c r="DI83" s="610"/>
      <c r="DJ83" s="56"/>
      <c r="DK83" s="611"/>
      <c r="DL83" s="612"/>
      <c r="DM83" s="609">
        <v>0</v>
      </c>
      <c r="DN83" s="610"/>
      <c r="DO83" s="56"/>
      <c r="DP83" s="611"/>
      <c r="DQ83" s="612"/>
      <c r="DR83" s="609">
        <v>0</v>
      </c>
      <c r="DS83" s="610"/>
      <c r="DT83" s="56"/>
      <c r="DU83" s="611"/>
      <c r="DV83" s="612"/>
      <c r="DW83" s="609">
        <v>0</v>
      </c>
      <c r="DX83" s="610"/>
      <c r="DY83" s="56"/>
      <c r="DZ83" s="611"/>
      <c r="EA83" s="612"/>
      <c r="EB83" s="609">
        <v>0</v>
      </c>
      <c r="EC83" s="610"/>
      <c r="ED83" s="56"/>
      <c r="EE83" s="611"/>
      <c r="EF83" s="612"/>
      <c r="EG83" s="609">
        <v>0</v>
      </c>
      <c r="EH83" s="610"/>
      <c r="EI83" s="56"/>
      <c r="EJ83" s="611"/>
      <c r="EK83" s="612"/>
      <c r="EL83" s="609">
        <f>SUM(CD83:CD83)</f>
        <v>0</v>
      </c>
      <c r="EM83" s="610"/>
      <c r="EN83" s="56"/>
      <c r="EO83" s="144"/>
      <c r="ER83" s="42"/>
      <c r="ES83" s="42"/>
    </row>
    <row r="84" spans="3:149" ht="12.75" hidden="1" customHeight="1" x14ac:dyDescent="0.3">
      <c r="D84" s="624" t="s">
        <v>338</v>
      </c>
      <c r="E84" s="611"/>
      <c r="F84" s="494"/>
      <c r="G84" s="56">
        <v>0</v>
      </c>
      <c r="H84" s="55"/>
      <c r="I84" s="56"/>
      <c r="J84" s="611"/>
      <c r="K84" s="611"/>
      <c r="L84" s="56">
        <v>0</v>
      </c>
      <c r="M84" s="55"/>
      <c r="N84" s="56"/>
      <c r="O84" s="611"/>
      <c r="P84" s="611"/>
      <c r="Q84" s="56">
        <v>0</v>
      </c>
      <c r="R84" s="55"/>
      <c r="S84" s="56"/>
      <c r="T84" s="611"/>
      <c r="U84" s="611"/>
      <c r="V84" s="56">
        <v>0</v>
      </c>
      <c r="W84" s="55"/>
      <c r="X84" s="56"/>
      <c r="Y84" s="611"/>
      <c r="Z84" s="611"/>
      <c r="AA84" s="56">
        <v>0</v>
      </c>
      <c r="AB84" s="55"/>
      <c r="AC84" s="56"/>
      <c r="AD84" s="611"/>
      <c r="AE84" s="611"/>
      <c r="AF84" s="56">
        <v>0</v>
      </c>
      <c r="AG84" s="55"/>
      <c r="AH84" s="56"/>
      <c r="AI84" s="611"/>
      <c r="AJ84" s="611"/>
      <c r="AK84" s="56">
        <v>0</v>
      </c>
      <c r="AL84" s="55"/>
      <c r="AM84" s="56"/>
      <c r="AN84" s="611"/>
      <c r="AO84" s="611"/>
      <c r="AP84" s="56">
        <v>0</v>
      </c>
      <c r="AQ84" s="55"/>
      <c r="AR84" s="56"/>
      <c r="AS84" s="611"/>
      <c r="AT84" s="611"/>
      <c r="AU84" s="56">
        <v>0</v>
      </c>
      <c r="AV84" s="55"/>
      <c r="AW84" s="56"/>
      <c r="AX84" s="611"/>
      <c r="AY84" s="611"/>
      <c r="AZ84" s="56">
        <v>0</v>
      </c>
      <c r="BA84" s="55"/>
      <c r="BB84" s="56"/>
      <c r="BC84" s="611"/>
      <c r="BD84" s="611"/>
      <c r="BE84" s="56">
        <v>0</v>
      </c>
      <c r="BF84" s="55"/>
      <c r="BG84" s="56"/>
      <c r="BH84" s="611"/>
      <c r="BI84" s="611"/>
      <c r="BJ84" s="56">
        <v>0</v>
      </c>
      <c r="BK84" s="55"/>
      <c r="BL84" s="56"/>
      <c r="BM84" s="611"/>
      <c r="BN84" s="611"/>
      <c r="BO84" s="56">
        <v>0</v>
      </c>
      <c r="BP84" s="55"/>
      <c r="BQ84" s="56"/>
      <c r="BR84" s="611"/>
      <c r="BS84" s="611"/>
      <c r="BT84" s="56">
        <f>SUM(L84:BO84)</f>
        <v>0</v>
      </c>
      <c r="BU84" s="55"/>
      <c r="BV84" s="56"/>
      <c r="BW84" s="611"/>
      <c r="BX84" s="611"/>
      <c r="BY84" s="56">
        <v>0</v>
      </c>
      <c r="BZ84" s="55"/>
      <c r="CA84" s="56"/>
      <c r="CB84" s="611"/>
      <c r="CC84" s="611"/>
      <c r="CD84" s="56">
        <v>0</v>
      </c>
      <c r="CE84" s="55"/>
      <c r="CF84" s="56"/>
      <c r="CG84" s="611"/>
      <c r="CH84" s="611"/>
      <c r="CI84" s="56">
        <v>0</v>
      </c>
      <c r="CJ84" s="55"/>
      <c r="CK84" s="56"/>
      <c r="CL84" s="611"/>
      <c r="CM84" s="611"/>
      <c r="CN84" s="56">
        <v>0</v>
      </c>
      <c r="CO84" s="55"/>
      <c r="CP84" s="56"/>
      <c r="CQ84" s="611"/>
      <c r="CR84" s="611"/>
      <c r="CS84" s="56">
        <v>0</v>
      </c>
      <c r="CT84" s="55"/>
      <c r="CU84" s="56"/>
      <c r="CV84" s="611"/>
      <c r="CW84" s="611"/>
      <c r="CX84" s="56">
        <v>0</v>
      </c>
      <c r="CY84" s="55"/>
      <c r="CZ84" s="56"/>
      <c r="DA84" s="611"/>
      <c r="DB84" s="611"/>
      <c r="DC84" s="56">
        <v>0</v>
      </c>
      <c r="DD84" s="55"/>
      <c r="DE84" s="56"/>
      <c r="DF84" s="611"/>
      <c r="DG84" s="611"/>
      <c r="DH84" s="56">
        <v>0</v>
      </c>
      <c r="DI84" s="55"/>
      <c r="DJ84" s="56"/>
      <c r="DK84" s="611"/>
      <c r="DL84" s="611"/>
      <c r="DM84" s="56">
        <v>0</v>
      </c>
      <c r="DN84" s="55"/>
      <c r="DO84" s="56"/>
      <c r="DP84" s="611"/>
      <c r="DQ84" s="611"/>
      <c r="DR84" s="56">
        <v>0</v>
      </c>
      <c r="DS84" s="55"/>
      <c r="DT84" s="56"/>
      <c r="DU84" s="611"/>
      <c r="DV84" s="611"/>
      <c r="DW84" s="56">
        <v>0</v>
      </c>
      <c r="DX84" s="55"/>
      <c r="DY84" s="56"/>
      <c r="DZ84" s="611"/>
      <c r="EA84" s="611"/>
      <c r="EB84" s="56">
        <v>0</v>
      </c>
      <c r="EC84" s="55"/>
      <c r="ED84" s="56"/>
      <c r="EE84" s="611"/>
      <c r="EF84" s="611"/>
      <c r="EG84" s="56">
        <v>0</v>
      </c>
      <c r="EH84" s="55"/>
      <c r="EI84" s="56"/>
      <c r="EJ84" s="611"/>
      <c r="EK84" s="611"/>
      <c r="EL84" s="56">
        <f>SUM(CD84:CD84)</f>
        <v>0</v>
      </c>
      <c r="EM84" s="55"/>
      <c r="EN84" s="56"/>
      <c r="EO84" s="144"/>
      <c r="ER84" s="42"/>
      <c r="ES84" s="42"/>
    </row>
    <row r="85" spans="3:149" ht="12.75" hidden="1" customHeight="1" x14ac:dyDescent="0.3">
      <c r="D85" s="144" t="s">
        <v>339</v>
      </c>
      <c r="E85" s="611"/>
      <c r="F85" s="494"/>
      <c r="G85" s="56">
        <v>0</v>
      </c>
      <c r="H85" s="55"/>
      <c r="I85" s="56"/>
      <c r="J85" s="611"/>
      <c r="K85" s="611"/>
      <c r="L85" s="56">
        <v>0</v>
      </c>
      <c r="M85" s="55"/>
      <c r="N85" s="56"/>
      <c r="O85" s="611"/>
      <c r="P85" s="611"/>
      <c r="Q85" s="56">
        <v>0</v>
      </c>
      <c r="R85" s="55"/>
      <c r="S85" s="56"/>
      <c r="T85" s="611"/>
      <c r="U85" s="611"/>
      <c r="V85" s="56">
        <v>0</v>
      </c>
      <c r="W85" s="55"/>
      <c r="X85" s="56"/>
      <c r="Y85" s="611"/>
      <c r="Z85" s="611"/>
      <c r="AA85" s="56">
        <v>0</v>
      </c>
      <c r="AB85" s="55"/>
      <c r="AC85" s="56"/>
      <c r="AD85" s="611"/>
      <c r="AE85" s="611"/>
      <c r="AF85" s="56">
        <v>0</v>
      </c>
      <c r="AG85" s="55"/>
      <c r="AH85" s="56"/>
      <c r="AI85" s="611"/>
      <c r="AJ85" s="611"/>
      <c r="AK85" s="56">
        <v>0</v>
      </c>
      <c r="AL85" s="55"/>
      <c r="AM85" s="56"/>
      <c r="AN85" s="611"/>
      <c r="AO85" s="611"/>
      <c r="AP85" s="56">
        <v>0</v>
      </c>
      <c r="AQ85" s="55"/>
      <c r="AR85" s="56"/>
      <c r="AS85" s="611"/>
      <c r="AT85" s="611"/>
      <c r="AU85" s="56">
        <v>0</v>
      </c>
      <c r="AV85" s="55"/>
      <c r="AW85" s="56"/>
      <c r="AX85" s="611"/>
      <c r="AY85" s="611"/>
      <c r="AZ85" s="56">
        <v>0</v>
      </c>
      <c r="BA85" s="55"/>
      <c r="BB85" s="56"/>
      <c r="BC85" s="611"/>
      <c r="BD85" s="611"/>
      <c r="BE85" s="56">
        <v>0</v>
      </c>
      <c r="BF85" s="55"/>
      <c r="BG85" s="56"/>
      <c r="BH85" s="611"/>
      <c r="BI85" s="611"/>
      <c r="BJ85" s="56">
        <v>0</v>
      </c>
      <c r="BK85" s="55"/>
      <c r="BL85" s="56"/>
      <c r="BM85" s="611"/>
      <c r="BN85" s="611"/>
      <c r="BO85" s="56">
        <v>0</v>
      </c>
      <c r="BP85" s="55"/>
      <c r="BQ85" s="56"/>
      <c r="BR85" s="611"/>
      <c r="BS85" s="611"/>
      <c r="BT85" s="56">
        <f>SUM(L85:BO85)</f>
        <v>0</v>
      </c>
      <c r="BU85" s="55"/>
      <c r="BV85" s="56"/>
      <c r="BW85" s="611"/>
      <c r="BX85" s="611"/>
      <c r="BY85" s="56">
        <v>0</v>
      </c>
      <c r="BZ85" s="55"/>
      <c r="CA85" s="56"/>
      <c r="CB85" s="611"/>
      <c r="CC85" s="611"/>
      <c r="CD85" s="56">
        <v>0</v>
      </c>
      <c r="CE85" s="55"/>
      <c r="CF85" s="56"/>
      <c r="CG85" s="611"/>
      <c r="CH85" s="611"/>
      <c r="CI85" s="56">
        <v>0</v>
      </c>
      <c r="CJ85" s="55"/>
      <c r="CK85" s="56"/>
      <c r="CL85" s="611"/>
      <c r="CM85" s="611"/>
      <c r="CN85" s="56">
        <v>0</v>
      </c>
      <c r="CO85" s="55"/>
      <c r="CP85" s="56"/>
      <c r="CQ85" s="611"/>
      <c r="CR85" s="611"/>
      <c r="CS85" s="56">
        <v>0</v>
      </c>
      <c r="CT85" s="55"/>
      <c r="CU85" s="56"/>
      <c r="CV85" s="611"/>
      <c r="CW85" s="611"/>
      <c r="CX85" s="56">
        <v>0</v>
      </c>
      <c r="CY85" s="55"/>
      <c r="CZ85" s="56"/>
      <c r="DA85" s="611"/>
      <c r="DB85" s="611"/>
      <c r="DC85" s="56">
        <v>0</v>
      </c>
      <c r="DD85" s="55"/>
      <c r="DE85" s="56"/>
      <c r="DF85" s="611"/>
      <c r="DG85" s="611"/>
      <c r="DH85" s="56">
        <v>0</v>
      </c>
      <c r="DI85" s="55"/>
      <c r="DJ85" s="56"/>
      <c r="DK85" s="611"/>
      <c r="DL85" s="611"/>
      <c r="DM85" s="56">
        <v>0</v>
      </c>
      <c r="DN85" s="55"/>
      <c r="DO85" s="56"/>
      <c r="DP85" s="611"/>
      <c r="DQ85" s="611"/>
      <c r="DR85" s="56">
        <v>0</v>
      </c>
      <c r="DS85" s="55"/>
      <c r="DT85" s="56"/>
      <c r="DU85" s="611"/>
      <c r="DV85" s="611"/>
      <c r="DW85" s="56">
        <v>0</v>
      </c>
      <c r="DX85" s="55"/>
      <c r="DY85" s="56"/>
      <c r="DZ85" s="611"/>
      <c r="EA85" s="611"/>
      <c r="EB85" s="56">
        <v>0</v>
      </c>
      <c r="EC85" s="55"/>
      <c r="ED85" s="56"/>
      <c r="EE85" s="611"/>
      <c r="EF85" s="611"/>
      <c r="EG85" s="56">
        <v>0</v>
      </c>
      <c r="EH85" s="55"/>
      <c r="EI85" s="56"/>
      <c r="EJ85" s="611"/>
      <c r="EK85" s="611"/>
      <c r="EL85" s="56">
        <f>SUM(CD85:CD85)</f>
        <v>0</v>
      </c>
      <c r="EM85" s="55"/>
      <c r="EN85" s="56"/>
      <c r="EO85" s="144"/>
      <c r="ER85" s="42"/>
      <c r="ES85" s="42"/>
    </row>
    <row r="86" spans="3:149" ht="12.75" hidden="1" customHeight="1" x14ac:dyDescent="0.3">
      <c r="D86" s="144" t="s">
        <v>340</v>
      </c>
      <c r="E86" s="611"/>
      <c r="F86" s="513"/>
      <c r="G86" s="117">
        <v>0</v>
      </c>
      <c r="H86" s="116"/>
      <c r="I86" s="56"/>
      <c r="J86" s="611"/>
      <c r="K86" s="620"/>
      <c r="L86" s="117">
        <v>0</v>
      </c>
      <c r="M86" s="116"/>
      <c r="N86" s="56"/>
      <c r="O86" s="611"/>
      <c r="P86" s="620"/>
      <c r="Q86" s="117">
        <v>0</v>
      </c>
      <c r="R86" s="116"/>
      <c r="S86" s="56"/>
      <c r="T86" s="611"/>
      <c r="U86" s="620"/>
      <c r="V86" s="117">
        <v>0</v>
      </c>
      <c r="W86" s="116"/>
      <c r="X86" s="56"/>
      <c r="Y86" s="611"/>
      <c r="Z86" s="620"/>
      <c r="AA86" s="117">
        <v>0</v>
      </c>
      <c r="AB86" s="116"/>
      <c r="AC86" s="56"/>
      <c r="AD86" s="611"/>
      <c r="AE86" s="620"/>
      <c r="AF86" s="117">
        <v>0</v>
      </c>
      <c r="AG86" s="116"/>
      <c r="AH86" s="56"/>
      <c r="AI86" s="611"/>
      <c r="AJ86" s="620"/>
      <c r="AK86" s="117">
        <v>0</v>
      </c>
      <c r="AL86" s="116"/>
      <c r="AM86" s="56"/>
      <c r="AN86" s="611"/>
      <c r="AO86" s="620"/>
      <c r="AP86" s="117">
        <v>0</v>
      </c>
      <c r="AQ86" s="116"/>
      <c r="AR86" s="56"/>
      <c r="AS86" s="611"/>
      <c r="AT86" s="620"/>
      <c r="AU86" s="117">
        <v>0</v>
      </c>
      <c r="AV86" s="116"/>
      <c r="AW86" s="56"/>
      <c r="AX86" s="611"/>
      <c r="AY86" s="620"/>
      <c r="AZ86" s="117">
        <v>0</v>
      </c>
      <c r="BA86" s="116"/>
      <c r="BB86" s="56"/>
      <c r="BC86" s="611"/>
      <c r="BD86" s="620"/>
      <c r="BE86" s="117">
        <v>0</v>
      </c>
      <c r="BF86" s="116"/>
      <c r="BG86" s="56"/>
      <c r="BH86" s="611"/>
      <c r="BI86" s="620"/>
      <c r="BJ86" s="117">
        <v>0</v>
      </c>
      <c r="BK86" s="116"/>
      <c r="BL86" s="56"/>
      <c r="BM86" s="611"/>
      <c r="BN86" s="620"/>
      <c r="BO86" s="117">
        <v>0</v>
      </c>
      <c r="BP86" s="116"/>
      <c r="BQ86" s="56"/>
      <c r="BR86" s="611"/>
      <c r="BS86" s="620"/>
      <c r="BT86" s="117">
        <f>SUM(L86:BO86)</f>
        <v>0</v>
      </c>
      <c r="BU86" s="116"/>
      <c r="BV86" s="56"/>
      <c r="BW86" s="611"/>
      <c r="BX86" s="620"/>
      <c r="BY86" s="117">
        <v>0</v>
      </c>
      <c r="BZ86" s="116"/>
      <c r="CA86" s="56"/>
      <c r="CB86" s="611"/>
      <c r="CC86" s="620"/>
      <c r="CD86" s="117">
        <v>0</v>
      </c>
      <c r="CE86" s="116"/>
      <c r="CF86" s="56"/>
      <c r="CG86" s="611"/>
      <c r="CH86" s="620"/>
      <c r="CI86" s="117">
        <v>0</v>
      </c>
      <c r="CJ86" s="116"/>
      <c r="CK86" s="56"/>
      <c r="CL86" s="611"/>
      <c r="CM86" s="620"/>
      <c r="CN86" s="117">
        <v>0</v>
      </c>
      <c r="CO86" s="116"/>
      <c r="CP86" s="56"/>
      <c r="CQ86" s="611"/>
      <c r="CR86" s="620"/>
      <c r="CS86" s="117">
        <v>0</v>
      </c>
      <c r="CT86" s="116"/>
      <c r="CU86" s="56"/>
      <c r="CV86" s="611"/>
      <c r="CW86" s="620"/>
      <c r="CX86" s="117">
        <v>0</v>
      </c>
      <c r="CY86" s="116"/>
      <c r="CZ86" s="56"/>
      <c r="DA86" s="611"/>
      <c r="DB86" s="620"/>
      <c r="DC86" s="117">
        <v>0</v>
      </c>
      <c r="DD86" s="116"/>
      <c r="DE86" s="56"/>
      <c r="DF86" s="611"/>
      <c r="DG86" s="620"/>
      <c r="DH86" s="117">
        <v>0</v>
      </c>
      <c r="DI86" s="116"/>
      <c r="DJ86" s="56"/>
      <c r="DK86" s="611"/>
      <c r="DL86" s="620"/>
      <c r="DM86" s="117">
        <v>0</v>
      </c>
      <c r="DN86" s="116"/>
      <c r="DO86" s="56"/>
      <c r="DP86" s="611"/>
      <c r="DQ86" s="620"/>
      <c r="DR86" s="117">
        <v>0</v>
      </c>
      <c r="DS86" s="116"/>
      <c r="DT86" s="56"/>
      <c r="DU86" s="611"/>
      <c r="DV86" s="620"/>
      <c r="DW86" s="117">
        <v>0</v>
      </c>
      <c r="DX86" s="116"/>
      <c r="DY86" s="56"/>
      <c r="DZ86" s="611"/>
      <c r="EA86" s="620"/>
      <c r="EB86" s="117">
        <v>0</v>
      </c>
      <c r="EC86" s="116"/>
      <c r="ED86" s="56"/>
      <c r="EE86" s="611"/>
      <c r="EF86" s="620"/>
      <c r="EG86" s="117">
        <v>0</v>
      </c>
      <c r="EH86" s="116"/>
      <c r="EI86" s="56"/>
      <c r="EJ86" s="611"/>
      <c r="EK86" s="620"/>
      <c r="EL86" s="117">
        <f>SUM(CD86:CD86)</f>
        <v>0</v>
      </c>
      <c r="EM86" s="116"/>
      <c r="EN86" s="56"/>
      <c r="EO86" s="144"/>
      <c r="ER86" s="42"/>
      <c r="ES86" s="42"/>
    </row>
    <row r="87" spans="3:149" ht="12.75" hidden="1" customHeight="1" x14ac:dyDescent="0.3">
      <c r="D87" s="144"/>
      <c r="E87" s="611"/>
      <c r="G87" s="56"/>
      <c r="H87" s="56"/>
      <c r="I87" s="56"/>
      <c r="J87" s="611"/>
      <c r="K87" s="56"/>
      <c r="L87" s="56"/>
      <c r="M87" s="56"/>
      <c r="N87" s="56"/>
      <c r="O87" s="611"/>
      <c r="P87" s="56"/>
      <c r="Q87" s="56"/>
      <c r="R87" s="56"/>
      <c r="S87" s="56"/>
      <c r="T87" s="611"/>
      <c r="U87" s="56"/>
      <c r="V87" s="56"/>
      <c r="W87" s="56"/>
      <c r="X87" s="56"/>
      <c r="Y87" s="611"/>
      <c r="Z87" s="56"/>
      <c r="AA87" s="56"/>
      <c r="AB87" s="56"/>
      <c r="AC87" s="56"/>
      <c r="AD87" s="611"/>
      <c r="AE87" s="56"/>
      <c r="AF87" s="56"/>
      <c r="AG87" s="56"/>
      <c r="AH87" s="56"/>
      <c r="AI87" s="611"/>
      <c r="AJ87" s="56"/>
      <c r="AK87" s="56"/>
      <c r="AL87" s="56"/>
      <c r="AM87" s="56"/>
      <c r="AN87" s="611"/>
      <c r="AO87" s="56"/>
      <c r="AP87" s="56"/>
      <c r="AQ87" s="56"/>
      <c r="AR87" s="56"/>
      <c r="AS87" s="611"/>
      <c r="AT87" s="56"/>
      <c r="AU87" s="56"/>
      <c r="AV87" s="56"/>
      <c r="AW87" s="56"/>
      <c r="AX87" s="611"/>
      <c r="AY87" s="56"/>
      <c r="AZ87" s="56"/>
      <c r="BA87" s="56"/>
      <c r="BB87" s="56"/>
      <c r="BC87" s="611"/>
      <c r="BD87" s="56"/>
      <c r="BE87" s="56"/>
      <c r="BF87" s="56"/>
      <c r="BG87" s="56"/>
      <c r="BH87" s="611"/>
      <c r="BI87" s="56"/>
      <c r="BJ87" s="56"/>
      <c r="BK87" s="56"/>
      <c r="BL87" s="56"/>
      <c r="BM87" s="611"/>
      <c r="BN87" s="56"/>
      <c r="BO87" s="56"/>
      <c r="BP87" s="56"/>
      <c r="BQ87" s="56"/>
      <c r="BR87" s="611"/>
      <c r="BS87" s="56"/>
      <c r="BT87" s="56"/>
      <c r="BU87" s="56"/>
      <c r="BV87" s="56"/>
      <c r="BW87" s="611"/>
      <c r="BX87" s="56"/>
      <c r="BY87" s="56"/>
      <c r="BZ87" s="56"/>
      <c r="CA87" s="56"/>
      <c r="CB87" s="611"/>
      <c r="CC87" s="56"/>
      <c r="CD87" s="56"/>
      <c r="CE87" s="56"/>
      <c r="CF87" s="56"/>
      <c r="CG87" s="611"/>
      <c r="CH87" s="56"/>
      <c r="CI87" s="56"/>
      <c r="CJ87" s="56"/>
      <c r="CK87" s="56"/>
      <c r="CL87" s="611"/>
      <c r="CM87" s="56"/>
      <c r="CN87" s="56"/>
      <c r="CO87" s="56"/>
      <c r="CP87" s="56"/>
      <c r="CQ87" s="611"/>
      <c r="CR87" s="56"/>
      <c r="CS87" s="56"/>
      <c r="CT87" s="56"/>
      <c r="CU87" s="56"/>
      <c r="CV87" s="611"/>
      <c r="CW87" s="56"/>
      <c r="CX87" s="56"/>
      <c r="CY87" s="56"/>
      <c r="CZ87" s="56"/>
      <c r="DA87" s="611"/>
      <c r="DB87" s="56"/>
      <c r="DC87" s="56"/>
      <c r="DD87" s="56"/>
      <c r="DE87" s="56"/>
      <c r="DF87" s="611"/>
      <c r="DG87" s="56"/>
      <c r="DH87" s="56"/>
      <c r="DI87" s="56"/>
      <c r="DJ87" s="56"/>
      <c r="DK87" s="611"/>
      <c r="DL87" s="56"/>
      <c r="DM87" s="56"/>
      <c r="DN87" s="56"/>
      <c r="DO87" s="56"/>
      <c r="DP87" s="611"/>
      <c r="DQ87" s="56"/>
      <c r="DR87" s="56"/>
      <c r="DS87" s="56"/>
      <c r="DT87" s="56"/>
      <c r="DU87" s="611"/>
      <c r="DV87" s="56"/>
      <c r="DW87" s="56"/>
      <c r="DX87" s="56"/>
      <c r="DY87" s="56"/>
      <c r="DZ87" s="611"/>
      <c r="EA87" s="56"/>
      <c r="EB87" s="56"/>
      <c r="EC87" s="56"/>
      <c r="ED87" s="56"/>
      <c r="EE87" s="611"/>
      <c r="EF87" s="56"/>
      <c r="EG87" s="56"/>
      <c r="EH87" s="56"/>
      <c r="EI87" s="56"/>
      <c r="EJ87" s="611"/>
      <c r="EK87" s="56"/>
      <c r="EL87" s="56"/>
      <c r="EM87" s="56"/>
      <c r="EN87" s="56"/>
      <c r="EO87" s="144"/>
      <c r="ER87" s="42"/>
      <c r="ES87" s="42"/>
    </row>
    <row r="88" spans="3:149" ht="12.75" customHeight="1" x14ac:dyDescent="0.3">
      <c r="D88" s="234" t="s">
        <v>350</v>
      </c>
      <c r="E88" s="611"/>
      <c r="G88" s="56"/>
      <c r="H88" s="56"/>
      <c r="I88" s="56"/>
      <c r="J88" s="611"/>
      <c r="K88" s="56"/>
      <c r="L88" s="56"/>
      <c r="M88" s="56"/>
      <c r="N88" s="56"/>
      <c r="O88" s="611"/>
      <c r="P88" s="56"/>
      <c r="Q88" s="56"/>
      <c r="R88" s="56"/>
      <c r="S88" s="56"/>
      <c r="T88" s="611"/>
      <c r="U88" s="56"/>
      <c r="V88" s="56"/>
      <c r="W88" s="56"/>
      <c r="X88" s="56"/>
      <c r="Y88" s="611"/>
      <c r="Z88" s="56"/>
      <c r="AA88" s="56"/>
      <c r="AB88" s="56"/>
      <c r="AC88" s="56"/>
      <c r="AD88" s="611"/>
      <c r="AE88" s="56"/>
      <c r="AF88" s="56"/>
      <c r="AG88" s="56"/>
      <c r="AH88" s="56"/>
      <c r="AI88" s="611"/>
      <c r="AJ88" s="56"/>
      <c r="AK88" s="56"/>
      <c r="AL88" s="56"/>
      <c r="AM88" s="56"/>
      <c r="AN88" s="611"/>
      <c r="AO88" s="56"/>
      <c r="AP88" s="56"/>
      <c r="AQ88" s="56"/>
      <c r="AR88" s="56"/>
      <c r="AS88" s="611"/>
      <c r="AT88" s="56"/>
      <c r="AU88" s="56"/>
      <c r="AV88" s="56"/>
      <c r="AW88" s="56"/>
      <c r="AX88" s="611"/>
      <c r="AY88" s="56"/>
      <c r="AZ88" s="56"/>
      <c r="BA88" s="56"/>
      <c r="BB88" s="56"/>
      <c r="BC88" s="611"/>
      <c r="BD88" s="56"/>
      <c r="BE88" s="56"/>
      <c r="BF88" s="56"/>
      <c r="BG88" s="56"/>
      <c r="BH88" s="611"/>
      <c r="BI88" s="56"/>
      <c r="BJ88" s="56"/>
      <c r="BK88" s="56"/>
      <c r="BL88" s="56"/>
      <c r="BM88" s="611"/>
      <c r="BN88" s="56"/>
      <c r="BO88" s="56"/>
      <c r="BP88" s="56"/>
      <c r="BQ88" s="56"/>
      <c r="BR88" s="611"/>
      <c r="BS88" s="56"/>
      <c r="BT88" s="56"/>
      <c r="BU88" s="56"/>
      <c r="BV88" s="56"/>
      <c r="BW88" s="611"/>
      <c r="BX88" s="56"/>
      <c r="BY88" s="56"/>
      <c r="BZ88" s="56"/>
      <c r="CA88" s="56"/>
      <c r="CB88" s="611"/>
      <c r="CC88" s="56"/>
      <c r="CD88" s="56"/>
      <c r="CE88" s="56"/>
      <c r="CF88" s="56"/>
      <c r="CG88" s="611"/>
      <c r="CH88" s="56"/>
      <c r="CI88" s="56"/>
      <c r="CJ88" s="56"/>
      <c r="CK88" s="56"/>
      <c r="CL88" s="611"/>
      <c r="CM88" s="56"/>
      <c r="CN88" s="56"/>
      <c r="CO88" s="56"/>
      <c r="CP88" s="56"/>
      <c r="CQ88" s="611"/>
      <c r="CR88" s="56"/>
      <c r="CS88" s="56"/>
      <c r="CT88" s="56"/>
      <c r="CU88" s="56"/>
      <c r="CV88" s="611"/>
      <c r="CW88" s="56"/>
      <c r="CX88" s="56"/>
      <c r="CY88" s="56"/>
      <c r="CZ88" s="56"/>
      <c r="DA88" s="611"/>
      <c r="DB88" s="56"/>
      <c r="DC88" s="56"/>
      <c r="DD88" s="56"/>
      <c r="DE88" s="56"/>
      <c r="DF88" s="611"/>
      <c r="DG88" s="56"/>
      <c r="DH88" s="56"/>
      <c r="DI88" s="56"/>
      <c r="DJ88" s="56"/>
      <c r="DK88" s="611"/>
      <c r="DL88" s="56"/>
      <c r="DM88" s="56"/>
      <c r="DN88" s="56"/>
      <c r="DO88" s="56"/>
      <c r="DP88" s="611"/>
      <c r="DQ88" s="56"/>
      <c r="DR88" s="56"/>
      <c r="DS88" s="56"/>
      <c r="DT88" s="56"/>
      <c r="DU88" s="611"/>
      <c r="DV88" s="56"/>
      <c r="DW88" s="56"/>
      <c r="DX88" s="56"/>
      <c r="DY88" s="56"/>
      <c r="DZ88" s="611"/>
      <c r="EA88" s="56"/>
      <c r="EB88" s="56"/>
      <c r="EC88" s="56"/>
      <c r="ED88" s="56"/>
      <c r="EE88" s="611"/>
      <c r="EF88" s="56"/>
      <c r="EG88" s="56"/>
      <c r="EH88" s="56"/>
      <c r="EI88" s="56"/>
      <c r="EJ88" s="611"/>
      <c r="EK88" s="56"/>
      <c r="EL88" s="56"/>
      <c r="EM88" s="56"/>
      <c r="EN88" s="56"/>
      <c r="EO88" s="144"/>
      <c r="ER88" s="42"/>
      <c r="ES88" s="42"/>
    </row>
    <row r="89" spans="3:149" ht="12.75" customHeight="1" x14ac:dyDescent="0.3">
      <c r="D89" s="144" t="s">
        <v>351</v>
      </c>
      <c r="E89" s="611"/>
      <c r="G89" s="56">
        <f>SUM(G90:G92)</f>
        <v>0</v>
      </c>
      <c r="H89" s="56"/>
      <c r="I89" s="56"/>
      <c r="J89" s="611"/>
      <c r="K89" s="56"/>
      <c r="L89" s="56">
        <f>SUM(L90:L92)</f>
        <v>0</v>
      </c>
      <c r="M89" s="56"/>
      <c r="N89" s="56"/>
      <c r="O89" s="611"/>
      <c r="P89" s="56"/>
      <c r="Q89" s="56">
        <f>SUM(Q90:Q92)</f>
        <v>0</v>
      </c>
      <c r="R89" s="56"/>
      <c r="S89" s="56"/>
      <c r="T89" s="611"/>
      <c r="U89" s="56"/>
      <c r="V89" s="56">
        <f>SUM(V90:V92)</f>
        <v>0</v>
      </c>
      <c r="W89" s="56"/>
      <c r="X89" s="56"/>
      <c r="Y89" s="611"/>
      <c r="Z89" s="56"/>
      <c r="AA89" s="56">
        <f>SUM(AA90:AA92)</f>
        <v>0</v>
      </c>
      <c r="AB89" s="56"/>
      <c r="AC89" s="56"/>
      <c r="AD89" s="611"/>
      <c r="AE89" s="56"/>
      <c r="AF89" s="56">
        <f>SUM(AF90:AF92)</f>
        <v>0</v>
      </c>
      <c r="AG89" s="56"/>
      <c r="AH89" s="56"/>
      <c r="AI89" s="611"/>
      <c r="AJ89" s="56"/>
      <c r="AK89" s="56">
        <f>SUM(AK90:AK92)</f>
        <v>0</v>
      </c>
      <c r="AL89" s="56"/>
      <c r="AM89" s="56"/>
      <c r="AN89" s="611"/>
      <c r="AO89" s="56"/>
      <c r="AP89" s="56">
        <f>SUM(AP90:AP92)</f>
        <v>0</v>
      </c>
      <c r="AQ89" s="56"/>
      <c r="AR89" s="56"/>
      <c r="AS89" s="611"/>
      <c r="AT89" s="56"/>
      <c r="AU89" s="56">
        <f>SUM(AU90:AU92)</f>
        <v>0</v>
      </c>
      <c r="AV89" s="56"/>
      <c r="AW89" s="56"/>
      <c r="AX89" s="611"/>
      <c r="AY89" s="56"/>
      <c r="AZ89" s="56">
        <f>SUM(AZ90:AZ92)</f>
        <v>0</v>
      </c>
      <c r="BA89" s="56"/>
      <c r="BB89" s="56"/>
      <c r="BC89" s="611"/>
      <c r="BD89" s="56"/>
      <c r="BE89" s="56">
        <f>SUM(BE90:BE92)</f>
        <v>0</v>
      </c>
      <c r="BF89" s="56"/>
      <c r="BG89" s="56"/>
      <c r="BH89" s="611"/>
      <c r="BI89" s="56"/>
      <c r="BJ89" s="56">
        <f>SUM(BJ90:BJ92)</f>
        <v>0</v>
      </c>
      <c r="BK89" s="56"/>
      <c r="BL89" s="56"/>
      <c r="BM89" s="611"/>
      <c r="BN89" s="56"/>
      <c r="BO89" s="56">
        <f>SUM(BO90:BO92)</f>
        <v>0</v>
      </c>
      <c r="BP89" s="56"/>
      <c r="BQ89" s="56"/>
      <c r="BR89" s="611"/>
      <c r="BS89" s="56"/>
      <c r="BT89" s="56">
        <f>SUM(BT90:BT92)</f>
        <v>0</v>
      </c>
      <c r="BU89" s="56"/>
      <c r="BV89" s="56"/>
      <c r="BW89" s="611"/>
      <c r="BX89" s="56"/>
      <c r="BY89" s="56">
        <f>SUM(BY90:BY92)</f>
        <v>13019268</v>
      </c>
      <c r="BZ89" s="56"/>
      <c r="CA89" s="56"/>
      <c r="CB89" s="611"/>
      <c r="CC89" s="56"/>
      <c r="CD89" s="56">
        <f>SUM(CD90:CD92)</f>
        <v>3621</v>
      </c>
      <c r="CE89" s="56"/>
      <c r="CF89" s="56"/>
      <c r="CG89" s="611"/>
      <c r="CH89" s="56"/>
      <c r="CI89" s="56">
        <f>SUM(CI90:CI92)</f>
        <v>1300994</v>
      </c>
      <c r="CJ89" s="56"/>
      <c r="CK89" s="56"/>
      <c r="CL89" s="611"/>
      <c r="CM89" s="56"/>
      <c r="CN89" s="56">
        <f>SUM(CN90:CN92)</f>
        <v>0</v>
      </c>
      <c r="CO89" s="56"/>
      <c r="CP89" s="56"/>
      <c r="CQ89" s="611"/>
      <c r="CR89" s="56"/>
      <c r="CS89" s="56">
        <f>SUM(CS90:CS92)</f>
        <v>1300000</v>
      </c>
      <c r="CT89" s="56"/>
      <c r="CU89" s="56"/>
      <c r="CV89" s="611"/>
      <c r="CW89" s="56"/>
      <c r="CX89" s="56">
        <f>SUM(CX90:CX92)</f>
        <v>0</v>
      </c>
      <c r="CY89" s="56"/>
      <c r="CZ89" s="56"/>
      <c r="DA89" s="611"/>
      <c r="DB89" s="56"/>
      <c r="DC89" s="56">
        <f>SUM(DC90:DC92)</f>
        <v>0</v>
      </c>
      <c r="DD89" s="56"/>
      <c r="DE89" s="56"/>
      <c r="DF89" s="611"/>
      <c r="DG89" s="56"/>
      <c r="DH89" s="56">
        <f>SUM(DH90:DH92)</f>
        <v>0</v>
      </c>
      <c r="DI89" s="56"/>
      <c r="DJ89" s="56"/>
      <c r="DK89" s="611"/>
      <c r="DL89" s="56"/>
      <c r="DM89" s="56">
        <f>SUM(DM90:DM92)</f>
        <v>186</v>
      </c>
      <c r="DN89" s="56"/>
      <c r="DO89" s="56"/>
      <c r="DP89" s="611"/>
      <c r="DQ89" s="56"/>
      <c r="DR89" s="56">
        <f>SUM(DR90:DR92)</f>
        <v>0</v>
      </c>
      <c r="DS89" s="56"/>
      <c r="DT89" s="56"/>
      <c r="DU89" s="611"/>
      <c r="DV89" s="56"/>
      <c r="DW89" s="56">
        <f>SUM(DW90:DW92)</f>
        <v>3253715</v>
      </c>
      <c r="DX89" s="56"/>
      <c r="DY89" s="56"/>
      <c r="DZ89" s="611"/>
      <c r="EA89" s="56"/>
      <c r="EB89" s="56">
        <f>SUM(EB90:EB92)</f>
        <v>1953752</v>
      </c>
      <c r="EC89" s="56"/>
      <c r="ED89" s="56"/>
      <c r="EE89" s="611"/>
      <c r="EF89" s="56"/>
      <c r="EG89" s="56">
        <f>SUM(EG90:EG92)</f>
        <v>5207000</v>
      </c>
      <c r="EH89" s="56"/>
      <c r="EI89" s="56"/>
      <c r="EJ89" s="611"/>
      <c r="EK89" s="56"/>
      <c r="EL89" s="56">
        <f>SUM(EL90:EL92)</f>
        <v>5858516</v>
      </c>
      <c r="EM89" s="56"/>
      <c r="EN89" s="56"/>
      <c r="EO89" s="144"/>
      <c r="ER89" s="42"/>
      <c r="ES89" s="42"/>
    </row>
    <row r="90" spans="3:149" ht="12.75" customHeight="1" x14ac:dyDescent="0.3">
      <c r="D90" s="144" t="s">
        <v>335</v>
      </c>
      <c r="E90" s="611"/>
      <c r="F90" s="500"/>
      <c r="G90" s="609">
        <v>0</v>
      </c>
      <c r="H90" s="610"/>
      <c r="I90" s="56"/>
      <c r="J90" s="611"/>
      <c r="K90" s="612"/>
      <c r="L90" s="609">
        <v>0</v>
      </c>
      <c r="M90" s="610"/>
      <c r="N90" s="56"/>
      <c r="O90" s="611"/>
      <c r="P90" s="612"/>
      <c r="Q90" s="609">
        <v>0</v>
      </c>
      <c r="R90" s="610"/>
      <c r="S90" s="56"/>
      <c r="T90" s="611"/>
      <c r="U90" s="500"/>
      <c r="V90" s="609">
        <v>0</v>
      </c>
      <c r="W90" s="610"/>
      <c r="X90" s="56"/>
      <c r="Y90" s="611"/>
      <c r="Z90" s="612"/>
      <c r="AA90" s="609">
        <v>0</v>
      </c>
      <c r="AB90" s="610"/>
      <c r="AC90" s="56"/>
      <c r="AD90" s="611"/>
      <c r="AE90" s="612"/>
      <c r="AF90" s="609">
        <v>0</v>
      </c>
      <c r="AG90" s="610"/>
      <c r="AH90" s="56"/>
      <c r="AI90" s="611"/>
      <c r="AJ90" s="612"/>
      <c r="AK90" s="609">
        <v>0</v>
      </c>
      <c r="AL90" s="610"/>
      <c r="AM90" s="56"/>
      <c r="AN90" s="611"/>
      <c r="AO90" s="612"/>
      <c r="AP90" s="609">
        <v>0</v>
      </c>
      <c r="AQ90" s="610"/>
      <c r="AR90" s="56"/>
      <c r="AS90" s="611"/>
      <c r="AT90" s="612"/>
      <c r="AU90" s="609">
        <v>0</v>
      </c>
      <c r="AV90" s="610"/>
      <c r="AW90" s="56"/>
      <c r="AX90" s="611"/>
      <c r="AY90" s="612"/>
      <c r="AZ90" s="609">
        <v>0</v>
      </c>
      <c r="BA90" s="610"/>
      <c r="BB90" s="56"/>
      <c r="BC90" s="611"/>
      <c r="BD90" s="612"/>
      <c r="BE90" s="609">
        <v>0</v>
      </c>
      <c r="BF90" s="610"/>
      <c r="BG90" s="56"/>
      <c r="BH90" s="611"/>
      <c r="BI90" s="612"/>
      <c r="BJ90" s="609">
        <v>0</v>
      </c>
      <c r="BK90" s="610"/>
      <c r="BL90" s="56"/>
      <c r="BM90" s="611"/>
      <c r="BN90" s="612"/>
      <c r="BO90" s="609">
        <v>0</v>
      </c>
      <c r="BP90" s="610"/>
      <c r="BQ90" s="56"/>
      <c r="BR90" s="611"/>
      <c r="BS90" s="612"/>
      <c r="BT90" s="609">
        <f>SUM(L90:BO90)</f>
        <v>0</v>
      </c>
      <c r="BU90" s="610"/>
      <c r="BV90" s="56"/>
      <c r="BW90" s="611"/>
      <c r="BX90" s="612"/>
      <c r="BY90" s="609">
        <v>14399580</v>
      </c>
      <c r="BZ90" s="610"/>
      <c r="CA90" s="56"/>
      <c r="CB90" s="611"/>
      <c r="CC90" s="612"/>
      <c r="CD90" s="609">
        <f>3621+493</f>
        <v>4114</v>
      </c>
      <c r="CE90" s="610"/>
      <c r="CF90" s="56"/>
      <c r="CG90" s="611"/>
      <c r="CH90" s="612"/>
      <c r="CI90" s="609">
        <f>1300994+193807</f>
        <v>1494801</v>
      </c>
      <c r="CJ90" s="610"/>
      <c r="CK90" s="56"/>
      <c r="CL90" s="611"/>
      <c r="CM90" s="500"/>
      <c r="CN90" s="609">
        <v>0</v>
      </c>
      <c r="CO90" s="610"/>
      <c r="CP90" s="56"/>
      <c r="CQ90" s="611"/>
      <c r="CR90" s="612"/>
      <c r="CS90" s="609">
        <f>1300000+182826</f>
        <v>1482826</v>
      </c>
      <c r="CT90" s="610"/>
      <c r="CU90" s="56"/>
      <c r="CV90" s="611"/>
      <c r="CW90" s="612"/>
      <c r="CX90" s="609">
        <v>0</v>
      </c>
      <c r="CY90" s="610"/>
      <c r="CZ90" s="56"/>
      <c r="DA90" s="611"/>
      <c r="DB90" s="612"/>
      <c r="DC90" s="609">
        <v>0</v>
      </c>
      <c r="DD90" s="610"/>
      <c r="DE90" s="56"/>
      <c r="DF90" s="611"/>
      <c r="DG90" s="612"/>
      <c r="DH90" s="609">
        <v>0</v>
      </c>
      <c r="DI90" s="610"/>
      <c r="DJ90" s="56"/>
      <c r="DK90" s="611"/>
      <c r="DL90" s="612"/>
      <c r="DM90" s="609">
        <f>186+18</f>
        <v>204</v>
      </c>
      <c r="DN90" s="610"/>
      <c r="DO90" s="56"/>
      <c r="DP90" s="611"/>
      <c r="DQ90" s="612"/>
      <c r="DR90" s="609">
        <v>0</v>
      </c>
      <c r="DS90" s="610"/>
      <c r="DT90" s="56"/>
      <c r="DU90" s="611"/>
      <c r="DV90" s="612"/>
      <c r="DW90" s="609">
        <f>3253715+361232</f>
        <v>3614947</v>
      </c>
      <c r="DX90" s="610"/>
      <c r="DY90" s="56"/>
      <c r="DZ90" s="611"/>
      <c r="EA90" s="612"/>
      <c r="EB90" s="609">
        <f>1953752+209896</f>
        <v>2163648</v>
      </c>
      <c r="EC90" s="610"/>
      <c r="ED90" s="56"/>
      <c r="EE90" s="611"/>
      <c r="EF90" s="612"/>
      <c r="EG90" s="609">
        <f>5207000+432040</f>
        <v>5639040</v>
      </c>
      <c r="EH90" s="610"/>
      <c r="EI90" s="56"/>
      <c r="EJ90" s="611"/>
      <c r="EK90" s="612"/>
      <c r="EL90" s="609">
        <f t="shared" ref="EL90:EL92" si="7">SUM(CD90:DW90)</f>
        <v>6596892</v>
      </c>
      <c r="EM90" s="610"/>
      <c r="EN90" s="56"/>
      <c r="EO90" s="144"/>
      <c r="ER90" s="42"/>
      <c r="ES90" s="42"/>
    </row>
    <row r="91" spans="3:149" ht="12.75" customHeight="1" x14ac:dyDescent="0.3">
      <c r="D91" s="144" t="s">
        <v>338</v>
      </c>
      <c r="E91" s="611"/>
      <c r="F91" s="494"/>
      <c r="G91" s="56">
        <v>0</v>
      </c>
      <c r="H91" s="55"/>
      <c r="I91" s="56"/>
      <c r="J91" s="611"/>
      <c r="K91" s="611"/>
      <c r="L91" s="56">
        <v>0</v>
      </c>
      <c r="M91" s="55"/>
      <c r="N91" s="56"/>
      <c r="O91" s="611"/>
      <c r="P91" s="611"/>
      <c r="Q91" s="56">
        <v>0</v>
      </c>
      <c r="R91" s="55"/>
      <c r="S91" s="56"/>
      <c r="T91" s="611"/>
      <c r="U91" s="494"/>
      <c r="V91" s="56">
        <v>0</v>
      </c>
      <c r="W91" s="55"/>
      <c r="X91" s="56"/>
      <c r="Y91" s="611"/>
      <c r="Z91" s="611"/>
      <c r="AA91" s="56">
        <v>0</v>
      </c>
      <c r="AB91" s="55"/>
      <c r="AC91" s="56"/>
      <c r="AD91" s="611"/>
      <c r="AE91" s="611"/>
      <c r="AF91" s="56">
        <v>0</v>
      </c>
      <c r="AG91" s="55"/>
      <c r="AH91" s="56"/>
      <c r="AI91" s="611"/>
      <c r="AJ91" s="611"/>
      <c r="AK91" s="56">
        <v>0</v>
      </c>
      <c r="AL91" s="55"/>
      <c r="AM91" s="56"/>
      <c r="AN91" s="611"/>
      <c r="AO91" s="611"/>
      <c r="AP91" s="56">
        <v>0</v>
      </c>
      <c r="AQ91" s="55"/>
      <c r="AR91" s="56"/>
      <c r="AS91" s="611"/>
      <c r="AT91" s="611"/>
      <c r="AU91" s="56">
        <v>0</v>
      </c>
      <c r="AV91" s="55"/>
      <c r="AW91" s="56"/>
      <c r="AX91" s="611"/>
      <c r="AY91" s="611"/>
      <c r="AZ91" s="56">
        <v>0</v>
      </c>
      <c r="BA91" s="55"/>
      <c r="BB91" s="56"/>
      <c r="BC91" s="611"/>
      <c r="BD91" s="611"/>
      <c r="BE91" s="56">
        <v>0</v>
      </c>
      <c r="BF91" s="55"/>
      <c r="BG91" s="56"/>
      <c r="BH91" s="611"/>
      <c r="BI91" s="611"/>
      <c r="BJ91" s="56">
        <v>0</v>
      </c>
      <c r="BK91" s="55"/>
      <c r="BL91" s="56"/>
      <c r="BM91" s="611"/>
      <c r="BN91" s="611"/>
      <c r="BO91" s="56">
        <v>0</v>
      </c>
      <c r="BP91" s="55"/>
      <c r="BQ91" s="56"/>
      <c r="BR91" s="611"/>
      <c r="BS91" s="611"/>
      <c r="BT91" s="56">
        <f>SUM(L91:BO91)</f>
        <v>0</v>
      </c>
      <c r="BU91" s="55"/>
      <c r="BV91" s="56"/>
      <c r="BW91" s="611"/>
      <c r="BX91" s="611"/>
      <c r="BY91" s="56">
        <v>0</v>
      </c>
      <c r="BZ91" s="55"/>
      <c r="CA91" s="56"/>
      <c r="CB91" s="611"/>
      <c r="CC91" s="611"/>
      <c r="CD91" s="56">
        <v>0</v>
      </c>
      <c r="CE91" s="55"/>
      <c r="CF91" s="56"/>
      <c r="CG91" s="611"/>
      <c r="CH91" s="611"/>
      <c r="CI91" s="56">
        <v>0</v>
      </c>
      <c r="CJ91" s="55"/>
      <c r="CK91" s="56"/>
      <c r="CL91" s="611"/>
      <c r="CM91" s="494"/>
      <c r="CN91" s="56">
        <v>0</v>
      </c>
      <c r="CO91" s="55"/>
      <c r="CP91" s="56"/>
      <c r="CQ91" s="611"/>
      <c r="CR91" s="611"/>
      <c r="CS91" s="56">
        <v>0</v>
      </c>
      <c r="CT91" s="55"/>
      <c r="CU91" s="56"/>
      <c r="CV91" s="611"/>
      <c r="CW91" s="611"/>
      <c r="CX91" s="56">
        <v>0</v>
      </c>
      <c r="CY91" s="55"/>
      <c r="CZ91" s="56"/>
      <c r="DA91" s="611"/>
      <c r="DB91" s="611"/>
      <c r="DC91" s="56">
        <v>0</v>
      </c>
      <c r="DD91" s="55"/>
      <c r="DE91" s="56"/>
      <c r="DF91" s="611"/>
      <c r="DG91" s="611"/>
      <c r="DH91" s="56">
        <v>0</v>
      </c>
      <c r="DI91" s="55"/>
      <c r="DJ91" s="56"/>
      <c r="DK91" s="611"/>
      <c r="DL91" s="611"/>
      <c r="DM91" s="56">
        <v>0</v>
      </c>
      <c r="DN91" s="55"/>
      <c r="DO91" s="56"/>
      <c r="DP91" s="611"/>
      <c r="DQ91" s="611"/>
      <c r="DR91" s="56">
        <v>0</v>
      </c>
      <c r="DS91" s="55"/>
      <c r="DT91" s="56"/>
      <c r="DU91" s="611"/>
      <c r="DV91" s="611"/>
      <c r="DW91" s="56">
        <v>0</v>
      </c>
      <c r="DX91" s="55"/>
      <c r="DY91" s="56"/>
      <c r="DZ91" s="611"/>
      <c r="EA91" s="611"/>
      <c r="EB91" s="56">
        <v>0</v>
      </c>
      <c r="EC91" s="55"/>
      <c r="ED91" s="56"/>
      <c r="EE91" s="611"/>
      <c r="EF91" s="611"/>
      <c r="EG91" s="56">
        <v>0</v>
      </c>
      <c r="EH91" s="55"/>
      <c r="EI91" s="56"/>
      <c r="EJ91" s="611"/>
      <c r="EK91" s="611"/>
      <c r="EL91" s="56">
        <f t="shared" si="7"/>
        <v>0</v>
      </c>
      <c r="EM91" s="55"/>
      <c r="EN91" s="56"/>
      <c r="EO91" s="144"/>
      <c r="ER91" s="42"/>
      <c r="ES91" s="42"/>
    </row>
    <row r="92" spans="3:149" ht="12.75" customHeight="1" x14ac:dyDescent="0.3">
      <c r="D92" s="144" t="s">
        <v>352</v>
      </c>
      <c r="E92" s="611"/>
      <c r="F92" s="513"/>
      <c r="G92" s="117">
        <v>0</v>
      </c>
      <c r="H92" s="116"/>
      <c r="I92" s="56"/>
      <c r="J92" s="611"/>
      <c r="K92" s="620"/>
      <c r="L92" s="117">
        <v>0</v>
      </c>
      <c r="M92" s="116"/>
      <c r="N92" s="56"/>
      <c r="O92" s="611"/>
      <c r="P92" s="620"/>
      <c r="Q92" s="117">
        <v>0</v>
      </c>
      <c r="R92" s="116"/>
      <c r="S92" s="56"/>
      <c r="T92" s="611"/>
      <c r="U92" s="513"/>
      <c r="V92" s="117">
        <v>0</v>
      </c>
      <c r="W92" s="116"/>
      <c r="X92" s="56"/>
      <c r="Y92" s="611"/>
      <c r="Z92" s="620"/>
      <c r="AA92" s="117">
        <v>0</v>
      </c>
      <c r="AB92" s="116"/>
      <c r="AC92" s="56"/>
      <c r="AD92" s="611"/>
      <c r="AE92" s="620"/>
      <c r="AF92" s="117">
        <v>0</v>
      </c>
      <c r="AG92" s="116"/>
      <c r="AH92" s="56"/>
      <c r="AI92" s="611"/>
      <c r="AJ92" s="620"/>
      <c r="AK92" s="117">
        <v>0</v>
      </c>
      <c r="AL92" s="116"/>
      <c r="AM92" s="56"/>
      <c r="AN92" s="611"/>
      <c r="AO92" s="620"/>
      <c r="AP92" s="117">
        <v>0</v>
      </c>
      <c r="AQ92" s="116"/>
      <c r="AR92" s="56"/>
      <c r="AS92" s="611"/>
      <c r="AT92" s="620"/>
      <c r="AU92" s="117">
        <v>0</v>
      </c>
      <c r="AV92" s="116"/>
      <c r="AW92" s="56"/>
      <c r="AX92" s="611"/>
      <c r="AY92" s="620"/>
      <c r="AZ92" s="117">
        <v>0</v>
      </c>
      <c r="BA92" s="116"/>
      <c r="BB92" s="56"/>
      <c r="BC92" s="611"/>
      <c r="BD92" s="620"/>
      <c r="BE92" s="117">
        <v>0</v>
      </c>
      <c r="BF92" s="116"/>
      <c r="BG92" s="56"/>
      <c r="BH92" s="611"/>
      <c r="BI92" s="620"/>
      <c r="BJ92" s="117">
        <v>0</v>
      </c>
      <c r="BK92" s="116"/>
      <c r="BL92" s="56"/>
      <c r="BM92" s="611"/>
      <c r="BN92" s="620"/>
      <c r="BO92" s="117">
        <v>0</v>
      </c>
      <c r="BP92" s="116"/>
      <c r="BQ92" s="56"/>
      <c r="BR92" s="611"/>
      <c r="BS92" s="620"/>
      <c r="BT92" s="117">
        <f>SUM(L92:BO92)</f>
        <v>0</v>
      </c>
      <c r="BU92" s="116"/>
      <c r="BV92" s="56"/>
      <c r="BW92" s="611"/>
      <c r="BX92" s="620"/>
      <c r="BY92" s="117">
        <v>-1380312</v>
      </c>
      <c r="BZ92" s="116"/>
      <c r="CA92" s="56"/>
      <c r="CB92" s="611"/>
      <c r="CC92" s="620"/>
      <c r="CD92" s="117">
        <v>-493</v>
      </c>
      <c r="CE92" s="116"/>
      <c r="CF92" s="56"/>
      <c r="CG92" s="611"/>
      <c r="CH92" s="620"/>
      <c r="CI92" s="117">
        <v>-193807</v>
      </c>
      <c r="CJ92" s="116"/>
      <c r="CK92" s="56"/>
      <c r="CL92" s="611"/>
      <c r="CM92" s="513"/>
      <c r="CN92" s="117">
        <v>0</v>
      </c>
      <c r="CO92" s="116"/>
      <c r="CP92" s="56"/>
      <c r="CQ92" s="611"/>
      <c r="CR92" s="620"/>
      <c r="CS92" s="117">
        <v>-182826</v>
      </c>
      <c r="CT92" s="116"/>
      <c r="CU92" s="56"/>
      <c r="CV92" s="611"/>
      <c r="CW92" s="620"/>
      <c r="CX92" s="117">
        <v>0</v>
      </c>
      <c r="CY92" s="116"/>
      <c r="CZ92" s="56"/>
      <c r="DA92" s="611"/>
      <c r="DB92" s="620"/>
      <c r="DC92" s="117">
        <v>0</v>
      </c>
      <c r="DD92" s="116"/>
      <c r="DE92" s="56"/>
      <c r="DF92" s="611"/>
      <c r="DG92" s="620"/>
      <c r="DH92" s="117">
        <v>0</v>
      </c>
      <c r="DI92" s="116"/>
      <c r="DJ92" s="56"/>
      <c r="DK92" s="611"/>
      <c r="DL92" s="620"/>
      <c r="DM92" s="117">
        <v>-18</v>
      </c>
      <c r="DN92" s="116"/>
      <c r="DO92" s="56"/>
      <c r="DP92" s="611"/>
      <c r="DQ92" s="620"/>
      <c r="DR92" s="117">
        <v>0</v>
      </c>
      <c r="DS92" s="116"/>
      <c r="DT92" s="56"/>
      <c r="DU92" s="611"/>
      <c r="DV92" s="620"/>
      <c r="DW92" s="117">
        <v>-361232</v>
      </c>
      <c r="DX92" s="116"/>
      <c r="DY92" s="56"/>
      <c r="DZ92" s="611"/>
      <c r="EA92" s="620"/>
      <c r="EB92" s="117">
        <v>-209896</v>
      </c>
      <c r="EC92" s="116"/>
      <c r="ED92" s="56"/>
      <c r="EE92" s="611"/>
      <c r="EF92" s="620"/>
      <c r="EG92" s="117">
        <v>-432040</v>
      </c>
      <c r="EH92" s="116"/>
      <c r="EI92" s="56"/>
      <c r="EJ92" s="611"/>
      <c r="EK92" s="620"/>
      <c r="EL92" s="117">
        <f t="shared" si="7"/>
        <v>-738376</v>
      </c>
      <c r="EM92" s="116"/>
      <c r="EN92" s="56"/>
      <c r="EO92" s="144"/>
      <c r="ER92" s="42"/>
      <c r="ES92" s="42"/>
    </row>
    <row r="93" spans="3:149" ht="12.75" customHeight="1" x14ac:dyDescent="0.3">
      <c r="D93" s="144"/>
      <c r="E93" s="611"/>
      <c r="G93" s="56"/>
      <c r="H93" s="56"/>
      <c r="I93" s="56"/>
      <c r="J93" s="611"/>
      <c r="K93" s="56"/>
      <c r="L93" s="56"/>
      <c r="M93" s="56"/>
      <c r="N93" s="56"/>
      <c r="O93" s="611"/>
      <c r="P93" s="56"/>
      <c r="Q93" s="56"/>
      <c r="R93" s="56"/>
      <c r="S93" s="56"/>
      <c r="T93" s="611"/>
      <c r="U93" s="56"/>
      <c r="V93" s="56"/>
      <c r="W93" s="56"/>
      <c r="X93" s="56"/>
      <c r="Y93" s="611"/>
      <c r="Z93" s="56"/>
      <c r="AA93" s="56"/>
      <c r="AB93" s="56"/>
      <c r="AC93" s="56"/>
      <c r="AD93" s="611"/>
      <c r="AE93" s="56"/>
      <c r="AF93" s="56"/>
      <c r="AG93" s="56"/>
      <c r="AH93" s="56"/>
      <c r="AI93" s="611"/>
      <c r="AJ93" s="56"/>
      <c r="AK93" s="56"/>
      <c r="AL93" s="56"/>
      <c r="AM93" s="56"/>
      <c r="AN93" s="611"/>
      <c r="AO93" s="56"/>
      <c r="AP93" s="56"/>
      <c r="AQ93" s="56"/>
      <c r="AR93" s="56"/>
      <c r="AS93" s="611"/>
      <c r="AT93" s="56"/>
      <c r="AU93" s="56"/>
      <c r="AV93" s="56"/>
      <c r="AW93" s="56"/>
      <c r="AX93" s="611"/>
      <c r="AY93" s="56"/>
      <c r="AZ93" s="56"/>
      <c r="BA93" s="56"/>
      <c r="BB93" s="56"/>
      <c r="BC93" s="611"/>
      <c r="BD93" s="56"/>
      <c r="BE93" s="56"/>
      <c r="BF93" s="56"/>
      <c r="BG93" s="56"/>
      <c r="BH93" s="611"/>
      <c r="BI93" s="56"/>
      <c r="BJ93" s="56"/>
      <c r="BK93" s="56"/>
      <c r="BL93" s="56"/>
      <c r="BM93" s="611"/>
      <c r="BN93" s="56"/>
      <c r="BO93" s="56"/>
      <c r="BP93" s="56"/>
      <c r="BQ93" s="56"/>
      <c r="BR93" s="611"/>
      <c r="BS93" s="56"/>
      <c r="BT93" s="56"/>
      <c r="BU93" s="56"/>
      <c r="BV93" s="56"/>
      <c r="BW93" s="611"/>
      <c r="BX93" s="56"/>
      <c r="BY93" s="56"/>
      <c r="BZ93" s="56"/>
      <c r="CA93" s="56"/>
      <c r="CB93" s="611"/>
      <c r="CC93" s="56"/>
      <c r="CD93" s="56"/>
      <c r="CE93" s="56"/>
      <c r="CF93" s="56"/>
      <c r="CG93" s="611"/>
      <c r="CH93" s="56"/>
      <c r="CI93" s="56"/>
      <c r="CJ93" s="56"/>
      <c r="CK93" s="56"/>
      <c r="CL93" s="611"/>
      <c r="CM93" s="56"/>
      <c r="CN93" s="56"/>
      <c r="CO93" s="56"/>
      <c r="CP93" s="56"/>
      <c r="CQ93" s="611"/>
      <c r="CR93" s="56"/>
      <c r="CS93" s="56"/>
      <c r="CT93" s="56"/>
      <c r="CU93" s="56"/>
      <c r="CV93" s="611"/>
      <c r="CW93" s="56"/>
      <c r="CX93" s="56"/>
      <c r="CY93" s="56"/>
      <c r="CZ93" s="56"/>
      <c r="DA93" s="611"/>
      <c r="DB93" s="56"/>
      <c r="DC93" s="56"/>
      <c r="DD93" s="56"/>
      <c r="DE93" s="56"/>
      <c r="DF93" s="611"/>
      <c r="DG93" s="56"/>
      <c r="DH93" s="56"/>
      <c r="DI93" s="56"/>
      <c r="DJ93" s="56"/>
      <c r="DK93" s="611"/>
      <c r="DL93" s="56"/>
      <c r="DM93" s="56"/>
      <c r="DN93" s="56"/>
      <c r="DO93" s="56"/>
      <c r="DP93" s="611"/>
      <c r="DQ93" s="56"/>
      <c r="DR93" s="56"/>
      <c r="DS93" s="56"/>
      <c r="DT93" s="56"/>
      <c r="DU93" s="611"/>
      <c r="DV93" s="56"/>
      <c r="DW93" s="56"/>
      <c r="DX93" s="56"/>
      <c r="DY93" s="56"/>
      <c r="DZ93" s="611"/>
      <c r="EA93" s="56"/>
      <c r="EB93" s="56"/>
      <c r="EC93" s="56"/>
      <c r="ED93" s="56"/>
      <c r="EE93" s="611"/>
      <c r="EF93" s="56"/>
      <c r="EG93" s="56"/>
      <c r="EH93" s="56"/>
      <c r="EI93" s="56"/>
      <c r="EJ93" s="611"/>
      <c r="EK93" s="56"/>
      <c r="EL93" s="56"/>
      <c r="EM93" s="56"/>
      <c r="EN93" s="56"/>
      <c r="EO93" s="144"/>
      <c r="ER93" s="42"/>
      <c r="ES93" s="42"/>
    </row>
    <row r="94" spans="3:149" ht="12.75" customHeight="1" x14ac:dyDescent="0.3">
      <c r="C94" s="625"/>
      <c r="D94" s="506" t="s">
        <v>353</v>
      </c>
      <c r="E94" s="611"/>
      <c r="G94" s="56">
        <f>SUM(G95:G97)</f>
        <v>0</v>
      </c>
      <c r="H94" s="56"/>
      <c r="I94" s="56"/>
      <c r="J94" s="611"/>
      <c r="K94" s="56"/>
      <c r="L94" s="56">
        <f>SUM(L95:L97)</f>
        <v>1307390</v>
      </c>
      <c r="M94" s="56"/>
      <c r="N94" s="56"/>
      <c r="O94" s="611"/>
      <c r="P94" s="56"/>
      <c r="Q94" s="56">
        <f>SUM(Q95:Q97)</f>
        <v>3253000</v>
      </c>
      <c r="R94" s="56"/>
      <c r="S94" s="56"/>
      <c r="T94" s="611"/>
      <c r="U94" s="56"/>
      <c r="V94" s="56">
        <f>SUM(V95:V97)</f>
        <v>0</v>
      </c>
      <c r="W94" s="56"/>
      <c r="X94" s="56"/>
      <c r="Y94" s="611"/>
      <c r="Z94" s="56"/>
      <c r="AA94" s="56">
        <f>SUM(AA95:AA97)</f>
        <v>0</v>
      </c>
      <c r="AB94" s="56"/>
      <c r="AC94" s="56"/>
      <c r="AD94" s="611"/>
      <c r="AE94" s="56"/>
      <c r="AF94" s="56">
        <f>SUM(AF95:AF97)</f>
        <v>3253000</v>
      </c>
      <c r="AG94" s="56"/>
      <c r="AH94" s="56"/>
      <c r="AI94" s="611"/>
      <c r="AJ94" s="56"/>
      <c r="AK94" s="56">
        <f>SUM(AK95:AK97)</f>
        <v>3253000</v>
      </c>
      <c r="AL94" s="56"/>
      <c r="AM94" s="56"/>
      <c r="AN94" s="611"/>
      <c r="AO94" s="56"/>
      <c r="AP94" s="56">
        <f>SUM(AP95:AP97)</f>
        <v>4410000</v>
      </c>
      <c r="AQ94" s="56"/>
      <c r="AR94" s="56"/>
      <c r="AS94" s="611"/>
      <c r="AT94" s="56"/>
      <c r="AU94" s="56">
        <f>SUM(AU95:AU97)</f>
        <v>5862000</v>
      </c>
      <c r="AV94" s="56"/>
      <c r="AW94" s="56"/>
      <c r="AX94" s="611"/>
      <c r="AY94" s="56"/>
      <c r="AZ94" s="56">
        <f>SUM(AZ95:AZ97)</f>
        <v>1300000</v>
      </c>
      <c r="BA94" s="56"/>
      <c r="BB94" s="56"/>
      <c r="BC94" s="611"/>
      <c r="BD94" s="56"/>
      <c r="BE94" s="56">
        <f>SUM(BE95:BE97)</f>
        <v>5206000</v>
      </c>
      <c r="BF94" s="56"/>
      <c r="BG94" s="56"/>
      <c r="BH94" s="611"/>
      <c r="BI94" s="56"/>
      <c r="BJ94" s="56">
        <f>SUM(BJ95:BJ97)</f>
        <v>0</v>
      </c>
      <c r="BK94" s="56"/>
      <c r="BL94" s="56"/>
      <c r="BM94" s="611"/>
      <c r="BN94" s="56"/>
      <c r="BO94" s="56">
        <f>SUM(BO95:BO97)</f>
        <v>0</v>
      </c>
      <c r="BP94" s="56"/>
      <c r="BQ94" s="56"/>
      <c r="BR94" s="611"/>
      <c r="BS94" s="56"/>
      <c r="BT94" s="56">
        <f>SUM(BT95:BT97)</f>
        <v>27844390</v>
      </c>
      <c r="BU94" s="56"/>
      <c r="BV94" s="56"/>
      <c r="BW94" s="611"/>
      <c r="BX94" s="56"/>
      <c r="BY94" s="56">
        <f>SUM(BY95:BY97)</f>
        <v>31297043</v>
      </c>
      <c r="BZ94" s="56"/>
      <c r="CA94" s="56"/>
      <c r="CB94" s="611"/>
      <c r="CC94" s="56"/>
      <c r="CD94" s="56">
        <f>SUM(CD95:CD97)</f>
        <v>2409015</v>
      </c>
      <c r="CE94" s="56"/>
      <c r="CF94" s="56"/>
      <c r="CG94" s="611"/>
      <c r="CH94" s="56"/>
      <c r="CI94" s="56">
        <f>SUM(CI95:CI97)</f>
        <v>2900000</v>
      </c>
      <c r="CJ94" s="56"/>
      <c r="CK94" s="56"/>
      <c r="CL94" s="611"/>
      <c r="CM94" s="56"/>
      <c r="CN94" s="56">
        <f>SUM(CN95:CN97)</f>
        <v>0</v>
      </c>
      <c r="CO94" s="56"/>
      <c r="CP94" s="56"/>
      <c r="CQ94" s="611"/>
      <c r="CR94" s="56"/>
      <c r="CS94" s="56">
        <f>SUM(CS95:CS97)</f>
        <v>5145000</v>
      </c>
      <c r="CT94" s="56"/>
      <c r="CU94" s="56"/>
      <c r="CV94" s="611"/>
      <c r="CW94" s="56"/>
      <c r="CX94" s="56">
        <f>SUM(CX95:CX97)</f>
        <v>1833000</v>
      </c>
      <c r="CY94" s="56"/>
      <c r="CZ94" s="56"/>
      <c r="DA94" s="611"/>
      <c r="DB94" s="56"/>
      <c r="DC94" s="56">
        <f>SUM(DC95:DC97)</f>
        <v>3900000</v>
      </c>
      <c r="DD94" s="56"/>
      <c r="DE94" s="56"/>
      <c r="DF94" s="611"/>
      <c r="DG94" s="56"/>
      <c r="DH94" s="56">
        <f>SUM(DH95:DH97)</f>
        <v>3253000</v>
      </c>
      <c r="DI94" s="56"/>
      <c r="DJ94" s="56"/>
      <c r="DK94" s="611"/>
      <c r="DL94" s="56"/>
      <c r="DM94" s="56">
        <f>SUM(DM95:DM97)</f>
        <v>2742589</v>
      </c>
      <c r="DN94" s="56"/>
      <c r="DO94" s="56"/>
      <c r="DP94" s="611"/>
      <c r="DQ94" s="56"/>
      <c r="DR94" s="56">
        <f>SUM(DR95:DR97)</f>
        <v>1953000</v>
      </c>
      <c r="DS94" s="56"/>
      <c r="DT94" s="56"/>
      <c r="DU94" s="611"/>
      <c r="DV94" s="56"/>
      <c r="DW94" s="56">
        <f>SUM(DW95:DW97)</f>
        <v>3908439</v>
      </c>
      <c r="DX94" s="56"/>
      <c r="DY94" s="56"/>
      <c r="DZ94" s="611"/>
      <c r="EA94" s="56"/>
      <c r="EB94" s="56">
        <f>SUM(EB95:EB97)</f>
        <v>1300000</v>
      </c>
      <c r="EC94" s="56"/>
      <c r="ED94" s="56"/>
      <c r="EE94" s="611"/>
      <c r="EF94" s="56"/>
      <c r="EG94" s="56">
        <f>SUM(EG95:EG97)</f>
        <v>1953000</v>
      </c>
      <c r="EH94" s="56"/>
      <c r="EI94" s="56"/>
      <c r="EJ94" s="611"/>
      <c r="EK94" s="56"/>
      <c r="EL94" s="56">
        <f>SUM(EL95:EL97)</f>
        <v>28044043</v>
      </c>
      <c r="EM94" s="56"/>
      <c r="EN94" s="56"/>
      <c r="EO94" s="144"/>
      <c r="ER94" s="42"/>
      <c r="ES94" s="42"/>
    </row>
    <row r="95" spans="3:149" ht="12.75" customHeight="1" x14ac:dyDescent="0.3">
      <c r="D95" s="144" t="s">
        <v>335</v>
      </c>
      <c r="E95" s="611"/>
      <c r="F95" s="500"/>
      <c r="G95" s="609">
        <v>0</v>
      </c>
      <c r="H95" s="610"/>
      <c r="I95" s="56"/>
      <c r="J95" s="611"/>
      <c r="K95" s="612"/>
      <c r="L95" s="609">
        <f>1307390-126692</f>
        <v>1180698</v>
      </c>
      <c r="M95" s="610"/>
      <c r="N95" s="56"/>
      <c r="O95" s="611"/>
      <c r="P95" s="612"/>
      <c r="Q95" s="609">
        <f>3253000-352450</f>
        <v>2900550</v>
      </c>
      <c r="R95" s="610"/>
      <c r="S95" s="56"/>
      <c r="T95" s="611"/>
      <c r="U95" s="612"/>
      <c r="V95" s="609">
        <v>0</v>
      </c>
      <c r="W95" s="610"/>
      <c r="X95" s="56"/>
      <c r="Y95" s="611"/>
      <c r="Z95" s="612"/>
      <c r="AA95" s="609">
        <v>0</v>
      </c>
      <c r="AB95" s="610"/>
      <c r="AC95" s="56"/>
      <c r="AD95" s="611"/>
      <c r="AE95" s="612"/>
      <c r="AF95" s="609">
        <f>3253000-362829</f>
        <v>2890171</v>
      </c>
      <c r="AG95" s="610"/>
      <c r="AH95" s="56"/>
      <c r="AI95" s="611"/>
      <c r="AJ95" s="612"/>
      <c r="AK95" s="609">
        <f>3253000-415492</f>
        <v>2837508</v>
      </c>
      <c r="AL95" s="610"/>
      <c r="AM95" s="56"/>
      <c r="AN95" s="611"/>
      <c r="AO95" s="612"/>
      <c r="AP95" s="609">
        <f>4410000-604944</f>
        <v>3805056</v>
      </c>
      <c r="AQ95" s="610"/>
      <c r="AR95" s="56"/>
      <c r="AS95" s="611"/>
      <c r="AT95" s="612"/>
      <c r="AU95" s="609">
        <f>5862000-742011</f>
        <v>5119989</v>
      </c>
      <c r="AV95" s="610"/>
      <c r="AW95" s="56"/>
      <c r="AX95" s="611"/>
      <c r="AY95" s="612"/>
      <c r="AZ95" s="609">
        <f>1300000-142566</f>
        <v>1157434</v>
      </c>
      <c r="BA95" s="610"/>
      <c r="BB95" s="56"/>
      <c r="BC95" s="611"/>
      <c r="BD95" s="612"/>
      <c r="BE95" s="609">
        <f>5206000-460366</f>
        <v>4745634</v>
      </c>
      <c r="BF95" s="610"/>
      <c r="BG95" s="56"/>
      <c r="BH95" s="611"/>
      <c r="BI95" s="612"/>
      <c r="BJ95" s="609">
        <v>0</v>
      </c>
      <c r="BK95" s="610"/>
      <c r="BL95" s="56"/>
      <c r="BM95" s="611"/>
      <c r="BN95" s="612"/>
      <c r="BO95" s="609">
        <v>0</v>
      </c>
      <c r="BP95" s="610"/>
      <c r="BQ95" s="56"/>
      <c r="BR95" s="611"/>
      <c r="BS95" s="612"/>
      <c r="BT95" s="609">
        <f>SUM(L95:BO95)</f>
        <v>24637040</v>
      </c>
      <c r="BU95" s="610"/>
      <c r="BV95" s="56"/>
      <c r="BW95" s="611"/>
      <c r="BX95" s="612"/>
      <c r="BY95" s="609">
        <v>29049674</v>
      </c>
      <c r="BZ95" s="610"/>
      <c r="CA95" s="56"/>
      <c r="CB95" s="611"/>
      <c r="CC95" s="612"/>
      <c r="CD95" s="609">
        <f>2409015-211336</f>
        <v>2197679</v>
      </c>
      <c r="CE95" s="610"/>
      <c r="CF95" s="56"/>
      <c r="CG95" s="611"/>
      <c r="CH95" s="612"/>
      <c r="CI95" s="609">
        <f>2900000-181804</f>
        <v>2718196</v>
      </c>
      <c r="CJ95" s="610"/>
      <c r="CK95" s="56"/>
      <c r="CL95" s="611"/>
      <c r="CM95" s="612"/>
      <c r="CN95" s="609">
        <v>0</v>
      </c>
      <c r="CO95" s="610"/>
      <c r="CP95" s="56"/>
      <c r="CQ95" s="611"/>
      <c r="CR95" s="612"/>
      <c r="CS95" s="609">
        <f>5145000-274075</f>
        <v>4870925</v>
      </c>
      <c r="CT95" s="610"/>
      <c r="CU95" s="56"/>
      <c r="CV95" s="611"/>
      <c r="CW95" s="612"/>
      <c r="CX95" s="609">
        <f>1833000-80734</f>
        <v>1752266</v>
      </c>
      <c r="CY95" s="610"/>
      <c r="CZ95" s="56"/>
      <c r="DA95" s="611"/>
      <c r="DB95" s="612"/>
      <c r="DC95" s="609">
        <f>3900000-199132</f>
        <v>3700868</v>
      </c>
      <c r="DD95" s="610"/>
      <c r="DE95" s="56"/>
      <c r="DF95" s="611"/>
      <c r="DG95" s="612"/>
      <c r="DH95" s="609">
        <f>3253000-280084</f>
        <v>2972916</v>
      </c>
      <c r="DI95" s="610"/>
      <c r="DJ95" s="56"/>
      <c r="DK95" s="611"/>
      <c r="DL95" s="612"/>
      <c r="DM95" s="609">
        <f>2742589-236282</f>
        <v>2506307</v>
      </c>
      <c r="DN95" s="610"/>
      <c r="DO95" s="56"/>
      <c r="DP95" s="611"/>
      <c r="DQ95" s="612"/>
      <c r="DR95" s="609">
        <f>1953000-192153</f>
        <v>1760847</v>
      </c>
      <c r="DS95" s="610"/>
      <c r="DT95" s="56"/>
      <c r="DU95" s="611"/>
      <c r="DV95" s="612"/>
      <c r="DW95" s="609">
        <f>3908439-314682</f>
        <v>3593757</v>
      </c>
      <c r="DX95" s="610"/>
      <c r="DY95" s="56"/>
      <c r="DZ95" s="611"/>
      <c r="EA95" s="612"/>
      <c r="EB95" s="609">
        <f>1300000-84487</f>
        <v>1215513</v>
      </c>
      <c r="EC95" s="610"/>
      <c r="ED95" s="56"/>
      <c r="EE95" s="611"/>
      <c r="EF95" s="612"/>
      <c r="EG95" s="609">
        <f>1953000-192600</f>
        <v>1760400</v>
      </c>
      <c r="EH95" s="610"/>
      <c r="EI95" s="56"/>
      <c r="EJ95" s="611"/>
      <c r="EK95" s="612"/>
      <c r="EL95" s="609">
        <f t="shared" ref="EL95:EL97" si="8">SUM(CD95:DW95)</f>
        <v>26073761</v>
      </c>
      <c r="EM95" s="610"/>
      <c r="EN95" s="56"/>
      <c r="EO95" s="144"/>
      <c r="ER95" s="42"/>
      <c r="ES95" s="42"/>
    </row>
    <row r="96" spans="3:149" ht="12.75" customHeight="1" x14ac:dyDescent="0.3">
      <c r="D96" s="144" t="s">
        <v>338</v>
      </c>
      <c r="E96" s="611"/>
      <c r="F96" s="494"/>
      <c r="G96" s="56">
        <v>0</v>
      </c>
      <c r="H96" s="55"/>
      <c r="I96" s="56"/>
      <c r="J96" s="611"/>
      <c r="K96" s="611"/>
      <c r="L96" s="56">
        <v>126692</v>
      </c>
      <c r="M96" s="55"/>
      <c r="N96" s="56"/>
      <c r="O96" s="611"/>
      <c r="P96" s="611"/>
      <c r="Q96" s="56">
        <v>352450</v>
      </c>
      <c r="R96" s="55"/>
      <c r="S96" s="56"/>
      <c r="T96" s="611"/>
      <c r="U96" s="611"/>
      <c r="V96" s="56">
        <v>0</v>
      </c>
      <c r="W96" s="55"/>
      <c r="X96" s="56"/>
      <c r="Y96" s="611"/>
      <c r="Z96" s="611"/>
      <c r="AA96" s="56">
        <v>0</v>
      </c>
      <c r="AB96" s="55"/>
      <c r="AC96" s="56"/>
      <c r="AD96" s="611"/>
      <c r="AE96" s="611"/>
      <c r="AF96" s="56">
        <v>362829</v>
      </c>
      <c r="AG96" s="55"/>
      <c r="AH96" s="56"/>
      <c r="AI96" s="611"/>
      <c r="AJ96" s="611"/>
      <c r="AK96" s="56">
        <v>415492</v>
      </c>
      <c r="AL96" s="55"/>
      <c r="AM96" s="56"/>
      <c r="AN96" s="611"/>
      <c r="AO96" s="611"/>
      <c r="AP96" s="56">
        <v>604944</v>
      </c>
      <c r="AQ96" s="55"/>
      <c r="AR96" s="56"/>
      <c r="AS96" s="611"/>
      <c r="AT96" s="611"/>
      <c r="AU96" s="56">
        <v>742011</v>
      </c>
      <c r="AV96" s="55"/>
      <c r="AW96" s="56"/>
      <c r="AX96" s="611"/>
      <c r="AY96" s="611"/>
      <c r="AZ96" s="56">
        <v>142566</v>
      </c>
      <c r="BA96" s="55"/>
      <c r="BB96" s="56"/>
      <c r="BC96" s="611"/>
      <c r="BD96" s="611"/>
      <c r="BE96" s="56">
        <v>460366</v>
      </c>
      <c r="BF96" s="55"/>
      <c r="BG96" s="56"/>
      <c r="BH96" s="611"/>
      <c r="BI96" s="611"/>
      <c r="BJ96" s="56">
        <v>0</v>
      </c>
      <c r="BK96" s="55"/>
      <c r="BL96" s="56"/>
      <c r="BM96" s="611"/>
      <c r="BN96" s="611"/>
      <c r="BO96" s="56">
        <v>0</v>
      </c>
      <c r="BP96" s="55"/>
      <c r="BQ96" s="56"/>
      <c r="BR96" s="611"/>
      <c r="BS96" s="611"/>
      <c r="BT96" s="56">
        <f>SUM(L96:BO96)</f>
        <v>3207350</v>
      </c>
      <c r="BU96" s="55"/>
      <c r="BV96" s="56"/>
      <c r="BW96" s="611"/>
      <c r="BX96" s="611"/>
      <c r="BY96" s="56">
        <v>2247369</v>
      </c>
      <c r="BZ96" s="55"/>
      <c r="CA96" s="56"/>
      <c r="CB96" s="611"/>
      <c r="CC96" s="611"/>
      <c r="CD96" s="56">
        <v>211336</v>
      </c>
      <c r="CE96" s="55"/>
      <c r="CF96" s="56"/>
      <c r="CG96" s="611"/>
      <c r="CH96" s="611"/>
      <c r="CI96" s="56">
        <v>181804</v>
      </c>
      <c r="CJ96" s="55"/>
      <c r="CK96" s="56"/>
      <c r="CL96" s="611"/>
      <c r="CM96" s="611"/>
      <c r="CN96" s="56">
        <v>0</v>
      </c>
      <c r="CO96" s="55"/>
      <c r="CP96" s="56"/>
      <c r="CQ96" s="611"/>
      <c r="CR96" s="611"/>
      <c r="CS96" s="56">
        <v>274075</v>
      </c>
      <c r="CT96" s="55"/>
      <c r="CU96" s="56"/>
      <c r="CV96" s="611"/>
      <c r="CW96" s="611"/>
      <c r="CX96" s="56">
        <v>80734</v>
      </c>
      <c r="CY96" s="55"/>
      <c r="CZ96" s="56"/>
      <c r="DA96" s="611"/>
      <c r="DB96" s="611"/>
      <c r="DC96" s="56">
        <v>199132</v>
      </c>
      <c r="DD96" s="55"/>
      <c r="DE96" s="56"/>
      <c r="DF96" s="611"/>
      <c r="DG96" s="611"/>
      <c r="DH96" s="56">
        <v>280084</v>
      </c>
      <c r="DI96" s="55"/>
      <c r="DJ96" s="56"/>
      <c r="DK96" s="611"/>
      <c r="DL96" s="611"/>
      <c r="DM96" s="56">
        <v>236282</v>
      </c>
      <c r="DN96" s="55"/>
      <c r="DO96" s="56"/>
      <c r="DP96" s="611"/>
      <c r="DQ96" s="611"/>
      <c r="DR96" s="56">
        <v>192153</v>
      </c>
      <c r="DS96" s="55"/>
      <c r="DT96" s="56"/>
      <c r="DU96" s="611"/>
      <c r="DV96" s="611"/>
      <c r="DW96" s="56">
        <v>314682</v>
      </c>
      <c r="DX96" s="55"/>
      <c r="DY96" s="56"/>
      <c r="DZ96" s="611"/>
      <c r="EA96" s="611"/>
      <c r="EB96" s="56">
        <v>84487</v>
      </c>
      <c r="EC96" s="55"/>
      <c r="ED96" s="56"/>
      <c r="EE96" s="611"/>
      <c r="EF96" s="611"/>
      <c r="EG96" s="56">
        <v>192600</v>
      </c>
      <c r="EH96" s="55"/>
      <c r="EI96" s="56"/>
      <c r="EJ96" s="611"/>
      <c r="EK96" s="611"/>
      <c r="EL96" s="56">
        <f t="shared" si="8"/>
        <v>1970282</v>
      </c>
      <c r="EM96" s="55"/>
      <c r="EN96" s="56"/>
      <c r="EO96" s="144"/>
      <c r="ER96" s="42"/>
      <c r="ES96" s="42"/>
    </row>
    <row r="97" spans="4:149" ht="12.75" customHeight="1" x14ac:dyDescent="0.3">
      <c r="D97" s="144" t="s">
        <v>352</v>
      </c>
      <c r="E97" s="611"/>
      <c r="F97" s="513"/>
      <c r="G97" s="117">
        <v>0</v>
      </c>
      <c r="H97" s="116"/>
      <c r="I97" s="56"/>
      <c r="J97" s="611"/>
      <c r="K97" s="620"/>
      <c r="L97" s="117">
        <v>0</v>
      </c>
      <c r="M97" s="116"/>
      <c r="N97" s="56"/>
      <c r="O97" s="611"/>
      <c r="P97" s="620"/>
      <c r="Q97" s="117">
        <v>0</v>
      </c>
      <c r="R97" s="116"/>
      <c r="S97" s="56"/>
      <c r="T97" s="611"/>
      <c r="U97" s="620"/>
      <c r="V97" s="117">
        <v>0</v>
      </c>
      <c r="W97" s="116"/>
      <c r="X97" s="56"/>
      <c r="Y97" s="611"/>
      <c r="Z97" s="620"/>
      <c r="AA97" s="117">
        <v>0</v>
      </c>
      <c r="AB97" s="116"/>
      <c r="AC97" s="56"/>
      <c r="AD97" s="611"/>
      <c r="AE97" s="620"/>
      <c r="AF97" s="117">
        <v>0</v>
      </c>
      <c r="AG97" s="116"/>
      <c r="AH97" s="56"/>
      <c r="AI97" s="611"/>
      <c r="AJ97" s="620"/>
      <c r="AK97" s="117">
        <v>0</v>
      </c>
      <c r="AL97" s="116"/>
      <c r="AM97" s="56"/>
      <c r="AN97" s="611"/>
      <c r="AO97" s="620"/>
      <c r="AP97" s="117">
        <v>0</v>
      </c>
      <c r="AQ97" s="116"/>
      <c r="AR97" s="56"/>
      <c r="AS97" s="611"/>
      <c r="AT97" s="620"/>
      <c r="AU97" s="117">
        <v>0</v>
      </c>
      <c r="AV97" s="116"/>
      <c r="AW97" s="56"/>
      <c r="AX97" s="611"/>
      <c r="AY97" s="620"/>
      <c r="AZ97" s="117">
        <v>0</v>
      </c>
      <c r="BA97" s="116"/>
      <c r="BB97" s="56"/>
      <c r="BC97" s="611"/>
      <c r="BD97" s="620"/>
      <c r="BE97" s="117">
        <v>0</v>
      </c>
      <c r="BF97" s="116"/>
      <c r="BG97" s="56"/>
      <c r="BH97" s="611"/>
      <c r="BI97" s="620"/>
      <c r="BJ97" s="117">
        <v>0</v>
      </c>
      <c r="BK97" s="116"/>
      <c r="BL97" s="56"/>
      <c r="BM97" s="611"/>
      <c r="BN97" s="620"/>
      <c r="BO97" s="117">
        <v>0</v>
      </c>
      <c r="BP97" s="116"/>
      <c r="BQ97" s="56"/>
      <c r="BR97" s="611"/>
      <c r="BS97" s="620"/>
      <c r="BT97" s="117">
        <f>SUM(L97:BO97)</f>
        <v>0</v>
      </c>
      <c r="BU97" s="116"/>
      <c r="BV97" s="56"/>
      <c r="BW97" s="611"/>
      <c r="BX97" s="620"/>
      <c r="BY97" s="117">
        <v>0</v>
      </c>
      <c r="BZ97" s="116"/>
      <c r="CA97" s="56"/>
      <c r="CB97" s="611"/>
      <c r="CC97" s="620"/>
      <c r="CD97" s="117">
        <v>0</v>
      </c>
      <c r="CE97" s="116"/>
      <c r="CF97" s="56"/>
      <c r="CG97" s="611"/>
      <c r="CH97" s="620"/>
      <c r="CI97" s="117">
        <v>0</v>
      </c>
      <c r="CJ97" s="116"/>
      <c r="CK97" s="56"/>
      <c r="CL97" s="611"/>
      <c r="CM97" s="620"/>
      <c r="CN97" s="117">
        <v>0</v>
      </c>
      <c r="CO97" s="116"/>
      <c r="CP97" s="56"/>
      <c r="CQ97" s="611"/>
      <c r="CR97" s="620"/>
      <c r="CS97" s="117">
        <v>0</v>
      </c>
      <c r="CT97" s="116"/>
      <c r="CU97" s="56"/>
      <c r="CV97" s="611"/>
      <c r="CW97" s="620"/>
      <c r="CX97" s="117">
        <v>0</v>
      </c>
      <c r="CY97" s="116"/>
      <c r="CZ97" s="56"/>
      <c r="DA97" s="611"/>
      <c r="DB97" s="620"/>
      <c r="DC97" s="117">
        <v>0</v>
      </c>
      <c r="DD97" s="116"/>
      <c r="DE97" s="56"/>
      <c r="DF97" s="611"/>
      <c r="DG97" s="620"/>
      <c r="DH97" s="117">
        <v>0</v>
      </c>
      <c r="DI97" s="116"/>
      <c r="DJ97" s="56"/>
      <c r="DK97" s="611"/>
      <c r="DL97" s="620"/>
      <c r="DM97" s="117">
        <v>0</v>
      </c>
      <c r="DN97" s="116"/>
      <c r="DO97" s="56"/>
      <c r="DP97" s="611"/>
      <c r="DQ97" s="620"/>
      <c r="DR97" s="117">
        <v>0</v>
      </c>
      <c r="DS97" s="116"/>
      <c r="DT97" s="56"/>
      <c r="DU97" s="611"/>
      <c r="DV97" s="620"/>
      <c r="DW97" s="117">
        <v>0</v>
      </c>
      <c r="DX97" s="116"/>
      <c r="DY97" s="56"/>
      <c r="DZ97" s="611"/>
      <c r="EA97" s="620"/>
      <c r="EB97" s="117">
        <v>0</v>
      </c>
      <c r="EC97" s="116"/>
      <c r="ED97" s="56"/>
      <c r="EE97" s="611"/>
      <c r="EF97" s="620"/>
      <c r="EG97" s="117">
        <v>0</v>
      </c>
      <c r="EH97" s="116"/>
      <c r="EI97" s="56"/>
      <c r="EJ97" s="611"/>
      <c r="EK97" s="620"/>
      <c r="EL97" s="117">
        <f t="shared" si="8"/>
        <v>0</v>
      </c>
      <c r="EM97" s="116"/>
      <c r="EN97" s="56"/>
      <c r="EO97" s="144"/>
      <c r="ER97" s="42"/>
      <c r="ES97" s="42"/>
    </row>
    <row r="98" spans="4:149" ht="12.75" customHeight="1" x14ac:dyDescent="0.3">
      <c r="D98" s="144"/>
      <c r="E98" s="611"/>
      <c r="G98" s="56"/>
      <c r="H98" s="56"/>
      <c r="I98" s="56"/>
      <c r="J98" s="611"/>
      <c r="K98" s="56"/>
      <c r="L98" s="56"/>
      <c r="M98" s="56"/>
      <c r="N98" s="56"/>
      <c r="O98" s="611"/>
      <c r="P98" s="56"/>
      <c r="Q98" s="56"/>
      <c r="R98" s="56"/>
      <c r="S98" s="56"/>
      <c r="T98" s="611"/>
      <c r="U98" s="56"/>
      <c r="V98" s="56"/>
      <c r="W98" s="56"/>
      <c r="X98" s="56"/>
      <c r="Y98" s="611"/>
      <c r="Z98" s="56"/>
      <c r="AA98" s="56"/>
      <c r="AB98" s="56"/>
      <c r="AC98" s="56"/>
      <c r="AD98" s="611"/>
      <c r="AE98" s="56"/>
      <c r="AF98" s="56"/>
      <c r="AG98" s="56"/>
      <c r="AH98" s="56"/>
      <c r="AI98" s="611"/>
      <c r="AJ98" s="56"/>
      <c r="AK98" s="56"/>
      <c r="AL98" s="56"/>
      <c r="AM98" s="56"/>
      <c r="AN98" s="611"/>
      <c r="AO98" s="56"/>
      <c r="AP98" s="56"/>
      <c r="AQ98" s="56"/>
      <c r="AR98" s="56"/>
      <c r="AS98" s="611"/>
      <c r="AT98" s="56"/>
      <c r="AU98" s="56"/>
      <c r="AV98" s="56"/>
      <c r="AW98" s="56"/>
      <c r="AX98" s="611"/>
      <c r="AY98" s="56"/>
      <c r="AZ98" s="56"/>
      <c r="BA98" s="56"/>
      <c r="BB98" s="56"/>
      <c r="BC98" s="611"/>
      <c r="BD98" s="56"/>
      <c r="BE98" s="56"/>
      <c r="BF98" s="56"/>
      <c r="BG98" s="56"/>
      <c r="BH98" s="611"/>
      <c r="BI98" s="56"/>
      <c r="BJ98" s="56"/>
      <c r="BK98" s="56"/>
      <c r="BL98" s="56"/>
      <c r="BM98" s="611"/>
      <c r="BN98" s="56"/>
      <c r="BO98" s="56"/>
      <c r="BP98" s="56"/>
      <c r="BQ98" s="56"/>
      <c r="BR98" s="611"/>
      <c r="BS98" s="56"/>
      <c r="BT98" s="56"/>
      <c r="BU98" s="56"/>
      <c r="BV98" s="56"/>
      <c r="BW98" s="611"/>
      <c r="BX98" s="56"/>
      <c r="BY98" s="56"/>
      <c r="BZ98" s="56"/>
      <c r="CA98" s="56"/>
      <c r="CB98" s="611"/>
      <c r="CC98" s="56"/>
      <c r="CD98" s="56"/>
      <c r="CE98" s="56"/>
      <c r="CF98" s="56"/>
      <c r="CG98" s="611"/>
      <c r="CH98" s="56"/>
      <c r="CI98" s="56"/>
      <c r="CJ98" s="56"/>
      <c r="CK98" s="56"/>
      <c r="CL98" s="611"/>
      <c r="CM98" s="56"/>
      <c r="CN98" s="56"/>
      <c r="CO98" s="56"/>
      <c r="CP98" s="56"/>
      <c r="CQ98" s="611"/>
      <c r="CR98" s="56"/>
      <c r="CS98" s="56"/>
      <c r="CT98" s="56"/>
      <c r="CU98" s="56"/>
      <c r="CV98" s="611"/>
      <c r="CW98" s="56"/>
      <c r="CX98" s="56"/>
      <c r="CY98" s="56"/>
      <c r="CZ98" s="56"/>
      <c r="DA98" s="611"/>
      <c r="DB98" s="56"/>
      <c r="DC98" s="56"/>
      <c r="DD98" s="56"/>
      <c r="DE98" s="56"/>
      <c r="DF98" s="611"/>
      <c r="DG98" s="56"/>
      <c r="DH98" s="56"/>
      <c r="DI98" s="56"/>
      <c r="DJ98" s="56"/>
      <c r="DK98" s="611"/>
      <c r="DL98" s="56"/>
      <c r="DM98" s="56"/>
      <c r="DN98" s="56"/>
      <c r="DO98" s="56"/>
      <c r="DP98" s="611"/>
      <c r="DQ98" s="56"/>
      <c r="DR98" s="56"/>
      <c r="DS98" s="56"/>
      <c r="DT98" s="56"/>
      <c r="DU98" s="611"/>
      <c r="DV98" s="56"/>
      <c r="DW98" s="56"/>
      <c r="DX98" s="56"/>
      <c r="DY98" s="56"/>
      <c r="DZ98" s="611"/>
      <c r="EA98" s="56"/>
      <c r="EB98" s="56"/>
      <c r="EC98" s="56"/>
      <c r="ED98" s="56"/>
      <c r="EE98" s="611"/>
      <c r="EF98" s="56"/>
      <c r="EG98" s="56"/>
      <c r="EH98" s="56"/>
      <c r="EI98" s="56"/>
      <c r="EJ98" s="611"/>
      <c r="EK98" s="56"/>
      <c r="EL98" s="56"/>
      <c r="EM98" s="56"/>
      <c r="EN98" s="56"/>
      <c r="EO98" s="144"/>
      <c r="ER98" s="42"/>
      <c r="ES98" s="42"/>
    </row>
    <row r="99" spans="4:149" ht="12.75" customHeight="1" x14ac:dyDescent="0.3">
      <c r="D99" s="144" t="s">
        <v>354</v>
      </c>
      <c r="E99" s="611"/>
      <c r="G99" s="56">
        <f>SUM(G100:G102)</f>
        <v>0</v>
      </c>
      <c r="H99" s="56"/>
      <c r="I99" s="56"/>
      <c r="J99" s="611"/>
      <c r="K99" s="56"/>
      <c r="L99" s="56">
        <f>SUM(L100:L102)</f>
        <v>0</v>
      </c>
      <c r="M99" s="56"/>
      <c r="N99" s="56"/>
      <c r="O99" s="611"/>
      <c r="P99" s="56"/>
      <c r="Q99" s="56">
        <f>SUM(Q100:Q102)</f>
        <v>1953000</v>
      </c>
      <c r="R99" s="56"/>
      <c r="S99" s="56"/>
      <c r="T99" s="611"/>
      <c r="U99" s="56"/>
      <c r="V99" s="56">
        <f>SUM(V100:V102)</f>
        <v>1300000</v>
      </c>
      <c r="W99" s="56"/>
      <c r="X99" s="56"/>
      <c r="Y99" s="611"/>
      <c r="Z99" s="56"/>
      <c r="AA99" s="56">
        <f>SUM(AA100:AA102)</f>
        <v>1953000</v>
      </c>
      <c r="AB99" s="56"/>
      <c r="AC99" s="56"/>
      <c r="AD99" s="611"/>
      <c r="AE99" s="56"/>
      <c r="AF99" s="56">
        <f>SUM(AF100:AF102)</f>
        <v>3905000</v>
      </c>
      <c r="AG99" s="56"/>
      <c r="AH99" s="56"/>
      <c r="AI99" s="611"/>
      <c r="AJ99" s="56"/>
      <c r="AK99" s="56">
        <f>SUM(AK100:AK102)</f>
        <v>1300000</v>
      </c>
      <c r="AL99" s="56"/>
      <c r="AM99" s="56"/>
      <c r="AN99" s="611"/>
      <c r="AO99" s="56"/>
      <c r="AP99" s="56">
        <f>SUM(AP100:AP102)</f>
        <v>1300000</v>
      </c>
      <c r="AQ99" s="56"/>
      <c r="AR99" s="56"/>
      <c r="AS99" s="611"/>
      <c r="AT99" s="56"/>
      <c r="AU99" s="56">
        <f>SUM(AU100:AU102)</f>
        <v>0</v>
      </c>
      <c r="AV99" s="56"/>
      <c r="AW99" s="56"/>
      <c r="AX99" s="611"/>
      <c r="AY99" s="56"/>
      <c r="AZ99" s="56">
        <f>SUM(AZ100:AZ102)</f>
        <v>5203000</v>
      </c>
      <c r="BA99" s="56"/>
      <c r="BB99" s="56"/>
      <c r="BC99" s="611"/>
      <c r="BD99" s="56"/>
      <c r="BE99" s="56">
        <f>SUM(BE100:BE102)</f>
        <v>1928000</v>
      </c>
      <c r="BF99" s="56"/>
      <c r="BG99" s="56"/>
      <c r="BH99" s="611"/>
      <c r="BI99" s="56"/>
      <c r="BJ99" s="56">
        <f>SUM(BJ100:BJ102)</f>
        <v>0</v>
      </c>
      <c r="BK99" s="56"/>
      <c r="BL99" s="56"/>
      <c r="BM99" s="611"/>
      <c r="BN99" s="56"/>
      <c r="BO99" s="56">
        <f>SUM(BO100:BO102)</f>
        <v>0</v>
      </c>
      <c r="BP99" s="56"/>
      <c r="BQ99" s="56"/>
      <c r="BR99" s="611"/>
      <c r="BS99" s="56"/>
      <c r="BT99" s="56">
        <f>SUM(BT100:BT102)</f>
        <v>18842000</v>
      </c>
      <c r="BU99" s="56"/>
      <c r="BV99" s="56"/>
      <c r="BW99" s="611"/>
      <c r="BX99" s="56"/>
      <c r="BY99" s="56">
        <f>SUM(BY100:BY102)</f>
        <v>22953000</v>
      </c>
      <c r="BZ99" s="56"/>
      <c r="CA99" s="56"/>
      <c r="CB99" s="611"/>
      <c r="CC99" s="56"/>
      <c r="CD99" s="56">
        <f>SUM(CD100:CD102)</f>
        <v>4806000</v>
      </c>
      <c r="CE99" s="56"/>
      <c r="CF99" s="56"/>
      <c r="CG99" s="611"/>
      <c r="CH99" s="56"/>
      <c r="CI99" s="56">
        <f>SUM(CI100:CI102)</f>
        <v>3591000</v>
      </c>
      <c r="CJ99" s="56"/>
      <c r="CK99" s="56"/>
      <c r="CL99" s="611"/>
      <c r="CM99" s="56"/>
      <c r="CN99" s="56">
        <f>SUM(CN100:CN102)</f>
        <v>4123000</v>
      </c>
      <c r="CO99" s="56"/>
      <c r="CP99" s="56"/>
      <c r="CQ99" s="611"/>
      <c r="CR99" s="56"/>
      <c r="CS99" s="56">
        <f>SUM(CS100:CS102)</f>
        <v>0</v>
      </c>
      <c r="CT99" s="56"/>
      <c r="CU99" s="56"/>
      <c r="CV99" s="611"/>
      <c r="CW99" s="56"/>
      <c r="CX99" s="56">
        <f>SUM(CX100:CX102)</f>
        <v>4740000</v>
      </c>
      <c r="CY99" s="56"/>
      <c r="CZ99" s="56"/>
      <c r="DA99" s="611"/>
      <c r="DB99" s="56"/>
      <c r="DC99" s="56">
        <f>SUM(DC100:DC102)</f>
        <v>1790000</v>
      </c>
      <c r="DD99" s="56"/>
      <c r="DE99" s="56"/>
      <c r="DF99" s="611"/>
      <c r="DG99" s="56"/>
      <c r="DH99" s="56">
        <f>SUM(DH100:DH102)</f>
        <v>0</v>
      </c>
      <c r="DI99" s="56"/>
      <c r="DJ99" s="56"/>
      <c r="DK99" s="611"/>
      <c r="DL99" s="56"/>
      <c r="DM99" s="56">
        <f>SUM(DM100:DM102)</f>
        <v>1950000</v>
      </c>
      <c r="DN99" s="56"/>
      <c r="DO99" s="56"/>
      <c r="DP99" s="611"/>
      <c r="DQ99" s="56"/>
      <c r="DR99" s="56">
        <f>SUM(DR100:DR102)</f>
        <v>0</v>
      </c>
      <c r="DS99" s="56"/>
      <c r="DT99" s="56"/>
      <c r="DU99" s="611"/>
      <c r="DV99" s="56"/>
      <c r="DW99" s="56">
        <f>SUM(DW100:DW102)</f>
        <v>0</v>
      </c>
      <c r="DX99" s="56"/>
      <c r="DY99" s="56"/>
      <c r="DZ99" s="611"/>
      <c r="EA99" s="56"/>
      <c r="EB99" s="56">
        <f>SUM(EB100:EB102)</f>
        <v>1953000</v>
      </c>
      <c r="EC99" s="56"/>
      <c r="ED99" s="56"/>
      <c r="EE99" s="611"/>
      <c r="EF99" s="56"/>
      <c r="EG99" s="56">
        <f>SUM(EG100:EG102)</f>
        <v>0</v>
      </c>
      <c r="EH99" s="56"/>
      <c r="EI99" s="56"/>
      <c r="EJ99" s="611"/>
      <c r="EK99" s="56"/>
      <c r="EL99" s="56">
        <f>SUM(EL100:EL102)</f>
        <v>21000000</v>
      </c>
      <c r="EM99" s="56"/>
      <c r="EN99" s="56"/>
      <c r="EO99" s="144"/>
      <c r="ER99" s="42"/>
      <c r="ES99" s="42"/>
    </row>
    <row r="100" spans="4:149" ht="12.75" customHeight="1" x14ac:dyDescent="0.3">
      <c r="D100" s="144" t="s">
        <v>335</v>
      </c>
      <c r="E100" s="611"/>
      <c r="F100" s="500"/>
      <c r="G100" s="609">
        <v>0</v>
      </c>
      <c r="H100" s="610"/>
      <c r="I100" s="56"/>
      <c r="J100" s="611"/>
      <c r="K100" s="612"/>
      <c r="L100" s="609">
        <v>0</v>
      </c>
      <c r="M100" s="610"/>
      <c r="N100" s="56"/>
      <c r="O100" s="611"/>
      <c r="P100" s="612"/>
      <c r="Q100" s="609">
        <f>1953000-341763</f>
        <v>1611237</v>
      </c>
      <c r="R100" s="610"/>
      <c r="S100" s="56"/>
      <c r="T100" s="611"/>
      <c r="U100" s="612"/>
      <c r="V100" s="609">
        <f>1300000-229554</f>
        <v>1070446</v>
      </c>
      <c r="W100" s="610"/>
      <c r="X100" s="56"/>
      <c r="Y100" s="611"/>
      <c r="Z100" s="612"/>
      <c r="AA100" s="609">
        <f>1953000-461549</f>
        <v>1491451</v>
      </c>
      <c r="AB100" s="610"/>
      <c r="AC100" s="56"/>
      <c r="AD100" s="611"/>
      <c r="AE100" s="612"/>
      <c r="AF100" s="609">
        <f>3905000-784345</f>
        <v>3120655</v>
      </c>
      <c r="AG100" s="610"/>
      <c r="AH100" s="56"/>
      <c r="AI100" s="611"/>
      <c r="AJ100" s="612"/>
      <c r="AK100" s="609">
        <f>1300000-254792</f>
        <v>1045208</v>
      </c>
      <c r="AL100" s="610"/>
      <c r="AM100" s="56"/>
      <c r="AN100" s="611"/>
      <c r="AO100" s="612"/>
      <c r="AP100" s="609">
        <f>1300000-291599</f>
        <v>1008401</v>
      </c>
      <c r="AQ100" s="610"/>
      <c r="AR100" s="56"/>
      <c r="AS100" s="611"/>
      <c r="AT100" s="612"/>
      <c r="AU100" s="609">
        <v>0</v>
      </c>
      <c r="AV100" s="610"/>
      <c r="AW100" s="56"/>
      <c r="AX100" s="611"/>
      <c r="AY100" s="612"/>
      <c r="AZ100" s="609">
        <f>5203000-1073100</f>
        <v>4129900</v>
      </c>
      <c r="BA100" s="610"/>
      <c r="BB100" s="56"/>
      <c r="BC100" s="611"/>
      <c r="BD100" s="612"/>
      <c r="BE100" s="609">
        <f>1928000-339814</f>
        <v>1588186</v>
      </c>
      <c r="BF100" s="610"/>
      <c r="BG100" s="56"/>
      <c r="BH100" s="611"/>
      <c r="BI100" s="612"/>
      <c r="BJ100" s="609">
        <v>0</v>
      </c>
      <c r="BK100" s="610"/>
      <c r="BL100" s="56"/>
      <c r="BM100" s="611"/>
      <c r="BN100" s="612"/>
      <c r="BO100" s="609">
        <v>0</v>
      </c>
      <c r="BP100" s="610"/>
      <c r="BQ100" s="56"/>
      <c r="BR100" s="611"/>
      <c r="BS100" s="612"/>
      <c r="BT100" s="609">
        <f>SUM(L100:BO100)</f>
        <v>15065484</v>
      </c>
      <c r="BU100" s="610"/>
      <c r="BV100" s="56"/>
      <c r="BW100" s="611"/>
      <c r="BX100" s="612"/>
      <c r="BY100" s="609">
        <v>19478598</v>
      </c>
      <c r="BZ100" s="610"/>
      <c r="CA100" s="56"/>
      <c r="CB100" s="611"/>
      <c r="CC100" s="612"/>
      <c r="CD100" s="609">
        <f>4806000-803639</f>
        <v>4002361</v>
      </c>
      <c r="CE100" s="610"/>
      <c r="CF100" s="56"/>
      <c r="CG100" s="611"/>
      <c r="CH100" s="612"/>
      <c r="CI100" s="609">
        <f>3591000-567759</f>
        <v>3023241</v>
      </c>
      <c r="CJ100" s="610"/>
      <c r="CK100" s="56"/>
      <c r="CL100" s="611"/>
      <c r="CM100" s="612"/>
      <c r="CN100" s="609">
        <f>4123000-553104</f>
        <v>3569896</v>
      </c>
      <c r="CO100" s="610"/>
      <c r="CP100" s="56"/>
      <c r="CQ100" s="611"/>
      <c r="CR100" s="612"/>
      <c r="CS100" s="609">
        <v>0</v>
      </c>
      <c r="CT100" s="610"/>
      <c r="CU100" s="56"/>
      <c r="CV100" s="611"/>
      <c r="CW100" s="612"/>
      <c r="CX100" s="609">
        <f>4740000-677434</f>
        <v>4062566</v>
      </c>
      <c r="CY100" s="610"/>
      <c r="CZ100" s="56"/>
      <c r="DA100" s="611"/>
      <c r="DB100" s="612"/>
      <c r="DC100" s="609">
        <f>1790000-242920</f>
        <v>1547080</v>
      </c>
      <c r="DD100" s="610"/>
      <c r="DE100" s="56"/>
      <c r="DF100" s="611"/>
      <c r="DG100" s="612"/>
      <c r="DH100" s="609">
        <v>0</v>
      </c>
      <c r="DI100" s="610"/>
      <c r="DJ100" s="56"/>
      <c r="DK100" s="611"/>
      <c r="DL100" s="612"/>
      <c r="DM100" s="609">
        <f>1950000-347037</f>
        <v>1602963</v>
      </c>
      <c r="DN100" s="610"/>
      <c r="DO100" s="56"/>
      <c r="DP100" s="611"/>
      <c r="DQ100" s="612"/>
      <c r="DR100" s="609">
        <v>0</v>
      </c>
      <c r="DS100" s="610"/>
      <c r="DT100" s="56"/>
      <c r="DU100" s="611"/>
      <c r="DV100" s="612"/>
      <c r="DW100" s="609">
        <v>0</v>
      </c>
      <c r="DX100" s="610"/>
      <c r="DY100" s="56"/>
      <c r="DZ100" s="611"/>
      <c r="EA100" s="612"/>
      <c r="EB100" s="609">
        <f>1953000-282509</f>
        <v>1670491</v>
      </c>
      <c r="EC100" s="610"/>
      <c r="ED100" s="56"/>
      <c r="EE100" s="611"/>
      <c r="EF100" s="612"/>
      <c r="EG100" s="609">
        <v>0</v>
      </c>
      <c r="EH100" s="610"/>
      <c r="EI100" s="56"/>
      <c r="EJ100" s="611"/>
      <c r="EK100" s="612"/>
      <c r="EL100" s="609">
        <f t="shared" ref="EL100:EL102" si="9">SUM(CD100:DW100)</f>
        <v>17808107</v>
      </c>
      <c r="EM100" s="610"/>
      <c r="EN100" s="56"/>
      <c r="EO100" s="144"/>
      <c r="ER100" s="42"/>
      <c r="ES100" s="42"/>
    </row>
    <row r="101" spans="4:149" ht="12.75" customHeight="1" x14ac:dyDescent="0.3">
      <c r="D101" s="144" t="s">
        <v>338</v>
      </c>
      <c r="E101" s="611"/>
      <c r="F101" s="494"/>
      <c r="G101" s="56">
        <v>0</v>
      </c>
      <c r="H101" s="55"/>
      <c r="I101" s="56"/>
      <c r="J101" s="611"/>
      <c r="K101" s="611"/>
      <c r="L101" s="56">
        <v>0</v>
      </c>
      <c r="M101" s="55"/>
      <c r="N101" s="56"/>
      <c r="O101" s="611"/>
      <c r="P101" s="611"/>
      <c r="Q101" s="56">
        <v>341763</v>
      </c>
      <c r="R101" s="55"/>
      <c r="S101" s="56"/>
      <c r="T101" s="611"/>
      <c r="U101" s="611"/>
      <c r="V101" s="56">
        <v>229554</v>
      </c>
      <c r="W101" s="55"/>
      <c r="X101" s="56"/>
      <c r="Y101" s="611"/>
      <c r="Z101" s="611"/>
      <c r="AA101" s="56">
        <v>461549</v>
      </c>
      <c r="AB101" s="55"/>
      <c r="AC101" s="56"/>
      <c r="AD101" s="611"/>
      <c r="AE101" s="611"/>
      <c r="AF101" s="56">
        <v>784345</v>
      </c>
      <c r="AG101" s="55"/>
      <c r="AH101" s="56"/>
      <c r="AI101" s="611"/>
      <c r="AJ101" s="611"/>
      <c r="AK101" s="56">
        <v>254792</v>
      </c>
      <c r="AL101" s="55"/>
      <c r="AM101" s="56"/>
      <c r="AN101" s="611"/>
      <c r="AO101" s="611"/>
      <c r="AP101" s="56">
        <v>291599</v>
      </c>
      <c r="AQ101" s="55"/>
      <c r="AR101" s="56"/>
      <c r="AS101" s="611"/>
      <c r="AT101" s="611"/>
      <c r="AU101" s="56">
        <v>0</v>
      </c>
      <c r="AV101" s="55"/>
      <c r="AW101" s="56"/>
      <c r="AX101" s="611"/>
      <c r="AY101" s="611"/>
      <c r="AZ101" s="56">
        <v>1073100</v>
      </c>
      <c r="BA101" s="55"/>
      <c r="BB101" s="56"/>
      <c r="BC101" s="611"/>
      <c r="BD101" s="611"/>
      <c r="BE101" s="56">
        <v>339814</v>
      </c>
      <c r="BF101" s="55"/>
      <c r="BG101" s="56"/>
      <c r="BH101" s="611"/>
      <c r="BI101" s="611"/>
      <c r="BJ101" s="56">
        <v>0</v>
      </c>
      <c r="BK101" s="55"/>
      <c r="BL101" s="56"/>
      <c r="BM101" s="611"/>
      <c r="BN101" s="611"/>
      <c r="BO101" s="56">
        <v>0</v>
      </c>
      <c r="BP101" s="55"/>
      <c r="BQ101" s="56"/>
      <c r="BR101" s="611"/>
      <c r="BS101" s="611"/>
      <c r="BT101" s="56">
        <f>SUM(L101:BO101)</f>
        <v>3776516</v>
      </c>
      <c r="BU101" s="55"/>
      <c r="BV101" s="56"/>
      <c r="BW101" s="611"/>
      <c r="BX101" s="611"/>
      <c r="BY101" s="56">
        <v>3474402</v>
      </c>
      <c r="BZ101" s="55"/>
      <c r="CA101" s="56"/>
      <c r="CB101" s="611"/>
      <c r="CC101" s="611"/>
      <c r="CD101" s="56">
        <v>803639</v>
      </c>
      <c r="CE101" s="55"/>
      <c r="CF101" s="56"/>
      <c r="CG101" s="611"/>
      <c r="CH101" s="611"/>
      <c r="CI101" s="56">
        <v>567759</v>
      </c>
      <c r="CJ101" s="55"/>
      <c r="CK101" s="56"/>
      <c r="CL101" s="611"/>
      <c r="CM101" s="611"/>
      <c r="CN101" s="56">
        <v>553104</v>
      </c>
      <c r="CO101" s="55"/>
      <c r="CP101" s="56"/>
      <c r="CQ101" s="611"/>
      <c r="CR101" s="611"/>
      <c r="CS101" s="56">
        <v>0</v>
      </c>
      <c r="CT101" s="55"/>
      <c r="CU101" s="56"/>
      <c r="CV101" s="611"/>
      <c r="CW101" s="611"/>
      <c r="CX101" s="56">
        <v>677434</v>
      </c>
      <c r="CY101" s="55"/>
      <c r="CZ101" s="56"/>
      <c r="DA101" s="611"/>
      <c r="DB101" s="611"/>
      <c r="DC101" s="56">
        <v>242920</v>
      </c>
      <c r="DD101" s="55"/>
      <c r="DE101" s="56"/>
      <c r="DF101" s="611"/>
      <c r="DG101" s="611"/>
      <c r="DH101" s="56">
        <v>0</v>
      </c>
      <c r="DI101" s="55"/>
      <c r="DJ101" s="56"/>
      <c r="DK101" s="611"/>
      <c r="DL101" s="611"/>
      <c r="DM101" s="56">
        <v>347037</v>
      </c>
      <c r="DN101" s="55"/>
      <c r="DO101" s="56"/>
      <c r="DP101" s="611"/>
      <c r="DQ101" s="611"/>
      <c r="DR101" s="56">
        <v>0</v>
      </c>
      <c r="DS101" s="55"/>
      <c r="DT101" s="56"/>
      <c r="DU101" s="611"/>
      <c r="DV101" s="611"/>
      <c r="DW101" s="56">
        <v>0</v>
      </c>
      <c r="DX101" s="55"/>
      <c r="DY101" s="56"/>
      <c r="DZ101" s="611"/>
      <c r="EA101" s="611"/>
      <c r="EB101" s="56">
        <v>282509</v>
      </c>
      <c r="EC101" s="55"/>
      <c r="ED101" s="56"/>
      <c r="EE101" s="611"/>
      <c r="EF101" s="611"/>
      <c r="EG101" s="56">
        <v>0</v>
      </c>
      <c r="EH101" s="55"/>
      <c r="EI101" s="56"/>
      <c r="EJ101" s="611"/>
      <c r="EK101" s="611"/>
      <c r="EL101" s="56">
        <f t="shared" si="9"/>
        <v>3191893</v>
      </c>
      <c r="EM101" s="55"/>
      <c r="EN101" s="56"/>
      <c r="EO101" s="144"/>
      <c r="ER101" s="42"/>
      <c r="ES101" s="42"/>
    </row>
    <row r="102" spans="4:149" ht="12.75" customHeight="1" x14ac:dyDescent="0.3">
      <c r="D102" s="144" t="s">
        <v>352</v>
      </c>
      <c r="E102" s="611"/>
      <c r="F102" s="513"/>
      <c r="G102" s="117">
        <v>0</v>
      </c>
      <c r="H102" s="116"/>
      <c r="I102" s="56"/>
      <c r="J102" s="611"/>
      <c r="K102" s="620"/>
      <c r="L102" s="117">
        <v>0</v>
      </c>
      <c r="M102" s="116"/>
      <c r="N102" s="56"/>
      <c r="O102" s="611"/>
      <c r="P102" s="620"/>
      <c r="Q102" s="117">
        <v>0</v>
      </c>
      <c r="R102" s="116"/>
      <c r="S102" s="56"/>
      <c r="T102" s="611"/>
      <c r="U102" s="620"/>
      <c r="V102" s="117">
        <v>0</v>
      </c>
      <c r="W102" s="116"/>
      <c r="X102" s="56"/>
      <c r="Y102" s="611"/>
      <c r="Z102" s="620"/>
      <c r="AA102" s="117">
        <v>0</v>
      </c>
      <c r="AB102" s="116"/>
      <c r="AC102" s="56"/>
      <c r="AD102" s="611"/>
      <c r="AE102" s="620"/>
      <c r="AF102" s="117">
        <v>0</v>
      </c>
      <c r="AG102" s="116"/>
      <c r="AH102" s="56"/>
      <c r="AI102" s="611"/>
      <c r="AJ102" s="620"/>
      <c r="AK102" s="117">
        <v>0</v>
      </c>
      <c r="AL102" s="116"/>
      <c r="AM102" s="56"/>
      <c r="AN102" s="611"/>
      <c r="AO102" s="620"/>
      <c r="AP102" s="117">
        <v>0</v>
      </c>
      <c r="AQ102" s="116"/>
      <c r="AR102" s="56"/>
      <c r="AS102" s="611"/>
      <c r="AT102" s="620"/>
      <c r="AU102" s="117">
        <v>0</v>
      </c>
      <c r="AV102" s="116"/>
      <c r="AW102" s="56"/>
      <c r="AX102" s="611"/>
      <c r="AY102" s="620"/>
      <c r="AZ102" s="117">
        <v>0</v>
      </c>
      <c r="BA102" s="116"/>
      <c r="BB102" s="56"/>
      <c r="BC102" s="611"/>
      <c r="BD102" s="620"/>
      <c r="BE102" s="117">
        <v>0</v>
      </c>
      <c r="BF102" s="116"/>
      <c r="BG102" s="56"/>
      <c r="BH102" s="611"/>
      <c r="BI102" s="620"/>
      <c r="BJ102" s="117">
        <v>0</v>
      </c>
      <c r="BK102" s="116"/>
      <c r="BL102" s="56"/>
      <c r="BM102" s="611"/>
      <c r="BN102" s="620"/>
      <c r="BO102" s="117">
        <v>0</v>
      </c>
      <c r="BP102" s="116"/>
      <c r="BQ102" s="56"/>
      <c r="BR102" s="611"/>
      <c r="BS102" s="620"/>
      <c r="BT102" s="117">
        <f>SUM(L102:BO102)</f>
        <v>0</v>
      </c>
      <c r="BU102" s="116"/>
      <c r="BV102" s="56"/>
      <c r="BW102" s="611"/>
      <c r="BX102" s="620"/>
      <c r="BY102" s="117">
        <v>0</v>
      </c>
      <c r="BZ102" s="116"/>
      <c r="CA102" s="56"/>
      <c r="CB102" s="611"/>
      <c r="CC102" s="620"/>
      <c r="CD102" s="117">
        <v>0</v>
      </c>
      <c r="CE102" s="116"/>
      <c r="CF102" s="56"/>
      <c r="CG102" s="611"/>
      <c r="CH102" s="620"/>
      <c r="CI102" s="117">
        <v>0</v>
      </c>
      <c r="CJ102" s="116"/>
      <c r="CK102" s="56"/>
      <c r="CL102" s="611"/>
      <c r="CM102" s="620"/>
      <c r="CN102" s="117">
        <v>0</v>
      </c>
      <c r="CO102" s="116"/>
      <c r="CP102" s="56"/>
      <c r="CQ102" s="611"/>
      <c r="CR102" s="620"/>
      <c r="CS102" s="117">
        <v>0</v>
      </c>
      <c r="CT102" s="116"/>
      <c r="CU102" s="56"/>
      <c r="CV102" s="611"/>
      <c r="CW102" s="620"/>
      <c r="CX102" s="117">
        <v>0</v>
      </c>
      <c r="CY102" s="116"/>
      <c r="CZ102" s="56"/>
      <c r="DA102" s="611"/>
      <c r="DB102" s="620"/>
      <c r="DC102" s="117">
        <v>0</v>
      </c>
      <c r="DD102" s="116"/>
      <c r="DE102" s="56"/>
      <c r="DF102" s="611"/>
      <c r="DG102" s="620"/>
      <c r="DH102" s="117">
        <v>0</v>
      </c>
      <c r="DI102" s="116"/>
      <c r="DJ102" s="56"/>
      <c r="DK102" s="611"/>
      <c r="DL102" s="620"/>
      <c r="DM102" s="117">
        <v>0</v>
      </c>
      <c r="DN102" s="116"/>
      <c r="DO102" s="56"/>
      <c r="DP102" s="611"/>
      <c r="DQ102" s="620"/>
      <c r="DR102" s="117">
        <v>0</v>
      </c>
      <c r="DS102" s="116"/>
      <c r="DT102" s="56"/>
      <c r="DU102" s="611"/>
      <c r="DV102" s="620"/>
      <c r="DW102" s="117">
        <v>0</v>
      </c>
      <c r="DX102" s="116"/>
      <c r="DY102" s="56"/>
      <c r="DZ102" s="611"/>
      <c r="EA102" s="620"/>
      <c r="EB102" s="117">
        <v>0</v>
      </c>
      <c r="EC102" s="116"/>
      <c r="ED102" s="56"/>
      <c r="EE102" s="611"/>
      <c r="EF102" s="620"/>
      <c r="EG102" s="117">
        <v>0</v>
      </c>
      <c r="EH102" s="116"/>
      <c r="EI102" s="56"/>
      <c r="EJ102" s="611"/>
      <c r="EK102" s="620"/>
      <c r="EL102" s="117">
        <f t="shared" si="9"/>
        <v>0</v>
      </c>
      <c r="EM102" s="116"/>
      <c r="EN102" s="56"/>
      <c r="EO102" s="144"/>
      <c r="ER102" s="42"/>
      <c r="ES102" s="42"/>
    </row>
    <row r="103" spans="4:149" ht="12.75" customHeight="1" x14ac:dyDescent="0.3">
      <c r="D103" s="144"/>
      <c r="E103" s="611"/>
      <c r="G103" s="56"/>
      <c r="H103" s="56"/>
      <c r="I103" s="56"/>
      <c r="J103" s="611"/>
      <c r="K103" s="56"/>
      <c r="L103" s="56"/>
      <c r="M103" s="56"/>
      <c r="N103" s="56"/>
      <c r="O103" s="611"/>
      <c r="P103" s="56"/>
      <c r="Q103" s="56"/>
      <c r="R103" s="56"/>
      <c r="S103" s="56"/>
      <c r="T103" s="611"/>
      <c r="U103" s="56"/>
      <c r="V103" s="56"/>
      <c r="W103" s="56"/>
      <c r="X103" s="56"/>
      <c r="Y103" s="611"/>
      <c r="Z103" s="56"/>
      <c r="AA103" s="56"/>
      <c r="AB103" s="56"/>
      <c r="AC103" s="56"/>
      <c r="AD103" s="611"/>
      <c r="AE103" s="56"/>
      <c r="AF103" s="56"/>
      <c r="AG103" s="56"/>
      <c r="AH103" s="56"/>
      <c r="AI103" s="611"/>
      <c r="AJ103" s="56"/>
      <c r="AK103" s="56"/>
      <c r="AL103" s="56"/>
      <c r="AM103" s="56"/>
      <c r="AN103" s="611"/>
      <c r="AO103" s="56"/>
      <c r="AP103" s="56"/>
      <c r="AQ103" s="56"/>
      <c r="AR103" s="56"/>
      <c r="AS103" s="611"/>
      <c r="AT103" s="56"/>
      <c r="AU103" s="56"/>
      <c r="AV103" s="56"/>
      <c r="AW103" s="56"/>
      <c r="AX103" s="611"/>
      <c r="AY103" s="56"/>
      <c r="AZ103" s="56"/>
      <c r="BA103" s="56"/>
      <c r="BB103" s="56"/>
      <c r="BC103" s="611"/>
      <c r="BD103" s="56"/>
      <c r="BE103" s="56"/>
      <c r="BF103" s="56"/>
      <c r="BG103" s="56"/>
      <c r="BH103" s="611"/>
      <c r="BI103" s="56"/>
      <c r="BJ103" s="56"/>
      <c r="BK103" s="56"/>
      <c r="BL103" s="56"/>
      <c r="BM103" s="611"/>
      <c r="BN103" s="56"/>
      <c r="BO103" s="56"/>
      <c r="BP103" s="56"/>
      <c r="BQ103" s="56"/>
      <c r="BR103" s="611"/>
      <c r="BS103" s="56"/>
      <c r="BT103" s="56"/>
      <c r="BU103" s="56"/>
      <c r="BV103" s="56"/>
      <c r="BW103" s="611"/>
      <c r="BX103" s="56"/>
      <c r="BY103" s="56"/>
      <c r="BZ103" s="56"/>
      <c r="CA103" s="56"/>
      <c r="CB103" s="611"/>
      <c r="CC103" s="56"/>
      <c r="CD103" s="56"/>
      <c r="CE103" s="56"/>
      <c r="CF103" s="56"/>
      <c r="CG103" s="611"/>
      <c r="CH103" s="56"/>
      <c r="CI103" s="56"/>
      <c r="CJ103" s="56"/>
      <c r="CK103" s="56"/>
      <c r="CL103" s="611"/>
      <c r="CM103" s="56"/>
      <c r="CN103" s="56"/>
      <c r="CO103" s="56"/>
      <c r="CP103" s="56"/>
      <c r="CQ103" s="611"/>
      <c r="CR103" s="56"/>
      <c r="CS103" s="56"/>
      <c r="CT103" s="56"/>
      <c r="CU103" s="56"/>
      <c r="CV103" s="611"/>
      <c r="CW103" s="56"/>
      <c r="CX103" s="56"/>
      <c r="CY103" s="56"/>
      <c r="CZ103" s="56"/>
      <c r="DA103" s="611"/>
      <c r="DB103" s="56"/>
      <c r="DC103" s="56"/>
      <c r="DD103" s="56"/>
      <c r="DE103" s="56"/>
      <c r="DF103" s="611"/>
      <c r="DG103" s="56"/>
      <c r="DH103" s="56"/>
      <c r="DI103" s="56"/>
      <c r="DJ103" s="56"/>
      <c r="DK103" s="611"/>
      <c r="DL103" s="56"/>
      <c r="DM103" s="56"/>
      <c r="DN103" s="56"/>
      <c r="DO103" s="56"/>
      <c r="DP103" s="611"/>
      <c r="DQ103" s="56"/>
      <c r="DR103" s="56"/>
      <c r="DS103" s="56"/>
      <c r="DT103" s="56"/>
      <c r="DU103" s="611"/>
      <c r="DV103" s="56"/>
      <c r="DW103" s="56"/>
      <c r="DX103" s="56"/>
      <c r="DY103" s="56"/>
      <c r="DZ103" s="611"/>
      <c r="EA103" s="56"/>
      <c r="EB103" s="56"/>
      <c r="EC103" s="56"/>
      <c r="ED103" s="56"/>
      <c r="EE103" s="611"/>
      <c r="EF103" s="56"/>
      <c r="EG103" s="56"/>
      <c r="EH103" s="56"/>
      <c r="EI103" s="56"/>
      <c r="EJ103" s="611"/>
      <c r="EK103" s="56"/>
      <c r="EL103" s="56"/>
      <c r="EM103" s="56"/>
      <c r="EN103" s="56"/>
      <c r="EO103" s="144"/>
      <c r="ER103" s="42"/>
      <c r="ES103" s="42"/>
    </row>
    <row r="104" spans="4:149" ht="12.75" customHeight="1" x14ac:dyDescent="0.3">
      <c r="D104" s="144" t="s">
        <v>355</v>
      </c>
      <c r="E104" s="611"/>
      <c r="G104" s="56">
        <f>SUM(G105:G107)</f>
        <v>0</v>
      </c>
      <c r="H104" s="56"/>
      <c r="I104" s="56"/>
      <c r="J104" s="611"/>
      <c r="K104" s="56"/>
      <c r="L104" s="56">
        <f>SUM(L105:L107)</f>
        <v>4553000</v>
      </c>
      <c r="M104" s="56"/>
      <c r="N104" s="56"/>
      <c r="O104" s="611"/>
      <c r="P104" s="56"/>
      <c r="Q104" s="56">
        <f>SUM(Q105:Q107)</f>
        <v>3599000</v>
      </c>
      <c r="R104" s="56"/>
      <c r="S104" s="56"/>
      <c r="T104" s="611"/>
      <c r="U104" s="56"/>
      <c r="V104" s="56">
        <f>SUM(V105:V107)</f>
        <v>1300000</v>
      </c>
      <c r="W104" s="56"/>
      <c r="X104" s="56"/>
      <c r="Y104" s="611"/>
      <c r="Z104" s="56"/>
      <c r="AA104" s="56">
        <f>SUM(AA105:AA107)</f>
        <v>2896000</v>
      </c>
      <c r="AB104" s="56"/>
      <c r="AC104" s="56"/>
      <c r="AD104" s="611"/>
      <c r="AE104" s="56"/>
      <c r="AF104" s="56">
        <f>SUM(AF105:AF107)</f>
        <v>3899000</v>
      </c>
      <c r="AG104" s="56"/>
      <c r="AH104" s="56"/>
      <c r="AI104" s="611"/>
      <c r="AJ104" s="56"/>
      <c r="AK104" s="56">
        <f>SUM(AK105:AK107)</f>
        <v>3186000</v>
      </c>
      <c r="AL104" s="56"/>
      <c r="AM104" s="56"/>
      <c r="AN104" s="611"/>
      <c r="AO104" s="56"/>
      <c r="AP104" s="56">
        <f>SUM(AP105:AP107)</f>
        <v>2600000</v>
      </c>
      <c r="AQ104" s="56"/>
      <c r="AR104" s="56"/>
      <c r="AS104" s="611"/>
      <c r="AT104" s="56"/>
      <c r="AU104" s="56">
        <f>SUM(AU105:AU107)</f>
        <v>5199000</v>
      </c>
      <c r="AV104" s="56"/>
      <c r="AW104" s="56"/>
      <c r="AX104" s="611"/>
      <c r="AY104" s="56"/>
      <c r="AZ104" s="56">
        <f>SUM(AZ105:AZ107)</f>
        <v>1950000</v>
      </c>
      <c r="BA104" s="56"/>
      <c r="BB104" s="56"/>
      <c r="BC104" s="611"/>
      <c r="BD104" s="56"/>
      <c r="BE104" s="56">
        <f>SUM(BE105:BE107)</f>
        <v>1950000</v>
      </c>
      <c r="BF104" s="56"/>
      <c r="BG104" s="56"/>
      <c r="BH104" s="611"/>
      <c r="BI104" s="56"/>
      <c r="BJ104" s="56">
        <f>SUM(BJ105:BJ107)</f>
        <v>0</v>
      </c>
      <c r="BK104" s="56"/>
      <c r="BL104" s="56"/>
      <c r="BM104" s="611"/>
      <c r="BN104" s="56"/>
      <c r="BO104" s="56">
        <f>SUM(BO105:BO107)</f>
        <v>0</v>
      </c>
      <c r="BP104" s="56"/>
      <c r="BQ104" s="56"/>
      <c r="BR104" s="611"/>
      <c r="BS104" s="117"/>
      <c r="BT104" s="117">
        <f>SUM(BT105:BT107)</f>
        <v>31132000</v>
      </c>
      <c r="BU104" s="56"/>
      <c r="BV104" s="56"/>
      <c r="BW104" s="611"/>
      <c r="BX104" s="56"/>
      <c r="BY104" s="56">
        <f>SUM(BY105:BY107)</f>
        <v>36346170</v>
      </c>
      <c r="BZ104" s="56"/>
      <c r="CA104" s="56"/>
      <c r="CB104" s="611"/>
      <c r="CC104" s="56"/>
      <c r="CD104" s="56">
        <f>SUM(CD105:CD107)</f>
        <v>2400000</v>
      </c>
      <c r="CE104" s="56"/>
      <c r="CF104" s="56"/>
      <c r="CG104" s="611"/>
      <c r="CH104" s="56"/>
      <c r="CI104" s="56">
        <f>SUM(CI105:CI107)</f>
        <v>1305964</v>
      </c>
      <c r="CJ104" s="56"/>
      <c r="CK104" s="56"/>
      <c r="CL104" s="611"/>
      <c r="CM104" s="56"/>
      <c r="CN104" s="56">
        <f>SUM(CN105:CN107)</f>
        <v>5190000</v>
      </c>
      <c r="CO104" s="56"/>
      <c r="CP104" s="56"/>
      <c r="CQ104" s="611"/>
      <c r="CR104" s="56"/>
      <c r="CS104" s="56">
        <f>SUM(CS105:CS107)</f>
        <v>3903000</v>
      </c>
      <c r="CT104" s="56"/>
      <c r="CU104" s="56"/>
      <c r="CV104" s="611"/>
      <c r="CW104" s="56"/>
      <c r="CX104" s="56">
        <f>SUM(CX105:CX107)</f>
        <v>3899000</v>
      </c>
      <c r="CY104" s="56"/>
      <c r="CZ104" s="56"/>
      <c r="DA104" s="611"/>
      <c r="DB104" s="56"/>
      <c r="DC104" s="56">
        <f>SUM(DC105:DC107)</f>
        <v>1300000</v>
      </c>
      <c r="DD104" s="56"/>
      <c r="DE104" s="56"/>
      <c r="DF104" s="611"/>
      <c r="DG104" s="56"/>
      <c r="DH104" s="56">
        <f>SUM(DH105:DH107)</f>
        <v>3255000</v>
      </c>
      <c r="DI104" s="56"/>
      <c r="DJ104" s="56"/>
      <c r="DK104" s="611"/>
      <c r="DL104" s="56"/>
      <c r="DM104" s="56">
        <f>SUM(DM105:DM107)</f>
        <v>3022000</v>
      </c>
      <c r="DN104" s="56"/>
      <c r="DO104" s="56"/>
      <c r="DP104" s="611"/>
      <c r="DQ104" s="56"/>
      <c r="DR104" s="56">
        <f>SUM(DR105:DR107)</f>
        <v>3908206</v>
      </c>
      <c r="DS104" s="56"/>
      <c r="DT104" s="56"/>
      <c r="DU104" s="611"/>
      <c r="DV104" s="56"/>
      <c r="DW104" s="56">
        <f>SUM(DW105:DW107)</f>
        <v>0</v>
      </c>
      <c r="DX104" s="56"/>
      <c r="DY104" s="56"/>
      <c r="DZ104" s="611"/>
      <c r="EA104" s="56"/>
      <c r="EB104" s="56">
        <f>SUM(EB105:EB107)</f>
        <v>4913000</v>
      </c>
      <c r="EC104" s="56"/>
      <c r="ED104" s="56"/>
      <c r="EE104" s="611"/>
      <c r="EF104" s="56"/>
      <c r="EG104" s="56">
        <f>SUM(EG105:EG107)</f>
        <v>3250000</v>
      </c>
      <c r="EH104" s="56"/>
      <c r="EI104" s="55"/>
      <c r="EJ104" s="611"/>
      <c r="EK104" s="56"/>
      <c r="EL104" s="117">
        <f>SUM(EL105:EL107)</f>
        <v>28183170</v>
      </c>
      <c r="EM104" s="56"/>
      <c r="EN104" s="56"/>
      <c r="EO104" s="144"/>
      <c r="ER104" s="42"/>
      <c r="ES104" s="42"/>
    </row>
    <row r="105" spans="4:149" ht="12.75" customHeight="1" x14ac:dyDescent="0.3">
      <c r="D105" s="144" t="s">
        <v>335</v>
      </c>
      <c r="E105" s="611"/>
      <c r="F105" s="500"/>
      <c r="G105" s="609">
        <v>0</v>
      </c>
      <c r="H105" s="610"/>
      <c r="I105" s="56"/>
      <c r="J105" s="611"/>
      <c r="K105" s="612"/>
      <c r="L105" s="609">
        <f>4553000-498539</f>
        <v>4054461</v>
      </c>
      <c r="M105" s="610"/>
      <c r="N105" s="56"/>
      <c r="O105" s="611"/>
      <c r="P105" s="612"/>
      <c r="Q105" s="609">
        <f>3599000-465928</f>
        <v>3133072</v>
      </c>
      <c r="R105" s="610"/>
      <c r="S105" s="56"/>
      <c r="T105" s="611"/>
      <c r="U105" s="612"/>
      <c r="V105" s="609">
        <f>1300000-168249</f>
        <v>1131751</v>
      </c>
      <c r="W105" s="610"/>
      <c r="X105" s="56"/>
      <c r="Y105" s="611"/>
      <c r="Z105" s="612"/>
      <c r="AA105" s="609">
        <f>2896000-447929</f>
        <v>2448071</v>
      </c>
      <c r="AB105" s="610"/>
      <c r="AC105" s="56"/>
      <c r="AD105" s="611"/>
      <c r="AE105" s="612"/>
      <c r="AF105" s="609">
        <f>3899000-566873</f>
        <v>3332127</v>
      </c>
      <c r="AG105" s="610"/>
      <c r="AH105" s="56"/>
      <c r="AI105" s="611"/>
      <c r="AJ105" s="612"/>
      <c r="AK105" s="609">
        <f>3186000-478154</f>
        <v>2707846</v>
      </c>
      <c r="AL105" s="610"/>
      <c r="AM105" s="56"/>
      <c r="AN105" s="611"/>
      <c r="AO105" s="612"/>
      <c r="AP105" s="609">
        <f>2600000-434125</f>
        <v>2165875</v>
      </c>
      <c r="AQ105" s="610"/>
      <c r="AR105" s="56"/>
      <c r="AS105" s="611"/>
      <c r="AT105" s="612"/>
      <c r="AU105" s="609">
        <f>5199000-785386</f>
        <v>4413614</v>
      </c>
      <c r="AV105" s="610"/>
      <c r="AW105" s="56"/>
      <c r="AX105" s="611"/>
      <c r="AY105" s="612"/>
      <c r="AZ105" s="609">
        <f>1950000-323780</f>
        <v>1626220</v>
      </c>
      <c r="BA105" s="610"/>
      <c r="BB105" s="56"/>
      <c r="BC105" s="611"/>
      <c r="BD105" s="612"/>
      <c r="BE105" s="609">
        <f>1950000-242247</f>
        <v>1707753</v>
      </c>
      <c r="BF105" s="610"/>
      <c r="BG105" s="56"/>
      <c r="BH105" s="611"/>
      <c r="BI105" s="612"/>
      <c r="BJ105" s="609">
        <v>0</v>
      </c>
      <c r="BK105" s="610"/>
      <c r="BL105" s="56"/>
      <c r="BM105" s="611"/>
      <c r="BN105" s="612"/>
      <c r="BO105" s="609">
        <v>0</v>
      </c>
      <c r="BP105" s="610"/>
      <c r="BQ105" s="56"/>
      <c r="BR105" s="611"/>
      <c r="BS105" s="611"/>
      <c r="BT105" s="56">
        <f>SUM(L105:BO105)</f>
        <v>26720790</v>
      </c>
      <c r="BU105" s="610"/>
      <c r="BV105" s="56"/>
      <c r="BW105" s="611"/>
      <c r="BX105" s="612"/>
      <c r="BY105" s="609">
        <v>32674556</v>
      </c>
      <c r="BZ105" s="610"/>
      <c r="CA105" s="56"/>
      <c r="CB105" s="611"/>
      <c r="CC105" s="612"/>
      <c r="CD105" s="609">
        <f>2400000-321947</f>
        <v>2078053</v>
      </c>
      <c r="CE105" s="610"/>
      <c r="CF105" s="56"/>
      <c r="CG105" s="611"/>
      <c r="CH105" s="612"/>
      <c r="CI105" s="609">
        <f>1305964-120058</f>
        <v>1185906</v>
      </c>
      <c r="CJ105" s="610"/>
      <c r="CK105" s="56"/>
      <c r="CL105" s="611"/>
      <c r="CM105" s="612"/>
      <c r="CN105" s="609">
        <f>5190000-449333</f>
        <v>4740667</v>
      </c>
      <c r="CO105" s="610"/>
      <c r="CP105" s="56"/>
      <c r="CQ105" s="611"/>
      <c r="CR105" s="612"/>
      <c r="CS105" s="609">
        <f>3903000-370705</f>
        <v>3532295</v>
      </c>
      <c r="CT105" s="610"/>
      <c r="CU105" s="56"/>
      <c r="CV105" s="611"/>
      <c r="CW105" s="612"/>
      <c r="CX105" s="609">
        <f>3899000-356046</f>
        <v>3542954</v>
      </c>
      <c r="CY105" s="610"/>
      <c r="CZ105" s="56"/>
      <c r="DA105" s="611"/>
      <c r="DB105" s="612"/>
      <c r="DC105" s="609">
        <f>1300000-112960</f>
        <v>1187040</v>
      </c>
      <c r="DD105" s="610"/>
      <c r="DE105" s="56"/>
      <c r="DF105" s="611"/>
      <c r="DG105" s="612"/>
      <c r="DH105" s="609">
        <f>3255000-370605</f>
        <v>2884395</v>
      </c>
      <c r="DI105" s="610"/>
      <c r="DJ105" s="56"/>
      <c r="DK105" s="611"/>
      <c r="DL105" s="612"/>
      <c r="DM105" s="609">
        <f>3022000-339245</f>
        <v>2682755</v>
      </c>
      <c r="DN105" s="610"/>
      <c r="DO105" s="56"/>
      <c r="DP105" s="611"/>
      <c r="DQ105" s="612"/>
      <c r="DR105" s="609">
        <f>3908206-415757</f>
        <v>3492449</v>
      </c>
      <c r="DS105" s="610"/>
      <c r="DT105" s="56"/>
      <c r="DU105" s="611"/>
      <c r="DV105" s="612"/>
      <c r="DW105" s="609">
        <v>0</v>
      </c>
      <c r="DX105" s="610"/>
      <c r="DY105" s="56"/>
      <c r="DZ105" s="611"/>
      <c r="EA105" s="612"/>
      <c r="EB105" s="609">
        <f>4913000-453769</f>
        <v>4459231</v>
      </c>
      <c r="EC105" s="610"/>
      <c r="ED105" s="56"/>
      <c r="EE105" s="611"/>
      <c r="EF105" s="612"/>
      <c r="EG105" s="609">
        <f>3250000-361189</f>
        <v>2888811</v>
      </c>
      <c r="EH105" s="610"/>
      <c r="EI105" s="55"/>
      <c r="EJ105" s="52"/>
      <c r="EK105" s="612"/>
      <c r="EL105" s="56">
        <f t="shared" ref="EL105:EL107" si="10">SUM(CD105:DW105)</f>
        <v>25326514</v>
      </c>
      <c r="EM105" s="610"/>
      <c r="EN105" s="56"/>
      <c r="EO105" s="144"/>
      <c r="ER105" s="42"/>
      <c r="ES105" s="42"/>
    </row>
    <row r="106" spans="4:149" ht="12.75" customHeight="1" x14ac:dyDescent="0.3">
      <c r="D106" s="144" t="s">
        <v>338</v>
      </c>
      <c r="E106" s="611"/>
      <c r="F106" s="494"/>
      <c r="G106" s="56">
        <v>0</v>
      </c>
      <c r="H106" s="55"/>
      <c r="I106" s="56"/>
      <c r="J106" s="611"/>
      <c r="K106" s="611"/>
      <c r="L106" s="56">
        <v>498539</v>
      </c>
      <c r="M106" s="55"/>
      <c r="N106" s="56"/>
      <c r="O106" s="611"/>
      <c r="P106" s="611"/>
      <c r="Q106" s="56">
        <v>465928</v>
      </c>
      <c r="R106" s="55"/>
      <c r="S106" s="56"/>
      <c r="T106" s="611"/>
      <c r="U106" s="611"/>
      <c r="V106" s="56">
        <v>168249</v>
      </c>
      <c r="W106" s="55"/>
      <c r="X106" s="56"/>
      <c r="Y106" s="611"/>
      <c r="Z106" s="611"/>
      <c r="AA106" s="56">
        <v>447929</v>
      </c>
      <c r="AB106" s="55"/>
      <c r="AC106" s="56"/>
      <c r="AD106" s="611"/>
      <c r="AE106" s="611"/>
      <c r="AF106" s="56">
        <v>566873</v>
      </c>
      <c r="AG106" s="55"/>
      <c r="AH106" s="56"/>
      <c r="AI106" s="611"/>
      <c r="AJ106" s="611"/>
      <c r="AK106" s="56">
        <v>478154</v>
      </c>
      <c r="AL106" s="55"/>
      <c r="AM106" s="56"/>
      <c r="AN106" s="611"/>
      <c r="AO106" s="611"/>
      <c r="AP106" s="56">
        <v>434125</v>
      </c>
      <c r="AQ106" s="55"/>
      <c r="AR106" s="56"/>
      <c r="AS106" s="611"/>
      <c r="AT106" s="611"/>
      <c r="AU106" s="56">
        <v>785386</v>
      </c>
      <c r="AV106" s="55"/>
      <c r="AW106" s="56"/>
      <c r="AX106" s="611"/>
      <c r="AY106" s="611"/>
      <c r="AZ106" s="56">
        <v>323780</v>
      </c>
      <c r="BA106" s="55"/>
      <c r="BB106" s="56"/>
      <c r="BC106" s="611"/>
      <c r="BD106" s="611"/>
      <c r="BE106" s="56">
        <v>242247</v>
      </c>
      <c r="BF106" s="55"/>
      <c r="BG106" s="56"/>
      <c r="BH106" s="611"/>
      <c r="BI106" s="611"/>
      <c r="BJ106" s="56">
        <v>0</v>
      </c>
      <c r="BK106" s="55"/>
      <c r="BL106" s="56"/>
      <c r="BM106" s="611"/>
      <c r="BN106" s="611"/>
      <c r="BO106" s="56">
        <v>0</v>
      </c>
      <c r="BP106" s="55"/>
      <c r="BQ106" s="56"/>
      <c r="BR106" s="611"/>
      <c r="BS106" s="611"/>
      <c r="BT106" s="56">
        <f>SUM(L106:BO106)</f>
        <v>4411210</v>
      </c>
      <c r="BU106" s="55"/>
      <c r="BV106" s="56"/>
      <c r="BW106" s="611"/>
      <c r="BX106" s="611"/>
      <c r="BY106" s="56">
        <v>3671614</v>
      </c>
      <c r="BZ106" s="55"/>
      <c r="CA106" s="56"/>
      <c r="CB106" s="611"/>
      <c r="CC106" s="611"/>
      <c r="CD106" s="56">
        <v>321947</v>
      </c>
      <c r="CE106" s="55"/>
      <c r="CF106" s="56"/>
      <c r="CG106" s="611"/>
      <c r="CH106" s="611"/>
      <c r="CI106" s="56">
        <v>120058</v>
      </c>
      <c r="CJ106" s="55"/>
      <c r="CK106" s="56"/>
      <c r="CL106" s="611"/>
      <c r="CM106" s="611"/>
      <c r="CN106" s="56">
        <v>449333</v>
      </c>
      <c r="CO106" s="55"/>
      <c r="CP106" s="56"/>
      <c r="CQ106" s="611"/>
      <c r="CR106" s="611"/>
      <c r="CS106" s="56">
        <v>370705</v>
      </c>
      <c r="CT106" s="55"/>
      <c r="CU106" s="56"/>
      <c r="CV106" s="611"/>
      <c r="CW106" s="611"/>
      <c r="CX106" s="56">
        <v>356046</v>
      </c>
      <c r="CY106" s="55"/>
      <c r="CZ106" s="56"/>
      <c r="DA106" s="611"/>
      <c r="DB106" s="611"/>
      <c r="DC106" s="56">
        <v>112960</v>
      </c>
      <c r="DD106" s="55"/>
      <c r="DE106" s="56"/>
      <c r="DF106" s="611"/>
      <c r="DG106" s="611"/>
      <c r="DH106" s="56">
        <v>370605</v>
      </c>
      <c r="DI106" s="55"/>
      <c r="DJ106" s="56"/>
      <c r="DK106" s="611"/>
      <c r="DL106" s="611"/>
      <c r="DM106" s="56">
        <v>339245</v>
      </c>
      <c r="DN106" s="55"/>
      <c r="DO106" s="56"/>
      <c r="DP106" s="611"/>
      <c r="DQ106" s="611"/>
      <c r="DR106" s="56">
        <v>415757</v>
      </c>
      <c r="DS106" s="55"/>
      <c r="DT106" s="56"/>
      <c r="DU106" s="611"/>
      <c r="DV106" s="611"/>
      <c r="DW106" s="56">
        <v>0</v>
      </c>
      <c r="DX106" s="55"/>
      <c r="DY106" s="56"/>
      <c r="DZ106" s="611"/>
      <c r="EA106" s="611"/>
      <c r="EB106" s="56">
        <v>453769</v>
      </c>
      <c r="EC106" s="55"/>
      <c r="ED106" s="56"/>
      <c r="EE106" s="611"/>
      <c r="EF106" s="611"/>
      <c r="EG106" s="56">
        <v>361189</v>
      </c>
      <c r="EH106" s="55"/>
      <c r="EI106" s="56"/>
      <c r="EJ106" s="611"/>
      <c r="EK106" s="611"/>
      <c r="EL106" s="56">
        <f t="shared" si="10"/>
        <v>2856656</v>
      </c>
      <c r="EM106" s="55"/>
      <c r="EN106" s="56"/>
      <c r="EO106" s="144"/>
      <c r="ER106" s="42"/>
      <c r="ES106" s="42"/>
    </row>
    <row r="107" spans="4:149" ht="12.75" customHeight="1" x14ac:dyDescent="0.3">
      <c r="D107" s="144" t="s">
        <v>352</v>
      </c>
      <c r="E107" s="611"/>
      <c r="F107" s="513"/>
      <c r="G107" s="117">
        <v>0</v>
      </c>
      <c r="H107" s="116"/>
      <c r="I107" s="56"/>
      <c r="J107" s="611"/>
      <c r="K107" s="620"/>
      <c r="L107" s="117">
        <v>0</v>
      </c>
      <c r="M107" s="116"/>
      <c r="N107" s="56"/>
      <c r="O107" s="611"/>
      <c r="P107" s="620"/>
      <c r="Q107" s="117">
        <v>0</v>
      </c>
      <c r="R107" s="116"/>
      <c r="S107" s="56"/>
      <c r="T107" s="611"/>
      <c r="U107" s="620"/>
      <c r="V107" s="117">
        <v>0</v>
      </c>
      <c r="W107" s="116"/>
      <c r="X107" s="56"/>
      <c r="Y107" s="611"/>
      <c r="Z107" s="620"/>
      <c r="AA107" s="117">
        <v>0</v>
      </c>
      <c r="AB107" s="116"/>
      <c r="AC107" s="56"/>
      <c r="AD107" s="611"/>
      <c r="AE107" s="620"/>
      <c r="AF107" s="117">
        <v>0</v>
      </c>
      <c r="AG107" s="116"/>
      <c r="AH107" s="56"/>
      <c r="AI107" s="611"/>
      <c r="AJ107" s="620"/>
      <c r="AK107" s="117">
        <v>0</v>
      </c>
      <c r="AL107" s="116"/>
      <c r="AM107" s="56"/>
      <c r="AN107" s="611"/>
      <c r="AO107" s="620"/>
      <c r="AP107" s="117">
        <v>0</v>
      </c>
      <c r="AQ107" s="116"/>
      <c r="AR107" s="56"/>
      <c r="AS107" s="611"/>
      <c r="AT107" s="620"/>
      <c r="AU107" s="117">
        <v>0</v>
      </c>
      <c r="AV107" s="116"/>
      <c r="AW107" s="56"/>
      <c r="AX107" s="611"/>
      <c r="AY107" s="620"/>
      <c r="AZ107" s="117">
        <v>0</v>
      </c>
      <c r="BA107" s="116"/>
      <c r="BB107" s="56"/>
      <c r="BC107" s="611"/>
      <c r="BD107" s="620"/>
      <c r="BE107" s="117">
        <v>0</v>
      </c>
      <c r="BF107" s="116"/>
      <c r="BG107" s="56"/>
      <c r="BH107" s="611"/>
      <c r="BI107" s="620"/>
      <c r="BJ107" s="117">
        <v>0</v>
      </c>
      <c r="BK107" s="116"/>
      <c r="BL107" s="56"/>
      <c r="BM107" s="611"/>
      <c r="BN107" s="620"/>
      <c r="BO107" s="117">
        <v>0</v>
      </c>
      <c r="BP107" s="116"/>
      <c r="BQ107" s="56"/>
      <c r="BR107" s="611"/>
      <c r="BS107" s="620"/>
      <c r="BT107" s="117">
        <f>SUM(L107:BO107)</f>
        <v>0</v>
      </c>
      <c r="BU107" s="116"/>
      <c r="BV107" s="56"/>
      <c r="BW107" s="611"/>
      <c r="BX107" s="620"/>
      <c r="BY107" s="117">
        <v>0</v>
      </c>
      <c r="BZ107" s="116"/>
      <c r="CA107" s="56"/>
      <c r="CB107" s="611"/>
      <c r="CC107" s="620"/>
      <c r="CD107" s="117">
        <v>0</v>
      </c>
      <c r="CE107" s="116"/>
      <c r="CF107" s="56"/>
      <c r="CG107" s="611"/>
      <c r="CH107" s="620"/>
      <c r="CI107" s="117">
        <v>0</v>
      </c>
      <c r="CJ107" s="116"/>
      <c r="CK107" s="56"/>
      <c r="CL107" s="611"/>
      <c r="CM107" s="620"/>
      <c r="CN107" s="117">
        <v>0</v>
      </c>
      <c r="CO107" s="116"/>
      <c r="CP107" s="56"/>
      <c r="CQ107" s="611"/>
      <c r="CR107" s="620"/>
      <c r="CS107" s="117">
        <v>0</v>
      </c>
      <c r="CT107" s="116"/>
      <c r="CU107" s="56"/>
      <c r="CV107" s="611"/>
      <c r="CW107" s="620"/>
      <c r="CX107" s="117">
        <v>0</v>
      </c>
      <c r="CY107" s="116"/>
      <c r="CZ107" s="56"/>
      <c r="DA107" s="611"/>
      <c r="DB107" s="620"/>
      <c r="DC107" s="117">
        <v>0</v>
      </c>
      <c r="DD107" s="116"/>
      <c r="DE107" s="56"/>
      <c r="DF107" s="611"/>
      <c r="DG107" s="620"/>
      <c r="DH107" s="117">
        <v>0</v>
      </c>
      <c r="DI107" s="116"/>
      <c r="DJ107" s="56"/>
      <c r="DK107" s="611"/>
      <c r="DL107" s="620"/>
      <c r="DM107" s="117">
        <v>0</v>
      </c>
      <c r="DN107" s="116"/>
      <c r="DO107" s="56"/>
      <c r="DP107" s="611"/>
      <c r="DQ107" s="620"/>
      <c r="DR107" s="117">
        <v>0</v>
      </c>
      <c r="DS107" s="116"/>
      <c r="DT107" s="56"/>
      <c r="DU107" s="611"/>
      <c r="DV107" s="620"/>
      <c r="DW107" s="117">
        <v>0</v>
      </c>
      <c r="DX107" s="116"/>
      <c r="DY107" s="56"/>
      <c r="DZ107" s="611"/>
      <c r="EA107" s="620"/>
      <c r="EB107" s="117">
        <v>0</v>
      </c>
      <c r="EC107" s="116"/>
      <c r="ED107" s="56"/>
      <c r="EE107" s="611"/>
      <c r="EF107" s="620"/>
      <c r="EG107" s="117">
        <v>0</v>
      </c>
      <c r="EH107" s="116"/>
      <c r="EI107" s="56"/>
      <c r="EJ107" s="611"/>
      <c r="EK107" s="620"/>
      <c r="EL107" s="117">
        <f t="shared" si="10"/>
        <v>0</v>
      </c>
      <c r="EM107" s="116"/>
      <c r="EN107" s="56"/>
      <c r="EO107" s="144"/>
      <c r="ER107" s="42"/>
      <c r="ES107" s="42"/>
    </row>
    <row r="108" spans="4:149" ht="12.75" customHeight="1" x14ac:dyDescent="0.3">
      <c r="D108" s="144"/>
      <c r="E108" s="611"/>
      <c r="G108" s="56"/>
      <c r="H108" s="56"/>
      <c r="I108" s="56"/>
      <c r="J108" s="611"/>
      <c r="K108" s="56"/>
      <c r="L108" s="56"/>
      <c r="M108" s="56"/>
      <c r="N108" s="56"/>
      <c r="O108" s="611"/>
      <c r="P108" s="56"/>
      <c r="Q108" s="56"/>
      <c r="R108" s="56"/>
      <c r="S108" s="56"/>
      <c r="T108" s="611"/>
      <c r="U108" s="56"/>
      <c r="V108" s="56"/>
      <c r="W108" s="56"/>
      <c r="X108" s="56"/>
      <c r="Y108" s="611"/>
      <c r="Z108" s="56"/>
      <c r="AA108" s="56"/>
      <c r="AB108" s="56"/>
      <c r="AC108" s="56"/>
      <c r="AD108" s="611"/>
      <c r="AE108" s="56"/>
      <c r="AF108" s="56"/>
      <c r="AG108" s="56"/>
      <c r="AH108" s="56"/>
      <c r="AI108" s="611"/>
      <c r="AJ108" s="56"/>
      <c r="AK108" s="56"/>
      <c r="AL108" s="56"/>
      <c r="AM108" s="56"/>
      <c r="AN108" s="611"/>
      <c r="AO108" s="56"/>
      <c r="AP108" s="56"/>
      <c r="AQ108" s="56"/>
      <c r="AR108" s="56"/>
      <c r="AS108" s="611"/>
      <c r="AT108" s="56"/>
      <c r="AU108" s="56"/>
      <c r="AV108" s="56"/>
      <c r="AW108" s="56"/>
      <c r="AX108" s="611"/>
      <c r="AY108" s="56"/>
      <c r="AZ108" s="56"/>
      <c r="BA108" s="56"/>
      <c r="BB108" s="56"/>
      <c r="BC108" s="611"/>
      <c r="BD108" s="56"/>
      <c r="BE108" s="56"/>
      <c r="BF108" s="56"/>
      <c r="BG108" s="56"/>
      <c r="BH108" s="611"/>
      <c r="BI108" s="56"/>
      <c r="BJ108" s="56"/>
      <c r="BK108" s="56"/>
      <c r="BL108" s="56"/>
      <c r="BM108" s="611"/>
      <c r="BN108" s="56"/>
      <c r="BO108" s="56"/>
      <c r="BP108" s="56"/>
      <c r="BQ108" s="56"/>
      <c r="BR108" s="611"/>
      <c r="BS108" s="56"/>
      <c r="BT108" s="56"/>
      <c r="BU108" s="56"/>
      <c r="BV108" s="56"/>
      <c r="BW108" s="611"/>
      <c r="BX108" s="56"/>
      <c r="BY108" s="56"/>
      <c r="BZ108" s="56"/>
      <c r="CA108" s="56"/>
      <c r="CB108" s="611"/>
      <c r="CC108" s="56"/>
      <c r="CD108" s="56"/>
      <c r="CE108" s="56"/>
      <c r="CF108" s="56"/>
      <c r="CG108" s="611"/>
      <c r="CH108" s="56"/>
      <c r="CI108" s="56"/>
      <c r="CJ108" s="56"/>
      <c r="CK108" s="56"/>
      <c r="CL108" s="611"/>
      <c r="CM108" s="56"/>
      <c r="CN108" s="56"/>
      <c r="CO108" s="56"/>
      <c r="CP108" s="56"/>
      <c r="CQ108" s="611"/>
      <c r="CR108" s="56"/>
      <c r="CS108" s="56"/>
      <c r="CT108" s="56"/>
      <c r="CU108" s="56"/>
      <c r="CV108" s="611"/>
      <c r="CW108" s="56"/>
      <c r="CX108" s="56"/>
      <c r="CY108" s="56"/>
      <c r="CZ108" s="56"/>
      <c r="DA108" s="611"/>
      <c r="DB108" s="56"/>
      <c r="DC108" s="56"/>
      <c r="DD108" s="56"/>
      <c r="DE108" s="56"/>
      <c r="DF108" s="611"/>
      <c r="DG108" s="56"/>
      <c r="DH108" s="56"/>
      <c r="DI108" s="56"/>
      <c r="DJ108" s="56"/>
      <c r="DK108" s="611"/>
      <c r="DL108" s="56"/>
      <c r="DM108" s="56"/>
      <c r="DN108" s="56"/>
      <c r="DO108" s="56"/>
      <c r="DP108" s="611"/>
      <c r="DQ108" s="56"/>
      <c r="DR108" s="56"/>
      <c r="DS108" s="56"/>
      <c r="DT108" s="56"/>
      <c r="DU108" s="611"/>
      <c r="DV108" s="56"/>
      <c r="DW108" s="56"/>
      <c r="DX108" s="56"/>
      <c r="DY108" s="56"/>
      <c r="DZ108" s="611"/>
      <c r="EA108" s="56"/>
      <c r="EB108" s="56"/>
      <c r="EC108" s="56"/>
      <c r="ED108" s="56"/>
      <c r="EE108" s="611"/>
      <c r="EF108" s="56"/>
      <c r="EG108" s="56"/>
      <c r="EH108" s="56"/>
      <c r="EI108" s="56"/>
      <c r="EJ108" s="611"/>
      <c r="EK108" s="56"/>
      <c r="EL108" s="56"/>
      <c r="EM108" s="56"/>
      <c r="EN108" s="56"/>
      <c r="EO108" s="144"/>
      <c r="ER108" s="42"/>
      <c r="ES108" s="42"/>
    </row>
    <row r="109" spans="4:149" ht="12.75" customHeight="1" x14ac:dyDescent="0.3">
      <c r="D109" s="144" t="s">
        <v>356</v>
      </c>
      <c r="E109" s="611"/>
      <c r="G109" s="56">
        <f>SUM(G110:G112)</f>
        <v>0</v>
      </c>
      <c r="H109" s="56"/>
      <c r="I109" s="56"/>
      <c r="J109" s="611"/>
      <c r="K109" s="56"/>
      <c r="L109" s="56">
        <f>SUM(L110:L112)</f>
        <v>3252265</v>
      </c>
      <c r="M109" s="56"/>
      <c r="N109" s="56"/>
      <c r="O109" s="611"/>
      <c r="P109" s="56"/>
      <c r="Q109" s="56">
        <f>SUM(Q110:Q112)</f>
        <v>5850000</v>
      </c>
      <c r="R109" s="56"/>
      <c r="S109" s="56"/>
      <c r="T109" s="611"/>
      <c r="U109" s="56"/>
      <c r="V109" s="56">
        <f>SUM(V110:V112)</f>
        <v>3908000</v>
      </c>
      <c r="W109" s="56"/>
      <c r="X109" s="56"/>
      <c r="Y109" s="611"/>
      <c r="Z109" s="56"/>
      <c r="AA109" s="56">
        <f>SUM(AA110:AA112)</f>
        <v>3249000</v>
      </c>
      <c r="AB109" s="56"/>
      <c r="AC109" s="56"/>
      <c r="AD109" s="611"/>
      <c r="AE109" s="56"/>
      <c r="AF109" s="56">
        <f>SUM(AF110:AF112)</f>
        <v>1949000</v>
      </c>
      <c r="AG109" s="56"/>
      <c r="AH109" s="56"/>
      <c r="AI109" s="611"/>
      <c r="AJ109" s="56"/>
      <c r="AK109" s="56">
        <f>SUM(AK110:AK112)</f>
        <v>2600000</v>
      </c>
      <c r="AL109" s="56"/>
      <c r="AM109" s="56"/>
      <c r="AN109" s="611"/>
      <c r="AO109" s="56"/>
      <c r="AP109" s="56">
        <f>SUM(AP110:AP112)</f>
        <v>2600000</v>
      </c>
      <c r="AQ109" s="56"/>
      <c r="AR109" s="56"/>
      <c r="AS109" s="611"/>
      <c r="AT109" s="56"/>
      <c r="AU109" s="56">
        <f>SUM(AU110:AU112)</f>
        <v>1945000</v>
      </c>
      <c r="AV109" s="56"/>
      <c r="AW109" s="56"/>
      <c r="AX109" s="611"/>
      <c r="AY109" s="56"/>
      <c r="AZ109" s="56">
        <f>SUM(AZ110:AZ112)</f>
        <v>3133000</v>
      </c>
      <c r="BA109" s="56"/>
      <c r="BB109" s="56"/>
      <c r="BC109" s="611"/>
      <c r="BD109" s="56"/>
      <c r="BE109" s="56">
        <f>SUM(BE110:BE112)</f>
        <v>5614000</v>
      </c>
      <c r="BF109" s="56"/>
      <c r="BG109" s="56"/>
      <c r="BH109" s="611"/>
      <c r="BI109" s="56"/>
      <c r="BJ109" s="56">
        <f>SUM(BJ110:BJ112)</f>
        <v>0</v>
      </c>
      <c r="BK109" s="56"/>
      <c r="BL109" s="56"/>
      <c r="BM109" s="611"/>
      <c r="BN109" s="56"/>
      <c r="BO109" s="56">
        <f>SUM(BO110:BO112)</f>
        <v>0</v>
      </c>
      <c r="BP109" s="56"/>
      <c r="BQ109" s="56"/>
      <c r="BR109" s="611"/>
      <c r="BS109" s="56"/>
      <c r="BT109" s="56">
        <f>SUM(BT110:BT112)</f>
        <v>34100265</v>
      </c>
      <c r="BU109" s="56"/>
      <c r="BV109" s="56"/>
      <c r="BW109" s="611"/>
      <c r="BX109" s="56"/>
      <c r="BY109" s="56">
        <f>SUM(BY110:BY112)</f>
        <v>36214000</v>
      </c>
      <c r="BZ109" s="56"/>
      <c r="CA109" s="56"/>
      <c r="CB109" s="611"/>
      <c r="CC109" s="56"/>
      <c r="CD109" s="56">
        <f>SUM(CD110:CD112)</f>
        <v>2395000</v>
      </c>
      <c r="CE109" s="56"/>
      <c r="CF109" s="56"/>
      <c r="CG109" s="611"/>
      <c r="CH109" s="56"/>
      <c r="CI109" s="56">
        <f>SUM(CI110:CI112)</f>
        <v>6087000</v>
      </c>
      <c r="CJ109" s="56"/>
      <c r="CK109" s="56"/>
      <c r="CL109" s="611"/>
      <c r="CM109" s="56"/>
      <c r="CN109" s="56">
        <f>SUM(CN110:CN112)</f>
        <v>3854000</v>
      </c>
      <c r="CO109" s="56"/>
      <c r="CP109" s="56"/>
      <c r="CQ109" s="611"/>
      <c r="CR109" s="56"/>
      <c r="CS109" s="56">
        <f>SUM(CS110:CS112)</f>
        <v>3901000</v>
      </c>
      <c r="CT109" s="56"/>
      <c r="CU109" s="56"/>
      <c r="CV109" s="611"/>
      <c r="CW109" s="56"/>
      <c r="CX109" s="56">
        <f>SUM(CX110:CX112)</f>
        <v>1948000</v>
      </c>
      <c r="CY109" s="56"/>
      <c r="CZ109" s="56"/>
      <c r="DA109" s="611"/>
      <c r="DB109" s="56"/>
      <c r="DC109" s="56">
        <f>SUM(DC110:DC112)</f>
        <v>1949000</v>
      </c>
      <c r="DD109" s="56"/>
      <c r="DE109" s="56"/>
      <c r="DF109" s="611"/>
      <c r="DG109" s="56"/>
      <c r="DH109" s="56">
        <f>SUM(DH110:DH112)</f>
        <v>5683000</v>
      </c>
      <c r="DI109" s="56"/>
      <c r="DJ109" s="56"/>
      <c r="DK109" s="611"/>
      <c r="DL109" s="56"/>
      <c r="DM109" s="56">
        <f>SUM(DM110:DM112)</f>
        <v>5846000</v>
      </c>
      <c r="DN109" s="56"/>
      <c r="DO109" s="56"/>
      <c r="DP109" s="611"/>
      <c r="DQ109" s="56"/>
      <c r="DR109" s="56">
        <f>SUM(DR110:DR112)</f>
        <v>0</v>
      </c>
      <c r="DS109" s="56"/>
      <c r="DT109" s="56"/>
      <c r="DU109" s="611"/>
      <c r="DV109" s="56"/>
      <c r="DW109" s="56">
        <f>SUM(DW110:DW112)</f>
        <v>1300000</v>
      </c>
      <c r="DX109" s="56"/>
      <c r="DY109" s="56"/>
      <c r="DZ109" s="611"/>
      <c r="EA109" s="56"/>
      <c r="EB109" s="56">
        <f>SUM(EB110:EB112)</f>
        <v>1951000</v>
      </c>
      <c r="EC109" s="56"/>
      <c r="ED109" s="56"/>
      <c r="EE109" s="611"/>
      <c r="EF109" s="56"/>
      <c r="EG109" s="56">
        <f>SUM(EG110:EG112)</f>
        <v>1300000</v>
      </c>
      <c r="EH109" s="56"/>
      <c r="EI109" s="56"/>
      <c r="EJ109" s="611"/>
      <c r="EK109" s="56"/>
      <c r="EL109" s="56">
        <f>SUM(EL110:EL112)</f>
        <v>32963000</v>
      </c>
      <c r="EM109" s="56"/>
      <c r="EN109" s="56"/>
      <c r="EO109" s="144"/>
      <c r="ER109" s="42"/>
      <c r="ES109" s="42"/>
    </row>
    <row r="110" spans="4:149" ht="12.75" customHeight="1" x14ac:dyDescent="0.3">
      <c r="D110" s="144" t="s">
        <v>335</v>
      </c>
      <c r="E110" s="611"/>
      <c r="F110" s="500"/>
      <c r="G110" s="609">
        <v>0</v>
      </c>
      <c r="H110" s="610"/>
      <c r="I110" s="56"/>
      <c r="J110" s="611"/>
      <c r="K110" s="612"/>
      <c r="L110" s="609">
        <f>3252265-341046</f>
        <v>2911219</v>
      </c>
      <c r="M110" s="610"/>
      <c r="N110" s="56"/>
      <c r="O110" s="611"/>
      <c r="P110" s="612"/>
      <c r="Q110" s="609">
        <f>5850000-749189</f>
        <v>5100811</v>
      </c>
      <c r="R110" s="610"/>
      <c r="S110" s="56"/>
      <c r="T110" s="611"/>
      <c r="U110" s="612"/>
      <c r="V110" s="609">
        <f>3908000-579851</f>
        <v>3328149</v>
      </c>
      <c r="W110" s="610"/>
      <c r="X110" s="56"/>
      <c r="Y110" s="611"/>
      <c r="Z110" s="612"/>
      <c r="AA110" s="609">
        <f>3249000-580069</f>
        <v>2668931</v>
      </c>
      <c r="AB110" s="610"/>
      <c r="AC110" s="56"/>
      <c r="AD110" s="611"/>
      <c r="AE110" s="612"/>
      <c r="AF110" s="609">
        <f>1949000-286383</f>
        <v>1662617</v>
      </c>
      <c r="AG110" s="610"/>
      <c r="AH110" s="56"/>
      <c r="AI110" s="611"/>
      <c r="AJ110" s="612"/>
      <c r="AK110" s="609">
        <f>2600000-360109</f>
        <v>2239891</v>
      </c>
      <c r="AL110" s="610"/>
      <c r="AM110" s="56"/>
      <c r="AN110" s="611"/>
      <c r="AO110" s="612"/>
      <c r="AP110" s="609">
        <f>2600000-460459</f>
        <v>2139541</v>
      </c>
      <c r="AQ110" s="610"/>
      <c r="AR110" s="56"/>
      <c r="AS110" s="611"/>
      <c r="AT110" s="612"/>
      <c r="AU110" s="609">
        <f>1945000-296711</f>
        <v>1648289</v>
      </c>
      <c r="AV110" s="610"/>
      <c r="AW110" s="56"/>
      <c r="AX110" s="611"/>
      <c r="AY110" s="612"/>
      <c r="AZ110" s="609">
        <f>3133000-503960</f>
        <v>2629040</v>
      </c>
      <c r="BA110" s="610"/>
      <c r="BB110" s="56"/>
      <c r="BC110" s="611"/>
      <c r="BD110" s="612"/>
      <c r="BE110" s="609">
        <f>5614000-775274</f>
        <v>4838726</v>
      </c>
      <c r="BF110" s="610"/>
      <c r="BG110" s="56"/>
      <c r="BH110" s="611"/>
      <c r="BI110" s="612"/>
      <c r="BJ110" s="609">
        <v>0</v>
      </c>
      <c r="BK110" s="610"/>
      <c r="BL110" s="56"/>
      <c r="BM110" s="611"/>
      <c r="BN110" s="612"/>
      <c r="BO110" s="609">
        <v>0</v>
      </c>
      <c r="BP110" s="610"/>
      <c r="BQ110" s="56"/>
      <c r="BR110" s="611"/>
      <c r="BS110" s="612"/>
      <c r="BT110" s="609">
        <f>SUM(L110:BO110)</f>
        <v>29167214</v>
      </c>
      <c r="BU110" s="610"/>
      <c r="BV110" s="56"/>
      <c r="BW110" s="611"/>
      <c r="BX110" s="612"/>
      <c r="BY110" s="609">
        <v>32279228</v>
      </c>
      <c r="BZ110" s="610"/>
      <c r="CA110" s="56"/>
      <c r="CB110" s="611"/>
      <c r="CC110" s="612"/>
      <c r="CD110" s="609">
        <f>2395000-355787</f>
        <v>2039213</v>
      </c>
      <c r="CE110" s="610"/>
      <c r="CF110" s="56"/>
      <c r="CG110" s="611"/>
      <c r="CH110" s="612"/>
      <c r="CI110" s="609">
        <f>6087000-722665</f>
        <v>5364335</v>
      </c>
      <c r="CJ110" s="610"/>
      <c r="CK110" s="56"/>
      <c r="CL110" s="611"/>
      <c r="CM110" s="612"/>
      <c r="CN110" s="609">
        <f>3854000-388279</f>
        <v>3465721</v>
      </c>
      <c r="CO110" s="610"/>
      <c r="CP110" s="56"/>
      <c r="CQ110" s="611"/>
      <c r="CR110" s="612"/>
      <c r="CS110" s="609">
        <f>3901000-413079</f>
        <v>3487921</v>
      </c>
      <c r="CT110" s="610"/>
      <c r="CU110" s="56"/>
      <c r="CV110" s="611"/>
      <c r="CW110" s="612"/>
      <c r="CX110" s="609">
        <f>1948000-173795</f>
        <v>1774205</v>
      </c>
      <c r="CY110" s="610"/>
      <c r="CZ110" s="56"/>
      <c r="DA110" s="611"/>
      <c r="DB110" s="612"/>
      <c r="DC110" s="609">
        <f>1949000-171112</f>
        <v>1777888</v>
      </c>
      <c r="DD110" s="610"/>
      <c r="DE110" s="56"/>
      <c r="DF110" s="611"/>
      <c r="DG110" s="612"/>
      <c r="DH110" s="609">
        <f>5683000-666819</f>
        <v>5016181</v>
      </c>
      <c r="DI110" s="610"/>
      <c r="DJ110" s="56"/>
      <c r="DK110" s="611"/>
      <c r="DL110" s="612"/>
      <c r="DM110" s="609">
        <f>5846000-635885</f>
        <v>5210115</v>
      </c>
      <c r="DN110" s="610"/>
      <c r="DO110" s="56"/>
      <c r="DP110" s="611"/>
      <c r="DQ110" s="612"/>
      <c r="DR110" s="609">
        <v>0</v>
      </c>
      <c r="DS110" s="610"/>
      <c r="DT110" s="56"/>
      <c r="DU110" s="611"/>
      <c r="DV110" s="612"/>
      <c r="DW110" s="609">
        <f>1300000-126196</f>
        <v>1173804</v>
      </c>
      <c r="DX110" s="610"/>
      <c r="DY110" s="56"/>
      <c r="DZ110" s="611"/>
      <c r="EA110" s="612"/>
      <c r="EB110" s="609">
        <f>1951000-155185</f>
        <v>1795815</v>
      </c>
      <c r="EC110" s="610"/>
      <c r="ED110" s="56"/>
      <c r="EE110" s="611"/>
      <c r="EF110" s="612"/>
      <c r="EG110" s="609">
        <f>1300000-125970</f>
        <v>1174030</v>
      </c>
      <c r="EH110" s="610"/>
      <c r="EI110" s="56"/>
      <c r="EJ110" s="611"/>
      <c r="EK110" s="612"/>
      <c r="EL110" s="609">
        <f t="shared" ref="EL110:EL112" si="11">SUM(CD110:DW110)</f>
        <v>29309383</v>
      </c>
      <c r="EM110" s="610"/>
      <c r="EN110" s="56"/>
      <c r="EO110" s="144"/>
      <c r="ER110" s="42"/>
      <c r="ES110" s="42"/>
    </row>
    <row r="111" spans="4:149" ht="12.75" customHeight="1" x14ac:dyDescent="0.3">
      <c r="D111" s="144" t="s">
        <v>338</v>
      </c>
      <c r="E111" s="611"/>
      <c r="F111" s="494"/>
      <c r="G111" s="56">
        <v>0</v>
      </c>
      <c r="H111" s="55"/>
      <c r="I111" s="56"/>
      <c r="J111" s="611"/>
      <c r="K111" s="611"/>
      <c r="L111" s="56">
        <v>341046</v>
      </c>
      <c r="M111" s="55"/>
      <c r="N111" s="56"/>
      <c r="O111" s="611"/>
      <c r="P111" s="611"/>
      <c r="Q111" s="56">
        <v>749189</v>
      </c>
      <c r="R111" s="55"/>
      <c r="S111" s="56"/>
      <c r="T111" s="611"/>
      <c r="U111" s="611"/>
      <c r="V111" s="56">
        <v>579851</v>
      </c>
      <c r="W111" s="55"/>
      <c r="X111" s="56"/>
      <c r="Y111" s="611"/>
      <c r="Z111" s="611"/>
      <c r="AA111" s="56">
        <v>580069</v>
      </c>
      <c r="AB111" s="55"/>
      <c r="AC111" s="56"/>
      <c r="AD111" s="611"/>
      <c r="AE111" s="611"/>
      <c r="AF111" s="56">
        <v>286383</v>
      </c>
      <c r="AG111" s="55"/>
      <c r="AH111" s="56"/>
      <c r="AI111" s="611"/>
      <c r="AJ111" s="611"/>
      <c r="AK111" s="56">
        <v>360109</v>
      </c>
      <c r="AL111" s="55"/>
      <c r="AM111" s="56"/>
      <c r="AN111" s="611"/>
      <c r="AO111" s="611"/>
      <c r="AP111" s="56">
        <v>460459</v>
      </c>
      <c r="AQ111" s="55"/>
      <c r="AR111" s="56"/>
      <c r="AS111" s="611"/>
      <c r="AT111" s="611"/>
      <c r="AU111" s="56">
        <v>296711</v>
      </c>
      <c r="AV111" s="55"/>
      <c r="AW111" s="56"/>
      <c r="AX111" s="611"/>
      <c r="AY111" s="611"/>
      <c r="AZ111" s="56">
        <v>503960</v>
      </c>
      <c r="BA111" s="55"/>
      <c r="BB111" s="56"/>
      <c r="BC111" s="611"/>
      <c r="BD111" s="611"/>
      <c r="BE111" s="56">
        <v>775274</v>
      </c>
      <c r="BF111" s="55"/>
      <c r="BG111" s="56"/>
      <c r="BH111" s="611"/>
      <c r="BI111" s="611"/>
      <c r="BJ111" s="56">
        <v>0</v>
      </c>
      <c r="BK111" s="55"/>
      <c r="BL111" s="56"/>
      <c r="BM111" s="611"/>
      <c r="BN111" s="611"/>
      <c r="BO111" s="56">
        <v>0</v>
      </c>
      <c r="BP111" s="55"/>
      <c r="BQ111" s="56"/>
      <c r="BR111" s="611"/>
      <c r="BS111" s="611"/>
      <c r="BT111" s="56">
        <f>SUM(L111:BO111)</f>
        <v>4933051</v>
      </c>
      <c r="BU111" s="55"/>
      <c r="BV111" s="56"/>
      <c r="BW111" s="611"/>
      <c r="BX111" s="611"/>
      <c r="BY111" s="56">
        <v>3934772</v>
      </c>
      <c r="BZ111" s="55"/>
      <c r="CA111" s="56"/>
      <c r="CB111" s="611"/>
      <c r="CC111" s="611"/>
      <c r="CD111" s="56">
        <v>355787</v>
      </c>
      <c r="CE111" s="55"/>
      <c r="CF111" s="56"/>
      <c r="CG111" s="611"/>
      <c r="CH111" s="611"/>
      <c r="CI111" s="56">
        <v>722665</v>
      </c>
      <c r="CJ111" s="55"/>
      <c r="CK111" s="56"/>
      <c r="CL111" s="611"/>
      <c r="CM111" s="611"/>
      <c r="CN111" s="56">
        <v>388279</v>
      </c>
      <c r="CO111" s="55"/>
      <c r="CP111" s="56"/>
      <c r="CQ111" s="611"/>
      <c r="CR111" s="611"/>
      <c r="CS111" s="56">
        <v>413079</v>
      </c>
      <c r="CT111" s="55"/>
      <c r="CU111" s="56"/>
      <c r="CV111" s="611"/>
      <c r="CW111" s="611"/>
      <c r="CX111" s="56">
        <v>173795</v>
      </c>
      <c r="CY111" s="55"/>
      <c r="CZ111" s="56"/>
      <c r="DA111" s="611"/>
      <c r="DB111" s="611"/>
      <c r="DC111" s="56">
        <v>171112</v>
      </c>
      <c r="DD111" s="55"/>
      <c r="DE111" s="56"/>
      <c r="DF111" s="611"/>
      <c r="DG111" s="611"/>
      <c r="DH111" s="56">
        <v>666819</v>
      </c>
      <c r="DI111" s="55"/>
      <c r="DJ111" s="56"/>
      <c r="DK111" s="611"/>
      <c r="DL111" s="611"/>
      <c r="DM111" s="56">
        <v>635885</v>
      </c>
      <c r="DN111" s="55"/>
      <c r="DO111" s="56"/>
      <c r="DP111" s="611"/>
      <c r="DQ111" s="611"/>
      <c r="DR111" s="56">
        <v>0</v>
      </c>
      <c r="DS111" s="55"/>
      <c r="DT111" s="56"/>
      <c r="DU111" s="611"/>
      <c r="DV111" s="611"/>
      <c r="DW111" s="56">
        <v>126196</v>
      </c>
      <c r="DX111" s="55"/>
      <c r="DY111" s="56"/>
      <c r="DZ111" s="611"/>
      <c r="EA111" s="611"/>
      <c r="EB111" s="56">
        <v>155185</v>
      </c>
      <c r="EC111" s="55"/>
      <c r="ED111" s="56"/>
      <c r="EE111" s="611"/>
      <c r="EF111" s="611"/>
      <c r="EG111" s="56">
        <v>125970</v>
      </c>
      <c r="EH111" s="55"/>
      <c r="EI111" s="56"/>
      <c r="EJ111" s="611"/>
      <c r="EK111" s="611"/>
      <c r="EL111" s="56">
        <f t="shared" si="11"/>
        <v>3653617</v>
      </c>
      <c r="EM111" s="55"/>
      <c r="EN111" s="56"/>
      <c r="EO111" s="144"/>
      <c r="ER111" s="42"/>
      <c r="ES111" s="42"/>
    </row>
    <row r="112" spans="4:149" ht="12.75" customHeight="1" x14ac:dyDescent="0.3">
      <c r="D112" s="144" t="s">
        <v>352</v>
      </c>
      <c r="E112" s="611"/>
      <c r="F112" s="513"/>
      <c r="G112" s="117">
        <v>0</v>
      </c>
      <c r="H112" s="116"/>
      <c r="I112" s="56"/>
      <c r="J112" s="611"/>
      <c r="K112" s="620"/>
      <c r="L112" s="117">
        <v>0</v>
      </c>
      <c r="M112" s="116"/>
      <c r="N112" s="56"/>
      <c r="O112" s="611"/>
      <c r="P112" s="620"/>
      <c r="Q112" s="117">
        <v>0</v>
      </c>
      <c r="R112" s="116"/>
      <c r="S112" s="56"/>
      <c r="T112" s="611"/>
      <c r="U112" s="620"/>
      <c r="V112" s="117">
        <v>0</v>
      </c>
      <c r="W112" s="116"/>
      <c r="X112" s="56"/>
      <c r="Y112" s="611"/>
      <c r="Z112" s="620"/>
      <c r="AA112" s="117">
        <v>0</v>
      </c>
      <c r="AB112" s="116"/>
      <c r="AC112" s="56"/>
      <c r="AD112" s="611"/>
      <c r="AE112" s="620"/>
      <c r="AF112" s="117">
        <v>0</v>
      </c>
      <c r="AG112" s="116"/>
      <c r="AH112" s="56"/>
      <c r="AI112" s="611"/>
      <c r="AJ112" s="620"/>
      <c r="AK112" s="117">
        <v>0</v>
      </c>
      <c r="AL112" s="116"/>
      <c r="AM112" s="56"/>
      <c r="AN112" s="611"/>
      <c r="AO112" s="620"/>
      <c r="AP112" s="117">
        <v>0</v>
      </c>
      <c r="AQ112" s="116"/>
      <c r="AR112" s="56"/>
      <c r="AS112" s="611"/>
      <c r="AT112" s="620"/>
      <c r="AU112" s="117">
        <v>0</v>
      </c>
      <c r="AV112" s="116"/>
      <c r="AW112" s="56"/>
      <c r="AX112" s="611"/>
      <c r="AY112" s="620"/>
      <c r="AZ112" s="117">
        <v>0</v>
      </c>
      <c r="BA112" s="116"/>
      <c r="BB112" s="56"/>
      <c r="BC112" s="611"/>
      <c r="BD112" s="620"/>
      <c r="BE112" s="117">
        <v>0</v>
      </c>
      <c r="BF112" s="116"/>
      <c r="BG112" s="56"/>
      <c r="BH112" s="611"/>
      <c r="BI112" s="620"/>
      <c r="BJ112" s="117">
        <v>0</v>
      </c>
      <c r="BK112" s="116"/>
      <c r="BL112" s="56"/>
      <c r="BM112" s="611"/>
      <c r="BN112" s="620"/>
      <c r="BO112" s="117">
        <v>0</v>
      </c>
      <c r="BP112" s="116"/>
      <c r="BQ112" s="56"/>
      <c r="BR112" s="611"/>
      <c r="BS112" s="620"/>
      <c r="BT112" s="117">
        <f>SUM(L112:BO112)</f>
        <v>0</v>
      </c>
      <c r="BU112" s="116"/>
      <c r="BV112" s="56"/>
      <c r="BW112" s="611"/>
      <c r="BX112" s="620"/>
      <c r="BY112" s="117">
        <v>0</v>
      </c>
      <c r="BZ112" s="116"/>
      <c r="CA112" s="56"/>
      <c r="CB112" s="611"/>
      <c r="CC112" s="620"/>
      <c r="CD112" s="117">
        <v>0</v>
      </c>
      <c r="CE112" s="116"/>
      <c r="CF112" s="56"/>
      <c r="CG112" s="611"/>
      <c r="CH112" s="620"/>
      <c r="CI112" s="117">
        <v>0</v>
      </c>
      <c r="CJ112" s="116"/>
      <c r="CK112" s="56"/>
      <c r="CL112" s="611"/>
      <c r="CM112" s="620"/>
      <c r="CN112" s="117">
        <v>0</v>
      </c>
      <c r="CO112" s="116"/>
      <c r="CP112" s="56"/>
      <c r="CQ112" s="611"/>
      <c r="CR112" s="620"/>
      <c r="CS112" s="117">
        <v>0</v>
      </c>
      <c r="CT112" s="116"/>
      <c r="CU112" s="56"/>
      <c r="CV112" s="611"/>
      <c r="CW112" s="620"/>
      <c r="CX112" s="117">
        <v>0</v>
      </c>
      <c r="CY112" s="116"/>
      <c r="CZ112" s="56"/>
      <c r="DA112" s="611"/>
      <c r="DB112" s="620"/>
      <c r="DC112" s="117">
        <v>0</v>
      </c>
      <c r="DD112" s="116"/>
      <c r="DE112" s="56"/>
      <c r="DF112" s="611"/>
      <c r="DG112" s="620"/>
      <c r="DH112" s="117">
        <v>0</v>
      </c>
      <c r="DI112" s="116"/>
      <c r="DJ112" s="56"/>
      <c r="DK112" s="611"/>
      <c r="DL112" s="620"/>
      <c r="DM112" s="117">
        <v>0</v>
      </c>
      <c r="DN112" s="116"/>
      <c r="DO112" s="56"/>
      <c r="DP112" s="611"/>
      <c r="DQ112" s="620"/>
      <c r="DR112" s="117">
        <v>0</v>
      </c>
      <c r="DS112" s="116"/>
      <c r="DT112" s="56"/>
      <c r="DU112" s="611"/>
      <c r="DV112" s="620"/>
      <c r="DW112" s="117">
        <v>0</v>
      </c>
      <c r="DX112" s="116"/>
      <c r="DY112" s="56"/>
      <c r="DZ112" s="611"/>
      <c r="EA112" s="620"/>
      <c r="EB112" s="117">
        <v>0</v>
      </c>
      <c r="EC112" s="116"/>
      <c r="ED112" s="56"/>
      <c r="EE112" s="611"/>
      <c r="EF112" s="620"/>
      <c r="EG112" s="117">
        <v>0</v>
      </c>
      <c r="EH112" s="116"/>
      <c r="EI112" s="56"/>
      <c r="EJ112" s="611"/>
      <c r="EK112" s="620"/>
      <c r="EL112" s="117">
        <f t="shared" si="11"/>
        <v>0</v>
      </c>
      <c r="EM112" s="116"/>
      <c r="EN112" s="56"/>
      <c r="EO112" s="144"/>
      <c r="ER112" s="42"/>
      <c r="ES112" s="42"/>
    </row>
    <row r="113" spans="4:149" ht="12.75" customHeight="1" x14ac:dyDescent="0.3">
      <c r="D113" s="144"/>
      <c r="E113" s="611"/>
      <c r="G113" s="56"/>
      <c r="H113" s="56"/>
      <c r="I113" s="56"/>
      <c r="J113" s="611"/>
      <c r="K113" s="56"/>
      <c r="L113" s="56"/>
      <c r="M113" s="56"/>
      <c r="N113" s="56"/>
      <c r="O113" s="611"/>
      <c r="P113" s="56"/>
      <c r="Q113" s="56"/>
      <c r="R113" s="56"/>
      <c r="S113" s="56"/>
      <c r="T113" s="611"/>
      <c r="U113" s="56"/>
      <c r="V113" s="56"/>
      <c r="W113" s="56"/>
      <c r="X113" s="56"/>
      <c r="Y113" s="611"/>
      <c r="Z113" s="56"/>
      <c r="AA113" s="56"/>
      <c r="AB113" s="56"/>
      <c r="AC113" s="56"/>
      <c r="AD113" s="611"/>
      <c r="AE113" s="56"/>
      <c r="AF113" s="56"/>
      <c r="AG113" s="56"/>
      <c r="AH113" s="56"/>
      <c r="AI113" s="611"/>
      <c r="AJ113" s="56"/>
      <c r="AK113" s="56"/>
      <c r="AL113" s="56"/>
      <c r="AM113" s="56"/>
      <c r="AN113" s="611"/>
      <c r="AO113" s="56"/>
      <c r="AP113" s="56"/>
      <c r="AQ113" s="56"/>
      <c r="AR113" s="56"/>
      <c r="AS113" s="611"/>
      <c r="AT113" s="56"/>
      <c r="AU113" s="56"/>
      <c r="AV113" s="56"/>
      <c r="AW113" s="56"/>
      <c r="AX113" s="611"/>
      <c r="AY113" s="56"/>
      <c r="AZ113" s="56"/>
      <c r="BA113" s="56"/>
      <c r="BB113" s="56"/>
      <c r="BC113" s="611"/>
      <c r="BD113" s="56"/>
      <c r="BE113" s="56"/>
      <c r="BF113" s="56"/>
      <c r="BG113" s="56"/>
      <c r="BH113" s="611"/>
      <c r="BI113" s="56"/>
      <c r="BJ113" s="56"/>
      <c r="BK113" s="56"/>
      <c r="BL113" s="56"/>
      <c r="BM113" s="611"/>
      <c r="BN113" s="56"/>
      <c r="BO113" s="56"/>
      <c r="BP113" s="56"/>
      <c r="BQ113" s="56"/>
      <c r="BR113" s="611"/>
      <c r="BS113" s="56"/>
      <c r="BT113" s="56"/>
      <c r="BU113" s="56"/>
      <c r="BV113" s="56"/>
      <c r="BW113" s="611"/>
      <c r="BX113" s="56"/>
      <c r="BY113" s="56"/>
      <c r="BZ113" s="56"/>
      <c r="CA113" s="56"/>
      <c r="CB113" s="611"/>
      <c r="CC113" s="56"/>
      <c r="CD113" s="56"/>
      <c r="CE113" s="56"/>
      <c r="CF113" s="56"/>
      <c r="CG113" s="611"/>
      <c r="CH113" s="56"/>
      <c r="CI113" s="56"/>
      <c r="CJ113" s="56"/>
      <c r="CK113" s="56"/>
      <c r="CL113" s="611"/>
      <c r="CM113" s="56"/>
      <c r="CN113" s="56"/>
      <c r="CO113" s="56"/>
      <c r="CP113" s="56"/>
      <c r="CQ113" s="611"/>
      <c r="CR113" s="56"/>
      <c r="CS113" s="56"/>
      <c r="CT113" s="56"/>
      <c r="CU113" s="56"/>
      <c r="CV113" s="611"/>
      <c r="CW113" s="56"/>
      <c r="CX113" s="56"/>
      <c r="CY113" s="56"/>
      <c r="CZ113" s="56"/>
      <c r="DA113" s="611"/>
      <c r="DB113" s="56"/>
      <c r="DC113" s="56"/>
      <c r="DD113" s="56"/>
      <c r="DE113" s="56"/>
      <c r="DF113" s="611"/>
      <c r="DG113" s="56"/>
      <c r="DH113" s="56"/>
      <c r="DI113" s="56"/>
      <c r="DJ113" s="56"/>
      <c r="DK113" s="611"/>
      <c r="DL113" s="56"/>
      <c r="DM113" s="56"/>
      <c r="DN113" s="56"/>
      <c r="DO113" s="56"/>
      <c r="DP113" s="611"/>
      <c r="DQ113" s="56"/>
      <c r="DR113" s="56"/>
      <c r="DS113" s="56"/>
      <c r="DT113" s="56"/>
      <c r="DU113" s="611"/>
      <c r="DV113" s="56"/>
      <c r="DW113" s="56"/>
      <c r="DX113" s="56"/>
      <c r="DY113" s="56"/>
      <c r="DZ113" s="611"/>
      <c r="EA113" s="56"/>
      <c r="EB113" s="56"/>
      <c r="EC113" s="56"/>
      <c r="ED113" s="56"/>
      <c r="EE113" s="611"/>
      <c r="EF113" s="56"/>
      <c r="EG113" s="56"/>
      <c r="EH113" s="56"/>
      <c r="EI113" s="56"/>
      <c r="EJ113" s="611"/>
      <c r="EK113" s="56"/>
      <c r="EL113" s="56"/>
      <c r="EM113" s="56"/>
      <c r="EN113" s="56"/>
      <c r="EO113" s="144"/>
      <c r="ER113" s="42"/>
      <c r="ES113" s="42"/>
    </row>
    <row r="114" spans="4:149" ht="12.75" hidden="1" customHeight="1" x14ac:dyDescent="0.3">
      <c r="D114" s="144" t="s">
        <v>357</v>
      </c>
      <c r="E114" s="611"/>
      <c r="G114" s="56">
        <f>SUM(G115:G117)</f>
        <v>0</v>
      </c>
      <c r="H114" s="56"/>
      <c r="I114" s="56"/>
      <c r="J114" s="611"/>
      <c r="K114" s="56"/>
      <c r="L114" s="56">
        <f>SUM(L115:L117)</f>
        <v>0</v>
      </c>
      <c r="M114" s="56"/>
      <c r="N114" s="56"/>
      <c r="O114" s="611"/>
      <c r="P114" s="56"/>
      <c r="Q114" s="56">
        <f>SUM(Q115:Q117)</f>
        <v>0</v>
      </c>
      <c r="R114" s="56"/>
      <c r="S114" s="56"/>
      <c r="T114" s="611"/>
      <c r="U114" s="56"/>
      <c r="V114" s="56">
        <f>SUM(V115:V117)</f>
        <v>0</v>
      </c>
      <c r="W114" s="56"/>
      <c r="X114" s="56"/>
      <c r="Y114" s="611"/>
      <c r="Z114" s="56"/>
      <c r="AA114" s="56">
        <f>SUM(AA115:AA117)</f>
        <v>0</v>
      </c>
      <c r="AB114" s="56"/>
      <c r="AC114" s="56"/>
      <c r="AD114" s="611"/>
      <c r="AE114" s="56"/>
      <c r="AF114" s="56">
        <f>SUM(AF115:AF117)</f>
        <v>0</v>
      </c>
      <c r="AG114" s="56"/>
      <c r="AH114" s="56"/>
      <c r="AI114" s="611"/>
      <c r="AJ114" s="56"/>
      <c r="AK114" s="56">
        <f>SUM(AK115:AK117)</f>
        <v>0</v>
      </c>
      <c r="AL114" s="56"/>
      <c r="AM114" s="56"/>
      <c r="AN114" s="611"/>
      <c r="AO114" s="56"/>
      <c r="AP114" s="56">
        <f>SUM(AP115:AP117)</f>
        <v>0</v>
      </c>
      <c r="AQ114" s="56"/>
      <c r="AR114" s="56"/>
      <c r="AS114" s="611"/>
      <c r="AT114" s="56"/>
      <c r="AU114" s="56">
        <f>SUM(AU115:AU117)</f>
        <v>0</v>
      </c>
      <c r="AV114" s="56"/>
      <c r="AW114" s="56"/>
      <c r="AX114" s="611"/>
      <c r="AY114" s="56"/>
      <c r="AZ114" s="56">
        <f>SUM(AZ115:AZ117)</f>
        <v>0</v>
      </c>
      <c r="BA114" s="56"/>
      <c r="BB114" s="56"/>
      <c r="BC114" s="611"/>
      <c r="BD114" s="56"/>
      <c r="BE114" s="56">
        <f>SUM(BE115:BE117)</f>
        <v>0</v>
      </c>
      <c r="BF114" s="56"/>
      <c r="BG114" s="56"/>
      <c r="BH114" s="611"/>
      <c r="BI114" s="56"/>
      <c r="BJ114" s="56">
        <f>SUM(BJ115:BJ117)</f>
        <v>0</v>
      </c>
      <c r="BK114" s="56"/>
      <c r="BL114" s="56"/>
      <c r="BM114" s="611"/>
      <c r="BN114" s="56"/>
      <c r="BO114" s="56">
        <f>SUM(BO115:BO117)</f>
        <v>0</v>
      </c>
      <c r="BP114" s="56"/>
      <c r="BQ114" s="56"/>
      <c r="BR114" s="611"/>
      <c r="BS114" s="56"/>
      <c r="BT114" s="56">
        <f>SUM(BT115:BT117)</f>
        <v>0</v>
      </c>
      <c r="BU114" s="56"/>
      <c r="BV114" s="56"/>
      <c r="BW114" s="611"/>
      <c r="BX114" s="56"/>
      <c r="BY114" s="56">
        <f>SUM(BY115:BY117)</f>
        <v>0</v>
      </c>
      <c r="BZ114" s="56"/>
      <c r="CA114" s="56"/>
      <c r="CB114" s="611"/>
      <c r="CC114" s="56"/>
      <c r="CD114" s="56">
        <f>SUM(CD115:CD117)</f>
        <v>0</v>
      </c>
      <c r="CE114" s="56"/>
      <c r="CF114" s="56"/>
      <c r="CG114" s="611"/>
      <c r="CH114" s="56"/>
      <c r="CI114" s="56">
        <f>SUM(CI115:CI117)</f>
        <v>0</v>
      </c>
      <c r="CJ114" s="56"/>
      <c r="CK114" s="56"/>
      <c r="CL114" s="611"/>
      <c r="CM114" s="56"/>
      <c r="CN114" s="56">
        <f>SUM(CN115:CN117)</f>
        <v>0</v>
      </c>
      <c r="CO114" s="56"/>
      <c r="CP114" s="56"/>
      <c r="CQ114" s="611"/>
      <c r="CR114" s="56"/>
      <c r="CS114" s="56">
        <f>SUM(CS115:CS117)</f>
        <v>0</v>
      </c>
      <c r="CT114" s="56"/>
      <c r="CU114" s="56"/>
      <c r="CV114" s="611"/>
      <c r="CW114" s="56"/>
      <c r="CX114" s="56">
        <f>SUM(CX115:CX117)</f>
        <v>0</v>
      </c>
      <c r="CY114" s="56"/>
      <c r="CZ114" s="56"/>
      <c r="DA114" s="611"/>
      <c r="DB114" s="56"/>
      <c r="DC114" s="56">
        <f>SUM(DC115:DC117)</f>
        <v>0</v>
      </c>
      <c r="DD114" s="56"/>
      <c r="DE114" s="56"/>
      <c r="DF114" s="611"/>
      <c r="DG114" s="56"/>
      <c r="DH114" s="56">
        <f>SUM(DH115:DH117)</f>
        <v>0</v>
      </c>
      <c r="DI114" s="56"/>
      <c r="DJ114" s="56"/>
      <c r="DK114" s="611"/>
      <c r="DL114" s="56"/>
      <c r="DM114" s="56">
        <f>SUM(DM115:DM117)</f>
        <v>0</v>
      </c>
      <c r="DN114" s="56"/>
      <c r="DO114" s="56"/>
      <c r="DP114" s="611"/>
      <c r="DQ114" s="56"/>
      <c r="DR114" s="56">
        <f>SUM(DR115:DR117)</f>
        <v>0</v>
      </c>
      <c r="DS114" s="56"/>
      <c r="DT114" s="56"/>
      <c r="DU114" s="611"/>
      <c r="DV114" s="56"/>
      <c r="DW114" s="56">
        <f>SUM(DW115:DW117)</f>
        <v>0</v>
      </c>
      <c r="DX114" s="56"/>
      <c r="DY114" s="56"/>
      <c r="DZ114" s="611"/>
      <c r="EA114" s="56"/>
      <c r="EB114" s="56">
        <f>SUM(EB115:EB117)</f>
        <v>0</v>
      </c>
      <c r="EC114" s="56"/>
      <c r="ED114" s="56"/>
      <c r="EE114" s="611"/>
      <c r="EF114" s="56"/>
      <c r="EG114" s="56">
        <f>SUM(EG115:EG117)</f>
        <v>0</v>
      </c>
      <c r="EH114" s="56"/>
      <c r="EI114" s="56"/>
      <c r="EJ114" s="611"/>
      <c r="EK114" s="56"/>
      <c r="EL114" s="56">
        <f>SUM(EL115:EL117)</f>
        <v>0</v>
      </c>
      <c r="EM114" s="56"/>
      <c r="EN114" s="56"/>
      <c r="EO114" s="144"/>
      <c r="ER114" s="42"/>
      <c r="ES114" s="42"/>
    </row>
    <row r="115" spans="4:149" ht="12.75" hidden="1" customHeight="1" x14ac:dyDescent="0.3">
      <c r="D115" s="144" t="s">
        <v>335</v>
      </c>
      <c r="E115" s="611"/>
      <c r="F115" s="500"/>
      <c r="G115" s="609">
        <v>0</v>
      </c>
      <c r="H115" s="610"/>
      <c r="I115" s="56"/>
      <c r="J115" s="611"/>
      <c r="K115" s="612"/>
      <c r="L115" s="609">
        <v>0</v>
      </c>
      <c r="M115" s="610"/>
      <c r="N115" s="56"/>
      <c r="O115" s="611"/>
      <c r="P115" s="612"/>
      <c r="Q115" s="609">
        <v>0</v>
      </c>
      <c r="R115" s="610"/>
      <c r="S115" s="56"/>
      <c r="T115" s="611"/>
      <c r="U115" s="612"/>
      <c r="V115" s="609">
        <v>0</v>
      </c>
      <c r="W115" s="610"/>
      <c r="X115" s="56"/>
      <c r="Y115" s="611"/>
      <c r="Z115" s="612"/>
      <c r="AA115" s="609">
        <v>0</v>
      </c>
      <c r="AB115" s="610"/>
      <c r="AC115" s="56"/>
      <c r="AD115" s="611"/>
      <c r="AE115" s="612"/>
      <c r="AF115" s="609">
        <v>0</v>
      </c>
      <c r="AG115" s="610"/>
      <c r="AH115" s="56"/>
      <c r="AI115" s="611"/>
      <c r="AJ115" s="612"/>
      <c r="AK115" s="609">
        <v>0</v>
      </c>
      <c r="AL115" s="610"/>
      <c r="AM115" s="56"/>
      <c r="AN115" s="611"/>
      <c r="AO115" s="612"/>
      <c r="AP115" s="609">
        <v>0</v>
      </c>
      <c r="AQ115" s="610"/>
      <c r="AR115" s="56"/>
      <c r="AS115" s="611"/>
      <c r="AT115" s="612"/>
      <c r="AU115" s="609">
        <v>0</v>
      </c>
      <c r="AV115" s="610"/>
      <c r="AW115" s="56"/>
      <c r="AX115" s="611"/>
      <c r="AY115" s="612"/>
      <c r="AZ115" s="609">
        <v>0</v>
      </c>
      <c r="BA115" s="610"/>
      <c r="BB115" s="56"/>
      <c r="BC115" s="611"/>
      <c r="BD115" s="612"/>
      <c r="BE115" s="609">
        <v>0</v>
      </c>
      <c r="BF115" s="610"/>
      <c r="BG115" s="56"/>
      <c r="BH115" s="611"/>
      <c r="BI115" s="612"/>
      <c r="BJ115" s="609">
        <v>0</v>
      </c>
      <c r="BK115" s="610"/>
      <c r="BL115" s="56"/>
      <c r="BM115" s="611"/>
      <c r="BN115" s="612"/>
      <c r="BO115" s="609">
        <v>0</v>
      </c>
      <c r="BP115" s="610"/>
      <c r="BQ115" s="56"/>
      <c r="BR115" s="611"/>
      <c r="BS115" s="612"/>
      <c r="BT115" s="609">
        <f>SUM(L115:BO115)</f>
        <v>0</v>
      </c>
      <c r="BU115" s="610"/>
      <c r="BV115" s="56"/>
      <c r="BW115" s="611"/>
      <c r="BX115" s="612"/>
      <c r="BY115" s="609">
        <v>0</v>
      </c>
      <c r="BZ115" s="610"/>
      <c r="CA115" s="56"/>
      <c r="CB115" s="611"/>
      <c r="CC115" s="612"/>
      <c r="CD115" s="609">
        <v>0</v>
      </c>
      <c r="CE115" s="610"/>
      <c r="CF115" s="56"/>
      <c r="CG115" s="611"/>
      <c r="CH115" s="612"/>
      <c r="CI115" s="609">
        <v>0</v>
      </c>
      <c r="CJ115" s="610"/>
      <c r="CK115" s="56"/>
      <c r="CL115" s="611"/>
      <c r="CM115" s="612"/>
      <c r="CN115" s="609">
        <v>0</v>
      </c>
      <c r="CO115" s="610"/>
      <c r="CP115" s="56"/>
      <c r="CQ115" s="611"/>
      <c r="CR115" s="612"/>
      <c r="CS115" s="609">
        <v>0</v>
      </c>
      <c r="CT115" s="610"/>
      <c r="CU115" s="56"/>
      <c r="CV115" s="611"/>
      <c r="CW115" s="612"/>
      <c r="CX115" s="609">
        <v>0</v>
      </c>
      <c r="CY115" s="610"/>
      <c r="CZ115" s="56"/>
      <c r="DA115" s="611"/>
      <c r="DB115" s="612"/>
      <c r="DC115" s="609">
        <v>0</v>
      </c>
      <c r="DD115" s="610"/>
      <c r="DE115" s="56"/>
      <c r="DF115" s="611"/>
      <c r="DG115" s="612"/>
      <c r="DH115" s="609">
        <v>0</v>
      </c>
      <c r="DI115" s="610"/>
      <c r="DJ115" s="56"/>
      <c r="DK115" s="611"/>
      <c r="DL115" s="612"/>
      <c r="DM115" s="609">
        <v>0</v>
      </c>
      <c r="DN115" s="610"/>
      <c r="DO115" s="56"/>
      <c r="DP115" s="611"/>
      <c r="DQ115" s="612"/>
      <c r="DR115" s="609">
        <v>0</v>
      </c>
      <c r="DS115" s="610"/>
      <c r="DT115" s="56"/>
      <c r="DU115" s="611"/>
      <c r="DV115" s="612"/>
      <c r="DW115" s="609">
        <v>0</v>
      </c>
      <c r="DX115" s="610"/>
      <c r="DY115" s="56"/>
      <c r="DZ115" s="611"/>
      <c r="EA115" s="612"/>
      <c r="EB115" s="609">
        <v>0</v>
      </c>
      <c r="EC115" s="610"/>
      <c r="ED115" s="56"/>
      <c r="EE115" s="611"/>
      <c r="EF115" s="612"/>
      <c r="EG115" s="609">
        <v>0</v>
      </c>
      <c r="EH115" s="610"/>
      <c r="EI115" s="56"/>
      <c r="EJ115" s="611"/>
      <c r="EK115" s="612"/>
      <c r="EL115" s="609">
        <f>SUM(CD115:CD115)</f>
        <v>0</v>
      </c>
      <c r="EM115" s="610"/>
      <c r="EN115" s="56"/>
      <c r="EO115" s="144"/>
      <c r="ER115" s="42"/>
      <c r="ES115" s="42"/>
    </row>
    <row r="116" spans="4:149" ht="12.75" hidden="1" customHeight="1" x14ac:dyDescent="0.3">
      <c r="D116" s="144" t="s">
        <v>338</v>
      </c>
      <c r="E116" s="611"/>
      <c r="F116" s="494"/>
      <c r="G116" s="56">
        <v>0</v>
      </c>
      <c r="H116" s="55"/>
      <c r="I116" s="56"/>
      <c r="J116" s="611"/>
      <c r="K116" s="611"/>
      <c r="L116" s="56">
        <v>0</v>
      </c>
      <c r="M116" s="55"/>
      <c r="N116" s="56"/>
      <c r="O116" s="611"/>
      <c r="P116" s="611"/>
      <c r="Q116" s="56">
        <v>0</v>
      </c>
      <c r="R116" s="55"/>
      <c r="S116" s="56"/>
      <c r="T116" s="611"/>
      <c r="U116" s="611"/>
      <c r="V116" s="56">
        <v>0</v>
      </c>
      <c r="W116" s="55"/>
      <c r="X116" s="56"/>
      <c r="Y116" s="611"/>
      <c r="Z116" s="611"/>
      <c r="AA116" s="56">
        <v>0</v>
      </c>
      <c r="AB116" s="55"/>
      <c r="AC116" s="56"/>
      <c r="AD116" s="611"/>
      <c r="AE116" s="611"/>
      <c r="AF116" s="56">
        <v>0</v>
      </c>
      <c r="AG116" s="55"/>
      <c r="AH116" s="56"/>
      <c r="AI116" s="611"/>
      <c r="AJ116" s="611"/>
      <c r="AK116" s="56">
        <v>0</v>
      </c>
      <c r="AL116" s="55"/>
      <c r="AM116" s="56"/>
      <c r="AN116" s="611"/>
      <c r="AO116" s="611"/>
      <c r="AP116" s="56">
        <v>0</v>
      </c>
      <c r="AQ116" s="55"/>
      <c r="AR116" s="56"/>
      <c r="AS116" s="611"/>
      <c r="AT116" s="611"/>
      <c r="AU116" s="56">
        <v>0</v>
      </c>
      <c r="AV116" s="55"/>
      <c r="AW116" s="56"/>
      <c r="AX116" s="611"/>
      <c r="AY116" s="611"/>
      <c r="AZ116" s="56">
        <v>0</v>
      </c>
      <c r="BA116" s="55"/>
      <c r="BB116" s="56"/>
      <c r="BC116" s="611"/>
      <c r="BD116" s="611"/>
      <c r="BE116" s="56">
        <v>0</v>
      </c>
      <c r="BF116" s="55"/>
      <c r="BG116" s="56"/>
      <c r="BH116" s="611"/>
      <c r="BI116" s="611"/>
      <c r="BJ116" s="56">
        <v>0</v>
      </c>
      <c r="BK116" s="55"/>
      <c r="BL116" s="56"/>
      <c r="BM116" s="611"/>
      <c r="BN116" s="611"/>
      <c r="BO116" s="56">
        <v>0</v>
      </c>
      <c r="BP116" s="55"/>
      <c r="BQ116" s="56"/>
      <c r="BR116" s="611"/>
      <c r="BS116" s="611"/>
      <c r="BT116" s="56">
        <f>SUM(L116:BO116)</f>
        <v>0</v>
      </c>
      <c r="BU116" s="55"/>
      <c r="BV116" s="56"/>
      <c r="BW116" s="611"/>
      <c r="BX116" s="611"/>
      <c r="BY116" s="56">
        <v>0</v>
      </c>
      <c r="BZ116" s="55"/>
      <c r="CA116" s="56"/>
      <c r="CB116" s="611"/>
      <c r="CC116" s="611"/>
      <c r="CD116" s="56">
        <v>0</v>
      </c>
      <c r="CE116" s="55"/>
      <c r="CF116" s="56"/>
      <c r="CG116" s="611"/>
      <c r="CH116" s="611"/>
      <c r="CI116" s="56">
        <v>0</v>
      </c>
      <c r="CJ116" s="55"/>
      <c r="CK116" s="56"/>
      <c r="CL116" s="611"/>
      <c r="CM116" s="611"/>
      <c r="CN116" s="56">
        <v>0</v>
      </c>
      <c r="CO116" s="55"/>
      <c r="CP116" s="56"/>
      <c r="CQ116" s="611"/>
      <c r="CR116" s="611"/>
      <c r="CS116" s="56">
        <v>0</v>
      </c>
      <c r="CT116" s="55"/>
      <c r="CU116" s="56"/>
      <c r="CV116" s="611"/>
      <c r="CW116" s="611"/>
      <c r="CX116" s="56">
        <v>0</v>
      </c>
      <c r="CY116" s="55"/>
      <c r="CZ116" s="56"/>
      <c r="DA116" s="611"/>
      <c r="DB116" s="611"/>
      <c r="DC116" s="56">
        <v>0</v>
      </c>
      <c r="DD116" s="55"/>
      <c r="DE116" s="56"/>
      <c r="DF116" s="611"/>
      <c r="DG116" s="611"/>
      <c r="DH116" s="56">
        <v>0</v>
      </c>
      <c r="DI116" s="55"/>
      <c r="DJ116" s="56"/>
      <c r="DK116" s="611"/>
      <c r="DL116" s="611"/>
      <c r="DM116" s="56">
        <v>0</v>
      </c>
      <c r="DN116" s="55"/>
      <c r="DO116" s="56"/>
      <c r="DP116" s="611"/>
      <c r="DQ116" s="611"/>
      <c r="DR116" s="56">
        <v>0</v>
      </c>
      <c r="DS116" s="55"/>
      <c r="DT116" s="56"/>
      <c r="DU116" s="611"/>
      <c r="DV116" s="611"/>
      <c r="DW116" s="56">
        <v>0</v>
      </c>
      <c r="DX116" s="55"/>
      <c r="DY116" s="56"/>
      <c r="DZ116" s="611"/>
      <c r="EA116" s="611"/>
      <c r="EB116" s="56">
        <v>0</v>
      </c>
      <c r="EC116" s="55"/>
      <c r="ED116" s="56"/>
      <c r="EE116" s="611"/>
      <c r="EF116" s="611"/>
      <c r="EG116" s="56">
        <v>0</v>
      </c>
      <c r="EH116" s="55"/>
      <c r="EI116" s="56"/>
      <c r="EJ116" s="611"/>
      <c r="EK116" s="611"/>
      <c r="EL116" s="56">
        <f>SUM(CD116:CD116)</f>
        <v>0</v>
      </c>
      <c r="EM116" s="55"/>
      <c r="EN116" s="56"/>
      <c r="EO116" s="144"/>
      <c r="ER116" s="42"/>
      <c r="ES116" s="42"/>
    </row>
    <row r="117" spans="4:149" ht="12.75" hidden="1" customHeight="1" x14ac:dyDescent="0.3">
      <c r="D117" s="144" t="s">
        <v>352</v>
      </c>
      <c r="E117" s="611"/>
      <c r="F117" s="513"/>
      <c r="G117" s="117">
        <v>0</v>
      </c>
      <c r="H117" s="116"/>
      <c r="I117" s="56"/>
      <c r="J117" s="611"/>
      <c r="K117" s="620"/>
      <c r="L117" s="117">
        <v>0</v>
      </c>
      <c r="M117" s="116"/>
      <c r="N117" s="56"/>
      <c r="O117" s="611"/>
      <c r="P117" s="620"/>
      <c r="Q117" s="117">
        <v>0</v>
      </c>
      <c r="R117" s="116"/>
      <c r="S117" s="56"/>
      <c r="T117" s="611"/>
      <c r="U117" s="620"/>
      <c r="V117" s="117">
        <v>0</v>
      </c>
      <c r="W117" s="116"/>
      <c r="X117" s="56"/>
      <c r="Y117" s="611"/>
      <c r="Z117" s="620"/>
      <c r="AA117" s="117">
        <v>0</v>
      </c>
      <c r="AB117" s="116"/>
      <c r="AC117" s="56"/>
      <c r="AD117" s="611"/>
      <c r="AE117" s="620"/>
      <c r="AF117" s="117">
        <v>0</v>
      </c>
      <c r="AG117" s="116"/>
      <c r="AH117" s="56"/>
      <c r="AI117" s="611"/>
      <c r="AJ117" s="620"/>
      <c r="AK117" s="117">
        <v>0</v>
      </c>
      <c r="AL117" s="116"/>
      <c r="AM117" s="56"/>
      <c r="AN117" s="611"/>
      <c r="AO117" s="620"/>
      <c r="AP117" s="117">
        <v>0</v>
      </c>
      <c r="AQ117" s="116"/>
      <c r="AR117" s="56"/>
      <c r="AS117" s="611"/>
      <c r="AT117" s="620"/>
      <c r="AU117" s="117">
        <v>0</v>
      </c>
      <c r="AV117" s="116"/>
      <c r="AW117" s="56"/>
      <c r="AX117" s="611"/>
      <c r="AY117" s="620"/>
      <c r="AZ117" s="117">
        <v>0</v>
      </c>
      <c r="BA117" s="116"/>
      <c r="BB117" s="56"/>
      <c r="BC117" s="611"/>
      <c r="BD117" s="620"/>
      <c r="BE117" s="117">
        <v>0</v>
      </c>
      <c r="BF117" s="116"/>
      <c r="BG117" s="56"/>
      <c r="BH117" s="611"/>
      <c r="BI117" s="620"/>
      <c r="BJ117" s="117">
        <v>0</v>
      </c>
      <c r="BK117" s="116"/>
      <c r="BL117" s="56"/>
      <c r="BM117" s="611"/>
      <c r="BN117" s="620"/>
      <c r="BO117" s="117">
        <v>0</v>
      </c>
      <c r="BP117" s="116"/>
      <c r="BQ117" s="56"/>
      <c r="BR117" s="611"/>
      <c r="BS117" s="620"/>
      <c r="BT117" s="117">
        <f>SUM(L117:BO117)</f>
        <v>0</v>
      </c>
      <c r="BU117" s="116"/>
      <c r="BV117" s="56"/>
      <c r="BW117" s="611"/>
      <c r="BX117" s="620"/>
      <c r="BY117" s="117">
        <v>0</v>
      </c>
      <c r="BZ117" s="116"/>
      <c r="CA117" s="56"/>
      <c r="CB117" s="611"/>
      <c r="CC117" s="620"/>
      <c r="CD117" s="117">
        <v>0</v>
      </c>
      <c r="CE117" s="116"/>
      <c r="CF117" s="56"/>
      <c r="CG117" s="611"/>
      <c r="CH117" s="620"/>
      <c r="CI117" s="117">
        <v>0</v>
      </c>
      <c r="CJ117" s="116"/>
      <c r="CK117" s="56"/>
      <c r="CL117" s="611"/>
      <c r="CM117" s="620"/>
      <c r="CN117" s="117">
        <v>0</v>
      </c>
      <c r="CO117" s="116"/>
      <c r="CP117" s="56"/>
      <c r="CQ117" s="611"/>
      <c r="CR117" s="620"/>
      <c r="CS117" s="117">
        <v>0</v>
      </c>
      <c r="CT117" s="116"/>
      <c r="CU117" s="56"/>
      <c r="CV117" s="611"/>
      <c r="CW117" s="620"/>
      <c r="CX117" s="117">
        <v>0</v>
      </c>
      <c r="CY117" s="116"/>
      <c r="CZ117" s="56"/>
      <c r="DA117" s="611"/>
      <c r="DB117" s="620"/>
      <c r="DC117" s="117">
        <v>0</v>
      </c>
      <c r="DD117" s="116"/>
      <c r="DE117" s="56"/>
      <c r="DF117" s="611"/>
      <c r="DG117" s="620"/>
      <c r="DH117" s="117">
        <v>0</v>
      </c>
      <c r="DI117" s="116"/>
      <c r="DJ117" s="56"/>
      <c r="DK117" s="611"/>
      <c r="DL117" s="620"/>
      <c r="DM117" s="117">
        <v>0</v>
      </c>
      <c r="DN117" s="116"/>
      <c r="DO117" s="56"/>
      <c r="DP117" s="611"/>
      <c r="DQ117" s="620"/>
      <c r="DR117" s="117">
        <v>0</v>
      </c>
      <c r="DS117" s="116"/>
      <c r="DT117" s="56"/>
      <c r="DU117" s="611"/>
      <c r="DV117" s="620"/>
      <c r="DW117" s="117">
        <v>0</v>
      </c>
      <c r="DX117" s="116"/>
      <c r="DY117" s="56"/>
      <c r="DZ117" s="611"/>
      <c r="EA117" s="620"/>
      <c r="EB117" s="117">
        <v>0</v>
      </c>
      <c r="EC117" s="116"/>
      <c r="ED117" s="56"/>
      <c r="EE117" s="611"/>
      <c r="EF117" s="620"/>
      <c r="EG117" s="117">
        <v>0</v>
      </c>
      <c r="EH117" s="116"/>
      <c r="EI117" s="56"/>
      <c r="EJ117" s="611"/>
      <c r="EK117" s="620"/>
      <c r="EL117" s="117">
        <f>SUM(CD117:CD117)</f>
        <v>0</v>
      </c>
      <c r="EM117" s="116"/>
      <c r="EN117" s="56"/>
      <c r="EO117" s="144"/>
      <c r="ER117" s="42"/>
      <c r="ES117" s="42"/>
    </row>
    <row r="118" spans="4:149" ht="12.75" hidden="1" customHeight="1" x14ac:dyDescent="0.3">
      <c r="D118" s="144"/>
      <c r="E118" s="611"/>
      <c r="G118" s="56"/>
      <c r="H118" s="56"/>
      <c r="I118" s="56"/>
      <c r="J118" s="611"/>
      <c r="K118" s="56"/>
      <c r="L118" s="56"/>
      <c r="M118" s="56"/>
      <c r="N118" s="56"/>
      <c r="O118" s="611"/>
      <c r="P118" s="56"/>
      <c r="Q118" s="56"/>
      <c r="R118" s="56"/>
      <c r="S118" s="56"/>
      <c r="T118" s="611"/>
      <c r="U118" s="56"/>
      <c r="V118" s="56"/>
      <c r="W118" s="56"/>
      <c r="X118" s="56"/>
      <c r="Y118" s="611"/>
      <c r="Z118" s="56"/>
      <c r="AA118" s="56"/>
      <c r="AB118" s="56"/>
      <c r="AC118" s="56"/>
      <c r="AD118" s="611"/>
      <c r="AE118" s="56"/>
      <c r="AF118" s="56"/>
      <c r="AG118" s="56"/>
      <c r="AH118" s="56"/>
      <c r="AI118" s="611"/>
      <c r="AJ118" s="56"/>
      <c r="AK118" s="56"/>
      <c r="AL118" s="56"/>
      <c r="AM118" s="56"/>
      <c r="AN118" s="611"/>
      <c r="AO118" s="56"/>
      <c r="AP118" s="56"/>
      <c r="AQ118" s="56"/>
      <c r="AR118" s="56"/>
      <c r="AS118" s="611"/>
      <c r="AT118" s="56"/>
      <c r="AU118" s="56"/>
      <c r="AV118" s="56"/>
      <c r="AW118" s="56"/>
      <c r="AX118" s="611"/>
      <c r="AY118" s="56"/>
      <c r="AZ118" s="56"/>
      <c r="BA118" s="56"/>
      <c r="BB118" s="56"/>
      <c r="BC118" s="611"/>
      <c r="BD118" s="56"/>
      <c r="BE118" s="56"/>
      <c r="BF118" s="56"/>
      <c r="BG118" s="56"/>
      <c r="BH118" s="611"/>
      <c r="BI118" s="56"/>
      <c r="BJ118" s="56"/>
      <c r="BK118" s="56"/>
      <c r="BL118" s="56"/>
      <c r="BM118" s="611"/>
      <c r="BN118" s="56"/>
      <c r="BO118" s="56"/>
      <c r="BP118" s="56"/>
      <c r="BQ118" s="56"/>
      <c r="BR118" s="611"/>
      <c r="BS118" s="56"/>
      <c r="BT118" s="56"/>
      <c r="BU118" s="56"/>
      <c r="BV118" s="56"/>
      <c r="BW118" s="611"/>
      <c r="BX118" s="56"/>
      <c r="BY118" s="56"/>
      <c r="BZ118" s="56"/>
      <c r="CA118" s="56"/>
      <c r="CB118" s="611"/>
      <c r="CC118" s="56"/>
      <c r="CD118" s="56"/>
      <c r="CE118" s="56"/>
      <c r="CF118" s="56"/>
      <c r="CG118" s="611"/>
      <c r="CH118" s="56"/>
      <c r="CI118" s="56"/>
      <c r="CJ118" s="56"/>
      <c r="CK118" s="56"/>
      <c r="CL118" s="611"/>
      <c r="CM118" s="56"/>
      <c r="CN118" s="56"/>
      <c r="CO118" s="56"/>
      <c r="CP118" s="56"/>
      <c r="CQ118" s="611"/>
      <c r="CR118" s="56"/>
      <c r="CS118" s="56"/>
      <c r="CT118" s="56"/>
      <c r="CU118" s="56"/>
      <c r="CV118" s="611"/>
      <c r="CW118" s="56"/>
      <c r="CX118" s="56"/>
      <c r="CY118" s="56"/>
      <c r="CZ118" s="56"/>
      <c r="DA118" s="611"/>
      <c r="DB118" s="56"/>
      <c r="DC118" s="56"/>
      <c r="DD118" s="56"/>
      <c r="DE118" s="56"/>
      <c r="DF118" s="611"/>
      <c r="DG118" s="56"/>
      <c r="DH118" s="56"/>
      <c r="DI118" s="56"/>
      <c r="DJ118" s="56"/>
      <c r="DK118" s="611"/>
      <c r="DL118" s="56"/>
      <c r="DM118" s="56"/>
      <c r="DN118" s="56"/>
      <c r="DO118" s="56"/>
      <c r="DP118" s="611"/>
      <c r="DQ118" s="56"/>
      <c r="DR118" s="56"/>
      <c r="DS118" s="56"/>
      <c r="DT118" s="56"/>
      <c r="DU118" s="611"/>
      <c r="DV118" s="56"/>
      <c r="DW118" s="56"/>
      <c r="DX118" s="56"/>
      <c r="DY118" s="56"/>
      <c r="DZ118" s="611"/>
      <c r="EA118" s="56"/>
      <c r="EB118" s="56"/>
      <c r="EC118" s="56"/>
      <c r="ED118" s="56"/>
      <c r="EE118" s="611"/>
      <c r="EF118" s="56"/>
      <c r="EG118" s="56"/>
      <c r="EH118" s="56"/>
      <c r="EI118" s="56"/>
      <c r="EJ118" s="611"/>
      <c r="EK118" s="56"/>
      <c r="EL118" s="56"/>
      <c r="EM118" s="56"/>
      <c r="EN118" s="56"/>
      <c r="EO118" s="144"/>
      <c r="ER118" s="42"/>
      <c r="ES118" s="42"/>
    </row>
    <row r="119" spans="4:149" x14ac:dyDescent="0.3">
      <c r="D119" s="144" t="s">
        <v>358</v>
      </c>
      <c r="E119" s="611"/>
      <c r="G119" s="56">
        <f>SUM(G120:G122)</f>
        <v>0</v>
      </c>
      <c r="H119" s="56"/>
      <c r="I119" s="56"/>
      <c r="J119" s="611"/>
      <c r="K119" s="56"/>
      <c r="L119" s="56">
        <f>SUM(L120:L122)</f>
        <v>1300000</v>
      </c>
      <c r="M119" s="56"/>
      <c r="N119" s="56"/>
      <c r="O119" s="611"/>
      <c r="P119" s="56"/>
      <c r="Q119" s="56">
        <f>SUM(Q120:Q122)</f>
        <v>0</v>
      </c>
      <c r="R119" s="56"/>
      <c r="S119" s="56"/>
      <c r="T119" s="611"/>
      <c r="U119" s="56"/>
      <c r="V119" s="56">
        <f>SUM(V120:V122)</f>
        <v>3210000</v>
      </c>
      <c r="W119" s="56"/>
      <c r="X119" s="56"/>
      <c r="Y119" s="611"/>
      <c r="Z119" s="56"/>
      <c r="AA119" s="56">
        <f>SUM(AA120:AA122)</f>
        <v>4500000</v>
      </c>
      <c r="AB119" s="56"/>
      <c r="AC119" s="56"/>
      <c r="AD119" s="611"/>
      <c r="AE119" s="56"/>
      <c r="AF119" s="56">
        <f>SUM(AF120:AF122)</f>
        <v>3249000</v>
      </c>
      <c r="AG119" s="56"/>
      <c r="AH119" s="56"/>
      <c r="AI119" s="611"/>
      <c r="AJ119" s="56"/>
      <c r="AK119" s="56">
        <f>SUM(AK120:AK122)</f>
        <v>4369000</v>
      </c>
      <c r="AL119" s="56"/>
      <c r="AM119" s="56"/>
      <c r="AN119" s="611"/>
      <c r="AO119" s="56"/>
      <c r="AP119" s="56">
        <f>SUM(AP120:AP122)</f>
        <v>1436000</v>
      </c>
      <c r="AQ119" s="56"/>
      <c r="AR119" s="56"/>
      <c r="AS119" s="611"/>
      <c r="AT119" s="56"/>
      <c r="AU119" s="56">
        <f>SUM(AU120:AU122)</f>
        <v>1300000</v>
      </c>
      <c r="AV119" s="56"/>
      <c r="AW119" s="56"/>
      <c r="AX119" s="611"/>
      <c r="AY119" s="56"/>
      <c r="AZ119" s="56">
        <f>SUM(AZ120:AZ122)</f>
        <v>0</v>
      </c>
      <c r="BA119" s="56"/>
      <c r="BB119" s="56"/>
      <c r="BC119" s="611"/>
      <c r="BD119" s="56"/>
      <c r="BE119" s="56">
        <f>SUM(BE120:BE122)</f>
        <v>0</v>
      </c>
      <c r="BF119" s="56"/>
      <c r="BG119" s="56"/>
      <c r="BH119" s="611"/>
      <c r="BI119" s="56"/>
      <c r="BJ119" s="56">
        <f>SUM(BJ120:BJ122)</f>
        <v>0</v>
      </c>
      <c r="BK119" s="56"/>
      <c r="BL119" s="56"/>
      <c r="BM119" s="611"/>
      <c r="BN119" s="56"/>
      <c r="BO119" s="56">
        <f>SUM(BO120:BO122)</f>
        <v>0</v>
      </c>
      <c r="BP119" s="56"/>
      <c r="BQ119" s="56"/>
      <c r="BR119" s="611"/>
      <c r="BS119" s="56"/>
      <c r="BT119" s="56">
        <f>SUM(BT120:BT122)</f>
        <v>19364000</v>
      </c>
      <c r="BU119" s="56"/>
      <c r="BV119" s="56"/>
      <c r="BW119" s="611"/>
      <c r="BX119" s="56"/>
      <c r="BY119" s="56">
        <f>SUM(BY120:BY122)</f>
        <v>30251715</v>
      </c>
      <c r="BZ119" s="56"/>
      <c r="CA119" s="56"/>
      <c r="CB119" s="611"/>
      <c r="CC119" s="56"/>
      <c r="CD119" s="56">
        <f>SUM(CD120:CD122)</f>
        <v>7133339</v>
      </c>
      <c r="CE119" s="56"/>
      <c r="CF119" s="56"/>
      <c r="CG119" s="611"/>
      <c r="CH119" s="56"/>
      <c r="CI119" s="56">
        <f>SUM(CI120:CI122)</f>
        <v>1659710</v>
      </c>
      <c r="CJ119" s="56"/>
      <c r="CK119" s="56"/>
      <c r="CL119" s="611"/>
      <c r="CM119" s="56"/>
      <c r="CN119" s="56">
        <f>SUM(CN120:CN122)</f>
        <v>2600000</v>
      </c>
      <c r="CO119" s="56"/>
      <c r="CP119" s="56"/>
      <c r="CQ119" s="611"/>
      <c r="CR119" s="56"/>
      <c r="CS119" s="56">
        <f>SUM(CS120:CS122)</f>
        <v>3250000</v>
      </c>
      <c r="CT119" s="56"/>
      <c r="CU119" s="56"/>
      <c r="CV119" s="611"/>
      <c r="CW119" s="56"/>
      <c r="CX119" s="56">
        <f>SUM(CX120:CX122)</f>
        <v>3246000</v>
      </c>
      <c r="CY119" s="56"/>
      <c r="CZ119" s="56"/>
      <c r="DA119" s="611"/>
      <c r="DB119" s="56"/>
      <c r="DC119" s="56">
        <f>SUM(DC120:DC122)</f>
        <v>1300000</v>
      </c>
      <c r="DD119" s="56"/>
      <c r="DE119" s="56"/>
      <c r="DF119" s="611"/>
      <c r="DG119" s="56"/>
      <c r="DH119" s="56">
        <f>SUM(DH120:DH122)</f>
        <v>0</v>
      </c>
      <c r="DI119" s="56"/>
      <c r="DJ119" s="56"/>
      <c r="DK119" s="611"/>
      <c r="DL119" s="56"/>
      <c r="DM119" s="56">
        <f>SUM(DM120:DM122)</f>
        <v>2848</v>
      </c>
      <c r="DN119" s="56"/>
      <c r="DO119" s="56"/>
      <c r="DP119" s="611"/>
      <c r="DQ119" s="56"/>
      <c r="DR119" s="56">
        <f>SUM(DR120:DR122)</f>
        <v>3901000</v>
      </c>
      <c r="DS119" s="56"/>
      <c r="DT119" s="56"/>
      <c r="DU119" s="611"/>
      <c r="DV119" s="56"/>
      <c r="DW119" s="56">
        <f>SUM(DW120:DW122)</f>
        <v>1957559</v>
      </c>
      <c r="DX119" s="56"/>
      <c r="DY119" s="56"/>
      <c r="DZ119" s="611"/>
      <c r="EA119" s="56"/>
      <c r="EB119" s="56">
        <f>SUM(EB120:EB122)</f>
        <v>1301259</v>
      </c>
      <c r="EC119" s="56"/>
      <c r="ED119" s="56"/>
      <c r="EE119" s="611"/>
      <c r="EF119" s="56"/>
      <c r="EG119" s="56">
        <f>SUM(EG120:EG122)</f>
        <v>3900000</v>
      </c>
      <c r="EH119" s="56"/>
      <c r="EI119" s="56"/>
      <c r="EJ119" s="611"/>
      <c r="EK119" s="56"/>
      <c r="EL119" s="56">
        <f>SUM(EL120:EL122)</f>
        <v>25050456</v>
      </c>
      <c r="EM119" s="56"/>
      <c r="EN119" s="56"/>
      <c r="EO119" s="144"/>
      <c r="ER119" s="42"/>
      <c r="ES119" s="42"/>
    </row>
    <row r="120" spans="4:149" x14ac:dyDescent="0.3">
      <c r="D120" s="144" t="s">
        <v>335</v>
      </c>
      <c r="E120" s="611"/>
      <c r="F120" s="500"/>
      <c r="G120" s="609">
        <v>0</v>
      </c>
      <c r="H120" s="610"/>
      <c r="I120" s="56"/>
      <c r="J120" s="611"/>
      <c r="K120" s="612"/>
      <c r="L120" s="609">
        <f>1300000-178665</f>
        <v>1121335</v>
      </c>
      <c r="M120" s="610"/>
      <c r="N120" s="56"/>
      <c r="O120" s="611"/>
      <c r="P120" s="612"/>
      <c r="Q120" s="609">
        <v>0</v>
      </c>
      <c r="R120" s="610"/>
      <c r="S120" s="56"/>
      <c r="T120" s="611"/>
      <c r="U120" s="612"/>
      <c r="V120" s="609">
        <f>3210000-556362</f>
        <v>2653638</v>
      </c>
      <c r="W120" s="610"/>
      <c r="X120" s="56"/>
      <c r="Y120" s="611"/>
      <c r="Z120" s="612"/>
      <c r="AA120" s="609">
        <f>4500000-941168</f>
        <v>3558832</v>
      </c>
      <c r="AB120" s="610"/>
      <c r="AC120" s="56"/>
      <c r="AD120" s="611"/>
      <c r="AE120" s="612"/>
      <c r="AF120" s="609">
        <f>3249000-581122</f>
        <v>2667878</v>
      </c>
      <c r="AG120" s="610"/>
      <c r="AH120" s="56"/>
      <c r="AI120" s="611"/>
      <c r="AJ120" s="612"/>
      <c r="AK120" s="609">
        <f>4369000-891839</f>
        <v>3477161</v>
      </c>
      <c r="AL120" s="610"/>
      <c r="AM120" s="56"/>
      <c r="AN120" s="611"/>
      <c r="AO120" s="612"/>
      <c r="AP120" s="609">
        <f>1436000-306108</f>
        <v>1129892</v>
      </c>
      <c r="AQ120" s="610"/>
      <c r="AR120" s="56"/>
      <c r="AS120" s="611"/>
      <c r="AT120" s="612"/>
      <c r="AU120" s="609">
        <f>1300000-250866</f>
        <v>1049134</v>
      </c>
      <c r="AV120" s="610"/>
      <c r="AW120" s="56"/>
      <c r="AX120" s="611"/>
      <c r="AY120" s="612"/>
      <c r="AZ120" s="609">
        <v>0</v>
      </c>
      <c r="BA120" s="610"/>
      <c r="BB120" s="56"/>
      <c r="BC120" s="611"/>
      <c r="BD120" s="612"/>
      <c r="BE120" s="609">
        <v>0</v>
      </c>
      <c r="BF120" s="610"/>
      <c r="BG120" s="56"/>
      <c r="BH120" s="611"/>
      <c r="BI120" s="612"/>
      <c r="BJ120" s="609">
        <v>0</v>
      </c>
      <c r="BK120" s="610"/>
      <c r="BL120" s="56"/>
      <c r="BM120" s="611"/>
      <c r="BN120" s="612"/>
      <c r="BO120" s="609">
        <v>0</v>
      </c>
      <c r="BP120" s="610"/>
      <c r="BQ120" s="56"/>
      <c r="BR120" s="611"/>
      <c r="BS120" s="612"/>
      <c r="BT120" s="609">
        <f>SUM(L120:BO120)</f>
        <v>15657870</v>
      </c>
      <c r="BU120" s="610"/>
      <c r="BV120" s="56"/>
      <c r="BW120" s="611"/>
      <c r="BX120" s="612"/>
      <c r="BY120" s="609">
        <v>25375940</v>
      </c>
      <c r="BZ120" s="610"/>
      <c r="CA120" s="56"/>
      <c r="CB120" s="611"/>
      <c r="CC120" s="612"/>
      <c r="CD120" s="609">
        <f>7133339-1317664</f>
        <v>5815675</v>
      </c>
      <c r="CE120" s="610"/>
      <c r="CF120" s="56"/>
      <c r="CG120" s="611"/>
      <c r="CH120" s="612"/>
      <c r="CI120" s="609">
        <f>1659710-268322</f>
        <v>1391388</v>
      </c>
      <c r="CJ120" s="610"/>
      <c r="CK120" s="56"/>
      <c r="CL120" s="611"/>
      <c r="CM120" s="612"/>
      <c r="CN120" s="609">
        <f>2600000-331557</f>
        <v>2268443</v>
      </c>
      <c r="CO120" s="610"/>
      <c r="CP120" s="56"/>
      <c r="CQ120" s="611"/>
      <c r="CR120" s="612"/>
      <c r="CS120" s="609">
        <f>3250000-459769</f>
        <v>2790231</v>
      </c>
      <c r="CT120" s="610"/>
      <c r="CU120" s="56"/>
      <c r="CV120" s="611"/>
      <c r="CW120" s="612"/>
      <c r="CX120" s="609">
        <f>3246000-497899</f>
        <v>2748101</v>
      </c>
      <c r="CY120" s="610"/>
      <c r="CZ120" s="56"/>
      <c r="DA120" s="611"/>
      <c r="DB120" s="612"/>
      <c r="DC120" s="609">
        <f>1300000-167463</f>
        <v>1132537</v>
      </c>
      <c r="DD120" s="610"/>
      <c r="DE120" s="56"/>
      <c r="DF120" s="611"/>
      <c r="DG120" s="612"/>
      <c r="DH120" s="609">
        <v>0</v>
      </c>
      <c r="DI120" s="610"/>
      <c r="DJ120" s="56"/>
      <c r="DK120" s="611"/>
      <c r="DL120" s="612"/>
      <c r="DM120" s="609">
        <f>2848-478</f>
        <v>2370</v>
      </c>
      <c r="DN120" s="610"/>
      <c r="DO120" s="56"/>
      <c r="DP120" s="611"/>
      <c r="DQ120" s="612"/>
      <c r="DR120" s="609">
        <f>3901000-653269</f>
        <v>3247731</v>
      </c>
      <c r="DS120" s="610"/>
      <c r="DT120" s="56"/>
      <c r="DU120" s="611"/>
      <c r="DV120" s="612"/>
      <c r="DW120" s="609">
        <f>1957559-324416</f>
        <v>1633143</v>
      </c>
      <c r="DX120" s="610"/>
      <c r="DY120" s="56"/>
      <c r="DZ120" s="611"/>
      <c r="EA120" s="612"/>
      <c r="EB120" s="609">
        <f>1301259-165194</f>
        <v>1136065</v>
      </c>
      <c r="EC120" s="610"/>
      <c r="ED120" s="56"/>
      <c r="EE120" s="611"/>
      <c r="EF120" s="612"/>
      <c r="EG120" s="609">
        <f>3900000-689744</f>
        <v>3210256</v>
      </c>
      <c r="EH120" s="610"/>
      <c r="EI120" s="56"/>
      <c r="EJ120" s="611"/>
      <c r="EK120" s="612"/>
      <c r="EL120" s="609">
        <f t="shared" ref="EL120:EL122" si="12">SUM(CD120:DW120)</f>
        <v>21029619</v>
      </c>
      <c r="EM120" s="610"/>
      <c r="EN120" s="56"/>
      <c r="EO120" s="144"/>
      <c r="ER120" s="42"/>
      <c r="ES120" s="42"/>
    </row>
    <row r="121" spans="4:149" x14ac:dyDescent="0.3">
      <c r="D121" s="144" t="s">
        <v>338</v>
      </c>
      <c r="E121" s="611"/>
      <c r="F121" s="494"/>
      <c r="G121" s="56">
        <v>0</v>
      </c>
      <c r="H121" s="55"/>
      <c r="I121" s="56"/>
      <c r="J121" s="611"/>
      <c r="K121" s="611"/>
      <c r="L121" s="56">
        <v>178665</v>
      </c>
      <c r="M121" s="55"/>
      <c r="N121" s="56"/>
      <c r="O121" s="611"/>
      <c r="P121" s="611"/>
      <c r="Q121" s="56">
        <v>0</v>
      </c>
      <c r="R121" s="55"/>
      <c r="S121" s="56"/>
      <c r="T121" s="611"/>
      <c r="U121" s="611"/>
      <c r="V121" s="56">
        <v>556362</v>
      </c>
      <c r="W121" s="55"/>
      <c r="X121" s="56"/>
      <c r="Y121" s="611"/>
      <c r="Z121" s="611"/>
      <c r="AA121" s="56">
        <v>941168</v>
      </c>
      <c r="AB121" s="55"/>
      <c r="AC121" s="56"/>
      <c r="AD121" s="611"/>
      <c r="AE121" s="611"/>
      <c r="AF121" s="56">
        <v>581122</v>
      </c>
      <c r="AG121" s="55"/>
      <c r="AH121" s="56"/>
      <c r="AI121" s="611"/>
      <c r="AJ121" s="611"/>
      <c r="AK121" s="56">
        <v>891839</v>
      </c>
      <c r="AL121" s="55"/>
      <c r="AM121" s="56"/>
      <c r="AN121" s="611"/>
      <c r="AO121" s="611"/>
      <c r="AP121" s="56">
        <v>306108</v>
      </c>
      <c r="AQ121" s="55"/>
      <c r="AR121" s="56"/>
      <c r="AS121" s="611"/>
      <c r="AT121" s="611"/>
      <c r="AU121" s="56">
        <v>250866</v>
      </c>
      <c r="AV121" s="55"/>
      <c r="AW121" s="56"/>
      <c r="AX121" s="611"/>
      <c r="AY121" s="611"/>
      <c r="AZ121" s="56">
        <v>0</v>
      </c>
      <c r="BA121" s="55"/>
      <c r="BB121" s="56"/>
      <c r="BC121" s="611"/>
      <c r="BD121" s="611"/>
      <c r="BE121" s="56">
        <v>0</v>
      </c>
      <c r="BF121" s="55"/>
      <c r="BG121" s="56"/>
      <c r="BH121" s="611"/>
      <c r="BI121" s="611"/>
      <c r="BJ121" s="56">
        <v>0</v>
      </c>
      <c r="BK121" s="55"/>
      <c r="BL121" s="56"/>
      <c r="BM121" s="611"/>
      <c r="BN121" s="611"/>
      <c r="BO121" s="56">
        <v>0</v>
      </c>
      <c r="BP121" s="55"/>
      <c r="BQ121" s="56"/>
      <c r="BR121" s="611"/>
      <c r="BS121" s="611"/>
      <c r="BT121" s="56">
        <f>SUM(L121:BO121)</f>
        <v>3706130</v>
      </c>
      <c r="BU121" s="55"/>
      <c r="BV121" s="56"/>
      <c r="BW121" s="611"/>
      <c r="BX121" s="611"/>
      <c r="BY121" s="56">
        <v>4875775</v>
      </c>
      <c r="BZ121" s="55"/>
      <c r="CA121" s="56"/>
      <c r="CB121" s="611"/>
      <c r="CC121" s="611"/>
      <c r="CD121" s="56">
        <v>1317664</v>
      </c>
      <c r="CE121" s="55"/>
      <c r="CF121" s="56"/>
      <c r="CG121" s="611"/>
      <c r="CH121" s="611"/>
      <c r="CI121" s="56">
        <v>268322</v>
      </c>
      <c r="CJ121" s="55"/>
      <c r="CK121" s="56"/>
      <c r="CL121" s="611"/>
      <c r="CM121" s="611"/>
      <c r="CN121" s="56">
        <v>331557</v>
      </c>
      <c r="CO121" s="55"/>
      <c r="CP121" s="56"/>
      <c r="CQ121" s="611"/>
      <c r="CR121" s="611"/>
      <c r="CS121" s="56">
        <v>459769</v>
      </c>
      <c r="CT121" s="55"/>
      <c r="CU121" s="56"/>
      <c r="CV121" s="611"/>
      <c r="CW121" s="611"/>
      <c r="CX121" s="56">
        <v>497899</v>
      </c>
      <c r="CY121" s="55"/>
      <c r="CZ121" s="56"/>
      <c r="DA121" s="611"/>
      <c r="DB121" s="611"/>
      <c r="DC121" s="56">
        <v>167463</v>
      </c>
      <c r="DD121" s="55"/>
      <c r="DE121" s="56"/>
      <c r="DF121" s="611"/>
      <c r="DG121" s="611"/>
      <c r="DH121" s="56">
        <v>0</v>
      </c>
      <c r="DI121" s="55"/>
      <c r="DJ121" s="56"/>
      <c r="DK121" s="611"/>
      <c r="DL121" s="611"/>
      <c r="DM121" s="56">
        <v>478</v>
      </c>
      <c r="DN121" s="55"/>
      <c r="DO121" s="56"/>
      <c r="DP121" s="611"/>
      <c r="DQ121" s="611"/>
      <c r="DR121" s="56">
        <v>653269</v>
      </c>
      <c r="DS121" s="55"/>
      <c r="DT121" s="56"/>
      <c r="DU121" s="611"/>
      <c r="DV121" s="611"/>
      <c r="DW121" s="56">
        <v>324416</v>
      </c>
      <c r="DX121" s="55"/>
      <c r="DY121" s="56"/>
      <c r="DZ121" s="611"/>
      <c r="EA121" s="611"/>
      <c r="EB121" s="56">
        <v>165194</v>
      </c>
      <c r="EC121" s="55"/>
      <c r="ED121" s="56"/>
      <c r="EE121" s="611"/>
      <c r="EF121" s="611"/>
      <c r="EG121" s="56">
        <v>689744</v>
      </c>
      <c r="EH121" s="55"/>
      <c r="EI121" s="56"/>
      <c r="EJ121" s="611"/>
      <c r="EK121" s="611"/>
      <c r="EL121" s="56">
        <f t="shared" si="12"/>
        <v>4020837</v>
      </c>
      <c r="EM121" s="55"/>
      <c r="EN121" s="56"/>
      <c r="EO121" s="144"/>
      <c r="ER121" s="42"/>
      <c r="ES121" s="42"/>
    </row>
    <row r="122" spans="4:149" x14ac:dyDescent="0.3">
      <c r="D122" s="144" t="s">
        <v>352</v>
      </c>
      <c r="E122" s="611"/>
      <c r="F122" s="513"/>
      <c r="G122" s="117">
        <v>0</v>
      </c>
      <c r="H122" s="116"/>
      <c r="I122" s="56"/>
      <c r="J122" s="611"/>
      <c r="K122" s="620"/>
      <c r="L122" s="117">
        <v>0</v>
      </c>
      <c r="M122" s="116"/>
      <c r="N122" s="56"/>
      <c r="O122" s="611"/>
      <c r="P122" s="620"/>
      <c r="Q122" s="117">
        <v>0</v>
      </c>
      <c r="R122" s="116"/>
      <c r="S122" s="56"/>
      <c r="T122" s="611"/>
      <c r="U122" s="620"/>
      <c r="V122" s="117">
        <v>0</v>
      </c>
      <c r="W122" s="116"/>
      <c r="X122" s="56"/>
      <c r="Y122" s="611"/>
      <c r="Z122" s="620"/>
      <c r="AA122" s="117">
        <v>0</v>
      </c>
      <c r="AB122" s="116"/>
      <c r="AC122" s="56"/>
      <c r="AD122" s="611"/>
      <c r="AE122" s="620"/>
      <c r="AF122" s="117">
        <v>0</v>
      </c>
      <c r="AG122" s="116"/>
      <c r="AH122" s="56"/>
      <c r="AI122" s="611"/>
      <c r="AJ122" s="620"/>
      <c r="AK122" s="117">
        <v>0</v>
      </c>
      <c r="AL122" s="116"/>
      <c r="AM122" s="56"/>
      <c r="AN122" s="611"/>
      <c r="AO122" s="620"/>
      <c r="AP122" s="117">
        <v>0</v>
      </c>
      <c r="AQ122" s="116"/>
      <c r="AR122" s="56"/>
      <c r="AS122" s="611"/>
      <c r="AT122" s="620"/>
      <c r="AU122" s="117">
        <v>0</v>
      </c>
      <c r="AV122" s="116"/>
      <c r="AW122" s="56"/>
      <c r="AX122" s="611"/>
      <c r="AY122" s="620"/>
      <c r="AZ122" s="117">
        <v>0</v>
      </c>
      <c r="BA122" s="116"/>
      <c r="BB122" s="56"/>
      <c r="BC122" s="611"/>
      <c r="BD122" s="620"/>
      <c r="BE122" s="117">
        <v>0</v>
      </c>
      <c r="BF122" s="116"/>
      <c r="BG122" s="56"/>
      <c r="BH122" s="611"/>
      <c r="BI122" s="620"/>
      <c r="BJ122" s="117">
        <v>0</v>
      </c>
      <c r="BK122" s="116"/>
      <c r="BL122" s="56"/>
      <c r="BM122" s="611"/>
      <c r="BN122" s="620"/>
      <c r="BO122" s="117">
        <v>0</v>
      </c>
      <c r="BP122" s="116"/>
      <c r="BQ122" s="56"/>
      <c r="BR122" s="611"/>
      <c r="BS122" s="620"/>
      <c r="BT122" s="117">
        <f>SUM(L122:BO122)</f>
        <v>0</v>
      </c>
      <c r="BU122" s="116"/>
      <c r="BV122" s="56"/>
      <c r="BW122" s="611"/>
      <c r="BX122" s="620"/>
      <c r="BY122" s="117">
        <v>0</v>
      </c>
      <c r="BZ122" s="116"/>
      <c r="CA122" s="56"/>
      <c r="CB122" s="611"/>
      <c r="CC122" s="620"/>
      <c r="CD122" s="117">
        <v>0</v>
      </c>
      <c r="CE122" s="116"/>
      <c r="CF122" s="56"/>
      <c r="CG122" s="611"/>
      <c r="CH122" s="620"/>
      <c r="CI122" s="117">
        <v>0</v>
      </c>
      <c r="CJ122" s="116"/>
      <c r="CK122" s="56"/>
      <c r="CL122" s="611"/>
      <c r="CM122" s="620"/>
      <c r="CN122" s="117">
        <v>0</v>
      </c>
      <c r="CO122" s="116"/>
      <c r="CP122" s="56"/>
      <c r="CQ122" s="611"/>
      <c r="CR122" s="620"/>
      <c r="CS122" s="117">
        <v>0</v>
      </c>
      <c r="CT122" s="116"/>
      <c r="CU122" s="56"/>
      <c r="CV122" s="611"/>
      <c r="CW122" s="620"/>
      <c r="CX122" s="117">
        <v>0</v>
      </c>
      <c r="CY122" s="116"/>
      <c r="CZ122" s="56"/>
      <c r="DA122" s="611"/>
      <c r="DB122" s="620"/>
      <c r="DC122" s="117">
        <v>0</v>
      </c>
      <c r="DD122" s="116"/>
      <c r="DE122" s="56"/>
      <c r="DF122" s="611"/>
      <c r="DG122" s="620"/>
      <c r="DH122" s="117">
        <v>0</v>
      </c>
      <c r="DI122" s="116"/>
      <c r="DJ122" s="56"/>
      <c r="DK122" s="611"/>
      <c r="DL122" s="620"/>
      <c r="DM122" s="117">
        <v>0</v>
      </c>
      <c r="DN122" s="116"/>
      <c r="DO122" s="56"/>
      <c r="DP122" s="611"/>
      <c r="DQ122" s="620"/>
      <c r="DR122" s="117">
        <v>0</v>
      </c>
      <c r="DS122" s="116"/>
      <c r="DT122" s="56"/>
      <c r="DU122" s="611"/>
      <c r="DV122" s="620"/>
      <c r="DW122" s="117">
        <v>0</v>
      </c>
      <c r="DX122" s="116"/>
      <c r="DY122" s="56"/>
      <c r="DZ122" s="611"/>
      <c r="EA122" s="620"/>
      <c r="EB122" s="117">
        <v>0</v>
      </c>
      <c r="EC122" s="116"/>
      <c r="ED122" s="56"/>
      <c r="EE122" s="611"/>
      <c r="EF122" s="620"/>
      <c r="EG122" s="117">
        <v>0</v>
      </c>
      <c r="EH122" s="116"/>
      <c r="EI122" s="56"/>
      <c r="EJ122" s="611"/>
      <c r="EK122" s="620"/>
      <c r="EL122" s="117">
        <f t="shared" si="12"/>
        <v>0</v>
      </c>
      <c r="EM122" s="116"/>
      <c r="EN122" s="56"/>
      <c r="EO122" s="144"/>
      <c r="ER122" s="42"/>
      <c r="ES122" s="42"/>
    </row>
    <row r="123" spans="4:149" x14ac:dyDescent="0.3">
      <c r="D123" s="144"/>
      <c r="E123" s="611"/>
      <c r="G123" s="56"/>
      <c r="H123" s="56"/>
      <c r="I123" s="56"/>
      <c r="J123" s="611"/>
      <c r="K123" s="56"/>
      <c r="L123" s="56"/>
      <c r="M123" s="56"/>
      <c r="N123" s="56"/>
      <c r="O123" s="611"/>
      <c r="P123" s="56"/>
      <c r="Q123" s="56"/>
      <c r="R123" s="56"/>
      <c r="S123" s="56"/>
      <c r="T123" s="611"/>
      <c r="U123" s="56"/>
      <c r="V123" s="56"/>
      <c r="W123" s="56"/>
      <c r="X123" s="56"/>
      <c r="Y123" s="611"/>
      <c r="Z123" s="56"/>
      <c r="AA123" s="56"/>
      <c r="AB123" s="56"/>
      <c r="AC123" s="56"/>
      <c r="AD123" s="611"/>
      <c r="AE123" s="56"/>
      <c r="AF123" s="56"/>
      <c r="AG123" s="56"/>
      <c r="AH123" s="56"/>
      <c r="AI123" s="611"/>
      <c r="AJ123" s="56"/>
      <c r="AK123" s="56"/>
      <c r="AL123" s="56"/>
      <c r="AM123" s="56"/>
      <c r="AN123" s="611"/>
      <c r="AO123" s="56"/>
      <c r="AP123" s="56"/>
      <c r="AQ123" s="56"/>
      <c r="AR123" s="56"/>
      <c r="AS123" s="611"/>
      <c r="AT123" s="56"/>
      <c r="AU123" s="56"/>
      <c r="AV123" s="56"/>
      <c r="AW123" s="56"/>
      <c r="AX123" s="611"/>
      <c r="AY123" s="56"/>
      <c r="AZ123" s="56"/>
      <c r="BA123" s="56"/>
      <c r="BB123" s="56"/>
      <c r="BC123" s="611"/>
      <c r="BD123" s="56"/>
      <c r="BE123" s="56"/>
      <c r="BF123" s="56"/>
      <c r="BG123" s="56"/>
      <c r="BH123" s="611"/>
      <c r="BI123" s="56"/>
      <c r="BJ123" s="56"/>
      <c r="BK123" s="56"/>
      <c r="BL123" s="56"/>
      <c r="BM123" s="611"/>
      <c r="BN123" s="56"/>
      <c r="BO123" s="56"/>
      <c r="BP123" s="56"/>
      <c r="BQ123" s="56"/>
      <c r="BR123" s="611"/>
      <c r="BS123" s="56"/>
      <c r="BT123" s="56"/>
      <c r="BU123" s="56"/>
      <c r="BV123" s="56"/>
      <c r="BW123" s="611"/>
      <c r="BX123" s="56"/>
      <c r="BY123" s="56"/>
      <c r="BZ123" s="56"/>
      <c r="CA123" s="56"/>
      <c r="CB123" s="611"/>
      <c r="CC123" s="56"/>
      <c r="CD123" s="56"/>
      <c r="CE123" s="56"/>
      <c r="CF123" s="56"/>
      <c r="CG123" s="611"/>
      <c r="CH123" s="56"/>
      <c r="CI123" s="56"/>
      <c r="CJ123" s="56"/>
      <c r="CK123" s="56"/>
      <c r="CL123" s="611"/>
      <c r="CM123" s="56"/>
      <c r="CN123" s="56"/>
      <c r="CO123" s="56"/>
      <c r="CP123" s="56"/>
      <c r="CQ123" s="611"/>
      <c r="CR123" s="56"/>
      <c r="CS123" s="56"/>
      <c r="CT123" s="56"/>
      <c r="CU123" s="56"/>
      <c r="CV123" s="611"/>
      <c r="CW123" s="56"/>
      <c r="CX123" s="56"/>
      <c r="CY123" s="56"/>
      <c r="CZ123" s="56"/>
      <c r="DA123" s="611"/>
      <c r="DB123" s="56"/>
      <c r="DC123" s="56"/>
      <c r="DD123" s="56"/>
      <c r="DE123" s="56"/>
      <c r="DF123" s="611"/>
      <c r="DG123" s="56"/>
      <c r="DH123" s="56"/>
      <c r="DI123" s="56"/>
      <c r="DJ123" s="56"/>
      <c r="DK123" s="611"/>
      <c r="DL123" s="56"/>
      <c r="DM123" s="56"/>
      <c r="DN123" s="56"/>
      <c r="DO123" s="56"/>
      <c r="DP123" s="611"/>
      <c r="DQ123" s="56"/>
      <c r="DR123" s="56"/>
      <c r="DS123" s="56"/>
      <c r="DT123" s="56"/>
      <c r="DU123" s="611"/>
      <c r="DV123" s="56"/>
      <c r="DW123" s="56"/>
      <c r="DX123" s="56"/>
      <c r="DY123" s="56"/>
      <c r="DZ123" s="611"/>
      <c r="EA123" s="56"/>
      <c r="EB123" s="56"/>
      <c r="EC123" s="56"/>
      <c r="ED123" s="56"/>
      <c r="EE123" s="611"/>
      <c r="EF123" s="56"/>
      <c r="EG123" s="56"/>
      <c r="EH123" s="56"/>
      <c r="EI123" s="56"/>
      <c r="EJ123" s="611"/>
      <c r="EK123" s="56"/>
      <c r="EL123" s="56"/>
      <c r="EM123" s="56"/>
      <c r="EN123" s="56"/>
      <c r="EO123" s="144"/>
      <c r="ER123" s="42"/>
      <c r="ES123" s="42"/>
    </row>
    <row r="124" spans="4:149" ht="12.75" customHeight="1" x14ac:dyDescent="0.3">
      <c r="D124" s="144" t="s">
        <v>359</v>
      </c>
      <c r="E124" s="611"/>
      <c r="G124" s="56">
        <f>SUM(G125:G127)</f>
        <v>0</v>
      </c>
      <c r="H124" s="56"/>
      <c r="I124" s="56"/>
      <c r="J124" s="611"/>
      <c r="K124" s="56"/>
      <c r="L124" s="56">
        <f>SUM(L125:L127)</f>
        <v>1391046</v>
      </c>
      <c r="M124" s="56"/>
      <c r="N124" s="56"/>
      <c r="O124" s="611"/>
      <c r="P124" s="56"/>
      <c r="Q124" s="56">
        <f>SUM(Q125:Q127)</f>
        <v>3251000</v>
      </c>
      <c r="R124" s="56"/>
      <c r="S124" s="56"/>
      <c r="T124" s="611"/>
      <c r="U124" s="56"/>
      <c r="V124" s="56">
        <f>SUM(V125:V127)</f>
        <v>3898000</v>
      </c>
      <c r="W124" s="56"/>
      <c r="X124" s="56"/>
      <c r="Y124" s="611"/>
      <c r="Z124" s="56"/>
      <c r="AA124" s="56">
        <f>SUM(AA125:AA127)</f>
        <v>3248000</v>
      </c>
      <c r="AB124" s="56"/>
      <c r="AC124" s="56"/>
      <c r="AD124" s="611"/>
      <c r="AE124" s="56"/>
      <c r="AF124" s="56">
        <f>SUM(AF125:AF127)</f>
        <v>3896000</v>
      </c>
      <c r="AG124" s="56"/>
      <c r="AH124" s="56"/>
      <c r="AI124" s="611"/>
      <c r="AJ124" s="56"/>
      <c r="AK124" s="56">
        <f>SUM(AK125:AK127)</f>
        <v>3900000</v>
      </c>
      <c r="AL124" s="56"/>
      <c r="AM124" s="56"/>
      <c r="AN124" s="611"/>
      <c r="AO124" s="56"/>
      <c r="AP124" s="56">
        <f>SUM(AP125:AP127)</f>
        <v>2784000</v>
      </c>
      <c r="AQ124" s="56"/>
      <c r="AR124" s="56"/>
      <c r="AS124" s="611"/>
      <c r="AT124" s="56"/>
      <c r="AU124" s="56">
        <f>SUM(AU125:AU127)</f>
        <v>3340000</v>
      </c>
      <c r="AV124" s="56"/>
      <c r="AW124" s="56"/>
      <c r="AX124" s="611"/>
      <c r="AY124" s="56"/>
      <c r="AZ124" s="56">
        <f>SUM(AZ125:AZ127)</f>
        <v>1952000</v>
      </c>
      <c r="BA124" s="56"/>
      <c r="BB124" s="56"/>
      <c r="BC124" s="611"/>
      <c r="BD124" s="56"/>
      <c r="BE124" s="56">
        <f>SUM(BE125:BE127)</f>
        <v>1946000</v>
      </c>
      <c r="BF124" s="56"/>
      <c r="BG124" s="56"/>
      <c r="BH124" s="611"/>
      <c r="BI124" s="56"/>
      <c r="BJ124" s="56">
        <f>SUM(BJ125:BJ127)</f>
        <v>0</v>
      </c>
      <c r="BK124" s="56"/>
      <c r="BL124" s="56"/>
      <c r="BM124" s="611"/>
      <c r="BN124" s="56"/>
      <c r="BO124" s="56">
        <f>SUM(BO125:BO127)</f>
        <v>0</v>
      </c>
      <c r="BP124" s="56"/>
      <c r="BQ124" s="56"/>
      <c r="BR124" s="611"/>
      <c r="BS124" s="56"/>
      <c r="BT124" s="56">
        <f>SUM(BT125:BT127)</f>
        <v>29606046</v>
      </c>
      <c r="BU124" s="56"/>
      <c r="BV124" s="56"/>
      <c r="BW124" s="611"/>
      <c r="BX124" s="56"/>
      <c r="BY124" s="56">
        <f>SUM(BY125:BY127)</f>
        <v>27588392</v>
      </c>
      <c r="BZ124" s="56"/>
      <c r="CA124" s="56"/>
      <c r="CB124" s="611"/>
      <c r="CC124" s="56"/>
      <c r="CD124" s="56">
        <f>SUM(CD125:CD127)</f>
        <v>3833</v>
      </c>
      <c r="CE124" s="56"/>
      <c r="CF124" s="56"/>
      <c r="CG124" s="611"/>
      <c r="CH124" s="56"/>
      <c r="CI124" s="56">
        <f>SUM(CI125:CI127)</f>
        <v>1600000</v>
      </c>
      <c r="CJ124" s="56"/>
      <c r="CK124" s="56"/>
      <c r="CL124" s="611"/>
      <c r="CM124" s="56"/>
      <c r="CN124" s="56">
        <f>SUM(CN125:CN127)</f>
        <v>1948000</v>
      </c>
      <c r="CO124" s="56"/>
      <c r="CP124" s="56"/>
      <c r="CQ124" s="611"/>
      <c r="CR124" s="56"/>
      <c r="CS124" s="56">
        <f>SUM(CS125:CS127)</f>
        <v>5196000</v>
      </c>
      <c r="CT124" s="56"/>
      <c r="CU124" s="56"/>
      <c r="CV124" s="611"/>
      <c r="CW124" s="56"/>
      <c r="CX124" s="56">
        <f>SUM(CX125:CX127)</f>
        <v>1300000</v>
      </c>
      <c r="CY124" s="56"/>
      <c r="CZ124" s="56"/>
      <c r="DA124" s="611"/>
      <c r="DB124" s="56"/>
      <c r="DC124" s="56">
        <f>SUM(DC125:DC127)</f>
        <v>0</v>
      </c>
      <c r="DD124" s="56"/>
      <c r="DE124" s="56"/>
      <c r="DF124" s="611"/>
      <c r="DG124" s="56"/>
      <c r="DH124" s="56">
        <f>SUM(DH125:DH127)</f>
        <v>3900000</v>
      </c>
      <c r="DI124" s="56"/>
      <c r="DJ124" s="56"/>
      <c r="DK124" s="611"/>
      <c r="DL124" s="56"/>
      <c r="DM124" s="56">
        <f>SUM(DM125:DM127)</f>
        <v>2600000</v>
      </c>
      <c r="DN124" s="56"/>
      <c r="DO124" s="56"/>
      <c r="DP124" s="611"/>
      <c r="DQ124" s="56"/>
      <c r="DR124" s="56">
        <f>SUM(DR125:DR127)</f>
        <v>3897000</v>
      </c>
      <c r="DS124" s="56"/>
      <c r="DT124" s="56"/>
      <c r="DU124" s="611"/>
      <c r="DV124" s="56"/>
      <c r="DW124" s="56">
        <f>SUM(DW125:DW127)</f>
        <v>1300000</v>
      </c>
      <c r="DX124" s="56"/>
      <c r="DY124" s="56"/>
      <c r="DZ124" s="611"/>
      <c r="EA124" s="56"/>
      <c r="EB124" s="56">
        <f>SUM(EB125:EB127)</f>
        <v>5843559</v>
      </c>
      <c r="EC124" s="56"/>
      <c r="ED124" s="56"/>
      <c r="EE124" s="611"/>
      <c r="EF124" s="56"/>
      <c r="EG124" s="56">
        <f>SUM(EG125:EG127)</f>
        <v>0</v>
      </c>
      <c r="EH124" s="56"/>
      <c r="EI124" s="56"/>
      <c r="EJ124" s="611"/>
      <c r="EK124" s="56"/>
      <c r="EL124" s="56">
        <f>SUM(EL125:EL127)</f>
        <v>21744833</v>
      </c>
      <c r="EM124" s="56"/>
      <c r="EN124" s="56"/>
      <c r="EO124" s="144"/>
      <c r="ER124" s="42"/>
      <c r="ES124" s="42"/>
    </row>
    <row r="125" spans="4:149" ht="12.75" customHeight="1" x14ac:dyDescent="0.3">
      <c r="D125" s="144" t="s">
        <v>335</v>
      </c>
      <c r="E125" s="611"/>
      <c r="F125" s="500"/>
      <c r="G125" s="609">
        <v>0</v>
      </c>
      <c r="H125" s="610"/>
      <c r="I125" s="56"/>
      <c r="J125" s="611"/>
      <c r="K125" s="500"/>
      <c r="L125" s="609">
        <f>1391046-164791</f>
        <v>1226255</v>
      </c>
      <c r="M125" s="610"/>
      <c r="N125" s="56"/>
      <c r="O125" s="611"/>
      <c r="P125" s="612"/>
      <c r="Q125" s="609">
        <f>3251000-508470</f>
        <v>2742530</v>
      </c>
      <c r="R125" s="610"/>
      <c r="S125" s="56"/>
      <c r="T125" s="611"/>
      <c r="U125" s="612"/>
      <c r="V125" s="609">
        <f>3898000-701748</f>
        <v>3196252</v>
      </c>
      <c r="W125" s="610"/>
      <c r="X125" s="56"/>
      <c r="Y125" s="611"/>
      <c r="Z125" s="612"/>
      <c r="AA125" s="609">
        <f>3248000-668223</f>
        <v>2579777</v>
      </c>
      <c r="AB125" s="610"/>
      <c r="AC125" s="56"/>
      <c r="AD125" s="611"/>
      <c r="AE125" s="612"/>
      <c r="AF125" s="609">
        <f>3896000-649518</f>
        <v>3246482</v>
      </c>
      <c r="AG125" s="610"/>
      <c r="AH125" s="56"/>
      <c r="AI125" s="611"/>
      <c r="AJ125" s="612"/>
      <c r="AK125" s="609">
        <f>3900000-720836</f>
        <v>3179164</v>
      </c>
      <c r="AL125" s="610"/>
      <c r="AM125" s="56"/>
      <c r="AN125" s="611"/>
      <c r="AO125" s="612"/>
      <c r="AP125" s="609">
        <f>2784000-587999</f>
        <v>2196001</v>
      </c>
      <c r="AQ125" s="610"/>
      <c r="AR125" s="56"/>
      <c r="AS125" s="611"/>
      <c r="AT125" s="612"/>
      <c r="AU125" s="609">
        <f>3340000-658833</f>
        <v>2681167</v>
      </c>
      <c r="AV125" s="610"/>
      <c r="AW125" s="56"/>
      <c r="AX125" s="611"/>
      <c r="AY125" s="612"/>
      <c r="AZ125" s="609">
        <f>1952000-406207</f>
        <v>1545793</v>
      </c>
      <c r="BA125" s="610"/>
      <c r="BB125" s="56"/>
      <c r="BC125" s="611"/>
      <c r="BD125" s="612"/>
      <c r="BE125" s="609">
        <f>1946000-344416</f>
        <v>1601584</v>
      </c>
      <c r="BF125" s="610"/>
      <c r="BG125" s="56"/>
      <c r="BH125" s="611"/>
      <c r="BI125" s="612"/>
      <c r="BJ125" s="609">
        <v>0</v>
      </c>
      <c r="BK125" s="610"/>
      <c r="BL125" s="56"/>
      <c r="BM125" s="611"/>
      <c r="BN125" s="612"/>
      <c r="BO125" s="609">
        <v>0</v>
      </c>
      <c r="BP125" s="610"/>
      <c r="BQ125" s="56"/>
      <c r="BR125" s="611"/>
      <c r="BS125" s="612"/>
      <c r="BT125" s="609">
        <f>SUM(L125:BO125)</f>
        <v>24195005</v>
      </c>
      <c r="BU125" s="610"/>
      <c r="BV125" s="56"/>
      <c r="BW125" s="611"/>
      <c r="BX125" s="612"/>
      <c r="BY125" s="609">
        <v>23943727</v>
      </c>
      <c r="BZ125" s="610"/>
      <c r="CA125" s="56"/>
      <c r="CB125" s="611"/>
      <c r="CC125" s="500"/>
      <c r="CD125" s="609">
        <f>3833-702</f>
        <v>3131</v>
      </c>
      <c r="CE125" s="610"/>
      <c r="CF125" s="56"/>
      <c r="CG125" s="611"/>
      <c r="CH125" s="612"/>
      <c r="CI125" s="609">
        <f>1600000-270504</f>
        <v>1329496</v>
      </c>
      <c r="CJ125" s="610"/>
      <c r="CK125" s="56"/>
      <c r="CL125" s="611"/>
      <c r="CM125" s="612"/>
      <c r="CN125" s="609">
        <f>1948000-256347</f>
        <v>1691653</v>
      </c>
      <c r="CO125" s="610"/>
      <c r="CP125" s="56"/>
      <c r="CQ125" s="611"/>
      <c r="CR125" s="612"/>
      <c r="CS125" s="609">
        <f>5196000-664184</f>
        <v>4531816</v>
      </c>
      <c r="CT125" s="610"/>
      <c r="CU125" s="56"/>
      <c r="CV125" s="611"/>
      <c r="CW125" s="612"/>
      <c r="CX125" s="609">
        <f>1300000-150121</f>
        <v>1149879</v>
      </c>
      <c r="CY125" s="610"/>
      <c r="CZ125" s="56"/>
      <c r="DA125" s="611"/>
      <c r="DB125" s="612"/>
      <c r="DC125" s="609">
        <v>0</v>
      </c>
      <c r="DD125" s="610"/>
      <c r="DE125" s="56"/>
      <c r="DF125" s="611"/>
      <c r="DG125" s="612"/>
      <c r="DH125" s="609">
        <f>3900000-580016</f>
        <v>3319984</v>
      </c>
      <c r="DI125" s="610"/>
      <c r="DJ125" s="56"/>
      <c r="DK125" s="611"/>
      <c r="DL125" s="612"/>
      <c r="DM125" s="609">
        <f>2600000-341887</f>
        <v>2258113</v>
      </c>
      <c r="DN125" s="610"/>
      <c r="DO125" s="56"/>
      <c r="DP125" s="611"/>
      <c r="DQ125" s="612"/>
      <c r="DR125" s="609">
        <f>3897000-571332</f>
        <v>3325668</v>
      </c>
      <c r="DS125" s="610"/>
      <c r="DT125" s="56"/>
      <c r="DU125" s="611"/>
      <c r="DV125" s="612"/>
      <c r="DW125" s="609">
        <f>1300000-154383</f>
        <v>1145617</v>
      </c>
      <c r="DX125" s="610"/>
      <c r="DY125" s="56"/>
      <c r="DZ125" s="611"/>
      <c r="EA125" s="612"/>
      <c r="EB125" s="609">
        <f>5843559-655189</f>
        <v>5188370</v>
      </c>
      <c r="EC125" s="610"/>
      <c r="ED125" s="56"/>
      <c r="EE125" s="611"/>
      <c r="EF125" s="612"/>
      <c r="EG125" s="609">
        <v>0</v>
      </c>
      <c r="EH125" s="610"/>
      <c r="EI125" s="56"/>
      <c r="EJ125" s="611"/>
      <c r="EK125" s="612"/>
      <c r="EL125" s="609">
        <f t="shared" ref="EL125:EL127" si="13">SUM(CD125:DW125)</f>
        <v>18755357</v>
      </c>
      <c r="EM125" s="610"/>
      <c r="EN125" s="56"/>
      <c r="EO125" s="144"/>
      <c r="ER125" s="42"/>
      <c r="ES125" s="42"/>
    </row>
    <row r="126" spans="4:149" ht="12.75" customHeight="1" x14ac:dyDescent="0.3">
      <c r="D126" s="144" t="s">
        <v>338</v>
      </c>
      <c r="E126" s="611"/>
      <c r="F126" s="494"/>
      <c r="G126" s="56">
        <v>0</v>
      </c>
      <c r="H126" s="55"/>
      <c r="I126" s="56"/>
      <c r="J126" s="611"/>
      <c r="K126" s="494"/>
      <c r="L126" s="56">
        <v>164791</v>
      </c>
      <c r="M126" s="55"/>
      <c r="N126" s="56"/>
      <c r="O126" s="611"/>
      <c r="P126" s="611"/>
      <c r="Q126" s="56">
        <v>508470</v>
      </c>
      <c r="R126" s="55"/>
      <c r="S126" s="56"/>
      <c r="T126" s="611"/>
      <c r="U126" s="611"/>
      <c r="V126" s="56">
        <v>701748</v>
      </c>
      <c r="W126" s="55"/>
      <c r="X126" s="56"/>
      <c r="Y126" s="611"/>
      <c r="Z126" s="611"/>
      <c r="AA126" s="56">
        <v>668223</v>
      </c>
      <c r="AB126" s="55"/>
      <c r="AC126" s="56"/>
      <c r="AD126" s="611"/>
      <c r="AE126" s="611"/>
      <c r="AF126" s="56">
        <v>649518</v>
      </c>
      <c r="AG126" s="55"/>
      <c r="AH126" s="56"/>
      <c r="AI126" s="611"/>
      <c r="AJ126" s="611"/>
      <c r="AK126" s="56">
        <v>720836</v>
      </c>
      <c r="AL126" s="55"/>
      <c r="AM126" s="56"/>
      <c r="AN126" s="611"/>
      <c r="AO126" s="611"/>
      <c r="AP126" s="56">
        <v>587999</v>
      </c>
      <c r="AQ126" s="55"/>
      <c r="AR126" s="56"/>
      <c r="AS126" s="611"/>
      <c r="AT126" s="611"/>
      <c r="AU126" s="56">
        <v>658833</v>
      </c>
      <c r="AV126" s="55"/>
      <c r="AW126" s="56"/>
      <c r="AX126" s="611"/>
      <c r="AY126" s="611"/>
      <c r="AZ126" s="56">
        <v>406207</v>
      </c>
      <c r="BA126" s="55"/>
      <c r="BB126" s="56"/>
      <c r="BC126" s="611"/>
      <c r="BD126" s="611"/>
      <c r="BE126" s="56">
        <v>344416</v>
      </c>
      <c r="BF126" s="55"/>
      <c r="BG126" s="56"/>
      <c r="BH126" s="611"/>
      <c r="BI126" s="611"/>
      <c r="BJ126" s="56">
        <v>0</v>
      </c>
      <c r="BK126" s="55"/>
      <c r="BL126" s="56"/>
      <c r="BM126" s="611"/>
      <c r="BN126" s="611"/>
      <c r="BO126" s="56">
        <v>0</v>
      </c>
      <c r="BP126" s="55"/>
      <c r="BQ126" s="56"/>
      <c r="BR126" s="611"/>
      <c r="BS126" s="611"/>
      <c r="BT126" s="56">
        <f>SUM(L126:BO126)</f>
        <v>5411041</v>
      </c>
      <c r="BU126" s="55"/>
      <c r="BV126" s="56"/>
      <c r="BW126" s="611"/>
      <c r="BX126" s="611"/>
      <c r="BY126" s="56">
        <v>3644665</v>
      </c>
      <c r="BZ126" s="55"/>
      <c r="CA126" s="56"/>
      <c r="CB126" s="611"/>
      <c r="CC126" s="494"/>
      <c r="CD126" s="56">
        <v>702</v>
      </c>
      <c r="CE126" s="55"/>
      <c r="CF126" s="56"/>
      <c r="CG126" s="611"/>
      <c r="CH126" s="611"/>
      <c r="CI126" s="56">
        <v>270504</v>
      </c>
      <c r="CJ126" s="55"/>
      <c r="CK126" s="56"/>
      <c r="CL126" s="611"/>
      <c r="CM126" s="611"/>
      <c r="CN126" s="56">
        <v>256347</v>
      </c>
      <c r="CO126" s="55"/>
      <c r="CP126" s="56"/>
      <c r="CQ126" s="611"/>
      <c r="CR126" s="611"/>
      <c r="CS126" s="56">
        <v>664184</v>
      </c>
      <c r="CT126" s="55"/>
      <c r="CU126" s="56"/>
      <c r="CV126" s="611"/>
      <c r="CW126" s="611"/>
      <c r="CX126" s="56">
        <v>150121</v>
      </c>
      <c r="CY126" s="55"/>
      <c r="CZ126" s="56"/>
      <c r="DA126" s="611"/>
      <c r="DB126" s="611"/>
      <c r="DC126" s="56">
        <v>0</v>
      </c>
      <c r="DD126" s="55"/>
      <c r="DE126" s="56"/>
      <c r="DF126" s="611"/>
      <c r="DG126" s="611"/>
      <c r="DH126" s="56">
        <v>580016</v>
      </c>
      <c r="DI126" s="55"/>
      <c r="DJ126" s="56"/>
      <c r="DK126" s="611"/>
      <c r="DL126" s="611"/>
      <c r="DM126" s="56">
        <v>341887</v>
      </c>
      <c r="DN126" s="55"/>
      <c r="DO126" s="56"/>
      <c r="DP126" s="611"/>
      <c r="DQ126" s="611"/>
      <c r="DR126" s="56">
        <v>571332</v>
      </c>
      <c r="DS126" s="55"/>
      <c r="DT126" s="56"/>
      <c r="DU126" s="611"/>
      <c r="DV126" s="611"/>
      <c r="DW126" s="56">
        <v>154383</v>
      </c>
      <c r="DX126" s="55"/>
      <c r="DY126" s="56"/>
      <c r="DZ126" s="611"/>
      <c r="EA126" s="611"/>
      <c r="EB126" s="56">
        <v>655189</v>
      </c>
      <c r="EC126" s="55"/>
      <c r="ED126" s="56"/>
      <c r="EE126" s="611"/>
      <c r="EF126" s="611"/>
      <c r="EG126" s="56">
        <v>0</v>
      </c>
      <c r="EH126" s="55"/>
      <c r="EI126" s="56"/>
      <c r="EJ126" s="611"/>
      <c r="EK126" s="611"/>
      <c r="EL126" s="56">
        <f t="shared" si="13"/>
        <v>2989476</v>
      </c>
      <c r="EM126" s="55"/>
      <c r="EN126" s="56"/>
      <c r="EO126" s="144"/>
      <c r="ER126" s="42"/>
      <c r="ES126" s="42"/>
    </row>
    <row r="127" spans="4:149" ht="12.75" customHeight="1" x14ac:dyDescent="0.3">
      <c r="D127" s="144" t="s">
        <v>340</v>
      </c>
      <c r="F127" s="513"/>
      <c r="G127" s="117">
        <v>0</v>
      </c>
      <c r="H127" s="116"/>
      <c r="I127" s="56"/>
      <c r="J127" s="611"/>
      <c r="K127" s="513"/>
      <c r="L127" s="117">
        <v>0</v>
      </c>
      <c r="M127" s="116"/>
      <c r="N127" s="56"/>
      <c r="O127" s="611"/>
      <c r="P127" s="620"/>
      <c r="Q127" s="117">
        <v>0</v>
      </c>
      <c r="R127" s="116"/>
      <c r="S127" s="56"/>
      <c r="T127" s="611"/>
      <c r="U127" s="620"/>
      <c r="V127" s="117">
        <v>0</v>
      </c>
      <c r="W127" s="116"/>
      <c r="X127" s="56"/>
      <c r="Y127" s="611"/>
      <c r="Z127" s="620"/>
      <c r="AA127" s="117">
        <v>0</v>
      </c>
      <c r="AB127" s="116"/>
      <c r="AC127" s="56"/>
      <c r="AD127" s="611"/>
      <c r="AE127" s="620"/>
      <c r="AF127" s="117">
        <v>0</v>
      </c>
      <c r="AG127" s="116"/>
      <c r="AH127" s="56"/>
      <c r="AI127" s="611"/>
      <c r="AJ127" s="620"/>
      <c r="AK127" s="117">
        <v>0</v>
      </c>
      <c r="AL127" s="116"/>
      <c r="AM127" s="56"/>
      <c r="AN127" s="611"/>
      <c r="AO127" s="620"/>
      <c r="AP127" s="117">
        <v>0</v>
      </c>
      <c r="AQ127" s="116"/>
      <c r="AR127" s="56"/>
      <c r="AS127" s="611"/>
      <c r="AT127" s="620"/>
      <c r="AU127" s="117">
        <v>0</v>
      </c>
      <c r="AV127" s="116"/>
      <c r="AW127" s="56"/>
      <c r="AX127" s="611"/>
      <c r="AY127" s="620"/>
      <c r="AZ127" s="117">
        <v>0</v>
      </c>
      <c r="BA127" s="116"/>
      <c r="BB127" s="56"/>
      <c r="BC127" s="611"/>
      <c r="BD127" s="620"/>
      <c r="BE127" s="117">
        <v>0</v>
      </c>
      <c r="BF127" s="116"/>
      <c r="BG127" s="56"/>
      <c r="BH127" s="611"/>
      <c r="BI127" s="620"/>
      <c r="BJ127" s="117">
        <v>0</v>
      </c>
      <c r="BK127" s="116"/>
      <c r="BL127" s="56"/>
      <c r="BM127" s="611"/>
      <c r="BN127" s="620"/>
      <c r="BO127" s="117">
        <v>0</v>
      </c>
      <c r="BP127" s="116"/>
      <c r="BQ127" s="56"/>
      <c r="BR127" s="611"/>
      <c r="BS127" s="620"/>
      <c r="BT127" s="117">
        <f>SUM(L127:BO127)</f>
        <v>0</v>
      </c>
      <c r="BU127" s="116"/>
      <c r="BV127" s="56"/>
      <c r="BW127" s="611"/>
      <c r="BX127" s="620"/>
      <c r="BY127" s="117">
        <v>0</v>
      </c>
      <c r="BZ127" s="116"/>
      <c r="CA127" s="56"/>
      <c r="CB127" s="611"/>
      <c r="CC127" s="513"/>
      <c r="CD127" s="117">
        <v>0</v>
      </c>
      <c r="CE127" s="116"/>
      <c r="CF127" s="56"/>
      <c r="CG127" s="611"/>
      <c r="CH127" s="620"/>
      <c r="CI127" s="117">
        <v>0</v>
      </c>
      <c r="CJ127" s="116"/>
      <c r="CK127" s="56"/>
      <c r="CL127" s="611"/>
      <c r="CM127" s="620"/>
      <c r="CN127" s="117">
        <v>0</v>
      </c>
      <c r="CO127" s="116"/>
      <c r="CP127" s="56"/>
      <c r="CQ127" s="611"/>
      <c r="CR127" s="620"/>
      <c r="CS127" s="117">
        <v>0</v>
      </c>
      <c r="CT127" s="116"/>
      <c r="CU127" s="56"/>
      <c r="CV127" s="611"/>
      <c r="CW127" s="620"/>
      <c r="CX127" s="117">
        <v>0</v>
      </c>
      <c r="CY127" s="116"/>
      <c r="CZ127" s="56"/>
      <c r="DA127" s="611"/>
      <c r="DB127" s="620"/>
      <c r="DC127" s="117">
        <v>0</v>
      </c>
      <c r="DD127" s="116"/>
      <c r="DE127" s="56"/>
      <c r="DF127" s="611"/>
      <c r="DG127" s="620"/>
      <c r="DH127" s="117">
        <v>0</v>
      </c>
      <c r="DI127" s="116"/>
      <c r="DJ127" s="56"/>
      <c r="DK127" s="611"/>
      <c r="DL127" s="620"/>
      <c r="DM127" s="117">
        <v>0</v>
      </c>
      <c r="DN127" s="116"/>
      <c r="DO127" s="56"/>
      <c r="DP127" s="611"/>
      <c r="DQ127" s="620"/>
      <c r="DR127" s="117">
        <v>0</v>
      </c>
      <c r="DS127" s="116"/>
      <c r="DT127" s="56"/>
      <c r="DU127" s="611"/>
      <c r="DV127" s="620"/>
      <c r="DW127" s="117">
        <v>0</v>
      </c>
      <c r="DX127" s="116"/>
      <c r="DY127" s="56"/>
      <c r="DZ127" s="611"/>
      <c r="EA127" s="620"/>
      <c r="EB127" s="117">
        <v>0</v>
      </c>
      <c r="EC127" s="116"/>
      <c r="ED127" s="56"/>
      <c r="EE127" s="611"/>
      <c r="EF127" s="620"/>
      <c r="EG127" s="117">
        <v>0</v>
      </c>
      <c r="EH127" s="116"/>
      <c r="EI127" s="56"/>
      <c r="EJ127" s="611"/>
      <c r="EK127" s="620"/>
      <c r="EL127" s="117">
        <f t="shared" si="13"/>
        <v>0</v>
      </c>
      <c r="EM127" s="116"/>
      <c r="EN127" s="56"/>
      <c r="EO127" s="144"/>
      <c r="ER127" s="42"/>
      <c r="ES127" s="42"/>
    </row>
    <row r="128" spans="4:149" ht="12.75" customHeight="1" x14ac:dyDescent="0.3">
      <c r="D128" s="144"/>
      <c r="G128" s="56"/>
      <c r="H128" s="56"/>
      <c r="I128" s="56"/>
      <c r="J128" s="611"/>
      <c r="K128" s="56"/>
      <c r="L128" s="56"/>
      <c r="M128" s="56"/>
      <c r="N128" s="56"/>
      <c r="O128" s="611"/>
      <c r="P128" s="56"/>
      <c r="Q128" s="56"/>
      <c r="R128" s="56"/>
      <c r="S128" s="56"/>
      <c r="T128" s="611"/>
      <c r="U128" s="56"/>
      <c r="V128" s="56"/>
      <c r="W128" s="56"/>
      <c r="X128" s="56"/>
      <c r="Y128" s="611"/>
      <c r="Z128" s="56"/>
      <c r="AA128" s="56"/>
      <c r="AB128" s="56"/>
      <c r="AC128" s="56"/>
      <c r="AD128" s="611"/>
      <c r="AE128" s="56"/>
      <c r="AF128" s="56"/>
      <c r="AG128" s="56"/>
      <c r="AH128" s="56"/>
      <c r="AI128" s="611"/>
      <c r="AJ128" s="56"/>
      <c r="AK128" s="56"/>
      <c r="AL128" s="56"/>
      <c r="AM128" s="56"/>
      <c r="AN128" s="611"/>
      <c r="AO128" s="56"/>
      <c r="AP128" s="56"/>
      <c r="AQ128" s="56"/>
      <c r="AR128" s="56"/>
      <c r="AS128" s="611"/>
      <c r="AT128" s="56"/>
      <c r="AU128" s="56"/>
      <c r="AV128" s="56"/>
      <c r="AW128" s="56"/>
      <c r="AX128" s="611"/>
      <c r="AY128" s="56"/>
      <c r="AZ128" s="56"/>
      <c r="BA128" s="56"/>
      <c r="BB128" s="56"/>
      <c r="BC128" s="611"/>
      <c r="BD128" s="56"/>
      <c r="BE128" s="56"/>
      <c r="BF128" s="56"/>
      <c r="BG128" s="56"/>
      <c r="BH128" s="611"/>
      <c r="BI128" s="56"/>
      <c r="BJ128" s="56"/>
      <c r="BK128" s="56"/>
      <c r="BL128" s="56"/>
      <c r="BM128" s="611"/>
      <c r="BN128" s="56"/>
      <c r="BO128" s="56"/>
      <c r="BP128" s="56"/>
      <c r="BQ128" s="56"/>
      <c r="BR128" s="611"/>
      <c r="BS128" s="56"/>
      <c r="BT128" s="56"/>
      <c r="BU128" s="56"/>
      <c r="BV128" s="56"/>
      <c r="BW128" s="611"/>
      <c r="BX128" s="56"/>
      <c r="BY128" s="56"/>
      <c r="BZ128" s="56"/>
      <c r="CA128" s="56"/>
      <c r="CB128" s="611"/>
      <c r="CC128" s="56"/>
      <c r="CD128" s="56"/>
      <c r="CE128" s="56"/>
      <c r="CF128" s="56"/>
      <c r="CG128" s="611"/>
      <c r="CH128" s="56"/>
      <c r="CI128" s="56"/>
      <c r="CJ128" s="56"/>
      <c r="CK128" s="56"/>
      <c r="CL128" s="611"/>
      <c r="CM128" s="56"/>
      <c r="CN128" s="56"/>
      <c r="CO128" s="56"/>
      <c r="CP128" s="56"/>
      <c r="CQ128" s="611"/>
      <c r="CR128" s="56"/>
      <c r="CS128" s="56"/>
      <c r="CT128" s="56"/>
      <c r="CU128" s="56"/>
      <c r="CV128" s="611"/>
      <c r="CW128" s="56"/>
      <c r="CX128" s="56"/>
      <c r="CY128" s="56"/>
      <c r="CZ128" s="56"/>
      <c r="DA128" s="611"/>
      <c r="DB128" s="56"/>
      <c r="DC128" s="56"/>
      <c r="DD128" s="56"/>
      <c r="DE128" s="56"/>
      <c r="DF128" s="611"/>
      <c r="DG128" s="56"/>
      <c r="DH128" s="56"/>
      <c r="DI128" s="56"/>
      <c r="DJ128" s="56"/>
      <c r="DK128" s="611"/>
      <c r="DL128" s="56"/>
      <c r="DM128" s="56"/>
      <c r="DN128" s="56"/>
      <c r="DO128" s="56"/>
      <c r="DP128" s="611"/>
      <c r="DQ128" s="56"/>
      <c r="DR128" s="56"/>
      <c r="DS128" s="56"/>
      <c r="DT128" s="56"/>
      <c r="DU128" s="611"/>
      <c r="DV128" s="56"/>
      <c r="DW128" s="56"/>
      <c r="DX128" s="56"/>
      <c r="DY128" s="56"/>
      <c r="DZ128" s="611"/>
      <c r="EA128" s="56"/>
      <c r="EB128" s="56"/>
      <c r="EC128" s="56"/>
      <c r="ED128" s="56"/>
      <c r="EE128" s="611"/>
      <c r="EF128" s="56"/>
      <c r="EG128" s="56"/>
      <c r="EH128" s="56"/>
      <c r="EI128" s="56"/>
      <c r="EJ128" s="611"/>
      <c r="EK128" s="56"/>
      <c r="EL128" s="56"/>
      <c r="EM128" s="56"/>
      <c r="EN128" s="56"/>
      <c r="EO128" s="144"/>
      <c r="ER128" s="42"/>
      <c r="ES128" s="42"/>
    </row>
    <row r="129" spans="4:149" ht="12.75" hidden="1" customHeight="1" x14ac:dyDescent="0.3">
      <c r="D129" s="144" t="s">
        <v>360</v>
      </c>
      <c r="G129" s="56">
        <f>SUM(G130:G132)</f>
        <v>0</v>
      </c>
      <c r="H129" s="56"/>
      <c r="I129" s="56"/>
      <c r="J129" s="611"/>
      <c r="K129" s="56"/>
      <c r="L129" s="56">
        <f>SUM(L130:L132)</f>
        <v>0</v>
      </c>
      <c r="M129" s="56"/>
      <c r="N129" s="56"/>
      <c r="O129" s="611"/>
      <c r="P129" s="56"/>
      <c r="Q129" s="56">
        <f>SUM(Q130:Q132)</f>
        <v>0</v>
      </c>
      <c r="R129" s="56"/>
      <c r="S129" s="56"/>
      <c r="T129" s="611"/>
      <c r="U129" s="56"/>
      <c r="V129" s="56">
        <f>SUM(V130:V132)</f>
        <v>0</v>
      </c>
      <c r="W129" s="56"/>
      <c r="X129" s="56"/>
      <c r="Y129" s="611"/>
      <c r="Z129" s="56"/>
      <c r="AA129" s="56">
        <f>SUM(AA130:AA132)</f>
        <v>0</v>
      </c>
      <c r="AB129" s="56"/>
      <c r="AC129" s="56"/>
      <c r="AD129" s="611"/>
      <c r="AE129" s="56"/>
      <c r="AF129" s="56">
        <f>SUM(AF130:AF132)</f>
        <v>0</v>
      </c>
      <c r="AG129" s="56"/>
      <c r="AH129" s="56"/>
      <c r="AI129" s="611"/>
      <c r="AJ129" s="56"/>
      <c r="AK129" s="56">
        <f>SUM(AK130:AK132)</f>
        <v>0</v>
      </c>
      <c r="AL129" s="56"/>
      <c r="AM129" s="56"/>
      <c r="AN129" s="611"/>
      <c r="AO129" s="56"/>
      <c r="AP129" s="56">
        <f>SUM(AP130:AP132)</f>
        <v>0</v>
      </c>
      <c r="AQ129" s="56"/>
      <c r="AR129" s="56"/>
      <c r="AS129" s="611"/>
      <c r="AT129" s="56"/>
      <c r="AU129" s="56">
        <f>SUM(AU130:AU132)</f>
        <v>0</v>
      </c>
      <c r="AV129" s="56"/>
      <c r="AW129" s="56"/>
      <c r="AX129" s="611"/>
      <c r="AY129" s="56"/>
      <c r="AZ129" s="56">
        <f>SUM(AZ130:AZ132)</f>
        <v>0</v>
      </c>
      <c r="BA129" s="56"/>
      <c r="BB129" s="56"/>
      <c r="BC129" s="611"/>
      <c r="BD129" s="56"/>
      <c r="BE129" s="56">
        <f>SUM(BE130:BE132)</f>
        <v>0</v>
      </c>
      <c r="BF129" s="56"/>
      <c r="BG129" s="56"/>
      <c r="BH129" s="611"/>
      <c r="BI129" s="56"/>
      <c r="BJ129" s="56">
        <f>SUM(BJ130:BJ132)</f>
        <v>0</v>
      </c>
      <c r="BK129" s="56"/>
      <c r="BL129" s="56"/>
      <c r="BM129" s="611"/>
      <c r="BN129" s="56"/>
      <c r="BO129" s="56">
        <f>SUM(BO130:BO132)</f>
        <v>0</v>
      </c>
      <c r="BP129" s="56"/>
      <c r="BQ129" s="56"/>
      <c r="BR129" s="611"/>
      <c r="BS129" s="56"/>
      <c r="BT129" s="56">
        <f>SUM(BT130:BT132)</f>
        <v>0</v>
      </c>
      <c r="BU129" s="56"/>
      <c r="BV129" s="56"/>
      <c r="BW129" s="611"/>
      <c r="BX129" s="56"/>
      <c r="BY129" s="56">
        <f>SUM(BY130:BY132)</f>
        <v>0</v>
      </c>
      <c r="BZ129" s="56"/>
      <c r="CA129" s="56"/>
      <c r="CB129" s="611"/>
      <c r="CC129" s="56"/>
      <c r="CD129" s="56">
        <f>SUM(CD130:CD132)</f>
        <v>0</v>
      </c>
      <c r="CE129" s="56"/>
      <c r="CF129" s="56"/>
      <c r="CG129" s="611"/>
      <c r="CH129" s="56"/>
      <c r="CI129" s="56">
        <f>SUM(CI130:CI132)</f>
        <v>0</v>
      </c>
      <c r="CJ129" s="56"/>
      <c r="CK129" s="56"/>
      <c r="CL129" s="611"/>
      <c r="CM129" s="56"/>
      <c r="CN129" s="56">
        <f>SUM(CN130:CN132)</f>
        <v>0</v>
      </c>
      <c r="CO129" s="56"/>
      <c r="CP129" s="56"/>
      <c r="CQ129" s="611"/>
      <c r="CR129" s="56"/>
      <c r="CS129" s="56">
        <f>SUM(CS130:CS132)</f>
        <v>0</v>
      </c>
      <c r="CT129" s="56"/>
      <c r="CU129" s="56"/>
      <c r="CV129" s="611"/>
      <c r="CW129" s="56"/>
      <c r="CX129" s="56">
        <f>SUM(CX130:CX132)</f>
        <v>0</v>
      </c>
      <c r="CY129" s="56"/>
      <c r="CZ129" s="56"/>
      <c r="DA129" s="611"/>
      <c r="DB129" s="56"/>
      <c r="DC129" s="56">
        <f>SUM(DC130:DC132)</f>
        <v>0</v>
      </c>
      <c r="DD129" s="56"/>
      <c r="DE129" s="56"/>
      <c r="DF129" s="611"/>
      <c r="DG129" s="56"/>
      <c r="DH129" s="56">
        <f>SUM(DH130:DH132)</f>
        <v>0</v>
      </c>
      <c r="DI129" s="56"/>
      <c r="DJ129" s="56"/>
      <c r="DK129" s="611"/>
      <c r="DL129" s="56"/>
      <c r="DM129" s="56">
        <f>SUM(DM130:DM132)</f>
        <v>0</v>
      </c>
      <c r="DN129" s="56"/>
      <c r="DO129" s="56"/>
      <c r="DP129" s="611"/>
      <c r="DQ129" s="56"/>
      <c r="DR129" s="56">
        <f>SUM(DR130:DR132)</f>
        <v>0</v>
      </c>
      <c r="DS129" s="56"/>
      <c r="DT129" s="56"/>
      <c r="DU129" s="611"/>
      <c r="DV129" s="56"/>
      <c r="DW129" s="56">
        <f>SUM(DW130:DW132)</f>
        <v>0</v>
      </c>
      <c r="DX129" s="56"/>
      <c r="DY129" s="56"/>
      <c r="DZ129" s="611"/>
      <c r="EA129" s="56"/>
      <c r="EB129" s="56">
        <f>SUM(EB130:EB132)</f>
        <v>0</v>
      </c>
      <c r="EC129" s="56"/>
      <c r="ED129" s="56"/>
      <c r="EE129" s="611"/>
      <c r="EF129" s="56"/>
      <c r="EG129" s="56">
        <f>SUM(EG130:EG132)</f>
        <v>0</v>
      </c>
      <c r="EH129" s="56"/>
      <c r="EI129" s="56"/>
      <c r="EJ129" s="611"/>
      <c r="EK129" s="56"/>
      <c r="EL129" s="56">
        <f>SUM(EL130:EL132)</f>
        <v>0</v>
      </c>
      <c r="EM129" s="56"/>
      <c r="EN129" s="56"/>
      <c r="EO129" s="144"/>
      <c r="ER129" s="42"/>
      <c r="ES129" s="42"/>
    </row>
    <row r="130" spans="4:149" ht="12.75" hidden="1" customHeight="1" x14ac:dyDescent="0.3">
      <c r="D130" s="144" t="s">
        <v>335</v>
      </c>
      <c r="F130" s="500"/>
      <c r="G130" s="609">
        <v>0</v>
      </c>
      <c r="H130" s="610"/>
      <c r="I130" s="56"/>
      <c r="J130" s="611"/>
      <c r="K130" s="500"/>
      <c r="L130" s="609">
        <v>0</v>
      </c>
      <c r="M130" s="610"/>
      <c r="N130" s="56"/>
      <c r="O130" s="611"/>
      <c r="P130" s="500"/>
      <c r="Q130" s="609">
        <v>0</v>
      </c>
      <c r="R130" s="610"/>
      <c r="S130" s="56"/>
      <c r="T130" s="611"/>
      <c r="U130" s="500"/>
      <c r="V130" s="609">
        <v>0</v>
      </c>
      <c r="W130" s="610"/>
      <c r="X130" s="56"/>
      <c r="Y130" s="611"/>
      <c r="Z130" s="500"/>
      <c r="AA130" s="609">
        <v>0</v>
      </c>
      <c r="AB130" s="610"/>
      <c r="AC130" s="56"/>
      <c r="AD130" s="611"/>
      <c r="AE130" s="500"/>
      <c r="AF130" s="609">
        <v>0</v>
      </c>
      <c r="AG130" s="610"/>
      <c r="AH130" s="56"/>
      <c r="AI130" s="611"/>
      <c r="AJ130" s="500"/>
      <c r="AK130" s="609">
        <v>0</v>
      </c>
      <c r="AL130" s="610"/>
      <c r="AM130" s="56"/>
      <c r="AN130" s="611"/>
      <c r="AO130" s="500"/>
      <c r="AP130" s="609">
        <v>0</v>
      </c>
      <c r="AQ130" s="610"/>
      <c r="AR130" s="56"/>
      <c r="AS130" s="611"/>
      <c r="AT130" s="612"/>
      <c r="AU130" s="609">
        <v>0</v>
      </c>
      <c r="AV130" s="610"/>
      <c r="AW130" s="56"/>
      <c r="AX130" s="611"/>
      <c r="AY130" s="612"/>
      <c r="AZ130" s="609">
        <v>0</v>
      </c>
      <c r="BA130" s="610"/>
      <c r="BB130" s="56"/>
      <c r="BC130" s="611"/>
      <c r="BD130" s="612"/>
      <c r="BE130" s="609">
        <v>0</v>
      </c>
      <c r="BF130" s="610"/>
      <c r="BG130" s="56"/>
      <c r="BH130" s="611"/>
      <c r="BI130" s="612"/>
      <c r="BJ130" s="609">
        <v>0</v>
      </c>
      <c r="BK130" s="610"/>
      <c r="BL130" s="56"/>
      <c r="BM130" s="611"/>
      <c r="BN130" s="612"/>
      <c r="BO130" s="609">
        <v>0</v>
      </c>
      <c r="BP130" s="610"/>
      <c r="BQ130" s="56"/>
      <c r="BR130" s="611"/>
      <c r="BS130" s="612"/>
      <c r="BT130" s="609">
        <f>SUM(L130:BO130)</f>
        <v>0</v>
      </c>
      <c r="BU130" s="610"/>
      <c r="BV130" s="56"/>
      <c r="BW130" s="611"/>
      <c r="BX130" s="612"/>
      <c r="BY130" s="609">
        <v>0</v>
      </c>
      <c r="BZ130" s="610"/>
      <c r="CA130" s="56"/>
      <c r="CB130" s="611"/>
      <c r="CC130" s="500"/>
      <c r="CD130" s="609">
        <v>0</v>
      </c>
      <c r="CE130" s="610"/>
      <c r="CF130" s="56"/>
      <c r="CG130" s="611"/>
      <c r="CH130" s="500"/>
      <c r="CI130" s="609">
        <v>0</v>
      </c>
      <c r="CJ130" s="610"/>
      <c r="CK130" s="56"/>
      <c r="CL130" s="611"/>
      <c r="CM130" s="500"/>
      <c r="CN130" s="609">
        <v>0</v>
      </c>
      <c r="CO130" s="610"/>
      <c r="CP130" s="56"/>
      <c r="CQ130" s="611"/>
      <c r="CR130" s="500"/>
      <c r="CS130" s="609">
        <v>0</v>
      </c>
      <c r="CT130" s="610"/>
      <c r="CU130" s="56"/>
      <c r="CV130" s="611"/>
      <c r="CW130" s="500"/>
      <c r="CX130" s="609">
        <v>0</v>
      </c>
      <c r="CY130" s="610"/>
      <c r="CZ130" s="56"/>
      <c r="DA130" s="611"/>
      <c r="DB130" s="500"/>
      <c r="DC130" s="609">
        <v>0</v>
      </c>
      <c r="DD130" s="610"/>
      <c r="DE130" s="56"/>
      <c r="DF130" s="611"/>
      <c r="DG130" s="500"/>
      <c r="DH130" s="609">
        <v>0</v>
      </c>
      <c r="DI130" s="610"/>
      <c r="DJ130" s="56"/>
      <c r="DK130" s="611"/>
      <c r="DL130" s="612"/>
      <c r="DM130" s="609">
        <v>0</v>
      </c>
      <c r="DN130" s="610"/>
      <c r="DO130" s="56"/>
      <c r="DP130" s="611"/>
      <c r="DQ130" s="612"/>
      <c r="DR130" s="609">
        <v>0</v>
      </c>
      <c r="DS130" s="610"/>
      <c r="DT130" s="56"/>
      <c r="DU130" s="611"/>
      <c r="DV130" s="612"/>
      <c r="DW130" s="609">
        <v>0</v>
      </c>
      <c r="DX130" s="610"/>
      <c r="DY130" s="56"/>
      <c r="DZ130" s="611"/>
      <c r="EA130" s="612"/>
      <c r="EB130" s="609">
        <v>0</v>
      </c>
      <c r="EC130" s="610"/>
      <c r="ED130" s="56"/>
      <c r="EE130" s="611"/>
      <c r="EF130" s="612"/>
      <c r="EG130" s="609">
        <v>0</v>
      </c>
      <c r="EH130" s="610"/>
      <c r="EI130" s="56"/>
      <c r="EJ130" s="611"/>
      <c r="EK130" s="612"/>
      <c r="EL130" s="609">
        <f>SUM(CD130:CD130)</f>
        <v>0</v>
      </c>
      <c r="EM130" s="610"/>
      <c r="EN130" s="56"/>
      <c r="EO130" s="144"/>
      <c r="ER130" s="42"/>
      <c r="ES130" s="42"/>
    </row>
    <row r="131" spans="4:149" ht="12.75" hidden="1" customHeight="1" x14ac:dyDescent="0.3">
      <c r="D131" s="144" t="s">
        <v>338</v>
      </c>
      <c r="F131" s="494"/>
      <c r="G131" s="56">
        <v>0</v>
      </c>
      <c r="H131" s="55"/>
      <c r="I131" s="56"/>
      <c r="J131" s="611"/>
      <c r="K131" s="494"/>
      <c r="L131" s="56">
        <v>0</v>
      </c>
      <c r="M131" s="55"/>
      <c r="N131" s="56"/>
      <c r="O131" s="611"/>
      <c r="P131" s="494"/>
      <c r="Q131" s="56">
        <v>0</v>
      </c>
      <c r="R131" s="55"/>
      <c r="S131" s="56"/>
      <c r="T131" s="611"/>
      <c r="U131" s="494"/>
      <c r="V131" s="56">
        <v>0</v>
      </c>
      <c r="W131" s="55"/>
      <c r="X131" s="56"/>
      <c r="Y131" s="611"/>
      <c r="Z131" s="494"/>
      <c r="AA131" s="56">
        <v>0</v>
      </c>
      <c r="AB131" s="55"/>
      <c r="AC131" s="56"/>
      <c r="AD131" s="611"/>
      <c r="AE131" s="494"/>
      <c r="AF131" s="56">
        <v>0</v>
      </c>
      <c r="AG131" s="55"/>
      <c r="AH131" s="56"/>
      <c r="AI131" s="611"/>
      <c r="AJ131" s="494"/>
      <c r="AK131" s="56">
        <v>0</v>
      </c>
      <c r="AL131" s="55"/>
      <c r="AM131" s="56"/>
      <c r="AN131" s="611"/>
      <c r="AO131" s="494"/>
      <c r="AP131" s="56">
        <v>0</v>
      </c>
      <c r="AQ131" s="55"/>
      <c r="AR131" s="56"/>
      <c r="AS131" s="611"/>
      <c r="AT131" s="611"/>
      <c r="AU131" s="56">
        <v>0</v>
      </c>
      <c r="AV131" s="55"/>
      <c r="AW131" s="56"/>
      <c r="AX131" s="611"/>
      <c r="AY131" s="611"/>
      <c r="AZ131" s="56">
        <v>0</v>
      </c>
      <c r="BA131" s="55"/>
      <c r="BB131" s="56"/>
      <c r="BC131" s="611"/>
      <c r="BD131" s="611"/>
      <c r="BE131" s="56">
        <v>0</v>
      </c>
      <c r="BF131" s="55"/>
      <c r="BG131" s="56"/>
      <c r="BH131" s="611"/>
      <c r="BI131" s="611"/>
      <c r="BJ131" s="56">
        <v>0</v>
      </c>
      <c r="BK131" s="55"/>
      <c r="BL131" s="56"/>
      <c r="BM131" s="611"/>
      <c r="BN131" s="611"/>
      <c r="BO131" s="56">
        <v>0</v>
      </c>
      <c r="BP131" s="55"/>
      <c r="BQ131" s="56"/>
      <c r="BR131" s="611"/>
      <c r="BS131" s="611"/>
      <c r="BT131" s="56">
        <f>SUM(L131:BO131)</f>
        <v>0</v>
      </c>
      <c r="BU131" s="55"/>
      <c r="BV131" s="56"/>
      <c r="BW131" s="611"/>
      <c r="BX131" s="611"/>
      <c r="BY131" s="56">
        <v>0</v>
      </c>
      <c r="BZ131" s="55"/>
      <c r="CA131" s="56"/>
      <c r="CB131" s="611"/>
      <c r="CC131" s="494"/>
      <c r="CD131" s="56">
        <v>0</v>
      </c>
      <c r="CE131" s="55"/>
      <c r="CF131" s="56"/>
      <c r="CG131" s="611"/>
      <c r="CH131" s="494"/>
      <c r="CI131" s="56">
        <v>0</v>
      </c>
      <c r="CJ131" s="55"/>
      <c r="CK131" s="56"/>
      <c r="CL131" s="611"/>
      <c r="CM131" s="494"/>
      <c r="CN131" s="56">
        <v>0</v>
      </c>
      <c r="CO131" s="55"/>
      <c r="CP131" s="56"/>
      <c r="CQ131" s="611"/>
      <c r="CR131" s="494"/>
      <c r="CS131" s="56">
        <v>0</v>
      </c>
      <c r="CT131" s="55"/>
      <c r="CU131" s="56"/>
      <c r="CV131" s="611"/>
      <c r="CW131" s="494"/>
      <c r="CX131" s="56">
        <v>0</v>
      </c>
      <c r="CY131" s="55"/>
      <c r="CZ131" s="56"/>
      <c r="DA131" s="611"/>
      <c r="DB131" s="494"/>
      <c r="DC131" s="56">
        <v>0</v>
      </c>
      <c r="DD131" s="55"/>
      <c r="DE131" s="56"/>
      <c r="DF131" s="611"/>
      <c r="DG131" s="494"/>
      <c r="DH131" s="56">
        <v>0</v>
      </c>
      <c r="DI131" s="55"/>
      <c r="DJ131" s="56"/>
      <c r="DK131" s="611"/>
      <c r="DL131" s="611"/>
      <c r="DM131" s="56">
        <v>0</v>
      </c>
      <c r="DN131" s="55"/>
      <c r="DO131" s="56"/>
      <c r="DP131" s="611"/>
      <c r="DQ131" s="611"/>
      <c r="DR131" s="56">
        <v>0</v>
      </c>
      <c r="DS131" s="55"/>
      <c r="DT131" s="56"/>
      <c r="DU131" s="611"/>
      <c r="DV131" s="611"/>
      <c r="DW131" s="56">
        <v>0</v>
      </c>
      <c r="DX131" s="55"/>
      <c r="DY131" s="56"/>
      <c r="DZ131" s="611"/>
      <c r="EA131" s="611"/>
      <c r="EB131" s="56">
        <v>0</v>
      </c>
      <c r="EC131" s="55"/>
      <c r="ED131" s="56"/>
      <c r="EE131" s="611"/>
      <c r="EF131" s="611"/>
      <c r="EG131" s="56">
        <v>0</v>
      </c>
      <c r="EH131" s="55"/>
      <c r="EI131" s="56"/>
      <c r="EJ131" s="611"/>
      <c r="EK131" s="611"/>
      <c r="EL131" s="56">
        <f>SUM(CD131:CD131)</f>
        <v>0</v>
      </c>
      <c r="EM131" s="55"/>
      <c r="EN131" s="56"/>
      <c r="EO131" s="144"/>
      <c r="ER131" s="42"/>
      <c r="ES131" s="42"/>
    </row>
    <row r="132" spans="4:149" ht="12.75" hidden="1" customHeight="1" x14ac:dyDescent="0.3">
      <c r="D132" s="144" t="s">
        <v>339</v>
      </c>
      <c r="F132" s="513"/>
      <c r="G132" s="117">
        <v>0</v>
      </c>
      <c r="H132" s="116"/>
      <c r="I132" s="56"/>
      <c r="J132" s="611"/>
      <c r="K132" s="513"/>
      <c r="L132" s="117">
        <v>0</v>
      </c>
      <c r="M132" s="116"/>
      <c r="N132" s="56"/>
      <c r="O132" s="611"/>
      <c r="P132" s="513"/>
      <c r="Q132" s="117">
        <v>0</v>
      </c>
      <c r="R132" s="116"/>
      <c r="S132" s="56"/>
      <c r="T132" s="611"/>
      <c r="U132" s="513"/>
      <c r="V132" s="117">
        <v>0</v>
      </c>
      <c r="W132" s="116"/>
      <c r="X132" s="56"/>
      <c r="Y132" s="611"/>
      <c r="Z132" s="513"/>
      <c r="AA132" s="117">
        <v>0</v>
      </c>
      <c r="AB132" s="116"/>
      <c r="AC132" s="56"/>
      <c r="AD132" s="611"/>
      <c r="AE132" s="513"/>
      <c r="AF132" s="117">
        <v>0</v>
      </c>
      <c r="AG132" s="116"/>
      <c r="AH132" s="56"/>
      <c r="AI132" s="611"/>
      <c r="AJ132" s="513"/>
      <c r="AK132" s="117">
        <v>0</v>
      </c>
      <c r="AL132" s="116"/>
      <c r="AM132" s="56"/>
      <c r="AN132" s="611"/>
      <c r="AO132" s="513"/>
      <c r="AP132" s="117">
        <v>0</v>
      </c>
      <c r="AQ132" s="116"/>
      <c r="AR132" s="56"/>
      <c r="AS132" s="611"/>
      <c r="AT132" s="620"/>
      <c r="AU132" s="117">
        <v>0</v>
      </c>
      <c r="AV132" s="116"/>
      <c r="AW132" s="56"/>
      <c r="AX132" s="611"/>
      <c r="AY132" s="620"/>
      <c r="AZ132" s="117">
        <v>0</v>
      </c>
      <c r="BA132" s="116"/>
      <c r="BB132" s="56"/>
      <c r="BC132" s="611"/>
      <c r="BD132" s="620"/>
      <c r="BE132" s="117">
        <v>0</v>
      </c>
      <c r="BF132" s="116"/>
      <c r="BG132" s="56"/>
      <c r="BH132" s="611"/>
      <c r="BI132" s="620"/>
      <c r="BJ132" s="117">
        <v>0</v>
      </c>
      <c r="BK132" s="116"/>
      <c r="BL132" s="56"/>
      <c r="BM132" s="611"/>
      <c r="BN132" s="620"/>
      <c r="BO132" s="117">
        <v>0</v>
      </c>
      <c r="BP132" s="116"/>
      <c r="BQ132" s="56"/>
      <c r="BR132" s="611"/>
      <c r="BS132" s="620"/>
      <c r="BT132" s="117">
        <f>SUM(L132:BO132)</f>
        <v>0</v>
      </c>
      <c r="BU132" s="116"/>
      <c r="BV132" s="56"/>
      <c r="BW132" s="611"/>
      <c r="BX132" s="620"/>
      <c r="BY132" s="117">
        <v>0</v>
      </c>
      <c r="BZ132" s="116"/>
      <c r="CA132" s="56"/>
      <c r="CB132" s="611"/>
      <c r="CC132" s="513"/>
      <c r="CD132" s="117">
        <v>0</v>
      </c>
      <c r="CE132" s="116"/>
      <c r="CF132" s="56"/>
      <c r="CG132" s="611"/>
      <c r="CH132" s="513"/>
      <c r="CI132" s="117">
        <v>0</v>
      </c>
      <c r="CJ132" s="116"/>
      <c r="CK132" s="56"/>
      <c r="CL132" s="611"/>
      <c r="CM132" s="513"/>
      <c r="CN132" s="117">
        <v>0</v>
      </c>
      <c r="CO132" s="116"/>
      <c r="CP132" s="56"/>
      <c r="CQ132" s="611"/>
      <c r="CR132" s="513"/>
      <c r="CS132" s="117">
        <v>0</v>
      </c>
      <c r="CT132" s="116"/>
      <c r="CU132" s="56"/>
      <c r="CV132" s="611"/>
      <c r="CW132" s="513"/>
      <c r="CX132" s="117">
        <v>0</v>
      </c>
      <c r="CY132" s="116"/>
      <c r="CZ132" s="56"/>
      <c r="DA132" s="611"/>
      <c r="DB132" s="513"/>
      <c r="DC132" s="117">
        <v>0</v>
      </c>
      <c r="DD132" s="116"/>
      <c r="DE132" s="56"/>
      <c r="DF132" s="611"/>
      <c r="DG132" s="513"/>
      <c r="DH132" s="117">
        <v>0</v>
      </c>
      <c r="DI132" s="116"/>
      <c r="DJ132" s="56"/>
      <c r="DK132" s="611"/>
      <c r="DL132" s="620"/>
      <c r="DM132" s="117">
        <v>0</v>
      </c>
      <c r="DN132" s="116"/>
      <c r="DO132" s="56"/>
      <c r="DP132" s="611"/>
      <c r="DQ132" s="620"/>
      <c r="DR132" s="117">
        <v>0</v>
      </c>
      <c r="DS132" s="116"/>
      <c r="DT132" s="56"/>
      <c r="DU132" s="611"/>
      <c r="DV132" s="620"/>
      <c r="DW132" s="117">
        <v>0</v>
      </c>
      <c r="DX132" s="116"/>
      <c r="DY132" s="56"/>
      <c r="DZ132" s="611"/>
      <c r="EA132" s="620"/>
      <c r="EB132" s="117">
        <v>0</v>
      </c>
      <c r="EC132" s="116"/>
      <c r="ED132" s="56"/>
      <c r="EE132" s="611"/>
      <c r="EF132" s="620"/>
      <c r="EG132" s="117">
        <v>0</v>
      </c>
      <c r="EH132" s="116"/>
      <c r="EI132" s="56"/>
      <c r="EJ132" s="611"/>
      <c r="EK132" s="620"/>
      <c r="EL132" s="117">
        <f>SUM(CD132:CD132)</f>
        <v>0</v>
      </c>
      <c r="EM132" s="116"/>
      <c r="EN132" s="56"/>
      <c r="EO132" s="144"/>
      <c r="ER132" s="42"/>
      <c r="ES132" s="42"/>
    </row>
    <row r="133" spans="4:149" ht="12.75" hidden="1" customHeight="1" x14ac:dyDescent="0.3">
      <c r="D133" s="144"/>
      <c r="G133" s="56"/>
      <c r="H133" s="56"/>
      <c r="I133" s="56"/>
      <c r="J133" s="611"/>
      <c r="K133" s="56"/>
      <c r="L133" s="56"/>
      <c r="M133" s="56"/>
      <c r="N133" s="56"/>
      <c r="O133" s="611"/>
      <c r="P133" s="56"/>
      <c r="Q133" s="56"/>
      <c r="R133" s="56"/>
      <c r="S133" s="56"/>
      <c r="T133" s="611"/>
      <c r="U133" s="56"/>
      <c r="V133" s="56"/>
      <c r="W133" s="56"/>
      <c r="X133" s="56"/>
      <c r="Y133" s="611"/>
      <c r="Z133" s="56"/>
      <c r="AA133" s="56"/>
      <c r="AB133" s="56"/>
      <c r="AC133" s="56"/>
      <c r="AD133" s="611"/>
      <c r="AE133" s="56"/>
      <c r="AF133" s="56"/>
      <c r="AG133" s="56"/>
      <c r="AH133" s="56"/>
      <c r="AI133" s="611"/>
      <c r="AJ133" s="56"/>
      <c r="AK133" s="56"/>
      <c r="AL133" s="56"/>
      <c r="AM133" s="56"/>
      <c r="AN133" s="611"/>
      <c r="AO133" s="56"/>
      <c r="AP133" s="56"/>
      <c r="AQ133" s="56"/>
      <c r="AR133" s="56"/>
      <c r="AS133" s="611"/>
      <c r="AT133" s="56"/>
      <c r="AU133" s="56"/>
      <c r="AV133" s="56"/>
      <c r="AW133" s="56"/>
      <c r="AX133" s="611"/>
      <c r="AY133" s="56"/>
      <c r="AZ133" s="56"/>
      <c r="BA133" s="56"/>
      <c r="BB133" s="56"/>
      <c r="BC133" s="611"/>
      <c r="BD133" s="56"/>
      <c r="BE133" s="56"/>
      <c r="BF133" s="56"/>
      <c r="BG133" s="56"/>
      <c r="BH133" s="611"/>
      <c r="BI133" s="56"/>
      <c r="BJ133" s="56"/>
      <c r="BK133" s="56"/>
      <c r="BL133" s="56"/>
      <c r="BM133" s="611"/>
      <c r="BN133" s="56"/>
      <c r="BO133" s="56"/>
      <c r="BP133" s="56"/>
      <c r="BQ133" s="56"/>
      <c r="BR133" s="611"/>
      <c r="BS133" s="56"/>
      <c r="BT133" s="56"/>
      <c r="BU133" s="56"/>
      <c r="BV133" s="56"/>
      <c r="BW133" s="611"/>
      <c r="BX133" s="56"/>
      <c r="BY133" s="56"/>
      <c r="BZ133" s="56"/>
      <c r="CA133" s="56"/>
      <c r="CB133" s="611"/>
      <c r="CC133" s="56"/>
      <c r="CD133" s="56"/>
      <c r="CE133" s="56"/>
      <c r="CF133" s="56"/>
      <c r="CG133" s="611"/>
      <c r="CH133" s="56"/>
      <c r="CI133" s="56"/>
      <c r="CJ133" s="56"/>
      <c r="CK133" s="56"/>
      <c r="CL133" s="611"/>
      <c r="CM133" s="56"/>
      <c r="CN133" s="56"/>
      <c r="CO133" s="56"/>
      <c r="CP133" s="56"/>
      <c r="CQ133" s="611"/>
      <c r="CR133" s="56"/>
      <c r="CS133" s="56"/>
      <c r="CT133" s="56"/>
      <c r="CU133" s="56"/>
      <c r="CV133" s="611"/>
      <c r="CW133" s="56"/>
      <c r="CX133" s="56"/>
      <c r="CY133" s="56"/>
      <c r="CZ133" s="56"/>
      <c r="DA133" s="611"/>
      <c r="DB133" s="56"/>
      <c r="DC133" s="56"/>
      <c r="DD133" s="56"/>
      <c r="DE133" s="56"/>
      <c r="DF133" s="611"/>
      <c r="DG133" s="56"/>
      <c r="DH133" s="56"/>
      <c r="DI133" s="56"/>
      <c r="DJ133" s="56"/>
      <c r="DK133" s="611"/>
      <c r="DL133" s="56"/>
      <c r="DM133" s="56"/>
      <c r="DN133" s="56"/>
      <c r="DO133" s="56"/>
      <c r="DP133" s="611"/>
      <c r="DQ133" s="56"/>
      <c r="DR133" s="56"/>
      <c r="DS133" s="56"/>
      <c r="DT133" s="56"/>
      <c r="DU133" s="611"/>
      <c r="DV133" s="56"/>
      <c r="DW133" s="56"/>
      <c r="DX133" s="56"/>
      <c r="DY133" s="56"/>
      <c r="DZ133" s="611"/>
      <c r="EA133" s="56"/>
      <c r="EB133" s="56"/>
      <c r="EC133" s="56"/>
      <c r="ED133" s="56"/>
      <c r="EE133" s="611"/>
      <c r="EF133" s="56"/>
      <c r="EG133" s="56"/>
      <c r="EH133" s="56"/>
      <c r="EI133" s="56"/>
      <c r="EJ133" s="611"/>
      <c r="EK133" s="56"/>
      <c r="EL133" s="56"/>
      <c r="EM133" s="56"/>
      <c r="EN133" s="56"/>
      <c r="EO133" s="144"/>
      <c r="ER133" s="42"/>
      <c r="ES133" s="42"/>
    </row>
    <row r="134" spans="4:149" ht="12.75" customHeight="1" x14ac:dyDescent="0.3">
      <c r="D134" s="144" t="s">
        <v>361</v>
      </c>
      <c r="G134" s="56">
        <f>SUM(G135:G137)</f>
        <v>0</v>
      </c>
      <c r="H134" s="56"/>
      <c r="I134" s="56"/>
      <c r="J134" s="611"/>
      <c r="K134" s="56"/>
      <c r="L134" s="56">
        <f>SUM(L135:L137)</f>
        <v>1300520</v>
      </c>
      <c r="M134" s="56"/>
      <c r="N134" s="56"/>
      <c r="O134" s="611"/>
      <c r="P134" s="56"/>
      <c r="Q134" s="56">
        <f>SUM(Q135:Q137)</f>
        <v>2600000</v>
      </c>
      <c r="R134" s="56"/>
      <c r="S134" s="56"/>
      <c r="T134" s="611"/>
      <c r="U134" s="56"/>
      <c r="V134" s="56">
        <f>SUM(V135:V137)</f>
        <v>3336000</v>
      </c>
      <c r="W134" s="56"/>
      <c r="X134" s="56"/>
      <c r="Y134" s="611"/>
      <c r="Z134" s="56"/>
      <c r="AA134" s="56">
        <f>SUM(AA135:AA137)</f>
        <v>4993000</v>
      </c>
      <c r="AB134" s="56"/>
      <c r="AC134" s="56"/>
      <c r="AD134" s="611"/>
      <c r="AE134" s="56"/>
      <c r="AF134" s="56">
        <f>SUM(AF135:AF137)</f>
        <v>0</v>
      </c>
      <c r="AG134" s="56"/>
      <c r="AH134" s="56"/>
      <c r="AI134" s="611"/>
      <c r="AJ134" s="56"/>
      <c r="AK134" s="56">
        <f>SUM(AK135:AK137)</f>
        <v>1300000</v>
      </c>
      <c r="AL134" s="56"/>
      <c r="AM134" s="56"/>
      <c r="AN134" s="611"/>
      <c r="AO134" s="56"/>
      <c r="AP134" s="56">
        <f>SUM(AP135:AP137)</f>
        <v>1300000</v>
      </c>
      <c r="AQ134" s="56"/>
      <c r="AR134" s="56"/>
      <c r="AS134" s="611"/>
      <c r="AT134" s="56"/>
      <c r="AU134" s="56">
        <f>SUM(AU135:AU137)</f>
        <v>2594000</v>
      </c>
      <c r="AV134" s="56"/>
      <c r="AW134" s="56"/>
      <c r="AX134" s="611"/>
      <c r="AY134" s="56"/>
      <c r="AZ134" s="56">
        <f>SUM(AZ135:AZ137)</f>
        <v>0</v>
      </c>
      <c r="BA134" s="56"/>
      <c r="BB134" s="56"/>
      <c r="BC134" s="611"/>
      <c r="BD134" s="56"/>
      <c r="BE134" s="56">
        <f>SUM(BE135:BE137)</f>
        <v>0</v>
      </c>
      <c r="BF134" s="56"/>
      <c r="BG134" s="56"/>
      <c r="BH134" s="611"/>
      <c r="BI134" s="56"/>
      <c r="BJ134" s="56">
        <f>SUM(BJ135:BJ137)</f>
        <v>0</v>
      </c>
      <c r="BK134" s="56"/>
      <c r="BL134" s="56"/>
      <c r="BM134" s="611"/>
      <c r="BN134" s="56"/>
      <c r="BO134" s="56">
        <f>SUM(BO135:BO137)</f>
        <v>0</v>
      </c>
      <c r="BP134" s="56"/>
      <c r="BQ134" s="56"/>
      <c r="BR134" s="611"/>
      <c r="BS134" s="56"/>
      <c r="BT134" s="56">
        <f>SUM(BT135:BT137)</f>
        <v>17423520</v>
      </c>
      <c r="BU134" s="56"/>
      <c r="BV134" s="56"/>
      <c r="BW134" s="611"/>
      <c r="BX134" s="56"/>
      <c r="BY134" s="56">
        <f>SUM(BY135:BY137)</f>
        <v>27246490</v>
      </c>
      <c r="BZ134" s="56"/>
      <c r="CA134" s="56"/>
      <c r="CB134" s="611"/>
      <c r="CC134" s="56"/>
      <c r="CD134" s="56">
        <f>SUM(CD135:CD137)</f>
        <v>4796000</v>
      </c>
      <c r="CE134" s="56"/>
      <c r="CF134" s="56"/>
      <c r="CG134" s="611"/>
      <c r="CH134" s="56"/>
      <c r="CI134" s="56">
        <f>SUM(CI135:CI137)</f>
        <v>1940000</v>
      </c>
      <c r="CJ134" s="56"/>
      <c r="CK134" s="56"/>
      <c r="CL134" s="611"/>
      <c r="CM134" s="56"/>
      <c r="CN134" s="56">
        <f>SUM(CN135:CN137)</f>
        <v>0</v>
      </c>
      <c r="CO134" s="56"/>
      <c r="CP134" s="56"/>
      <c r="CQ134" s="611"/>
      <c r="CR134" s="56"/>
      <c r="CS134" s="56">
        <f>SUM(CS135:CS137)</f>
        <v>1300000</v>
      </c>
      <c r="CT134" s="56"/>
      <c r="CU134" s="56"/>
      <c r="CV134" s="611"/>
      <c r="CW134" s="56"/>
      <c r="CX134" s="56">
        <f>SUM(CX135:CX137)</f>
        <v>1947000</v>
      </c>
      <c r="CY134" s="56"/>
      <c r="CZ134" s="56"/>
      <c r="DA134" s="611"/>
      <c r="DB134" s="56"/>
      <c r="DC134" s="56">
        <f>SUM(DC135:DC137)</f>
        <v>6090000</v>
      </c>
      <c r="DD134" s="56"/>
      <c r="DE134" s="56"/>
      <c r="DF134" s="611"/>
      <c r="DG134" s="56"/>
      <c r="DH134" s="56">
        <f>SUM(DH135:DH137)</f>
        <v>3248000</v>
      </c>
      <c r="DI134" s="56"/>
      <c r="DJ134" s="56"/>
      <c r="DK134" s="611"/>
      <c r="DL134" s="56"/>
      <c r="DM134" s="56">
        <f>SUM(DM135:DM137)</f>
        <v>135490</v>
      </c>
      <c r="DN134" s="56"/>
      <c r="DO134" s="56"/>
      <c r="DP134" s="611"/>
      <c r="DQ134" s="56"/>
      <c r="DR134" s="56">
        <f>SUM(DR135:DR137)</f>
        <v>0</v>
      </c>
      <c r="DS134" s="56"/>
      <c r="DT134" s="56"/>
      <c r="DU134" s="611"/>
      <c r="DV134" s="56"/>
      <c r="DW134" s="56">
        <f>SUM(DW135:DW137)</f>
        <v>3896000</v>
      </c>
      <c r="DX134" s="56"/>
      <c r="DY134" s="56"/>
      <c r="DZ134" s="611"/>
      <c r="EA134" s="56"/>
      <c r="EB134" s="56">
        <f>SUM(EB135:EB137)</f>
        <v>0</v>
      </c>
      <c r="EC134" s="56"/>
      <c r="ED134" s="56"/>
      <c r="EE134" s="611"/>
      <c r="EF134" s="56"/>
      <c r="EG134" s="56">
        <f>SUM(EG135:EG137)</f>
        <v>3894000</v>
      </c>
      <c r="EH134" s="56"/>
      <c r="EI134" s="56"/>
      <c r="EJ134" s="611"/>
      <c r="EK134" s="56"/>
      <c r="EL134" s="56">
        <f>SUM(EL135:EL137)</f>
        <v>23352490</v>
      </c>
      <c r="EM134" s="56"/>
      <c r="EN134" s="56"/>
      <c r="EO134" s="144"/>
      <c r="ER134" s="42"/>
      <c r="ES134" s="42"/>
    </row>
    <row r="135" spans="4:149" ht="12.75" customHeight="1" x14ac:dyDescent="0.3">
      <c r="D135" s="144" t="s">
        <v>335</v>
      </c>
      <c r="F135" s="500"/>
      <c r="G135" s="609">
        <v>0</v>
      </c>
      <c r="H135" s="610"/>
      <c r="I135" s="56"/>
      <c r="J135" s="611"/>
      <c r="K135" s="612"/>
      <c r="L135" s="609">
        <f>1300520-211756</f>
        <v>1088764</v>
      </c>
      <c r="M135" s="610"/>
      <c r="N135" s="56"/>
      <c r="O135" s="611"/>
      <c r="P135" s="612"/>
      <c r="Q135" s="609">
        <f>2600000-463213</f>
        <v>2136787</v>
      </c>
      <c r="R135" s="610"/>
      <c r="S135" s="56"/>
      <c r="T135" s="611"/>
      <c r="U135" s="612"/>
      <c r="V135" s="609">
        <f>3336000-682685</f>
        <v>2653315</v>
      </c>
      <c r="W135" s="610"/>
      <c r="X135" s="56"/>
      <c r="Y135" s="611"/>
      <c r="Z135" s="612"/>
      <c r="AA135" s="609">
        <f>4993000-1121363</f>
        <v>3871637</v>
      </c>
      <c r="AB135" s="610"/>
      <c r="AC135" s="56"/>
      <c r="AD135" s="611"/>
      <c r="AE135" s="612"/>
      <c r="AF135" s="609">
        <v>0</v>
      </c>
      <c r="AG135" s="610"/>
      <c r="AH135" s="56"/>
      <c r="AI135" s="611"/>
      <c r="AJ135" s="612"/>
      <c r="AK135" s="609">
        <f>1300000-255341</f>
        <v>1044659</v>
      </c>
      <c r="AL135" s="610"/>
      <c r="AM135" s="56"/>
      <c r="AN135" s="611"/>
      <c r="AO135" s="612"/>
      <c r="AP135" s="609">
        <f>1300000-319232</f>
        <v>980768</v>
      </c>
      <c r="AQ135" s="610"/>
      <c r="AR135" s="56"/>
      <c r="AS135" s="611"/>
      <c r="AT135" s="612"/>
      <c r="AU135" s="609">
        <f>2594000-587022</f>
        <v>2006978</v>
      </c>
      <c r="AV135" s="610"/>
      <c r="AW135" s="56"/>
      <c r="AX135" s="611"/>
      <c r="AY135" s="612"/>
      <c r="AZ135" s="609">
        <v>0</v>
      </c>
      <c r="BA135" s="610"/>
      <c r="BB135" s="56"/>
      <c r="BC135" s="611"/>
      <c r="BD135" s="612"/>
      <c r="BE135" s="609">
        <v>0</v>
      </c>
      <c r="BF135" s="610"/>
      <c r="BG135" s="56"/>
      <c r="BH135" s="611"/>
      <c r="BI135" s="612"/>
      <c r="BJ135" s="609">
        <v>0</v>
      </c>
      <c r="BK135" s="610"/>
      <c r="BL135" s="56"/>
      <c r="BM135" s="611"/>
      <c r="BN135" s="612"/>
      <c r="BO135" s="609">
        <v>0</v>
      </c>
      <c r="BP135" s="610"/>
      <c r="BQ135" s="56"/>
      <c r="BR135" s="611"/>
      <c r="BS135" s="612"/>
      <c r="BT135" s="609">
        <f>SUM(L135:BO135)</f>
        <v>13782908</v>
      </c>
      <c r="BU135" s="610"/>
      <c r="BV135" s="56"/>
      <c r="BW135" s="611"/>
      <c r="BX135" s="612"/>
      <c r="BY135" s="609">
        <v>22526538</v>
      </c>
      <c r="BZ135" s="610"/>
      <c r="CA135" s="56"/>
      <c r="CB135" s="611"/>
      <c r="CC135" s="612"/>
      <c r="CD135" s="609">
        <f>4796000-995903</f>
        <v>3800097</v>
      </c>
      <c r="CE135" s="610"/>
      <c r="CF135" s="56"/>
      <c r="CG135" s="611"/>
      <c r="CH135" s="612"/>
      <c r="CI135" s="609">
        <f>1940000-344210</f>
        <v>1595790</v>
      </c>
      <c r="CJ135" s="610"/>
      <c r="CK135" s="56"/>
      <c r="CL135" s="611"/>
      <c r="CM135" s="612"/>
      <c r="CN135" s="609">
        <v>0</v>
      </c>
      <c r="CO135" s="610"/>
      <c r="CP135" s="56"/>
      <c r="CQ135" s="611"/>
      <c r="CR135" s="612"/>
      <c r="CS135" s="609">
        <f>1300000-210894</f>
        <v>1089106</v>
      </c>
      <c r="CT135" s="610"/>
      <c r="CU135" s="56"/>
      <c r="CV135" s="611"/>
      <c r="CW135" s="612"/>
      <c r="CX135" s="609">
        <f>1947000-310670</f>
        <v>1636330</v>
      </c>
      <c r="CY135" s="610"/>
      <c r="CZ135" s="56"/>
      <c r="DA135" s="611"/>
      <c r="DB135" s="612"/>
      <c r="DC135" s="609">
        <f>6090000-907310</f>
        <v>5182690</v>
      </c>
      <c r="DD135" s="610"/>
      <c r="DE135" s="56"/>
      <c r="DF135" s="611"/>
      <c r="DG135" s="612"/>
      <c r="DH135" s="609">
        <f>3248000-596729</f>
        <v>2651271</v>
      </c>
      <c r="DI135" s="610"/>
      <c r="DJ135" s="56"/>
      <c r="DK135" s="611"/>
      <c r="DL135" s="612"/>
      <c r="DM135" s="609">
        <f>135490-24443</f>
        <v>111047</v>
      </c>
      <c r="DN135" s="610"/>
      <c r="DO135" s="56"/>
      <c r="DP135" s="611"/>
      <c r="DQ135" s="612"/>
      <c r="DR135" s="609">
        <v>0</v>
      </c>
      <c r="DS135" s="610"/>
      <c r="DT135" s="56"/>
      <c r="DU135" s="611"/>
      <c r="DV135" s="612"/>
      <c r="DW135" s="609">
        <f>3896000-651827</f>
        <v>3244173</v>
      </c>
      <c r="DX135" s="610"/>
      <c r="DY135" s="56"/>
      <c r="DZ135" s="611"/>
      <c r="EA135" s="612"/>
      <c r="EB135" s="609">
        <v>0</v>
      </c>
      <c r="EC135" s="610"/>
      <c r="ED135" s="56"/>
      <c r="EE135" s="611"/>
      <c r="EF135" s="612"/>
      <c r="EG135" s="609">
        <f>3894000-677966</f>
        <v>3216034</v>
      </c>
      <c r="EH135" s="610"/>
      <c r="EI135" s="56"/>
      <c r="EJ135" s="611"/>
      <c r="EK135" s="612"/>
      <c r="EL135" s="609">
        <f t="shared" ref="EL135:EL137" si="14">SUM(CD135:DW135)</f>
        <v>19310504</v>
      </c>
      <c r="EM135" s="610"/>
      <c r="EN135" s="56"/>
      <c r="EO135" s="144"/>
      <c r="ER135" s="42"/>
      <c r="ES135" s="42"/>
    </row>
    <row r="136" spans="4:149" ht="12.75" customHeight="1" x14ac:dyDescent="0.3">
      <c r="D136" s="144" t="s">
        <v>338</v>
      </c>
      <c r="F136" s="494"/>
      <c r="G136" s="56">
        <v>0</v>
      </c>
      <c r="H136" s="55"/>
      <c r="I136" s="56"/>
      <c r="J136" s="611"/>
      <c r="K136" s="611"/>
      <c r="L136" s="56">
        <v>211756</v>
      </c>
      <c r="M136" s="55"/>
      <c r="N136" s="56"/>
      <c r="O136" s="611"/>
      <c r="P136" s="611"/>
      <c r="Q136" s="56">
        <v>463213</v>
      </c>
      <c r="R136" s="55"/>
      <c r="S136" s="56"/>
      <c r="T136" s="611"/>
      <c r="U136" s="611"/>
      <c r="V136" s="56">
        <v>682685</v>
      </c>
      <c r="W136" s="55"/>
      <c r="X136" s="56"/>
      <c r="Y136" s="611"/>
      <c r="Z136" s="611"/>
      <c r="AA136" s="56">
        <v>1121363</v>
      </c>
      <c r="AB136" s="55"/>
      <c r="AC136" s="56"/>
      <c r="AD136" s="611"/>
      <c r="AE136" s="611"/>
      <c r="AF136" s="56">
        <v>0</v>
      </c>
      <c r="AG136" s="55"/>
      <c r="AH136" s="56"/>
      <c r="AI136" s="611"/>
      <c r="AJ136" s="611"/>
      <c r="AK136" s="56">
        <v>255341</v>
      </c>
      <c r="AL136" s="55"/>
      <c r="AM136" s="56"/>
      <c r="AN136" s="611"/>
      <c r="AO136" s="611"/>
      <c r="AP136" s="56">
        <v>319232</v>
      </c>
      <c r="AQ136" s="55"/>
      <c r="AR136" s="56"/>
      <c r="AS136" s="611"/>
      <c r="AT136" s="611"/>
      <c r="AU136" s="56">
        <v>587022</v>
      </c>
      <c r="AV136" s="55"/>
      <c r="AW136" s="56"/>
      <c r="AX136" s="611"/>
      <c r="AY136" s="611"/>
      <c r="AZ136" s="56">
        <v>0</v>
      </c>
      <c r="BA136" s="55"/>
      <c r="BB136" s="56"/>
      <c r="BC136" s="611"/>
      <c r="BD136" s="611"/>
      <c r="BE136" s="56">
        <v>0</v>
      </c>
      <c r="BF136" s="55"/>
      <c r="BG136" s="56"/>
      <c r="BH136" s="611"/>
      <c r="BI136" s="611"/>
      <c r="BJ136" s="56">
        <v>0</v>
      </c>
      <c r="BK136" s="55"/>
      <c r="BL136" s="56"/>
      <c r="BM136" s="611"/>
      <c r="BN136" s="611"/>
      <c r="BO136" s="56">
        <v>0</v>
      </c>
      <c r="BP136" s="55"/>
      <c r="BQ136" s="56"/>
      <c r="BR136" s="611"/>
      <c r="BS136" s="611"/>
      <c r="BT136" s="56">
        <f>SUM(L136:BO136)</f>
        <v>3640612</v>
      </c>
      <c r="BU136" s="55"/>
      <c r="BV136" s="56"/>
      <c r="BW136" s="611"/>
      <c r="BX136" s="611"/>
      <c r="BY136" s="56">
        <v>4719952</v>
      </c>
      <c r="BZ136" s="55"/>
      <c r="CA136" s="56"/>
      <c r="CB136" s="611"/>
      <c r="CC136" s="611"/>
      <c r="CD136" s="56">
        <v>995903</v>
      </c>
      <c r="CE136" s="55"/>
      <c r="CF136" s="56"/>
      <c r="CG136" s="611"/>
      <c r="CH136" s="611"/>
      <c r="CI136" s="56">
        <v>344210</v>
      </c>
      <c r="CJ136" s="55"/>
      <c r="CK136" s="56"/>
      <c r="CL136" s="611"/>
      <c r="CM136" s="611"/>
      <c r="CN136" s="56">
        <v>0</v>
      </c>
      <c r="CO136" s="55"/>
      <c r="CP136" s="56"/>
      <c r="CQ136" s="611"/>
      <c r="CR136" s="611"/>
      <c r="CS136" s="56">
        <v>210894</v>
      </c>
      <c r="CT136" s="55"/>
      <c r="CU136" s="56"/>
      <c r="CV136" s="611"/>
      <c r="CW136" s="611"/>
      <c r="CX136" s="56">
        <v>310670</v>
      </c>
      <c r="CY136" s="55"/>
      <c r="CZ136" s="56"/>
      <c r="DA136" s="611"/>
      <c r="DB136" s="611"/>
      <c r="DC136" s="56">
        <v>907310</v>
      </c>
      <c r="DD136" s="55"/>
      <c r="DE136" s="56"/>
      <c r="DF136" s="611"/>
      <c r="DG136" s="611"/>
      <c r="DH136" s="56">
        <v>596729</v>
      </c>
      <c r="DI136" s="55"/>
      <c r="DJ136" s="56"/>
      <c r="DK136" s="611"/>
      <c r="DL136" s="611"/>
      <c r="DM136" s="56">
        <v>24443</v>
      </c>
      <c r="DN136" s="55"/>
      <c r="DO136" s="56"/>
      <c r="DP136" s="611"/>
      <c r="DQ136" s="611"/>
      <c r="DR136" s="56">
        <v>0</v>
      </c>
      <c r="DS136" s="55"/>
      <c r="DT136" s="56"/>
      <c r="DU136" s="611"/>
      <c r="DV136" s="611"/>
      <c r="DW136" s="56">
        <v>651827</v>
      </c>
      <c r="DX136" s="55"/>
      <c r="DY136" s="56"/>
      <c r="DZ136" s="611"/>
      <c r="EA136" s="611"/>
      <c r="EB136" s="56">
        <v>0</v>
      </c>
      <c r="EC136" s="55"/>
      <c r="ED136" s="56"/>
      <c r="EE136" s="611"/>
      <c r="EF136" s="611"/>
      <c r="EG136" s="56">
        <v>677966</v>
      </c>
      <c r="EH136" s="55"/>
      <c r="EI136" s="56"/>
      <c r="EJ136" s="611"/>
      <c r="EK136" s="611"/>
      <c r="EL136" s="56">
        <f t="shared" si="14"/>
        <v>4041986</v>
      </c>
      <c r="EM136" s="55"/>
      <c r="EN136" s="56"/>
      <c r="EO136" s="144"/>
      <c r="ER136" s="42"/>
      <c r="ES136" s="42"/>
    </row>
    <row r="137" spans="4:149" ht="12.75" customHeight="1" x14ac:dyDescent="0.3">
      <c r="D137" s="144" t="s">
        <v>339</v>
      </c>
      <c r="F137" s="513"/>
      <c r="G137" s="117">
        <v>0</v>
      </c>
      <c r="H137" s="116"/>
      <c r="I137" s="56"/>
      <c r="J137" s="611"/>
      <c r="K137" s="620"/>
      <c r="L137" s="117">
        <v>0</v>
      </c>
      <c r="M137" s="116"/>
      <c r="N137" s="56"/>
      <c r="O137" s="611"/>
      <c r="P137" s="620"/>
      <c r="Q137" s="117">
        <v>0</v>
      </c>
      <c r="R137" s="116"/>
      <c r="S137" s="56"/>
      <c r="T137" s="611"/>
      <c r="U137" s="620"/>
      <c r="V137" s="117">
        <v>0</v>
      </c>
      <c r="W137" s="116"/>
      <c r="X137" s="56"/>
      <c r="Y137" s="611"/>
      <c r="Z137" s="620"/>
      <c r="AA137" s="117">
        <v>0</v>
      </c>
      <c r="AB137" s="116"/>
      <c r="AC137" s="56"/>
      <c r="AD137" s="611"/>
      <c r="AE137" s="620"/>
      <c r="AF137" s="117">
        <v>0</v>
      </c>
      <c r="AG137" s="116"/>
      <c r="AH137" s="56"/>
      <c r="AI137" s="611"/>
      <c r="AJ137" s="620"/>
      <c r="AK137" s="117">
        <v>0</v>
      </c>
      <c r="AL137" s="116"/>
      <c r="AM137" s="56"/>
      <c r="AN137" s="611"/>
      <c r="AO137" s="620"/>
      <c r="AP137" s="117">
        <v>0</v>
      </c>
      <c r="AQ137" s="116"/>
      <c r="AR137" s="56"/>
      <c r="AS137" s="611"/>
      <c r="AT137" s="620"/>
      <c r="AU137" s="117">
        <v>0</v>
      </c>
      <c r="AV137" s="116"/>
      <c r="AW137" s="56"/>
      <c r="AX137" s="611"/>
      <c r="AY137" s="620"/>
      <c r="AZ137" s="117">
        <v>0</v>
      </c>
      <c r="BA137" s="116"/>
      <c r="BB137" s="56"/>
      <c r="BC137" s="611"/>
      <c r="BD137" s="620"/>
      <c r="BE137" s="117">
        <v>0</v>
      </c>
      <c r="BF137" s="116"/>
      <c r="BG137" s="56"/>
      <c r="BH137" s="611"/>
      <c r="BI137" s="620"/>
      <c r="BJ137" s="117">
        <v>0</v>
      </c>
      <c r="BK137" s="116"/>
      <c r="BL137" s="56"/>
      <c r="BM137" s="611"/>
      <c r="BN137" s="620"/>
      <c r="BO137" s="117">
        <v>0</v>
      </c>
      <c r="BP137" s="116"/>
      <c r="BQ137" s="56"/>
      <c r="BR137" s="611"/>
      <c r="BS137" s="620"/>
      <c r="BT137" s="117">
        <f>SUM(L137:BO137)</f>
        <v>0</v>
      </c>
      <c r="BU137" s="116"/>
      <c r="BV137" s="56"/>
      <c r="BW137" s="611"/>
      <c r="BX137" s="620"/>
      <c r="BY137" s="117">
        <v>0</v>
      </c>
      <c r="BZ137" s="116"/>
      <c r="CA137" s="56"/>
      <c r="CB137" s="611"/>
      <c r="CC137" s="620"/>
      <c r="CD137" s="117">
        <v>0</v>
      </c>
      <c r="CE137" s="116"/>
      <c r="CF137" s="56"/>
      <c r="CG137" s="611"/>
      <c r="CH137" s="620"/>
      <c r="CI137" s="117">
        <v>0</v>
      </c>
      <c r="CJ137" s="116"/>
      <c r="CK137" s="56"/>
      <c r="CL137" s="611"/>
      <c r="CM137" s="620"/>
      <c r="CN137" s="117">
        <v>0</v>
      </c>
      <c r="CO137" s="116"/>
      <c r="CP137" s="56"/>
      <c r="CQ137" s="611"/>
      <c r="CR137" s="620"/>
      <c r="CS137" s="117">
        <v>0</v>
      </c>
      <c r="CT137" s="116"/>
      <c r="CU137" s="56"/>
      <c r="CV137" s="611"/>
      <c r="CW137" s="620"/>
      <c r="CX137" s="117">
        <v>0</v>
      </c>
      <c r="CY137" s="116"/>
      <c r="CZ137" s="56"/>
      <c r="DA137" s="611"/>
      <c r="DB137" s="620"/>
      <c r="DC137" s="117">
        <v>0</v>
      </c>
      <c r="DD137" s="116"/>
      <c r="DE137" s="56"/>
      <c r="DF137" s="611"/>
      <c r="DG137" s="620"/>
      <c r="DH137" s="117">
        <v>0</v>
      </c>
      <c r="DI137" s="116"/>
      <c r="DJ137" s="56"/>
      <c r="DK137" s="611"/>
      <c r="DL137" s="620"/>
      <c r="DM137" s="117">
        <v>0</v>
      </c>
      <c r="DN137" s="116"/>
      <c r="DO137" s="56"/>
      <c r="DP137" s="611"/>
      <c r="DQ137" s="620"/>
      <c r="DR137" s="117">
        <v>0</v>
      </c>
      <c r="DS137" s="116"/>
      <c r="DT137" s="56"/>
      <c r="DU137" s="611"/>
      <c r="DV137" s="620"/>
      <c r="DW137" s="117">
        <v>0</v>
      </c>
      <c r="DX137" s="116"/>
      <c r="DY137" s="56"/>
      <c r="DZ137" s="611"/>
      <c r="EA137" s="620"/>
      <c r="EB137" s="117">
        <v>0</v>
      </c>
      <c r="EC137" s="116"/>
      <c r="ED137" s="56"/>
      <c r="EE137" s="611"/>
      <c r="EF137" s="620"/>
      <c r="EG137" s="117">
        <v>0</v>
      </c>
      <c r="EH137" s="116"/>
      <c r="EI137" s="56"/>
      <c r="EJ137" s="611"/>
      <c r="EK137" s="620"/>
      <c r="EL137" s="117">
        <f t="shared" si="14"/>
        <v>0</v>
      </c>
      <c r="EM137" s="116"/>
      <c r="EN137" s="56"/>
      <c r="EO137" s="144"/>
      <c r="ER137" s="42"/>
      <c r="ES137" s="42"/>
    </row>
    <row r="138" spans="4:149" ht="12.75" customHeight="1" x14ac:dyDescent="0.3">
      <c r="D138" s="144"/>
      <c r="G138" s="56"/>
      <c r="H138" s="56"/>
      <c r="I138" s="56"/>
      <c r="J138" s="611"/>
      <c r="K138" s="56"/>
      <c r="L138" s="56"/>
      <c r="M138" s="56"/>
      <c r="N138" s="56"/>
      <c r="O138" s="611"/>
      <c r="P138" s="56"/>
      <c r="Q138" s="56"/>
      <c r="R138" s="56"/>
      <c r="S138" s="56"/>
      <c r="T138" s="611"/>
      <c r="U138" s="56"/>
      <c r="V138" s="56"/>
      <c r="W138" s="56"/>
      <c r="X138" s="56"/>
      <c r="Y138" s="611"/>
      <c r="Z138" s="56"/>
      <c r="AA138" s="56"/>
      <c r="AB138" s="56"/>
      <c r="AC138" s="56"/>
      <c r="AD138" s="611"/>
      <c r="AE138" s="56"/>
      <c r="AF138" s="56"/>
      <c r="AG138" s="56"/>
      <c r="AH138" s="56"/>
      <c r="AI138" s="611"/>
      <c r="AJ138" s="56"/>
      <c r="AK138" s="56"/>
      <c r="AL138" s="56"/>
      <c r="AM138" s="56"/>
      <c r="AN138" s="611"/>
      <c r="AO138" s="56"/>
      <c r="AP138" s="56"/>
      <c r="AQ138" s="56"/>
      <c r="AR138" s="56"/>
      <c r="AS138" s="611"/>
      <c r="AT138" s="56"/>
      <c r="AU138" s="56"/>
      <c r="AV138" s="56"/>
      <c r="AW138" s="56"/>
      <c r="AX138" s="611"/>
      <c r="AY138" s="56"/>
      <c r="AZ138" s="56"/>
      <c r="BA138" s="56"/>
      <c r="BB138" s="56"/>
      <c r="BC138" s="611"/>
      <c r="BD138" s="56"/>
      <c r="BE138" s="56"/>
      <c r="BF138" s="56"/>
      <c r="BG138" s="56"/>
      <c r="BH138" s="611"/>
      <c r="BI138" s="56"/>
      <c r="BJ138" s="56"/>
      <c r="BK138" s="56"/>
      <c r="BL138" s="56"/>
      <c r="BM138" s="611"/>
      <c r="BN138" s="56"/>
      <c r="BO138" s="56"/>
      <c r="BP138" s="56"/>
      <c r="BQ138" s="56"/>
      <c r="BR138" s="611"/>
      <c r="BS138" s="56"/>
      <c r="BT138" s="56"/>
      <c r="BU138" s="56"/>
      <c r="BV138" s="56"/>
      <c r="BW138" s="611"/>
      <c r="BX138" s="56"/>
      <c r="BY138" s="56"/>
      <c r="BZ138" s="56"/>
      <c r="CA138" s="56"/>
      <c r="CB138" s="611"/>
      <c r="CC138" s="56"/>
      <c r="CD138" s="56"/>
      <c r="CE138" s="56"/>
      <c r="CF138" s="56"/>
      <c r="CG138" s="611"/>
      <c r="CH138" s="56"/>
      <c r="CI138" s="56"/>
      <c r="CJ138" s="56"/>
      <c r="CK138" s="56"/>
      <c r="CL138" s="611"/>
      <c r="CM138" s="56"/>
      <c r="CN138" s="56"/>
      <c r="CO138" s="56"/>
      <c r="CP138" s="56"/>
      <c r="CQ138" s="611"/>
      <c r="CR138" s="56"/>
      <c r="CS138" s="56"/>
      <c r="CT138" s="56"/>
      <c r="CU138" s="56"/>
      <c r="CV138" s="611"/>
      <c r="CW138" s="56"/>
      <c r="CX138" s="56"/>
      <c r="CY138" s="56"/>
      <c r="CZ138" s="56"/>
      <c r="DA138" s="611"/>
      <c r="DB138" s="56"/>
      <c r="DC138" s="56"/>
      <c r="DD138" s="56"/>
      <c r="DE138" s="56"/>
      <c r="DF138" s="611"/>
      <c r="DG138" s="56"/>
      <c r="DH138" s="56"/>
      <c r="DI138" s="56"/>
      <c r="DJ138" s="56"/>
      <c r="DK138" s="611"/>
      <c r="DL138" s="56"/>
      <c r="DM138" s="56"/>
      <c r="DN138" s="56"/>
      <c r="DO138" s="56"/>
      <c r="DP138" s="611"/>
      <c r="DQ138" s="56"/>
      <c r="DR138" s="56"/>
      <c r="DS138" s="56"/>
      <c r="DT138" s="56"/>
      <c r="DU138" s="611"/>
      <c r="DV138" s="56"/>
      <c r="DW138" s="56"/>
      <c r="DX138" s="56"/>
      <c r="DY138" s="56"/>
      <c r="DZ138" s="611"/>
      <c r="EA138" s="56"/>
      <c r="EB138" s="56"/>
      <c r="EC138" s="56"/>
      <c r="ED138" s="56"/>
      <c r="EE138" s="611"/>
      <c r="EF138" s="56"/>
      <c r="EG138" s="56"/>
      <c r="EH138" s="56"/>
      <c r="EI138" s="56"/>
      <c r="EJ138" s="611"/>
      <c r="EK138" s="56"/>
      <c r="EL138" s="56"/>
      <c r="EM138" s="56"/>
      <c r="EN138" s="56"/>
      <c r="EO138" s="144"/>
      <c r="ER138" s="42"/>
      <c r="ES138" s="42"/>
    </row>
    <row r="139" spans="4:149" ht="12.75" customHeight="1" x14ac:dyDescent="0.3">
      <c r="D139" s="144" t="s">
        <v>362</v>
      </c>
      <c r="G139" s="56">
        <f>SUM(G140:G142)</f>
        <v>0</v>
      </c>
      <c r="H139" s="56"/>
      <c r="I139" s="56"/>
      <c r="J139" s="611"/>
      <c r="K139" s="56"/>
      <c r="L139" s="56">
        <f>SUM(L140:L142)</f>
        <v>4548724</v>
      </c>
      <c r="M139" s="56"/>
      <c r="N139" s="56"/>
      <c r="O139" s="611"/>
      <c r="P139" s="56"/>
      <c r="Q139" s="56">
        <f>SUM(Q140:Q142)</f>
        <v>3893000</v>
      </c>
      <c r="R139" s="56"/>
      <c r="S139" s="56"/>
      <c r="T139" s="611"/>
      <c r="U139" s="56"/>
      <c r="V139" s="56">
        <f>SUM(V140:V142)</f>
        <v>3247000</v>
      </c>
      <c r="W139" s="56"/>
      <c r="X139" s="56"/>
      <c r="Y139" s="611"/>
      <c r="Z139" s="56"/>
      <c r="AA139" s="56">
        <f>SUM(AA140:AA142)</f>
        <v>3248000</v>
      </c>
      <c r="AB139" s="56"/>
      <c r="AC139" s="56"/>
      <c r="AD139" s="611"/>
      <c r="AE139" s="56"/>
      <c r="AF139" s="56">
        <f>SUM(AF140:AF142)</f>
        <v>1300000</v>
      </c>
      <c r="AG139" s="56"/>
      <c r="AH139" s="56"/>
      <c r="AI139" s="611"/>
      <c r="AJ139" s="56"/>
      <c r="AK139" s="56">
        <f>SUM(AK140:AK142)</f>
        <v>1300000</v>
      </c>
      <c r="AL139" s="56"/>
      <c r="AM139" s="56"/>
      <c r="AN139" s="611"/>
      <c r="AO139" s="56"/>
      <c r="AP139" s="56">
        <f>SUM(AP140:AP142)</f>
        <v>0</v>
      </c>
      <c r="AQ139" s="56"/>
      <c r="AR139" s="56"/>
      <c r="AS139" s="611"/>
      <c r="AT139" s="56"/>
      <c r="AU139" s="56">
        <f>SUM(AU140:AU142)</f>
        <v>1396000</v>
      </c>
      <c r="AV139" s="56"/>
      <c r="AW139" s="56"/>
      <c r="AX139" s="611"/>
      <c r="AY139" s="56"/>
      <c r="AZ139" s="56">
        <f>SUM(AZ140:AZ142)</f>
        <v>1947000</v>
      </c>
      <c r="BA139" s="56"/>
      <c r="BB139" s="56"/>
      <c r="BC139" s="611"/>
      <c r="BD139" s="56"/>
      <c r="BE139" s="56">
        <f>SUM(BE140:BE142)</f>
        <v>0</v>
      </c>
      <c r="BF139" s="56"/>
      <c r="BG139" s="56"/>
      <c r="BH139" s="611"/>
      <c r="BI139" s="56"/>
      <c r="BJ139" s="56">
        <f>SUM(BJ140:BJ142)</f>
        <v>0</v>
      </c>
      <c r="BK139" s="56"/>
      <c r="BL139" s="56"/>
      <c r="BM139" s="611"/>
      <c r="BN139" s="56"/>
      <c r="BO139" s="56">
        <f>SUM(BO140:BO142)</f>
        <v>0</v>
      </c>
      <c r="BP139" s="56"/>
      <c r="BQ139" s="56"/>
      <c r="BR139" s="611"/>
      <c r="BS139" s="56"/>
      <c r="BT139" s="56">
        <f>SUM(BT140:BT142)</f>
        <v>20879724</v>
      </c>
      <c r="BU139" s="56"/>
      <c r="BV139" s="56"/>
      <c r="BW139" s="611"/>
      <c r="BX139" s="56"/>
      <c r="BY139" s="56">
        <f>SUM(BY140:BY142)</f>
        <v>30467573</v>
      </c>
      <c r="BZ139" s="56"/>
      <c r="CA139" s="56"/>
      <c r="CB139" s="611"/>
      <c r="CC139" s="56"/>
      <c r="CD139" s="56">
        <f>SUM(CD140:CD142)</f>
        <v>4795000</v>
      </c>
      <c r="CE139" s="56"/>
      <c r="CF139" s="56"/>
      <c r="CG139" s="611"/>
      <c r="CH139" s="56"/>
      <c r="CI139" s="56">
        <f>SUM(CI140:CI142)</f>
        <v>3180309</v>
      </c>
      <c r="CJ139" s="56"/>
      <c r="CK139" s="56"/>
      <c r="CL139" s="611"/>
      <c r="CM139" s="56"/>
      <c r="CN139" s="56">
        <f>SUM(CN140:CN142)</f>
        <v>1754000</v>
      </c>
      <c r="CO139" s="56"/>
      <c r="CP139" s="56"/>
      <c r="CQ139" s="611"/>
      <c r="CR139" s="56"/>
      <c r="CS139" s="56">
        <f>SUM(CS140:CS142)</f>
        <v>1948000</v>
      </c>
      <c r="CT139" s="56"/>
      <c r="CU139" s="56"/>
      <c r="CV139" s="611"/>
      <c r="CW139" s="56"/>
      <c r="CX139" s="56">
        <f>SUM(CX140:CX142)</f>
        <v>1300000</v>
      </c>
      <c r="CY139" s="56"/>
      <c r="CZ139" s="56"/>
      <c r="DA139" s="611"/>
      <c r="DB139" s="56"/>
      <c r="DC139" s="56">
        <f>SUM(DC140:DC142)</f>
        <v>1300000</v>
      </c>
      <c r="DD139" s="56"/>
      <c r="DE139" s="56"/>
      <c r="DF139" s="611"/>
      <c r="DG139" s="56"/>
      <c r="DH139" s="56">
        <f>SUM(DH140:DH142)</f>
        <v>6845000</v>
      </c>
      <c r="DI139" s="56"/>
      <c r="DJ139" s="56"/>
      <c r="DK139" s="611"/>
      <c r="DL139" s="56"/>
      <c r="DM139" s="56">
        <f>SUM(DM140:DM142)</f>
        <v>1555000</v>
      </c>
      <c r="DN139" s="56"/>
      <c r="DO139" s="56"/>
      <c r="DP139" s="611"/>
      <c r="DQ139" s="56"/>
      <c r="DR139" s="56">
        <f>SUM(DR140:DR142)</f>
        <v>3894000</v>
      </c>
      <c r="DS139" s="56"/>
      <c r="DT139" s="56"/>
      <c r="DU139" s="611"/>
      <c r="DV139" s="56"/>
      <c r="DW139" s="56">
        <f>SUM(DW140:DW142)</f>
        <v>3264</v>
      </c>
      <c r="DX139" s="56"/>
      <c r="DY139" s="56"/>
      <c r="DZ139" s="611"/>
      <c r="EA139" s="56"/>
      <c r="EB139" s="56">
        <f>SUM(EB140:EB142)</f>
        <v>1947000</v>
      </c>
      <c r="EC139" s="56"/>
      <c r="ED139" s="56"/>
      <c r="EE139" s="611"/>
      <c r="EF139" s="56"/>
      <c r="EG139" s="56">
        <f>SUM(EG140:EG142)</f>
        <v>1946000</v>
      </c>
      <c r="EH139" s="56"/>
      <c r="EI139" s="56"/>
      <c r="EJ139" s="611"/>
      <c r="EK139" s="56"/>
      <c r="EL139" s="56">
        <f>SUM(EL140:EL142)</f>
        <v>26574573</v>
      </c>
      <c r="EM139" s="56"/>
      <c r="EN139" s="56"/>
      <c r="EO139" s="144"/>
      <c r="ER139" s="42"/>
      <c r="ES139" s="42"/>
    </row>
    <row r="140" spans="4:149" ht="12.75" customHeight="1" x14ac:dyDescent="0.3">
      <c r="D140" s="144" t="s">
        <v>335</v>
      </c>
      <c r="F140" s="500"/>
      <c r="G140" s="609">
        <v>0</v>
      </c>
      <c r="H140" s="610"/>
      <c r="I140" s="56"/>
      <c r="J140" s="611"/>
      <c r="K140" s="612"/>
      <c r="L140" s="609">
        <f>4548724-755821</f>
        <v>3792903</v>
      </c>
      <c r="M140" s="610"/>
      <c r="N140" s="56"/>
      <c r="O140" s="611"/>
      <c r="P140" s="612"/>
      <c r="Q140" s="609">
        <f>3893000-761368</f>
        <v>3131632</v>
      </c>
      <c r="R140" s="610"/>
      <c r="S140" s="56"/>
      <c r="T140" s="611"/>
      <c r="U140" s="612"/>
      <c r="V140" s="609">
        <f>3247000-665905</f>
        <v>2581095</v>
      </c>
      <c r="W140" s="610"/>
      <c r="X140" s="56"/>
      <c r="Y140" s="611"/>
      <c r="Z140" s="612"/>
      <c r="AA140" s="609">
        <f>3248000-779351</f>
        <v>2468649</v>
      </c>
      <c r="AB140" s="610"/>
      <c r="AC140" s="56"/>
      <c r="AD140" s="611"/>
      <c r="AE140" s="612"/>
      <c r="AF140" s="609">
        <f>1300000-248246</f>
        <v>1051754</v>
      </c>
      <c r="AG140" s="610"/>
      <c r="AH140" s="56"/>
      <c r="AI140" s="611"/>
      <c r="AJ140" s="612"/>
      <c r="AK140" s="609">
        <f>1300000-266715</f>
        <v>1033285</v>
      </c>
      <c r="AL140" s="610"/>
      <c r="AM140" s="56"/>
      <c r="AN140" s="611"/>
      <c r="AO140" s="612"/>
      <c r="AP140" s="609">
        <v>0</v>
      </c>
      <c r="AQ140" s="610"/>
      <c r="AR140" s="56"/>
      <c r="AS140" s="611"/>
      <c r="AT140" s="612"/>
      <c r="AU140" s="609">
        <f>1396000-333312</f>
        <v>1062688</v>
      </c>
      <c r="AV140" s="610"/>
      <c r="AW140" s="56"/>
      <c r="AX140" s="611"/>
      <c r="AY140" s="612"/>
      <c r="AZ140" s="609">
        <f>1947000-468026</f>
        <v>1478974</v>
      </c>
      <c r="BA140" s="610"/>
      <c r="BB140" s="56"/>
      <c r="BC140" s="611"/>
      <c r="BD140" s="612"/>
      <c r="BE140" s="609">
        <v>0</v>
      </c>
      <c r="BF140" s="610"/>
      <c r="BG140" s="56"/>
      <c r="BH140" s="611"/>
      <c r="BI140" s="612"/>
      <c r="BJ140" s="609">
        <v>0</v>
      </c>
      <c r="BK140" s="610"/>
      <c r="BL140" s="56"/>
      <c r="BM140" s="611"/>
      <c r="BN140" s="612"/>
      <c r="BO140" s="609">
        <v>0</v>
      </c>
      <c r="BP140" s="610"/>
      <c r="BQ140" s="56"/>
      <c r="BR140" s="611"/>
      <c r="BS140" s="612"/>
      <c r="BT140" s="609">
        <f>SUM(L140:BO140)</f>
        <v>16600980</v>
      </c>
      <c r="BU140" s="610"/>
      <c r="BV140" s="56"/>
      <c r="BW140" s="611"/>
      <c r="BX140" s="612"/>
      <c r="BY140" s="609">
        <v>25090426</v>
      </c>
      <c r="BZ140" s="610"/>
      <c r="CA140" s="56"/>
      <c r="CB140" s="611"/>
      <c r="CC140" s="612"/>
      <c r="CD140" s="609">
        <f>4795000-981589</f>
        <v>3813411</v>
      </c>
      <c r="CE140" s="610"/>
      <c r="CF140" s="56"/>
      <c r="CG140" s="611"/>
      <c r="CH140" s="612"/>
      <c r="CI140" s="609">
        <f>3180309-565260</f>
        <v>2615049</v>
      </c>
      <c r="CJ140" s="610"/>
      <c r="CK140" s="56"/>
      <c r="CL140" s="611"/>
      <c r="CM140" s="612"/>
      <c r="CN140" s="609">
        <f>1754000-255037</f>
        <v>1498963</v>
      </c>
      <c r="CO140" s="610"/>
      <c r="CP140" s="56"/>
      <c r="CQ140" s="611"/>
      <c r="CR140" s="612"/>
      <c r="CS140" s="609">
        <f>1948000-336713</f>
        <v>1611287</v>
      </c>
      <c r="CT140" s="610"/>
      <c r="CU140" s="56"/>
      <c r="CV140" s="611"/>
      <c r="CW140" s="612"/>
      <c r="CX140" s="609">
        <f>1300000-194903</f>
        <v>1105097</v>
      </c>
      <c r="CY140" s="610"/>
      <c r="CZ140" s="56"/>
      <c r="DA140" s="611"/>
      <c r="DB140" s="612"/>
      <c r="DC140" s="609">
        <f>1300000-204775</f>
        <v>1095225</v>
      </c>
      <c r="DD140" s="610"/>
      <c r="DE140" s="56"/>
      <c r="DF140" s="611"/>
      <c r="DG140" s="612"/>
      <c r="DH140" s="609">
        <f>6845000-1228552</f>
        <v>5616448</v>
      </c>
      <c r="DI140" s="610"/>
      <c r="DJ140" s="56"/>
      <c r="DK140" s="611"/>
      <c r="DL140" s="612"/>
      <c r="DM140" s="609">
        <f>1555000-239972</f>
        <v>1315028</v>
      </c>
      <c r="DN140" s="610"/>
      <c r="DO140" s="56"/>
      <c r="DP140" s="611"/>
      <c r="DQ140" s="612"/>
      <c r="DR140" s="609">
        <f>3894000-673772</f>
        <v>3220228</v>
      </c>
      <c r="DS140" s="610"/>
      <c r="DT140" s="56"/>
      <c r="DU140" s="611"/>
      <c r="DV140" s="612"/>
      <c r="DW140" s="609">
        <f>3264-565</f>
        <v>2699</v>
      </c>
      <c r="DX140" s="610"/>
      <c r="DY140" s="56"/>
      <c r="DZ140" s="611"/>
      <c r="EA140" s="612"/>
      <c r="EB140" s="609">
        <f>1947000-292585</f>
        <v>1654415</v>
      </c>
      <c r="EC140" s="610"/>
      <c r="ED140" s="56"/>
      <c r="EE140" s="611"/>
      <c r="EF140" s="612"/>
      <c r="EG140" s="609">
        <f>1946000-403424</f>
        <v>1542576</v>
      </c>
      <c r="EH140" s="610"/>
      <c r="EI140" s="56"/>
      <c r="EJ140" s="611"/>
      <c r="EK140" s="612"/>
      <c r="EL140" s="609">
        <f t="shared" ref="EL140:EL142" si="15">SUM(CD140:DW140)</f>
        <v>21893435</v>
      </c>
      <c r="EM140" s="610"/>
      <c r="EN140" s="56"/>
      <c r="EO140" s="144"/>
      <c r="ER140" s="42"/>
      <c r="ES140" s="42"/>
    </row>
    <row r="141" spans="4:149" ht="12.75" customHeight="1" x14ac:dyDescent="0.3">
      <c r="D141" s="144" t="s">
        <v>338</v>
      </c>
      <c r="F141" s="494"/>
      <c r="G141" s="56">
        <v>0</v>
      </c>
      <c r="H141" s="55"/>
      <c r="I141" s="56"/>
      <c r="J141" s="611"/>
      <c r="K141" s="611"/>
      <c r="L141" s="56">
        <v>755821</v>
      </c>
      <c r="M141" s="55"/>
      <c r="N141" s="56"/>
      <c r="O141" s="611"/>
      <c r="P141" s="611"/>
      <c r="Q141" s="56">
        <v>761368</v>
      </c>
      <c r="R141" s="55"/>
      <c r="S141" s="56"/>
      <c r="T141" s="611"/>
      <c r="U141" s="611"/>
      <c r="V141" s="56">
        <v>665905</v>
      </c>
      <c r="W141" s="55"/>
      <c r="X141" s="56"/>
      <c r="Y141" s="611"/>
      <c r="Z141" s="611"/>
      <c r="AA141" s="56">
        <v>779351</v>
      </c>
      <c r="AB141" s="55"/>
      <c r="AC141" s="56"/>
      <c r="AD141" s="611"/>
      <c r="AE141" s="611"/>
      <c r="AF141" s="56">
        <v>248246</v>
      </c>
      <c r="AG141" s="55"/>
      <c r="AH141" s="56"/>
      <c r="AI141" s="611"/>
      <c r="AJ141" s="611"/>
      <c r="AK141" s="56">
        <v>266715</v>
      </c>
      <c r="AL141" s="55"/>
      <c r="AM141" s="56"/>
      <c r="AN141" s="611"/>
      <c r="AO141" s="611"/>
      <c r="AP141" s="56">
        <v>0</v>
      </c>
      <c r="AQ141" s="55"/>
      <c r="AR141" s="56"/>
      <c r="AS141" s="611"/>
      <c r="AT141" s="611"/>
      <c r="AU141" s="56">
        <v>333312</v>
      </c>
      <c r="AV141" s="55"/>
      <c r="AW141" s="56"/>
      <c r="AX141" s="611"/>
      <c r="AY141" s="611"/>
      <c r="AZ141" s="56">
        <v>468026</v>
      </c>
      <c r="BA141" s="55"/>
      <c r="BB141" s="56"/>
      <c r="BC141" s="611"/>
      <c r="BD141" s="611"/>
      <c r="BE141" s="56">
        <v>0</v>
      </c>
      <c r="BF141" s="55"/>
      <c r="BG141" s="56"/>
      <c r="BH141" s="611"/>
      <c r="BI141" s="611"/>
      <c r="BJ141" s="56">
        <v>0</v>
      </c>
      <c r="BK141" s="55"/>
      <c r="BL141" s="56"/>
      <c r="BM141" s="611"/>
      <c r="BN141" s="611"/>
      <c r="BO141" s="56">
        <v>0</v>
      </c>
      <c r="BP141" s="55"/>
      <c r="BQ141" s="56"/>
      <c r="BR141" s="611"/>
      <c r="BS141" s="611"/>
      <c r="BT141" s="56">
        <f>SUM(L141:BO141)</f>
        <v>4278744</v>
      </c>
      <c r="BU141" s="55"/>
      <c r="BV141" s="56"/>
      <c r="BW141" s="611"/>
      <c r="BX141" s="611"/>
      <c r="BY141" s="56">
        <v>5377147</v>
      </c>
      <c r="BZ141" s="55"/>
      <c r="CA141" s="56"/>
      <c r="CB141" s="611"/>
      <c r="CC141" s="611"/>
      <c r="CD141" s="56">
        <v>981589</v>
      </c>
      <c r="CE141" s="55"/>
      <c r="CF141" s="56"/>
      <c r="CG141" s="611"/>
      <c r="CH141" s="611"/>
      <c r="CI141" s="56">
        <v>565260</v>
      </c>
      <c r="CJ141" s="55"/>
      <c r="CK141" s="56"/>
      <c r="CL141" s="611"/>
      <c r="CM141" s="611"/>
      <c r="CN141" s="56">
        <v>255037</v>
      </c>
      <c r="CO141" s="55"/>
      <c r="CP141" s="56"/>
      <c r="CQ141" s="611"/>
      <c r="CR141" s="611"/>
      <c r="CS141" s="56">
        <v>336713</v>
      </c>
      <c r="CT141" s="55"/>
      <c r="CU141" s="56"/>
      <c r="CV141" s="611"/>
      <c r="CW141" s="611"/>
      <c r="CX141" s="56">
        <v>194903</v>
      </c>
      <c r="CY141" s="55"/>
      <c r="CZ141" s="56"/>
      <c r="DA141" s="611"/>
      <c r="DB141" s="611"/>
      <c r="DC141" s="56">
        <v>204775</v>
      </c>
      <c r="DD141" s="55"/>
      <c r="DE141" s="56"/>
      <c r="DF141" s="611"/>
      <c r="DG141" s="611"/>
      <c r="DH141" s="56">
        <v>1228552</v>
      </c>
      <c r="DI141" s="55"/>
      <c r="DJ141" s="56"/>
      <c r="DK141" s="611"/>
      <c r="DL141" s="611"/>
      <c r="DM141" s="56">
        <v>239972</v>
      </c>
      <c r="DN141" s="55"/>
      <c r="DO141" s="56"/>
      <c r="DP141" s="611"/>
      <c r="DQ141" s="611"/>
      <c r="DR141" s="56">
        <v>673772</v>
      </c>
      <c r="DS141" s="55"/>
      <c r="DT141" s="56"/>
      <c r="DU141" s="611"/>
      <c r="DV141" s="611"/>
      <c r="DW141" s="56">
        <v>565</v>
      </c>
      <c r="DX141" s="55"/>
      <c r="DY141" s="56"/>
      <c r="DZ141" s="611"/>
      <c r="EA141" s="611"/>
      <c r="EB141" s="56">
        <v>292585</v>
      </c>
      <c r="EC141" s="55"/>
      <c r="ED141" s="56"/>
      <c r="EE141" s="611"/>
      <c r="EF141" s="611"/>
      <c r="EG141" s="56">
        <v>403424</v>
      </c>
      <c r="EH141" s="55"/>
      <c r="EI141" s="56"/>
      <c r="EJ141" s="611"/>
      <c r="EK141" s="611"/>
      <c r="EL141" s="56">
        <f t="shared" si="15"/>
        <v>4681138</v>
      </c>
      <c r="EM141" s="55"/>
      <c r="EN141" s="56"/>
      <c r="EO141" s="144"/>
      <c r="ER141" s="42"/>
      <c r="ES141" s="42"/>
    </row>
    <row r="142" spans="4:149" ht="12.75" customHeight="1" x14ac:dyDescent="0.3">
      <c r="D142" s="144" t="s">
        <v>339</v>
      </c>
      <c r="F142" s="513"/>
      <c r="G142" s="117">
        <v>0</v>
      </c>
      <c r="H142" s="116"/>
      <c r="I142" s="56"/>
      <c r="J142" s="611"/>
      <c r="K142" s="620"/>
      <c r="L142" s="117">
        <v>0</v>
      </c>
      <c r="M142" s="116"/>
      <c r="N142" s="56"/>
      <c r="O142" s="611"/>
      <c r="P142" s="620"/>
      <c r="Q142" s="117">
        <v>0</v>
      </c>
      <c r="R142" s="116"/>
      <c r="S142" s="56"/>
      <c r="T142" s="611"/>
      <c r="U142" s="620"/>
      <c r="V142" s="117">
        <v>0</v>
      </c>
      <c r="W142" s="116"/>
      <c r="X142" s="56"/>
      <c r="Y142" s="611"/>
      <c r="Z142" s="620"/>
      <c r="AA142" s="117">
        <v>0</v>
      </c>
      <c r="AB142" s="116"/>
      <c r="AC142" s="56"/>
      <c r="AD142" s="611"/>
      <c r="AE142" s="620"/>
      <c r="AF142" s="117">
        <v>0</v>
      </c>
      <c r="AG142" s="116"/>
      <c r="AH142" s="56"/>
      <c r="AI142" s="611"/>
      <c r="AJ142" s="620"/>
      <c r="AK142" s="117">
        <v>0</v>
      </c>
      <c r="AL142" s="116"/>
      <c r="AM142" s="56"/>
      <c r="AN142" s="611"/>
      <c r="AO142" s="620"/>
      <c r="AP142" s="117">
        <v>0</v>
      </c>
      <c r="AQ142" s="116"/>
      <c r="AR142" s="56"/>
      <c r="AS142" s="611"/>
      <c r="AT142" s="620"/>
      <c r="AU142" s="117">
        <v>0</v>
      </c>
      <c r="AV142" s="116"/>
      <c r="AW142" s="56"/>
      <c r="AX142" s="611"/>
      <c r="AY142" s="620"/>
      <c r="AZ142" s="117">
        <v>0</v>
      </c>
      <c r="BA142" s="116"/>
      <c r="BB142" s="56"/>
      <c r="BC142" s="611"/>
      <c r="BD142" s="620"/>
      <c r="BE142" s="117">
        <v>0</v>
      </c>
      <c r="BF142" s="116"/>
      <c r="BG142" s="56"/>
      <c r="BH142" s="611"/>
      <c r="BI142" s="620"/>
      <c r="BJ142" s="117">
        <v>0</v>
      </c>
      <c r="BK142" s="116"/>
      <c r="BL142" s="56"/>
      <c r="BM142" s="611"/>
      <c r="BN142" s="620"/>
      <c r="BO142" s="117">
        <v>0</v>
      </c>
      <c r="BP142" s="116"/>
      <c r="BQ142" s="56"/>
      <c r="BR142" s="611"/>
      <c r="BS142" s="620"/>
      <c r="BT142" s="117">
        <f>SUM(L142:BO142)</f>
        <v>0</v>
      </c>
      <c r="BU142" s="116"/>
      <c r="BV142" s="56"/>
      <c r="BW142" s="611"/>
      <c r="BX142" s="620"/>
      <c r="BY142" s="117">
        <v>0</v>
      </c>
      <c r="BZ142" s="116"/>
      <c r="CA142" s="56"/>
      <c r="CB142" s="611"/>
      <c r="CC142" s="620"/>
      <c r="CD142" s="117">
        <v>0</v>
      </c>
      <c r="CE142" s="116"/>
      <c r="CF142" s="56"/>
      <c r="CG142" s="611"/>
      <c r="CH142" s="620"/>
      <c r="CI142" s="117">
        <v>0</v>
      </c>
      <c r="CJ142" s="116"/>
      <c r="CK142" s="56"/>
      <c r="CL142" s="611"/>
      <c r="CM142" s="620"/>
      <c r="CN142" s="117">
        <v>0</v>
      </c>
      <c r="CO142" s="116"/>
      <c r="CP142" s="56"/>
      <c r="CQ142" s="611"/>
      <c r="CR142" s="620"/>
      <c r="CS142" s="117">
        <v>0</v>
      </c>
      <c r="CT142" s="116"/>
      <c r="CU142" s="56"/>
      <c r="CV142" s="611"/>
      <c r="CW142" s="620"/>
      <c r="CX142" s="117">
        <v>0</v>
      </c>
      <c r="CY142" s="116"/>
      <c r="CZ142" s="56"/>
      <c r="DA142" s="611"/>
      <c r="DB142" s="620"/>
      <c r="DC142" s="117">
        <v>0</v>
      </c>
      <c r="DD142" s="116"/>
      <c r="DE142" s="56"/>
      <c r="DF142" s="611"/>
      <c r="DG142" s="620"/>
      <c r="DH142" s="117">
        <v>0</v>
      </c>
      <c r="DI142" s="116"/>
      <c r="DJ142" s="56"/>
      <c r="DK142" s="611"/>
      <c r="DL142" s="620"/>
      <c r="DM142" s="117">
        <v>0</v>
      </c>
      <c r="DN142" s="116"/>
      <c r="DO142" s="56"/>
      <c r="DP142" s="611"/>
      <c r="DQ142" s="620"/>
      <c r="DR142" s="117">
        <v>0</v>
      </c>
      <c r="DS142" s="116"/>
      <c r="DT142" s="56"/>
      <c r="DU142" s="611"/>
      <c r="DV142" s="620"/>
      <c r="DW142" s="117">
        <v>0</v>
      </c>
      <c r="DX142" s="116"/>
      <c r="DY142" s="56"/>
      <c r="DZ142" s="611"/>
      <c r="EA142" s="620"/>
      <c r="EB142" s="117">
        <v>0</v>
      </c>
      <c r="EC142" s="116"/>
      <c r="ED142" s="56"/>
      <c r="EE142" s="611"/>
      <c r="EF142" s="620"/>
      <c r="EG142" s="117">
        <v>0</v>
      </c>
      <c r="EH142" s="116"/>
      <c r="EI142" s="56"/>
      <c r="EJ142" s="611"/>
      <c r="EK142" s="620"/>
      <c r="EL142" s="117">
        <f t="shared" si="15"/>
        <v>0</v>
      </c>
      <c r="EM142" s="116"/>
      <c r="EN142" s="56"/>
      <c r="EO142" s="144"/>
      <c r="ER142" s="42"/>
      <c r="ES142" s="42"/>
    </row>
    <row r="143" spans="4:149" ht="12.75" customHeight="1" x14ac:dyDescent="0.3">
      <c r="D143" s="144"/>
      <c r="G143" s="56"/>
      <c r="H143" s="56"/>
      <c r="I143" s="56"/>
      <c r="J143" s="611"/>
      <c r="K143" s="56"/>
      <c r="L143" s="56"/>
      <c r="M143" s="56"/>
      <c r="N143" s="56"/>
      <c r="O143" s="611"/>
      <c r="P143" s="56"/>
      <c r="Q143" s="56"/>
      <c r="R143" s="56"/>
      <c r="S143" s="56"/>
      <c r="T143" s="611"/>
      <c r="U143" s="56"/>
      <c r="V143" s="56"/>
      <c r="W143" s="56"/>
      <c r="X143" s="56"/>
      <c r="Y143" s="611"/>
      <c r="Z143" s="56"/>
      <c r="AA143" s="56"/>
      <c r="AB143" s="56"/>
      <c r="AC143" s="56"/>
      <c r="AD143" s="611"/>
      <c r="AE143" s="56"/>
      <c r="AF143" s="56"/>
      <c r="AG143" s="56"/>
      <c r="AH143" s="56"/>
      <c r="AI143" s="611"/>
      <c r="AJ143" s="56"/>
      <c r="AK143" s="56"/>
      <c r="AL143" s="56"/>
      <c r="AM143" s="56"/>
      <c r="AN143" s="611"/>
      <c r="AO143" s="56"/>
      <c r="AP143" s="56"/>
      <c r="AQ143" s="56"/>
      <c r="AR143" s="56"/>
      <c r="AS143" s="611"/>
      <c r="AT143" s="56"/>
      <c r="AU143" s="56"/>
      <c r="AV143" s="56"/>
      <c r="AW143" s="56"/>
      <c r="AX143" s="611"/>
      <c r="AY143" s="56"/>
      <c r="AZ143" s="56"/>
      <c r="BA143" s="56"/>
      <c r="BB143" s="56"/>
      <c r="BC143" s="611"/>
      <c r="BD143" s="56"/>
      <c r="BE143" s="56"/>
      <c r="BF143" s="56"/>
      <c r="BG143" s="56"/>
      <c r="BH143" s="611"/>
      <c r="BI143" s="56"/>
      <c r="BJ143" s="56"/>
      <c r="BK143" s="56"/>
      <c r="BL143" s="56"/>
      <c r="BM143" s="611"/>
      <c r="BN143" s="56"/>
      <c r="BO143" s="56"/>
      <c r="BP143" s="56"/>
      <c r="BQ143" s="56"/>
      <c r="BR143" s="611"/>
      <c r="BS143" s="56"/>
      <c r="BT143" s="56"/>
      <c r="BU143" s="56"/>
      <c r="BV143" s="56"/>
      <c r="BW143" s="611"/>
      <c r="BX143" s="56"/>
      <c r="BY143" s="56"/>
      <c r="BZ143" s="56"/>
      <c r="CA143" s="56"/>
      <c r="CB143" s="611"/>
      <c r="CC143" s="56"/>
      <c r="CD143" s="56"/>
      <c r="CE143" s="56"/>
      <c r="CF143" s="56"/>
      <c r="CG143" s="611"/>
      <c r="CH143" s="56"/>
      <c r="CI143" s="56"/>
      <c r="CJ143" s="56"/>
      <c r="CK143" s="56"/>
      <c r="CL143" s="611"/>
      <c r="CM143" s="56"/>
      <c r="CN143" s="56"/>
      <c r="CO143" s="56"/>
      <c r="CP143" s="56"/>
      <c r="CQ143" s="611"/>
      <c r="CR143" s="56"/>
      <c r="CS143" s="56"/>
      <c r="CT143" s="56"/>
      <c r="CU143" s="56"/>
      <c r="CV143" s="611"/>
      <c r="CW143" s="56"/>
      <c r="CX143" s="56"/>
      <c r="CY143" s="56"/>
      <c r="CZ143" s="56"/>
      <c r="DA143" s="611"/>
      <c r="DB143" s="56"/>
      <c r="DC143" s="56"/>
      <c r="DD143" s="56"/>
      <c r="DE143" s="56"/>
      <c r="DF143" s="611"/>
      <c r="DG143" s="56"/>
      <c r="DH143" s="56"/>
      <c r="DI143" s="56"/>
      <c r="DJ143" s="56"/>
      <c r="DK143" s="611"/>
      <c r="DL143" s="56"/>
      <c r="DM143" s="56"/>
      <c r="DN143" s="56"/>
      <c r="DO143" s="56"/>
      <c r="DP143" s="611"/>
      <c r="DQ143" s="56"/>
      <c r="DR143" s="56"/>
      <c r="DS143" s="56"/>
      <c r="DT143" s="56"/>
      <c r="DU143" s="611"/>
      <c r="DV143" s="56"/>
      <c r="DW143" s="56"/>
      <c r="DX143" s="56"/>
      <c r="DY143" s="56"/>
      <c r="DZ143" s="611"/>
      <c r="EA143" s="56"/>
      <c r="EB143" s="56"/>
      <c r="EC143" s="56"/>
      <c r="ED143" s="56"/>
      <c r="EE143" s="611"/>
      <c r="EF143" s="56"/>
      <c r="EG143" s="56"/>
      <c r="EH143" s="56"/>
      <c r="EI143" s="56"/>
      <c r="EJ143" s="611"/>
      <c r="EK143" s="56"/>
      <c r="EL143" s="56"/>
      <c r="EM143" s="56"/>
      <c r="EN143" s="56"/>
      <c r="EO143" s="144"/>
      <c r="ER143" s="42"/>
      <c r="ES143" s="42"/>
    </row>
    <row r="144" spans="4:149" ht="12.75" customHeight="1" x14ac:dyDescent="0.3">
      <c r="D144" s="144" t="s">
        <v>363</v>
      </c>
      <c r="G144" s="56">
        <f>SUM(G145:G147)</f>
        <v>0</v>
      </c>
      <c r="H144" s="56"/>
      <c r="I144" s="56"/>
      <c r="J144" s="611"/>
      <c r="K144" s="56"/>
      <c r="L144" s="56">
        <f>SUM(L145:L147)</f>
        <v>0</v>
      </c>
      <c r="M144" s="56"/>
      <c r="N144" s="56"/>
      <c r="O144" s="611"/>
      <c r="P144" s="56"/>
      <c r="Q144" s="56">
        <f>SUM(Q145:Q147)</f>
        <v>0</v>
      </c>
      <c r="R144" s="56"/>
      <c r="S144" s="56"/>
      <c r="T144" s="611"/>
      <c r="U144" s="56"/>
      <c r="V144" s="56">
        <f>SUM(V145:V147)</f>
        <v>0</v>
      </c>
      <c r="W144" s="56"/>
      <c r="X144" s="56"/>
      <c r="Y144" s="611"/>
      <c r="Z144" s="56"/>
      <c r="AA144" s="56">
        <f>SUM(AA145:AA147)</f>
        <v>22595000</v>
      </c>
      <c r="AB144" s="56"/>
      <c r="AC144" s="56"/>
      <c r="AD144" s="611"/>
      <c r="AE144" s="56"/>
      <c r="AF144" s="56">
        <f>SUM(AF145:AF147)</f>
        <v>3905000</v>
      </c>
      <c r="AG144" s="56"/>
      <c r="AH144" s="56"/>
      <c r="AI144" s="611"/>
      <c r="AJ144" s="56"/>
      <c r="AK144" s="56">
        <f>SUM(AK145:AK147)</f>
        <v>9640000</v>
      </c>
      <c r="AL144" s="56"/>
      <c r="AM144" s="56"/>
      <c r="AN144" s="611"/>
      <c r="AO144" s="56"/>
      <c r="AP144" s="56">
        <f>SUM(AP145:AP147)</f>
        <v>8875000</v>
      </c>
      <c r="AQ144" s="56"/>
      <c r="AR144" s="56"/>
      <c r="AS144" s="611"/>
      <c r="AT144" s="56"/>
      <c r="AU144" s="56">
        <f>SUM(AU145:AU147)</f>
        <v>6210000</v>
      </c>
      <c r="AV144" s="56"/>
      <c r="AW144" s="56"/>
      <c r="AX144" s="611"/>
      <c r="AY144" s="56"/>
      <c r="AZ144" s="56">
        <f>SUM(AZ145:AZ147)</f>
        <v>0</v>
      </c>
      <c r="BA144" s="56"/>
      <c r="BB144" s="56"/>
      <c r="BC144" s="611"/>
      <c r="BD144" s="56"/>
      <c r="BE144" s="56">
        <f>SUM(BE145:BE147)</f>
        <v>0</v>
      </c>
      <c r="BF144" s="56"/>
      <c r="BG144" s="56"/>
      <c r="BH144" s="611"/>
      <c r="BI144" s="56"/>
      <c r="BJ144" s="56">
        <f>SUM(BJ145:BJ147)</f>
        <v>0</v>
      </c>
      <c r="BK144" s="56"/>
      <c r="BL144" s="56"/>
      <c r="BM144" s="611"/>
      <c r="BN144" s="56"/>
      <c r="BO144" s="56">
        <f>SUM(BO145:BO147)</f>
        <v>0</v>
      </c>
      <c r="BP144" s="56"/>
      <c r="BQ144" s="56"/>
      <c r="BR144" s="611"/>
      <c r="BS144" s="56"/>
      <c r="BT144" s="56">
        <f>SUM(BT145:BT147)</f>
        <v>51225000</v>
      </c>
      <c r="BU144" s="56"/>
      <c r="BV144" s="56"/>
      <c r="BW144" s="611"/>
      <c r="BX144" s="56"/>
      <c r="BY144" s="56">
        <f>SUM(BY145:BY147)</f>
        <v>0</v>
      </c>
      <c r="BZ144" s="56"/>
      <c r="CA144" s="56"/>
      <c r="CB144" s="611"/>
      <c r="CC144" s="56"/>
      <c r="CD144" s="56">
        <f>SUM(CD145:CD147)</f>
        <v>0</v>
      </c>
      <c r="CE144" s="56"/>
      <c r="CF144" s="56"/>
      <c r="CG144" s="611"/>
      <c r="CH144" s="56"/>
      <c r="CI144" s="56">
        <f>SUM(CI145:CI147)</f>
        <v>0</v>
      </c>
      <c r="CJ144" s="56"/>
      <c r="CK144" s="56"/>
      <c r="CL144" s="611"/>
      <c r="CM144" s="56"/>
      <c r="CN144" s="56">
        <f>SUM(CN145:CN147)</f>
        <v>0</v>
      </c>
      <c r="CO144" s="56"/>
      <c r="CP144" s="56"/>
      <c r="CQ144" s="611"/>
      <c r="CR144" s="56"/>
      <c r="CS144" s="56">
        <f>SUM(CS145:CS147)</f>
        <v>0</v>
      </c>
      <c r="CT144" s="56"/>
      <c r="CU144" s="56"/>
      <c r="CV144" s="611"/>
      <c r="CW144" s="56"/>
      <c r="CX144" s="56">
        <f>SUM(CX145:CX147)</f>
        <v>0</v>
      </c>
      <c r="CY144" s="56"/>
      <c r="CZ144" s="56"/>
      <c r="DA144" s="611"/>
      <c r="DB144" s="56"/>
      <c r="DC144" s="56">
        <f>SUM(DC145:DC147)</f>
        <v>0</v>
      </c>
      <c r="DD144" s="56"/>
      <c r="DE144" s="56"/>
      <c r="DF144" s="611"/>
      <c r="DG144" s="56"/>
      <c r="DH144" s="56">
        <f>SUM(DH145:DH147)</f>
        <v>0</v>
      </c>
      <c r="DI144" s="56"/>
      <c r="DJ144" s="56"/>
      <c r="DK144" s="611"/>
      <c r="DL144" s="56"/>
      <c r="DM144" s="56">
        <f>SUM(DM145:DM147)</f>
        <v>0</v>
      </c>
      <c r="DN144" s="56"/>
      <c r="DO144" s="56"/>
      <c r="DP144" s="611"/>
      <c r="DQ144" s="56"/>
      <c r="DR144" s="56">
        <f>SUM(DR145:DR147)</f>
        <v>0</v>
      </c>
      <c r="DS144" s="56"/>
      <c r="DT144" s="56"/>
      <c r="DU144" s="611"/>
      <c r="DV144" s="56"/>
      <c r="DW144" s="56">
        <f>SUM(DW145:DW147)</f>
        <v>0</v>
      </c>
      <c r="DX144" s="56"/>
      <c r="DY144" s="56"/>
      <c r="DZ144" s="611"/>
      <c r="EA144" s="56"/>
      <c r="EB144" s="56">
        <f>SUM(EB145:EB147)</f>
        <v>0</v>
      </c>
      <c r="EC144" s="56"/>
      <c r="ED144" s="56"/>
      <c r="EE144" s="611"/>
      <c r="EF144" s="56"/>
      <c r="EG144" s="56">
        <f>SUM(EG145:EG147)</f>
        <v>0</v>
      </c>
      <c r="EH144" s="56"/>
      <c r="EI144" s="56"/>
      <c r="EJ144" s="611"/>
      <c r="EK144" s="56"/>
      <c r="EL144" s="56">
        <f>SUM(EL145:EL147)</f>
        <v>0</v>
      </c>
      <c r="EM144" s="56"/>
      <c r="EN144" s="56"/>
      <c r="EO144" s="144"/>
      <c r="ER144" s="42"/>
      <c r="ES144" s="42"/>
    </row>
    <row r="145" spans="3:149" ht="12.75" customHeight="1" x14ac:dyDescent="0.3">
      <c r="D145" s="144" t="s">
        <v>335</v>
      </c>
      <c r="F145" s="500"/>
      <c r="G145" s="609">
        <v>0</v>
      </c>
      <c r="H145" s="610"/>
      <c r="I145" s="56"/>
      <c r="J145" s="611"/>
      <c r="K145" s="612"/>
      <c r="L145" s="609">
        <v>0</v>
      </c>
      <c r="M145" s="610"/>
      <c r="N145" s="56"/>
      <c r="O145" s="611"/>
      <c r="P145" s="612"/>
      <c r="Q145" s="609">
        <v>0</v>
      </c>
      <c r="R145" s="610"/>
      <c r="S145" s="56"/>
      <c r="T145" s="611"/>
      <c r="U145" s="612"/>
      <c r="V145" s="609">
        <v>0</v>
      </c>
      <c r="W145" s="610"/>
      <c r="X145" s="56"/>
      <c r="Y145" s="611"/>
      <c r="Z145" s="612"/>
      <c r="AA145" s="609">
        <v>22595000</v>
      </c>
      <c r="AB145" s="610"/>
      <c r="AC145" s="56"/>
      <c r="AD145" s="611"/>
      <c r="AE145" s="612"/>
      <c r="AF145" s="609">
        <f>3905000+27779</f>
        <v>3932779</v>
      </c>
      <c r="AG145" s="610"/>
      <c r="AH145" s="56"/>
      <c r="AI145" s="611"/>
      <c r="AJ145" s="612"/>
      <c r="AK145" s="609">
        <f>9640000+116280</f>
        <v>9756280</v>
      </c>
      <c r="AL145" s="610"/>
      <c r="AM145" s="56"/>
      <c r="AN145" s="611"/>
      <c r="AO145" s="612"/>
      <c r="AP145" s="609">
        <f>8875000+158830</f>
        <v>9033830</v>
      </c>
      <c r="AQ145" s="610"/>
      <c r="AR145" s="56"/>
      <c r="AS145" s="611"/>
      <c r="AT145" s="612"/>
      <c r="AU145" s="609">
        <f>6210000+139890</f>
        <v>6349890</v>
      </c>
      <c r="AV145" s="610"/>
      <c r="AW145" s="56"/>
      <c r="AX145" s="611"/>
      <c r="AY145" s="612"/>
      <c r="AZ145" s="609">
        <v>0</v>
      </c>
      <c r="BA145" s="610"/>
      <c r="BB145" s="56"/>
      <c r="BC145" s="611"/>
      <c r="BD145" s="612"/>
      <c r="BE145" s="609">
        <v>0</v>
      </c>
      <c r="BF145" s="610"/>
      <c r="BG145" s="56"/>
      <c r="BH145" s="611"/>
      <c r="BI145" s="612"/>
      <c r="BJ145" s="609">
        <v>0</v>
      </c>
      <c r="BK145" s="610"/>
      <c r="BL145" s="56"/>
      <c r="BM145" s="611"/>
      <c r="BN145" s="612"/>
      <c r="BO145" s="609">
        <v>0</v>
      </c>
      <c r="BP145" s="610"/>
      <c r="BQ145" s="56"/>
      <c r="BR145" s="611"/>
      <c r="BS145" s="612"/>
      <c r="BT145" s="609">
        <f>SUM(L145:BO145)</f>
        <v>51667779</v>
      </c>
      <c r="BU145" s="610"/>
      <c r="BV145" s="56"/>
      <c r="BW145" s="611"/>
      <c r="BX145" s="612"/>
      <c r="BY145" s="609">
        <v>0</v>
      </c>
      <c r="BZ145" s="610"/>
      <c r="CA145" s="56"/>
      <c r="CB145" s="611"/>
      <c r="CC145" s="612"/>
      <c r="CD145" s="609">
        <v>0</v>
      </c>
      <c r="CE145" s="610"/>
      <c r="CF145" s="56"/>
      <c r="CG145" s="611"/>
      <c r="CH145" s="612"/>
      <c r="CI145" s="609">
        <v>0</v>
      </c>
      <c r="CJ145" s="610"/>
      <c r="CK145" s="56"/>
      <c r="CL145" s="611"/>
      <c r="CM145" s="612"/>
      <c r="CN145" s="609">
        <v>0</v>
      </c>
      <c r="CO145" s="610"/>
      <c r="CP145" s="56"/>
      <c r="CQ145" s="611"/>
      <c r="CR145" s="612"/>
      <c r="CS145" s="609">
        <v>0</v>
      </c>
      <c r="CT145" s="610"/>
      <c r="CU145" s="56"/>
      <c r="CV145" s="611"/>
      <c r="CW145" s="612"/>
      <c r="CX145" s="609">
        <v>0</v>
      </c>
      <c r="CY145" s="610"/>
      <c r="CZ145" s="56"/>
      <c r="DA145" s="611"/>
      <c r="DB145" s="612"/>
      <c r="DC145" s="609">
        <v>0</v>
      </c>
      <c r="DD145" s="610"/>
      <c r="DE145" s="56"/>
      <c r="DF145" s="611"/>
      <c r="DG145" s="612"/>
      <c r="DH145" s="609">
        <v>0</v>
      </c>
      <c r="DI145" s="610"/>
      <c r="DJ145" s="56"/>
      <c r="DK145" s="611"/>
      <c r="DL145" s="612"/>
      <c r="DM145" s="609">
        <v>0</v>
      </c>
      <c r="DN145" s="610"/>
      <c r="DO145" s="56"/>
      <c r="DP145" s="611"/>
      <c r="DQ145" s="612"/>
      <c r="DR145" s="609">
        <v>0</v>
      </c>
      <c r="DS145" s="610"/>
      <c r="DT145" s="56"/>
      <c r="DU145" s="611"/>
      <c r="DV145" s="612"/>
      <c r="DW145" s="609">
        <v>0</v>
      </c>
      <c r="DX145" s="610"/>
      <c r="DY145" s="56"/>
      <c r="DZ145" s="611"/>
      <c r="EA145" s="612"/>
      <c r="EB145" s="609">
        <v>0</v>
      </c>
      <c r="EC145" s="610"/>
      <c r="ED145" s="56"/>
      <c r="EE145" s="611"/>
      <c r="EF145" s="612"/>
      <c r="EG145" s="609">
        <v>0</v>
      </c>
      <c r="EH145" s="610"/>
      <c r="EI145" s="56"/>
      <c r="EJ145" s="611"/>
      <c r="EK145" s="612"/>
      <c r="EL145" s="609">
        <f t="shared" ref="EL145:EL147" si="16">SUM(CD145:DW145)</f>
        <v>0</v>
      </c>
      <c r="EM145" s="610"/>
      <c r="EN145" s="56"/>
      <c r="EO145" s="144"/>
      <c r="ER145" s="42"/>
      <c r="ES145" s="42"/>
    </row>
    <row r="146" spans="3:149" ht="12.75" customHeight="1" x14ac:dyDescent="0.3">
      <c r="D146" s="144" t="s">
        <v>338</v>
      </c>
      <c r="F146" s="494"/>
      <c r="G146" s="56">
        <v>0</v>
      </c>
      <c r="H146" s="55"/>
      <c r="I146" s="56"/>
      <c r="J146" s="611"/>
      <c r="K146" s="611"/>
      <c r="L146" s="56">
        <v>0</v>
      </c>
      <c r="M146" s="55"/>
      <c r="N146" s="56"/>
      <c r="O146" s="611"/>
      <c r="P146" s="611"/>
      <c r="Q146" s="56">
        <v>0</v>
      </c>
      <c r="R146" s="55"/>
      <c r="S146" s="56"/>
      <c r="T146" s="611"/>
      <c r="U146" s="611"/>
      <c r="V146" s="56">
        <v>0</v>
      </c>
      <c r="W146" s="55"/>
      <c r="X146" s="56"/>
      <c r="Y146" s="611"/>
      <c r="Z146" s="611"/>
      <c r="AA146" s="56">
        <v>0</v>
      </c>
      <c r="AB146" s="55"/>
      <c r="AC146" s="56"/>
      <c r="AD146" s="611"/>
      <c r="AE146" s="611"/>
      <c r="AF146" s="56">
        <v>0</v>
      </c>
      <c r="AG146" s="55"/>
      <c r="AH146" s="56"/>
      <c r="AI146" s="611"/>
      <c r="AJ146" s="611"/>
      <c r="AK146" s="56">
        <v>0</v>
      </c>
      <c r="AL146" s="55"/>
      <c r="AM146" s="56"/>
      <c r="AN146" s="611"/>
      <c r="AO146" s="611"/>
      <c r="AP146" s="56">
        <v>0</v>
      </c>
      <c r="AQ146" s="55"/>
      <c r="AR146" s="56"/>
      <c r="AS146" s="611"/>
      <c r="AT146" s="611"/>
      <c r="AU146" s="56">
        <v>0</v>
      </c>
      <c r="AV146" s="55"/>
      <c r="AW146" s="56"/>
      <c r="AX146" s="611"/>
      <c r="AY146" s="611"/>
      <c r="AZ146" s="56">
        <v>0</v>
      </c>
      <c r="BA146" s="55"/>
      <c r="BB146" s="56"/>
      <c r="BC146" s="611"/>
      <c r="BD146" s="611"/>
      <c r="BE146" s="56">
        <v>0</v>
      </c>
      <c r="BF146" s="55"/>
      <c r="BG146" s="56"/>
      <c r="BH146" s="611"/>
      <c r="BI146" s="611"/>
      <c r="BJ146" s="56">
        <v>0</v>
      </c>
      <c r="BK146" s="55"/>
      <c r="BL146" s="56"/>
      <c r="BM146" s="611"/>
      <c r="BN146" s="611"/>
      <c r="BO146" s="56">
        <v>0</v>
      </c>
      <c r="BP146" s="55"/>
      <c r="BQ146" s="56"/>
      <c r="BR146" s="611"/>
      <c r="BS146" s="611"/>
      <c r="BT146" s="56">
        <f>SUM(L146:BO146)</f>
        <v>0</v>
      </c>
      <c r="BU146" s="55"/>
      <c r="BV146" s="56"/>
      <c r="BW146" s="611"/>
      <c r="BX146" s="611"/>
      <c r="BY146" s="56">
        <v>0</v>
      </c>
      <c r="BZ146" s="55"/>
      <c r="CA146" s="56"/>
      <c r="CB146" s="611"/>
      <c r="CC146" s="611"/>
      <c r="CD146" s="56">
        <v>0</v>
      </c>
      <c r="CE146" s="55"/>
      <c r="CF146" s="56"/>
      <c r="CG146" s="611"/>
      <c r="CH146" s="611"/>
      <c r="CI146" s="56">
        <v>0</v>
      </c>
      <c r="CJ146" s="55"/>
      <c r="CK146" s="56"/>
      <c r="CL146" s="611"/>
      <c r="CM146" s="611"/>
      <c r="CN146" s="56">
        <v>0</v>
      </c>
      <c r="CO146" s="55"/>
      <c r="CP146" s="56"/>
      <c r="CQ146" s="611"/>
      <c r="CR146" s="611"/>
      <c r="CS146" s="56">
        <v>0</v>
      </c>
      <c r="CT146" s="55"/>
      <c r="CU146" s="56"/>
      <c r="CV146" s="611"/>
      <c r="CW146" s="611"/>
      <c r="CX146" s="56">
        <v>0</v>
      </c>
      <c r="CY146" s="55"/>
      <c r="CZ146" s="56"/>
      <c r="DA146" s="611"/>
      <c r="DB146" s="611"/>
      <c r="DC146" s="56">
        <v>0</v>
      </c>
      <c r="DD146" s="55"/>
      <c r="DE146" s="56"/>
      <c r="DF146" s="611"/>
      <c r="DG146" s="611"/>
      <c r="DH146" s="56">
        <v>0</v>
      </c>
      <c r="DI146" s="55"/>
      <c r="DJ146" s="56"/>
      <c r="DK146" s="611"/>
      <c r="DL146" s="611"/>
      <c r="DM146" s="56">
        <v>0</v>
      </c>
      <c r="DN146" s="55"/>
      <c r="DO146" s="56"/>
      <c r="DP146" s="611"/>
      <c r="DQ146" s="611"/>
      <c r="DR146" s="56">
        <v>0</v>
      </c>
      <c r="DS146" s="55"/>
      <c r="DT146" s="56"/>
      <c r="DU146" s="611"/>
      <c r="DV146" s="611"/>
      <c r="DW146" s="56">
        <v>0</v>
      </c>
      <c r="DX146" s="55"/>
      <c r="DY146" s="56"/>
      <c r="DZ146" s="611"/>
      <c r="EA146" s="611"/>
      <c r="EB146" s="56">
        <v>0</v>
      </c>
      <c r="EC146" s="55"/>
      <c r="ED146" s="56"/>
      <c r="EE146" s="611"/>
      <c r="EF146" s="611"/>
      <c r="EG146" s="56">
        <v>0</v>
      </c>
      <c r="EH146" s="55"/>
      <c r="EI146" s="56"/>
      <c r="EJ146" s="611"/>
      <c r="EK146" s="611"/>
      <c r="EL146" s="56">
        <f t="shared" si="16"/>
        <v>0</v>
      </c>
      <c r="EM146" s="55"/>
      <c r="EN146" s="56"/>
      <c r="EO146" s="144"/>
      <c r="ER146" s="42"/>
      <c r="ES146" s="42"/>
    </row>
    <row r="147" spans="3:149" ht="12.75" customHeight="1" x14ac:dyDescent="0.3">
      <c r="D147" s="144" t="s">
        <v>339</v>
      </c>
      <c r="F147" s="513"/>
      <c r="G147" s="117">
        <v>0</v>
      </c>
      <c r="H147" s="116"/>
      <c r="I147" s="56"/>
      <c r="J147" s="611"/>
      <c r="K147" s="620"/>
      <c r="L147" s="117">
        <v>0</v>
      </c>
      <c r="M147" s="116"/>
      <c r="N147" s="56"/>
      <c r="O147" s="611"/>
      <c r="P147" s="620"/>
      <c r="Q147" s="117">
        <v>0</v>
      </c>
      <c r="R147" s="116"/>
      <c r="S147" s="56"/>
      <c r="T147" s="611"/>
      <c r="U147" s="620"/>
      <c r="V147" s="117">
        <v>0</v>
      </c>
      <c r="W147" s="116"/>
      <c r="X147" s="56"/>
      <c r="Y147" s="611"/>
      <c r="Z147" s="620"/>
      <c r="AA147" s="117">
        <v>0</v>
      </c>
      <c r="AB147" s="116"/>
      <c r="AC147" s="56"/>
      <c r="AD147" s="611"/>
      <c r="AE147" s="620"/>
      <c r="AF147" s="117">
        <v>-27779</v>
      </c>
      <c r="AG147" s="116"/>
      <c r="AH147" s="56"/>
      <c r="AI147" s="611"/>
      <c r="AJ147" s="620"/>
      <c r="AK147" s="117">
        <v>-116280</v>
      </c>
      <c r="AL147" s="116"/>
      <c r="AM147" s="56"/>
      <c r="AN147" s="611"/>
      <c r="AO147" s="620"/>
      <c r="AP147" s="117">
        <v>-158830</v>
      </c>
      <c r="AQ147" s="116"/>
      <c r="AR147" s="56"/>
      <c r="AS147" s="611"/>
      <c r="AT147" s="620"/>
      <c r="AU147" s="117">
        <v>-139890</v>
      </c>
      <c r="AV147" s="116"/>
      <c r="AW147" s="56"/>
      <c r="AX147" s="611"/>
      <c r="AY147" s="620"/>
      <c r="AZ147" s="117">
        <v>0</v>
      </c>
      <c r="BA147" s="116"/>
      <c r="BB147" s="56"/>
      <c r="BC147" s="611"/>
      <c r="BD147" s="620"/>
      <c r="BE147" s="117">
        <v>0</v>
      </c>
      <c r="BF147" s="116"/>
      <c r="BG147" s="56"/>
      <c r="BH147" s="611"/>
      <c r="BI147" s="620"/>
      <c r="BJ147" s="117">
        <v>0</v>
      </c>
      <c r="BK147" s="116"/>
      <c r="BL147" s="56"/>
      <c r="BM147" s="611"/>
      <c r="BN147" s="620"/>
      <c r="BO147" s="117">
        <v>0</v>
      </c>
      <c r="BP147" s="116"/>
      <c r="BQ147" s="56"/>
      <c r="BR147" s="611"/>
      <c r="BS147" s="620"/>
      <c r="BT147" s="117">
        <f>SUM(L147:BO147)</f>
        <v>-442779</v>
      </c>
      <c r="BU147" s="116"/>
      <c r="BV147" s="56"/>
      <c r="BW147" s="611"/>
      <c r="BX147" s="620"/>
      <c r="BY147" s="117">
        <v>0</v>
      </c>
      <c r="BZ147" s="116"/>
      <c r="CA147" s="56"/>
      <c r="CB147" s="611"/>
      <c r="CC147" s="620"/>
      <c r="CD147" s="117">
        <v>0</v>
      </c>
      <c r="CE147" s="116"/>
      <c r="CF147" s="56"/>
      <c r="CG147" s="611"/>
      <c r="CH147" s="620"/>
      <c r="CI147" s="117">
        <v>0</v>
      </c>
      <c r="CJ147" s="116"/>
      <c r="CK147" s="56"/>
      <c r="CL147" s="611"/>
      <c r="CM147" s="620"/>
      <c r="CN147" s="117">
        <v>0</v>
      </c>
      <c r="CO147" s="116"/>
      <c r="CP147" s="56"/>
      <c r="CQ147" s="611"/>
      <c r="CR147" s="620"/>
      <c r="CS147" s="117">
        <v>0</v>
      </c>
      <c r="CT147" s="116"/>
      <c r="CU147" s="56"/>
      <c r="CV147" s="611"/>
      <c r="CW147" s="620"/>
      <c r="CX147" s="117">
        <v>0</v>
      </c>
      <c r="CY147" s="116"/>
      <c r="CZ147" s="56"/>
      <c r="DA147" s="611"/>
      <c r="DB147" s="620"/>
      <c r="DC147" s="117">
        <v>0</v>
      </c>
      <c r="DD147" s="116"/>
      <c r="DE147" s="56"/>
      <c r="DF147" s="611"/>
      <c r="DG147" s="620"/>
      <c r="DH147" s="117">
        <v>0</v>
      </c>
      <c r="DI147" s="116"/>
      <c r="DJ147" s="56"/>
      <c r="DK147" s="611"/>
      <c r="DL147" s="620"/>
      <c r="DM147" s="117">
        <v>0</v>
      </c>
      <c r="DN147" s="116"/>
      <c r="DO147" s="56"/>
      <c r="DP147" s="611"/>
      <c r="DQ147" s="620"/>
      <c r="DR147" s="117">
        <v>0</v>
      </c>
      <c r="DS147" s="116"/>
      <c r="DT147" s="56"/>
      <c r="DU147" s="611"/>
      <c r="DV147" s="620"/>
      <c r="DW147" s="117">
        <v>0</v>
      </c>
      <c r="DX147" s="116"/>
      <c r="DY147" s="56"/>
      <c r="DZ147" s="611"/>
      <c r="EA147" s="620"/>
      <c r="EB147" s="117">
        <v>0</v>
      </c>
      <c r="EC147" s="116"/>
      <c r="ED147" s="56"/>
      <c r="EE147" s="611"/>
      <c r="EF147" s="620"/>
      <c r="EG147" s="117">
        <v>0</v>
      </c>
      <c r="EH147" s="116"/>
      <c r="EI147" s="56"/>
      <c r="EJ147" s="611"/>
      <c r="EK147" s="620"/>
      <c r="EL147" s="117">
        <f t="shared" si="16"/>
        <v>0</v>
      </c>
      <c r="EM147" s="116"/>
      <c r="EN147" s="56"/>
      <c r="EO147" s="144"/>
      <c r="ER147" s="42"/>
      <c r="ES147" s="42"/>
    </row>
    <row r="148" spans="3:149" ht="12.75" hidden="1" customHeight="1" x14ac:dyDescent="0.3">
      <c r="D148" s="144"/>
      <c r="G148" s="56"/>
      <c r="H148" s="56"/>
      <c r="I148" s="56"/>
      <c r="J148" s="611"/>
      <c r="K148" s="56"/>
      <c r="L148" s="56"/>
      <c r="M148" s="56"/>
      <c r="N148" s="56"/>
      <c r="O148" s="611"/>
      <c r="P148" s="56"/>
      <c r="Q148" s="56"/>
      <c r="R148" s="56"/>
      <c r="S148" s="56"/>
      <c r="T148" s="611"/>
      <c r="U148" s="56"/>
      <c r="V148" s="56"/>
      <c r="W148" s="56"/>
      <c r="X148" s="56"/>
      <c r="Y148" s="611"/>
      <c r="Z148" s="56"/>
      <c r="AA148" s="56"/>
      <c r="AB148" s="56"/>
      <c r="AC148" s="56"/>
      <c r="AD148" s="611"/>
      <c r="AE148" s="56"/>
      <c r="AF148" s="56"/>
      <c r="AG148" s="56"/>
      <c r="AH148" s="56"/>
      <c r="AI148" s="611"/>
      <c r="AJ148" s="56"/>
      <c r="AK148" s="56"/>
      <c r="AL148" s="56"/>
      <c r="AM148" s="56"/>
      <c r="AN148" s="611"/>
      <c r="AO148" s="56"/>
      <c r="AP148" s="56"/>
      <c r="AQ148" s="56"/>
      <c r="AR148" s="56"/>
      <c r="AS148" s="611"/>
      <c r="AT148" s="56"/>
      <c r="AU148" s="56"/>
      <c r="AV148" s="56"/>
      <c r="AW148" s="56"/>
      <c r="AX148" s="611"/>
      <c r="AY148" s="56"/>
      <c r="AZ148" s="56"/>
      <c r="BA148" s="56"/>
      <c r="BB148" s="56"/>
      <c r="BC148" s="611"/>
      <c r="BD148" s="56"/>
      <c r="BE148" s="56"/>
      <c r="BF148" s="56"/>
      <c r="BG148" s="56"/>
      <c r="BH148" s="611"/>
      <c r="BI148" s="56"/>
      <c r="BJ148" s="56"/>
      <c r="BK148" s="56"/>
      <c r="BL148" s="56"/>
      <c r="BM148" s="611"/>
      <c r="BN148" s="56"/>
      <c r="BO148" s="56"/>
      <c r="BP148" s="56"/>
      <c r="BQ148" s="56"/>
      <c r="BR148" s="611"/>
      <c r="BS148" s="56"/>
      <c r="BT148" s="56"/>
      <c r="BU148" s="56"/>
      <c r="BV148" s="56"/>
      <c r="BW148" s="611"/>
      <c r="BX148" s="56"/>
      <c r="BY148" s="56"/>
      <c r="BZ148" s="56"/>
      <c r="CA148" s="56"/>
      <c r="CB148" s="611"/>
      <c r="CC148" s="56"/>
      <c r="CD148" s="56"/>
      <c r="CE148" s="56"/>
      <c r="CF148" s="56"/>
      <c r="CG148" s="611"/>
      <c r="CH148" s="56"/>
      <c r="CI148" s="56"/>
      <c r="CJ148" s="56"/>
      <c r="CK148" s="56"/>
      <c r="CL148" s="611"/>
      <c r="CM148" s="56"/>
      <c r="CN148" s="56"/>
      <c r="CO148" s="56"/>
      <c r="CP148" s="56"/>
      <c r="CQ148" s="611"/>
      <c r="CR148" s="56"/>
      <c r="CS148" s="56"/>
      <c r="CT148" s="56"/>
      <c r="CU148" s="56"/>
      <c r="CV148" s="611"/>
      <c r="CW148" s="56"/>
      <c r="CX148" s="56"/>
      <c r="CY148" s="56"/>
      <c r="CZ148" s="56"/>
      <c r="DA148" s="611"/>
      <c r="DB148" s="56"/>
      <c r="DC148" s="56"/>
      <c r="DD148" s="56"/>
      <c r="DE148" s="56"/>
      <c r="DF148" s="611"/>
      <c r="DG148" s="56"/>
      <c r="DH148" s="56"/>
      <c r="DI148" s="56"/>
      <c r="DJ148" s="56"/>
      <c r="DK148" s="611"/>
      <c r="DL148" s="56"/>
      <c r="DM148" s="56"/>
      <c r="DN148" s="56"/>
      <c r="DO148" s="56"/>
      <c r="DP148" s="611"/>
      <c r="DQ148" s="56"/>
      <c r="DR148" s="56"/>
      <c r="DS148" s="56"/>
      <c r="DT148" s="56"/>
      <c r="DU148" s="611"/>
      <c r="DV148" s="56"/>
      <c r="DW148" s="56"/>
      <c r="DX148" s="56"/>
      <c r="DY148" s="56"/>
      <c r="DZ148" s="611"/>
      <c r="EA148" s="56"/>
      <c r="EB148" s="56"/>
      <c r="EC148" s="56"/>
      <c r="ED148" s="56"/>
      <c r="EE148" s="611"/>
      <c r="EF148" s="56"/>
      <c r="EG148" s="56"/>
      <c r="EH148" s="56"/>
      <c r="EI148" s="56"/>
      <c r="EJ148" s="611"/>
      <c r="EK148" s="56"/>
      <c r="EL148" s="56"/>
      <c r="EM148" s="56"/>
      <c r="EN148" s="56"/>
      <c r="EO148" s="144"/>
      <c r="ER148" s="42"/>
      <c r="ES148" s="42"/>
    </row>
    <row r="149" spans="3:149" ht="12.75" hidden="1" customHeight="1" x14ac:dyDescent="0.3">
      <c r="D149" s="144" t="s">
        <v>364</v>
      </c>
      <c r="G149" s="56">
        <f>SUM(G150:G152)</f>
        <v>0</v>
      </c>
      <c r="H149" s="56"/>
      <c r="I149" s="56"/>
      <c r="J149" s="611"/>
      <c r="K149" s="56"/>
      <c r="L149" s="56">
        <f>SUM(L150:L152)</f>
        <v>0</v>
      </c>
      <c r="M149" s="56"/>
      <c r="N149" s="56"/>
      <c r="O149" s="611"/>
      <c r="P149" s="56"/>
      <c r="Q149" s="56">
        <f>SUM(Q150:Q152)</f>
        <v>0</v>
      </c>
      <c r="R149" s="56"/>
      <c r="S149" s="56"/>
      <c r="T149" s="611"/>
      <c r="U149" s="56"/>
      <c r="V149" s="56">
        <f>SUM(V150:V152)</f>
        <v>0</v>
      </c>
      <c r="W149" s="56"/>
      <c r="X149" s="56"/>
      <c r="Y149" s="611"/>
      <c r="Z149" s="56"/>
      <c r="AA149" s="56">
        <f>SUM(AA150:AA152)</f>
        <v>0</v>
      </c>
      <c r="AB149" s="56"/>
      <c r="AC149" s="56"/>
      <c r="AD149" s="611"/>
      <c r="AE149" s="56"/>
      <c r="AF149" s="56">
        <f>SUM(AF150:AF152)</f>
        <v>0</v>
      </c>
      <c r="AG149" s="56"/>
      <c r="AH149" s="56"/>
      <c r="AI149" s="611"/>
      <c r="AJ149" s="56"/>
      <c r="AK149" s="56">
        <f>SUM(AK150:AK152)</f>
        <v>0</v>
      </c>
      <c r="AL149" s="56"/>
      <c r="AM149" s="56"/>
      <c r="AN149" s="611"/>
      <c r="AO149" s="56"/>
      <c r="AP149" s="56">
        <f>SUM(AP150:AP152)</f>
        <v>0</v>
      </c>
      <c r="AQ149" s="56"/>
      <c r="AR149" s="56"/>
      <c r="AS149" s="611"/>
      <c r="AT149" s="56"/>
      <c r="AU149" s="56">
        <f>SUM(AU150:AU152)</f>
        <v>0</v>
      </c>
      <c r="AV149" s="56"/>
      <c r="AW149" s="56"/>
      <c r="AX149" s="611"/>
      <c r="AY149" s="56"/>
      <c r="AZ149" s="56">
        <f>SUM(AZ150:AZ152)</f>
        <v>0</v>
      </c>
      <c r="BA149" s="56"/>
      <c r="BB149" s="56"/>
      <c r="BC149" s="611"/>
      <c r="BD149" s="56"/>
      <c r="BE149" s="56">
        <f>SUM(BE150:BE152)</f>
        <v>0</v>
      </c>
      <c r="BF149" s="56"/>
      <c r="BG149" s="56"/>
      <c r="BH149" s="611"/>
      <c r="BI149" s="56"/>
      <c r="BJ149" s="56">
        <f>SUM(BJ150:BJ152)</f>
        <v>0</v>
      </c>
      <c r="BK149" s="56"/>
      <c r="BL149" s="56"/>
      <c r="BM149" s="611"/>
      <c r="BN149" s="56"/>
      <c r="BO149" s="56">
        <f>SUM(BO150:BO152)</f>
        <v>0</v>
      </c>
      <c r="BP149" s="56"/>
      <c r="BQ149" s="56"/>
      <c r="BR149" s="611"/>
      <c r="BS149" s="56"/>
      <c r="BT149" s="56">
        <f>SUM(BT150:BT152)</f>
        <v>0</v>
      </c>
      <c r="BU149" s="56"/>
      <c r="BV149" s="56"/>
      <c r="BW149" s="611"/>
      <c r="BX149" s="56"/>
      <c r="BY149" s="56">
        <f>SUM(BY150:BY152)</f>
        <v>0</v>
      </c>
      <c r="BZ149" s="56"/>
      <c r="CA149" s="56"/>
      <c r="CB149" s="611"/>
      <c r="CC149" s="56"/>
      <c r="CD149" s="56">
        <f>SUM(CD150:CD152)</f>
        <v>0</v>
      </c>
      <c r="CE149" s="56"/>
      <c r="CF149" s="56"/>
      <c r="CG149" s="611"/>
      <c r="CH149" s="56"/>
      <c r="CI149" s="56">
        <f>SUM(CI150:CI152)</f>
        <v>0</v>
      </c>
      <c r="CJ149" s="56"/>
      <c r="CK149" s="56"/>
      <c r="CL149" s="611"/>
      <c r="CM149" s="56"/>
      <c r="CN149" s="56">
        <f>SUM(CN150:CN152)</f>
        <v>0</v>
      </c>
      <c r="CO149" s="56"/>
      <c r="CP149" s="56"/>
      <c r="CQ149" s="611"/>
      <c r="CR149" s="56"/>
      <c r="CS149" s="56">
        <f>SUM(CS150:CS152)</f>
        <v>0</v>
      </c>
      <c r="CT149" s="56"/>
      <c r="CU149" s="56"/>
      <c r="CV149" s="611"/>
      <c r="CW149" s="56"/>
      <c r="CX149" s="56">
        <f>SUM(CX150:CX152)</f>
        <v>0</v>
      </c>
      <c r="CY149" s="56"/>
      <c r="CZ149" s="56"/>
      <c r="DA149" s="611"/>
      <c r="DB149" s="56"/>
      <c r="DC149" s="56">
        <f>SUM(DC150:DC152)</f>
        <v>0</v>
      </c>
      <c r="DD149" s="56"/>
      <c r="DE149" s="56"/>
      <c r="DF149" s="611"/>
      <c r="DG149" s="56"/>
      <c r="DH149" s="56">
        <f>SUM(DH150:DH152)</f>
        <v>0</v>
      </c>
      <c r="DI149" s="56"/>
      <c r="DJ149" s="56"/>
      <c r="DK149" s="611"/>
      <c r="DL149" s="56"/>
      <c r="DM149" s="56">
        <f>SUM(DM150:DM152)</f>
        <v>0</v>
      </c>
      <c r="DN149" s="56"/>
      <c r="DO149" s="56"/>
      <c r="DP149" s="611"/>
      <c r="DQ149" s="56"/>
      <c r="DR149" s="56">
        <f>SUM(DR150:DR152)</f>
        <v>0</v>
      </c>
      <c r="DS149" s="56"/>
      <c r="DT149" s="56"/>
      <c r="DU149" s="611"/>
      <c r="DV149" s="56"/>
      <c r="DW149" s="56">
        <f>SUM(DW150:DW152)</f>
        <v>0</v>
      </c>
      <c r="DX149" s="56"/>
      <c r="DY149" s="56"/>
      <c r="DZ149" s="611"/>
      <c r="EA149" s="56"/>
      <c r="EB149" s="56">
        <f>SUM(EB150:EB152)</f>
        <v>0</v>
      </c>
      <c r="EC149" s="56"/>
      <c r="ED149" s="56"/>
      <c r="EE149" s="611"/>
      <c r="EF149" s="56"/>
      <c r="EG149" s="56">
        <f>SUM(EG150:EG152)</f>
        <v>0</v>
      </c>
      <c r="EH149" s="56"/>
      <c r="EI149" s="56"/>
      <c r="EJ149" s="611"/>
      <c r="EK149" s="56"/>
      <c r="EL149" s="56">
        <f>SUM(EL150:EL152)</f>
        <v>0</v>
      </c>
      <c r="EM149" s="56"/>
      <c r="EN149" s="56"/>
      <c r="EO149" s="144"/>
      <c r="ER149" s="42"/>
      <c r="ES149" s="42"/>
    </row>
    <row r="150" spans="3:149" ht="12.75" hidden="1" customHeight="1" x14ac:dyDescent="0.3">
      <c r="D150" s="144" t="s">
        <v>335</v>
      </c>
      <c r="F150" s="500"/>
      <c r="G150" s="609">
        <v>0</v>
      </c>
      <c r="H150" s="610"/>
      <c r="I150" s="56"/>
      <c r="J150" s="611"/>
      <c r="K150" s="612"/>
      <c r="L150" s="609">
        <v>0</v>
      </c>
      <c r="M150" s="610"/>
      <c r="N150" s="56"/>
      <c r="O150" s="611"/>
      <c r="P150" s="612"/>
      <c r="Q150" s="609">
        <v>0</v>
      </c>
      <c r="R150" s="610"/>
      <c r="S150" s="56"/>
      <c r="T150" s="611"/>
      <c r="U150" s="612"/>
      <c r="V150" s="609">
        <v>0</v>
      </c>
      <c r="W150" s="610"/>
      <c r="X150" s="56"/>
      <c r="Y150" s="611"/>
      <c r="Z150" s="612"/>
      <c r="AA150" s="609">
        <v>0</v>
      </c>
      <c r="AB150" s="610"/>
      <c r="AC150" s="56"/>
      <c r="AD150" s="611"/>
      <c r="AE150" s="612"/>
      <c r="AF150" s="609">
        <v>0</v>
      </c>
      <c r="AG150" s="610"/>
      <c r="AH150" s="56"/>
      <c r="AI150" s="611"/>
      <c r="AJ150" s="612"/>
      <c r="AK150" s="609">
        <v>0</v>
      </c>
      <c r="AL150" s="610"/>
      <c r="AM150" s="56"/>
      <c r="AN150" s="611"/>
      <c r="AO150" s="612"/>
      <c r="AP150" s="609">
        <v>0</v>
      </c>
      <c r="AQ150" s="610"/>
      <c r="AR150" s="56"/>
      <c r="AS150" s="611"/>
      <c r="AT150" s="612"/>
      <c r="AU150" s="609">
        <v>0</v>
      </c>
      <c r="AV150" s="610"/>
      <c r="AW150" s="56"/>
      <c r="AX150" s="611"/>
      <c r="AY150" s="612"/>
      <c r="AZ150" s="609">
        <v>0</v>
      </c>
      <c r="BA150" s="610"/>
      <c r="BB150" s="56"/>
      <c r="BC150" s="611"/>
      <c r="BD150" s="612"/>
      <c r="BE150" s="609">
        <v>0</v>
      </c>
      <c r="BF150" s="610"/>
      <c r="BG150" s="56"/>
      <c r="BH150" s="611"/>
      <c r="BI150" s="612"/>
      <c r="BJ150" s="609">
        <v>0</v>
      </c>
      <c r="BK150" s="610"/>
      <c r="BL150" s="56"/>
      <c r="BM150" s="611"/>
      <c r="BN150" s="612"/>
      <c r="BO150" s="609">
        <v>0</v>
      </c>
      <c r="BP150" s="610"/>
      <c r="BQ150" s="56"/>
      <c r="BR150" s="611"/>
      <c r="BS150" s="612"/>
      <c r="BT150" s="609">
        <f>SUM(L150:BO150)</f>
        <v>0</v>
      </c>
      <c r="BU150" s="610"/>
      <c r="BV150" s="56"/>
      <c r="BW150" s="611"/>
      <c r="BX150" s="612"/>
      <c r="BY150" s="609">
        <v>0</v>
      </c>
      <c r="BZ150" s="610"/>
      <c r="CA150" s="56"/>
      <c r="CB150" s="611"/>
      <c r="CC150" s="612"/>
      <c r="CD150" s="609">
        <v>0</v>
      </c>
      <c r="CE150" s="610"/>
      <c r="CF150" s="56"/>
      <c r="CG150" s="611"/>
      <c r="CH150" s="612"/>
      <c r="CI150" s="609">
        <v>0</v>
      </c>
      <c r="CJ150" s="610"/>
      <c r="CK150" s="56"/>
      <c r="CL150" s="611"/>
      <c r="CM150" s="612"/>
      <c r="CN150" s="609">
        <v>0</v>
      </c>
      <c r="CO150" s="610"/>
      <c r="CP150" s="56"/>
      <c r="CQ150" s="611"/>
      <c r="CR150" s="612"/>
      <c r="CS150" s="609">
        <v>0</v>
      </c>
      <c r="CT150" s="610"/>
      <c r="CU150" s="56"/>
      <c r="CV150" s="611"/>
      <c r="CW150" s="612"/>
      <c r="CX150" s="609">
        <v>0</v>
      </c>
      <c r="CY150" s="610"/>
      <c r="CZ150" s="56"/>
      <c r="DA150" s="611"/>
      <c r="DB150" s="612"/>
      <c r="DC150" s="609">
        <v>0</v>
      </c>
      <c r="DD150" s="610"/>
      <c r="DE150" s="56"/>
      <c r="DF150" s="611"/>
      <c r="DG150" s="612"/>
      <c r="DH150" s="609">
        <v>0</v>
      </c>
      <c r="DI150" s="610"/>
      <c r="DJ150" s="56"/>
      <c r="DK150" s="611"/>
      <c r="DL150" s="612"/>
      <c r="DM150" s="609">
        <v>0</v>
      </c>
      <c r="DN150" s="610"/>
      <c r="DO150" s="56"/>
      <c r="DP150" s="611"/>
      <c r="DQ150" s="612"/>
      <c r="DR150" s="609">
        <v>0</v>
      </c>
      <c r="DS150" s="610"/>
      <c r="DT150" s="56"/>
      <c r="DU150" s="611"/>
      <c r="DV150" s="612"/>
      <c r="DW150" s="609">
        <v>0</v>
      </c>
      <c r="DX150" s="610"/>
      <c r="DY150" s="56"/>
      <c r="DZ150" s="611"/>
      <c r="EA150" s="612"/>
      <c r="EB150" s="609">
        <v>0</v>
      </c>
      <c r="EC150" s="610"/>
      <c r="ED150" s="56"/>
      <c r="EE150" s="611"/>
      <c r="EF150" s="612"/>
      <c r="EG150" s="609">
        <v>0</v>
      </c>
      <c r="EH150" s="610"/>
      <c r="EI150" s="56"/>
      <c r="EJ150" s="611"/>
      <c r="EK150" s="612"/>
      <c r="EL150" s="609">
        <f>SUM(CD150:CD150)</f>
        <v>0</v>
      </c>
      <c r="EM150" s="610"/>
      <c r="EN150" s="56"/>
      <c r="EO150" s="144"/>
      <c r="ER150" s="42"/>
      <c r="ES150" s="42"/>
    </row>
    <row r="151" spans="3:149" ht="12.75" hidden="1" customHeight="1" x14ac:dyDescent="0.3">
      <c r="D151" s="144" t="s">
        <v>338</v>
      </c>
      <c r="F151" s="494"/>
      <c r="G151" s="56">
        <v>0</v>
      </c>
      <c r="H151" s="55"/>
      <c r="I151" s="56"/>
      <c r="J151" s="611"/>
      <c r="K151" s="611"/>
      <c r="L151" s="56">
        <v>0</v>
      </c>
      <c r="M151" s="55"/>
      <c r="N151" s="56"/>
      <c r="O151" s="611"/>
      <c r="P151" s="611"/>
      <c r="Q151" s="56">
        <v>0</v>
      </c>
      <c r="R151" s="55"/>
      <c r="S151" s="56"/>
      <c r="T151" s="611"/>
      <c r="U151" s="611"/>
      <c r="V151" s="56">
        <v>0</v>
      </c>
      <c r="W151" s="55"/>
      <c r="X151" s="56"/>
      <c r="Y151" s="611"/>
      <c r="Z151" s="611"/>
      <c r="AA151" s="56">
        <v>0</v>
      </c>
      <c r="AB151" s="55"/>
      <c r="AC151" s="56"/>
      <c r="AD151" s="611"/>
      <c r="AE151" s="611"/>
      <c r="AF151" s="56">
        <v>0</v>
      </c>
      <c r="AG151" s="55"/>
      <c r="AH151" s="56"/>
      <c r="AI151" s="611"/>
      <c r="AJ151" s="611"/>
      <c r="AK151" s="56">
        <v>0</v>
      </c>
      <c r="AL151" s="55"/>
      <c r="AM151" s="56"/>
      <c r="AN151" s="611"/>
      <c r="AO151" s="611"/>
      <c r="AP151" s="56">
        <v>0</v>
      </c>
      <c r="AQ151" s="55"/>
      <c r="AR151" s="56"/>
      <c r="AS151" s="611"/>
      <c r="AT151" s="611"/>
      <c r="AU151" s="56">
        <v>0</v>
      </c>
      <c r="AV151" s="55"/>
      <c r="AW151" s="56"/>
      <c r="AX151" s="611"/>
      <c r="AY151" s="611"/>
      <c r="AZ151" s="56">
        <v>0</v>
      </c>
      <c r="BA151" s="55"/>
      <c r="BB151" s="56"/>
      <c r="BC151" s="611"/>
      <c r="BD151" s="611"/>
      <c r="BE151" s="56">
        <v>0</v>
      </c>
      <c r="BF151" s="55"/>
      <c r="BG151" s="56"/>
      <c r="BH151" s="611"/>
      <c r="BI151" s="611"/>
      <c r="BJ151" s="56">
        <v>0</v>
      </c>
      <c r="BK151" s="55"/>
      <c r="BL151" s="56"/>
      <c r="BM151" s="611"/>
      <c r="BN151" s="611"/>
      <c r="BO151" s="56">
        <v>0</v>
      </c>
      <c r="BP151" s="55"/>
      <c r="BQ151" s="56"/>
      <c r="BR151" s="611"/>
      <c r="BS151" s="611"/>
      <c r="BT151" s="56">
        <f>SUM(L151:BO151)</f>
        <v>0</v>
      </c>
      <c r="BU151" s="55"/>
      <c r="BV151" s="56"/>
      <c r="BW151" s="611"/>
      <c r="BX151" s="611"/>
      <c r="BY151" s="56">
        <v>0</v>
      </c>
      <c r="BZ151" s="55"/>
      <c r="CA151" s="56"/>
      <c r="CB151" s="611"/>
      <c r="CC151" s="611"/>
      <c r="CD151" s="56">
        <v>0</v>
      </c>
      <c r="CE151" s="55"/>
      <c r="CF151" s="56"/>
      <c r="CG151" s="611"/>
      <c r="CH151" s="611"/>
      <c r="CI151" s="56">
        <v>0</v>
      </c>
      <c r="CJ151" s="55"/>
      <c r="CK151" s="56"/>
      <c r="CL151" s="611"/>
      <c r="CM151" s="611"/>
      <c r="CN151" s="56">
        <v>0</v>
      </c>
      <c r="CO151" s="55"/>
      <c r="CP151" s="56"/>
      <c r="CQ151" s="611"/>
      <c r="CR151" s="611"/>
      <c r="CS151" s="56">
        <v>0</v>
      </c>
      <c r="CT151" s="55"/>
      <c r="CU151" s="56"/>
      <c r="CV151" s="611"/>
      <c r="CW151" s="611"/>
      <c r="CX151" s="56">
        <v>0</v>
      </c>
      <c r="CY151" s="55"/>
      <c r="CZ151" s="56"/>
      <c r="DA151" s="611"/>
      <c r="DB151" s="611"/>
      <c r="DC151" s="56">
        <v>0</v>
      </c>
      <c r="DD151" s="55"/>
      <c r="DE151" s="56"/>
      <c r="DF151" s="611"/>
      <c r="DG151" s="611"/>
      <c r="DH151" s="56">
        <v>0</v>
      </c>
      <c r="DI151" s="55"/>
      <c r="DJ151" s="56"/>
      <c r="DK151" s="611"/>
      <c r="DL151" s="611"/>
      <c r="DM151" s="56">
        <v>0</v>
      </c>
      <c r="DN151" s="55"/>
      <c r="DO151" s="56"/>
      <c r="DP151" s="611"/>
      <c r="DQ151" s="611"/>
      <c r="DR151" s="56">
        <v>0</v>
      </c>
      <c r="DS151" s="55"/>
      <c r="DT151" s="56"/>
      <c r="DU151" s="611"/>
      <c r="DV151" s="611"/>
      <c r="DW151" s="56">
        <v>0</v>
      </c>
      <c r="DX151" s="55"/>
      <c r="DY151" s="56"/>
      <c r="DZ151" s="611"/>
      <c r="EA151" s="611"/>
      <c r="EB151" s="56">
        <v>0</v>
      </c>
      <c r="EC151" s="55"/>
      <c r="ED151" s="56"/>
      <c r="EE151" s="611"/>
      <c r="EF151" s="611"/>
      <c r="EG151" s="56">
        <v>0</v>
      </c>
      <c r="EH151" s="55"/>
      <c r="EI151" s="56"/>
      <c r="EJ151" s="611"/>
      <c r="EK151" s="611"/>
      <c r="EL151" s="56">
        <f>SUM(CD151:CD151)</f>
        <v>0</v>
      </c>
      <c r="EM151" s="55"/>
      <c r="EN151" s="56"/>
      <c r="EO151" s="144"/>
      <c r="ER151" s="42"/>
      <c r="ES151" s="42"/>
    </row>
    <row r="152" spans="3:149" ht="12.75" hidden="1" customHeight="1" x14ac:dyDescent="0.3">
      <c r="D152" s="144" t="s">
        <v>339</v>
      </c>
      <c r="F152" s="513"/>
      <c r="G152" s="117">
        <v>0</v>
      </c>
      <c r="H152" s="116"/>
      <c r="I152" s="56"/>
      <c r="J152" s="611"/>
      <c r="K152" s="620"/>
      <c r="L152" s="117">
        <v>0</v>
      </c>
      <c r="M152" s="116"/>
      <c r="N152" s="56"/>
      <c r="O152" s="611"/>
      <c r="P152" s="620"/>
      <c r="Q152" s="117">
        <v>0</v>
      </c>
      <c r="R152" s="116"/>
      <c r="S152" s="56"/>
      <c r="T152" s="611"/>
      <c r="U152" s="620"/>
      <c r="V152" s="117">
        <v>0</v>
      </c>
      <c r="W152" s="116"/>
      <c r="X152" s="56"/>
      <c r="Y152" s="611"/>
      <c r="Z152" s="620"/>
      <c r="AA152" s="117">
        <v>0</v>
      </c>
      <c r="AB152" s="116"/>
      <c r="AC152" s="56"/>
      <c r="AD152" s="611"/>
      <c r="AE152" s="620"/>
      <c r="AF152" s="117">
        <v>0</v>
      </c>
      <c r="AG152" s="116"/>
      <c r="AH152" s="56"/>
      <c r="AI152" s="611"/>
      <c r="AJ152" s="620"/>
      <c r="AK152" s="117">
        <v>0</v>
      </c>
      <c r="AL152" s="116"/>
      <c r="AM152" s="56"/>
      <c r="AN152" s="611"/>
      <c r="AO152" s="620"/>
      <c r="AP152" s="117">
        <v>0</v>
      </c>
      <c r="AQ152" s="116"/>
      <c r="AR152" s="56"/>
      <c r="AS152" s="611"/>
      <c r="AT152" s="620"/>
      <c r="AU152" s="117">
        <v>0</v>
      </c>
      <c r="AV152" s="116"/>
      <c r="AW152" s="56"/>
      <c r="AX152" s="611"/>
      <c r="AY152" s="620"/>
      <c r="AZ152" s="117">
        <v>0</v>
      </c>
      <c r="BA152" s="116"/>
      <c r="BB152" s="56"/>
      <c r="BC152" s="611"/>
      <c r="BD152" s="620"/>
      <c r="BE152" s="117">
        <v>0</v>
      </c>
      <c r="BF152" s="116"/>
      <c r="BG152" s="56"/>
      <c r="BH152" s="611"/>
      <c r="BI152" s="620"/>
      <c r="BJ152" s="117">
        <v>0</v>
      </c>
      <c r="BK152" s="116"/>
      <c r="BL152" s="56"/>
      <c r="BM152" s="611"/>
      <c r="BN152" s="620"/>
      <c r="BO152" s="117">
        <v>0</v>
      </c>
      <c r="BP152" s="116"/>
      <c r="BQ152" s="56"/>
      <c r="BR152" s="611"/>
      <c r="BS152" s="620"/>
      <c r="BT152" s="117">
        <f>SUM(L152:BO152)</f>
        <v>0</v>
      </c>
      <c r="BU152" s="116"/>
      <c r="BV152" s="56"/>
      <c r="BW152" s="611"/>
      <c r="BX152" s="620"/>
      <c r="BY152" s="117">
        <v>0</v>
      </c>
      <c r="BZ152" s="116"/>
      <c r="CA152" s="56"/>
      <c r="CB152" s="611"/>
      <c r="CC152" s="620"/>
      <c r="CD152" s="117">
        <v>0</v>
      </c>
      <c r="CE152" s="116"/>
      <c r="CF152" s="56"/>
      <c r="CG152" s="611"/>
      <c r="CH152" s="620"/>
      <c r="CI152" s="117">
        <v>0</v>
      </c>
      <c r="CJ152" s="116"/>
      <c r="CK152" s="56"/>
      <c r="CL152" s="611"/>
      <c r="CM152" s="620"/>
      <c r="CN152" s="117">
        <v>0</v>
      </c>
      <c r="CO152" s="116"/>
      <c r="CP152" s="56"/>
      <c r="CQ152" s="611"/>
      <c r="CR152" s="620"/>
      <c r="CS152" s="117">
        <v>0</v>
      </c>
      <c r="CT152" s="116"/>
      <c r="CU152" s="56"/>
      <c r="CV152" s="611"/>
      <c r="CW152" s="620"/>
      <c r="CX152" s="117">
        <v>0</v>
      </c>
      <c r="CY152" s="116"/>
      <c r="CZ152" s="56"/>
      <c r="DA152" s="611"/>
      <c r="DB152" s="620"/>
      <c r="DC152" s="117">
        <v>0</v>
      </c>
      <c r="DD152" s="116"/>
      <c r="DE152" s="56"/>
      <c r="DF152" s="611"/>
      <c r="DG152" s="620"/>
      <c r="DH152" s="117">
        <v>0</v>
      </c>
      <c r="DI152" s="116"/>
      <c r="DJ152" s="56"/>
      <c r="DK152" s="611"/>
      <c r="DL152" s="620"/>
      <c r="DM152" s="117">
        <v>0</v>
      </c>
      <c r="DN152" s="116"/>
      <c r="DO152" s="56"/>
      <c r="DP152" s="611"/>
      <c r="DQ152" s="620"/>
      <c r="DR152" s="117">
        <v>0</v>
      </c>
      <c r="DS152" s="116"/>
      <c r="DT152" s="56"/>
      <c r="DU152" s="611"/>
      <c r="DV152" s="620"/>
      <c r="DW152" s="117">
        <v>0</v>
      </c>
      <c r="DX152" s="116"/>
      <c r="DY152" s="56"/>
      <c r="DZ152" s="611"/>
      <c r="EA152" s="620"/>
      <c r="EB152" s="117">
        <v>0</v>
      </c>
      <c r="EC152" s="116"/>
      <c r="ED152" s="56"/>
      <c r="EE152" s="611"/>
      <c r="EF152" s="620"/>
      <c r="EG152" s="117">
        <v>0</v>
      </c>
      <c r="EH152" s="116"/>
      <c r="EI152" s="56"/>
      <c r="EJ152" s="611"/>
      <c r="EK152" s="620"/>
      <c r="EL152" s="117">
        <f>SUM(CD152:CD152)</f>
        <v>0</v>
      </c>
      <c r="EM152" s="116"/>
      <c r="EN152" s="56"/>
      <c r="EO152" s="144"/>
      <c r="ER152" s="42"/>
      <c r="ES152" s="42"/>
    </row>
    <row r="153" spans="3:149" ht="14.25" customHeight="1" x14ac:dyDescent="0.3">
      <c r="D153" s="626"/>
      <c r="E153" s="627"/>
      <c r="F153" s="138"/>
      <c r="G153" s="126"/>
      <c r="H153" s="126"/>
      <c r="I153" s="126"/>
      <c r="J153" s="628"/>
      <c r="K153" s="126"/>
      <c r="L153" s="126"/>
      <c r="M153" s="126"/>
      <c r="N153" s="126"/>
      <c r="O153" s="628"/>
      <c r="P153" s="126"/>
      <c r="Q153" s="126"/>
      <c r="R153" s="126"/>
      <c r="S153" s="126"/>
      <c r="T153" s="628"/>
      <c r="U153" s="126"/>
      <c r="V153" s="126"/>
      <c r="W153" s="126"/>
      <c r="X153" s="126"/>
      <c r="Y153" s="628"/>
      <c r="Z153" s="126"/>
      <c r="AA153" s="126"/>
      <c r="AB153" s="126"/>
      <c r="AC153" s="126"/>
      <c r="AD153" s="628"/>
      <c r="AE153" s="126"/>
      <c r="AF153" s="126"/>
      <c r="AG153" s="126"/>
      <c r="AH153" s="126"/>
      <c r="AI153" s="628"/>
      <c r="AJ153" s="126"/>
      <c r="AK153" s="126"/>
      <c r="AL153" s="126"/>
      <c r="AM153" s="126"/>
      <c r="AN153" s="628"/>
      <c r="AO153" s="126"/>
      <c r="AP153" s="126"/>
      <c r="AQ153" s="126"/>
      <c r="AR153" s="126"/>
      <c r="AS153" s="628"/>
      <c r="AT153" s="126"/>
      <c r="AU153" s="126"/>
      <c r="AV153" s="126"/>
      <c r="AW153" s="126"/>
      <c r="AX153" s="628"/>
      <c r="AY153" s="126"/>
      <c r="AZ153" s="126"/>
      <c r="BA153" s="126"/>
      <c r="BB153" s="126"/>
      <c r="BC153" s="628"/>
      <c r="BD153" s="126"/>
      <c r="BE153" s="126"/>
      <c r="BF153" s="126"/>
      <c r="BG153" s="126"/>
      <c r="BH153" s="628"/>
      <c r="BI153" s="126"/>
      <c r="BJ153" s="126"/>
      <c r="BK153" s="126"/>
      <c r="BL153" s="126"/>
      <c r="BM153" s="628"/>
      <c r="BN153" s="126"/>
      <c r="BO153" s="126"/>
      <c r="BP153" s="126"/>
      <c r="BQ153" s="126"/>
      <c r="BR153" s="628"/>
      <c r="BS153" s="126"/>
      <c r="BT153" s="126"/>
      <c r="BU153" s="126"/>
      <c r="BV153" s="126"/>
      <c r="BW153" s="628"/>
      <c r="BX153" s="126"/>
      <c r="BY153" s="126"/>
      <c r="BZ153" s="126"/>
      <c r="CA153" s="126"/>
      <c r="CB153" s="628"/>
      <c r="CC153" s="126"/>
      <c r="CD153" s="126"/>
      <c r="CE153" s="126"/>
      <c r="CF153" s="126"/>
      <c r="CG153" s="628"/>
      <c r="CH153" s="126"/>
      <c r="CI153" s="126"/>
      <c r="CJ153" s="126"/>
      <c r="CK153" s="126"/>
      <c r="CL153" s="628"/>
      <c r="CM153" s="126"/>
      <c r="CN153" s="126"/>
      <c r="CO153" s="126"/>
      <c r="CP153" s="126"/>
      <c r="CQ153" s="628"/>
      <c r="CR153" s="126"/>
      <c r="CS153" s="126"/>
      <c r="CT153" s="126"/>
      <c r="CU153" s="126"/>
      <c r="CV153" s="628"/>
      <c r="CW153" s="126"/>
      <c r="CX153" s="126"/>
      <c r="CY153" s="126"/>
      <c r="CZ153" s="126"/>
      <c r="DA153" s="628"/>
      <c r="DB153" s="126"/>
      <c r="DC153" s="126"/>
      <c r="DD153" s="126"/>
      <c r="DE153" s="126"/>
      <c r="DF153" s="628"/>
      <c r="DG153" s="126"/>
      <c r="DH153" s="126"/>
      <c r="DI153" s="126"/>
      <c r="DJ153" s="126"/>
      <c r="DK153" s="628"/>
      <c r="DL153" s="126"/>
      <c r="DM153" s="126"/>
      <c r="DN153" s="126"/>
      <c r="DO153" s="126"/>
      <c r="DP153" s="628"/>
      <c r="DQ153" s="126"/>
      <c r="DR153" s="126"/>
      <c r="DS153" s="126"/>
      <c r="DT153" s="126"/>
      <c r="DU153" s="628"/>
      <c r="DV153" s="126"/>
      <c r="DW153" s="126"/>
      <c r="DX153" s="126"/>
      <c r="DY153" s="126"/>
      <c r="DZ153" s="628"/>
      <c r="EA153" s="126"/>
      <c r="EB153" s="126"/>
      <c r="EC153" s="126"/>
      <c r="ED153" s="126"/>
      <c r="EE153" s="628"/>
      <c r="EF153" s="126"/>
      <c r="EG153" s="126"/>
      <c r="EH153" s="126"/>
      <c r="EI153" s="126"/>
      <c r="EJ153" s="628"/>
      <c r="EK153" s="126"/>
      <c r="EL153" s="126"/>
      <c r="EM153" s="126"/>
      <c r="EN153" s="127"/>
      <c r="EO153" s="144"/>
      <c r="ER153" s="42"/>
      <c r="ES153" s="42"/>
    </row>
    <row r="154" spans="3:149" x14ac:dyDescent="0.3">
      <c r="E154" s="13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R154" s="42"/>
      <c r="ES154" s="42"/>
    </row>
    <row r="155" spans="3:149" ht="12" customHeight="1" x14ac:dyDescent="0.3">
      <c r="C155" s="56"/>
      <c r="D155" s="629"/>
      <c r="E155" s="13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629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R155" s="42"/>
      <c r="ES155" s="42"/>
    </row>
    <row r="156" spans="3:149" ht="12" customHeight="1" x14ac:dyDescent="0.3">
      <c r="C156" s="56"/>
      <c r="D156" s="56"/>
      <c r="E156" s="13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6"/>
      <c r="EE156" s="56"/>
      <c r="EF156" s="56"/>
      <c r="EG156" s="56"/>
      <c r="EH156" s="56"/>
      <c r="EI156" s="56"/>
      <c r="EJ156" s="56"/>
      <c r="EK156" s="56"/>
      <c r="EL156" s="56"/>
      <c r="EM156" s="56"/>
      <c r="EN156" s="56"/>
      <c r="ER156" s="42"/>
      <c r="ES156" s="42"/>
    </row>
    <row r="157" spans="3:149" x14ac:dyDescent="0.3">
      <c r="E157" s="630"/>
      <c r="F157" s="630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R157" s="42"/>
      <c r="ES157" s="42"/>
    </row>
    <row r="158" spans="3:149" ht="15.5" x14ac:dyDescent="0.35">
      <c r="D158" s="589" t="s">
        <v>365</v>
      </c>
      <c r="E158" s="589"/>
      <c r="F158" s="589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6"/>
      <c r="CA158" s="126"/>
      <c r="CB158" s="126"/>
      <c r="CC158" s="126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6"/>
      <c r="CO158" s="126"/>
      <c r="CP158" s="126"/>
      <c r="CQ158" s="126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6"/>
      <c r="DC158" s="126"/>
      <c r="DD158" s="126"/>
      <c r="DE158" s="126"/>
      <c r="DF158" s="126"/>
      <c r="DG158" s="126"/>
      <c r="DH158" s="126"/>
      <c r="DI158" s="126"/>
      <c r="DJ158" s="126"/>
      <c r="DK158" s="126"/>
      <c r="DL158" s="126"/>
      <c r="DM158" s="126"/>
      <c r="DN158" s="126"/>
      <c r="DO158" s="126"/>
      <c r="DP158" s="126"/>
      <c r="DQ158" s="126"/>
      <c r="DR158" s="126"/>
      <c r="DS158" s="126"/>
      <c r="DT158" s="126"/>
      <c r="DU158" s="126"/>
      <c r="DV158" s="126"/>
      <c r="DW158" s="126"/>
      <c r="DX158" s="126"/>
      <c r="DY158" s="126"/>
      <c r="DZ158" s="126"/>
      <c r="EA158" s="126"/>
      <c r="EB158" s="126"/>
      <c r="EC158" s="126"/>
      <c r="ED158" s="126"/>
      <c r="EE158" s="126"/>
      <c r="EF158" s="126"/>
      <c r="EG158" s="126"/>
      <c r="EH158" s="126"/>
      <c r="EI158" s="126"/>
      <c r="EJ158" s="126"/>
      <c r="EK158" s="126"/>
      <c r="EL158" s="126"/>
      <c r="EM158" s="126"/>
      <c r="EN158" s="126"/>
      <c r="ER158" s="42"/>
      <c r="ES158" s="42"/>
    </row>
    <row r="159" spans="3:149" ht="15" customHeight="1" x14ac:dyDescent="0.3">
      <c r="D159" s="631"/>
      <c r="E159" s="574" t="str">
        <f>G3</f>
        <v>2022/23</v>
      </c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  <c r="AP159" s="575"/>
      <c r="AQ159" s="575"/>
      <c r="AR159" s="575"/>
      <c r="AS159" s="575"/>
      <c r="AT159" s="575"/>
      <c r="AU159" s="575"/>
      <c r="AV159" s="575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92"/>
      <c r="BW159" s="27"/>
      <c r="BX159" s="632"/>
      <c r="BY159" s="595" t="str">
        <f>BY3</f>
        <v>2021/22</v>
      </c>
      <c r="BZ159" s="595"/>
      <c r="CA159" s="595"/>
      <c r="CB159" s="595"/>
      <c r="CC159" s="595"/>
      <c r="CD159" s="595"/>
      <c r="CE159" s="595"/>
      <c r="CF159" s="595"/>
      <c r="CG159" s="595"/>
      <c r="CH159" s="595"/>
      <c r="CI159" s="595"/>
      <c r="CJ159" s="595"/>
      <c r="CK159" s="595"/>
      <c r="CL159" s="595"/>
      <c r="CM159" s="595"/>
      <c r="CN159" s="595"/>
      <c r="CO159" s="595"/>
      <c r="CP159" s="595"/>
      <c r="CQ159" s="595"/>
      <c r="CR159" s="595"/>
      <c r="CS159" s="595"/>
      <c r="CT159" s="595"/>
      <c r="CU159" s="595"/>
      <c r="CV159" s="595"/>
      <c r="CW159" s="595"/>
      <c r="CX159" s="595"/>
      <c r="CY159" s="595"/>
      <c r="CZ159" s="595"/>
      <c r="DA159" s="595"/>
      <c r="DB159" s="595"/>
      <c r="DC159" s="595"/>
      <c r="DD159" s="595"/>
      <c r="DE159" s="595"/>
      <c r="DF159" s="595"/>
      <c r="DG159" s="595"/>
      <c r="DH159" s="595"/>
      <c r="DI159" s="595"/>
      <c r="DJ159" s="595"/>
      <c r="DK159" s="595"/>
      <c r="DL159" s="595"/>
      <c r="DM159" s="595"/>
      <c r="DN159" s="595"/>
      <c r="DO159" s="595"/>
      <c r="DP159" s="595"/>
      <c r="DQ159" s="595"/>
      <c r="DR159" s="595"/>
      <c r="DS159" s="595"/>
      <c r="DT159" s="595"/>
      <c r="DU159" s="595"/>
      <c r="DV159" s="595"/>
      <c r="DW159" s="595"/>
      <c r="DX159" s="595"/>
      <c r="DY159" s="595"/>
      <c r="DZ159" s="595"/>
      <c r="EA159" s="595"/>
      <c r="EB159" s="595"/>
      <c r="EC159" s="595"/>
      <c r="ED159" s="595"/>
      <c r="EE159" s="595"/>
      <c r="EF159" s="595"/>
      <c r="EG159" s="595"/>
      <c r="EH159" s="595"/>
      <c r="EI159" s="595"/>
      <c r="EJ159" s="595"/>
      <c r="EK159" s="595"/>
      <c r="EL159" s="595"/>
      <c r="EM159" s="595"/>
      <c r="EN159" s="633"/>
      <c r="EO159" s="144"/>
      <c r="ER159" s="42"/>
      <c r="ES159" s="42"/>
    </row>
    <row r="160" spans="3:149" ht="18" customHeight="1" x14ac:dyDescent="0.3">
      <c r="D160" s="634"/>
      <c r="G160" s="148" t="str">
        <f>G4</f>
        <v>Revised</v>
      </c>
      <c r="H160" s="47"/>
      <c r="I160" s="47"/>
      <c r="J160" s="474"/>
      <c r="K160" s="47"/>
      <c r="L160" s="47" t="s">
        <v>4</v>
      </c>
      <c r="M160" s="47"/>
      <c r="N160" s="47"/>
      <c r="O160" s="474"/>
      <c r="P160" s="47"/>
      <c r="Q160" s="47" t="s">
        <v>5</v>
      </c>
      <c r="R160" s="47"/>
      <c r="S160" s="47"/>
      <c r="T160" s="474"/>
      <c r="U160" s="47"/>
      <c r="V160" s="47" t="s">
        <v>6</v>
      </c>
      <c r="W160" s="47"/>
      <c r="X160" s="47"/>
      <c r="Y160" s="474"/>
      <c r="Z160" s="47"/>
      <c r="AA160" s="47" t="s">
        <v>7</v>
      </c>
      <c r="AB160" s="47"/>
      <c r="AC160" s="47"/>
      <c r="AD160" s="474"/>
      <c r="AE160" s="47"/>
      <c r="AF160" s="47" t="s">
        <v>8</v>
      </c>
      <c r="AG160" s="47"/>
      <c r="AH160" s="47"/>
      <c r="AI160" s="474"/>
      <c r="AJ160" s="47"/>
      <c r="AK160" s="47" t="s">
        <v>9</v>
      </c>
      <c r="AL160" s="47"/>
      <c r="AM160" s="47"/>
      <c r="AN160" s="474"/>
      <c r="AO160" s="47"/>
      <c r="AP160" s="47" t="s">
        <v>10</v>
      </c>
      <c r="AQ160" s="47"/>
      <c r="AR160" s="47"/>
      <c r="AS160" s="474"/>
      <c r="AT160" s="47"/>
      <c r="AU160" s="47" t="s">
        <v>11</v>
      </c>
      <c r="AV160" s="47"/>
      <c r="AW160" s="47"/>
      <c r="AX160" s="474"/>
      <c r="AY160" s="47"/>
      <c r="AZ160" s="47" t="s">
        <v>12</v>
      </c>
      <c r="BA160" s="47"/>
      <c r="BB160" s="47"/>
      <c r="BC160" s="474"/>
      <c r="BD160" s="47"/>
      <c r="BE160" s="47" t="s">
        <v>13</v>
      </c>
      <c r="BF160" s="47"/>
      <c r="BG160" s="47"/>
      <c r="BH160" s="474"/>
      <c r="BI160" s="148"/>
      <c r="BJ160" s="148" t="s">
        <v>14</v>
      </c>
      <c r="BK160" s="148"/>
      <c r="BL160" s="162"/>
      <c r="BM160" s="474"/>
      <c r="BN160" s="148"/>
      <c r="BO160" s="148" t="s">
        <v>15</v>
      </c>
      <c r="BP160" s="148"/>
      <c r="BQ160" s="162"/>
      <c r="BR160" s="474"/>
      <c r="BS160" s="148"/>
      <c r="BT160" s="47" t="s">
        <v>16</v>
      </c>
      <c r="BU160" s="47"/>
      <c r="BV160" s="47"/>
      <c r="BW160" s="274"/>
      <c r="BX160" s="47"/>
      <c r="BY160" s="148" t="str">
        <f>BY4</f>
        <v>Audited</v>
      </c>
      <c r="BZ160" s="47"/>
      <c r="CA160" s="47"/>
      <c r="CB160" s="474"/>
      <c r="CC160" s="47"/>
      <c r="CD160" s="47" t="s">
        <v>4</v>
      </c>
      <c r="CE160" s="47"/>
      <c r="CF160" s="47"/>
      <c r="CG160" s="474"/>
      <c r="CH160" s="47"/>
      <c r="CI160" s="47" t="s">
        <v>5</v>
      </c>
      <c r="CJ160" s="47"/>
      <c r="CK160" s="47"/>
      <c r="CL160" s="474"/>
      <c r="CM160" s="47"/>
      <c r="CN160" s="47" t="s">
        <v>6</v>
      </c>
      <c r="CO160" s="47"/>
      <c r="CP160" s="47"/>
      <c r="CQ160" s="474"/>
      <c r="CR160" s="47"/>
      <c r="CS160" s="47" t="s">
        <v>7</v>
      </c>
      <c r="CT160" s="47"/>
      <c r="CU160" s="47"/>
      <c r="CV160" s="474"/>
      <c r="CW160" s="47"/>
      <c r="CX160" s="47" t="s">
        <v>8</v>
      </c>
      <c r="CY160" s="47"/>
      <c r="CZ160" s="47"/>
      <c r="DA160" s="474"/>
      <c r="DB160" s="47"/>
      <c r="DC160" s="47" t="s">
        <v>9</v>
      </c>
      <c r="DD160" s="47"/>
      <c r="DE160" s="47"/>
      <c r="DF160" s="474"/>
      <c r="DG160" s="47"/>
      <c r="DH160" s="47" t="s">
        <v>10</v>
      </c>
      <c r="DI160" s="47"/>
      <c r="DJ160" s="47"/>
      <c r="DK160" s="474"/>
      <c r="DL160" s="47"/>
      <c r="DM160" s="47" t="s">
        <v>11</v>
      </c>
      <c r="DN160" s="47"/>
      <c r="DO160" s="47"/>
      <c r="DP160" s="474"/>
      <c r="DQ160" s="47"/>
      <c r="DR160" s="47" t="s">
        <v>12</v>
      </c>
      <c r="DS160" s="47"/>
      <c r="DT160" s="47"/>
      <c r="DU160" s="474"/>
      <c r="DV160" s="47"/>
      <c r="DW160" s="47" t="s">
        <v>13</v>
      </c>
      <c r="DX160" s="47"/>
      <c r="DY160" s="47"/>
      <c r="DZ160" s="474"/>
      <c r="EA160" s="47"/>
      <c r="EB160" s="47" t="s">
        <v>14</v>
      </c>
      <c r="EC160" s="47"/>
      <c r="ED160" s="47"/>
      <c r="EE160" s="474"/>
      <c r="EF160" s="148"/>
      <c r="EG160" s="148" t="s">
        <v>15</v>
      </c>
      <c r="EH160" s="148"/>
      <c r="EI160" s="148"/>
      <c r="EJ160" s="474"/>
      <c r="EK160" s="148"/>
      <c r="EL160" s="47" t="s">
        <v>16</v>
      </c>
      <c r="EM160" s="47"/>
      <c r="EN160" s="47"/>
      <c r="EO160" s="144"/>
      <c r="ER160" s="42"/>
      <c r="ES160" s="42"/>
    </row>
    <row r="161" spans="4:149" x14ac:dyDescent="0.3">
      <c r="D161" s="489" t="s">
        <v>18</v>
      </c>
      <c r="E161" s="597"/>
      <c r="F161" s="598"/>
      <c r="G161" s="491" t="s">
        <v>20</v>
      </c>
      <c r="H161" s="491"/>
      <c r="I161" s="152"/>
      <c r="J161" s="220"/>
      <c r="K161" s="491"/>
      <c r="L161" s="491"/>
      <c r="M161" s="491"/>
      <c r="N161" s="491"/>
      <c r="O161" s="220"/>
      <c r="P161" s="491"/>
      <c r="Q161" s="491"/>
      <c r="R161" s="491"/>
      <c r="S161" s="491"/>
      <c r="T161" s="220"/>
      <c r="U161" s="491"/>
      <c r="V161" s="491"/>
      <c r="W161" s="491"/>
      <c r="X161" s="491"/>
      <c r="Y161" s="220"/>
      <c r="Z161" s="491"/>
      <c r="AA161" s="491"/>
      <c r="AB161" s="491"/>
      <c r="AC161" s="491"/>
      <c r="AD161" s="220"/>
      <c r="AE161" s="491"/>
      <c r="AF161" s="491"/>
      <c r="AG161" s="491"/>
      <c r="AH161" s="491"/>
      <c r="AI161" s="220"/>
      <c r="AJ161" s="491"/>
      <c r="AK161" s="491"/>
      <c r="AL161" s="491"/>
      <c r="AM161" s="491"/>
      <c r="AN161" s="220"/>
      <c r="AO161" s="491"/>
      <c r="AP161" s="491"/>
      <c r="AQ161" s="491"/>
      <c r="AR161" s="491"/>
      <c r="AS161" s="220"/>
      <c r="AT161" s="491"/>
      <c r="AU161" s="491"/>
      <c r="AV161" s="491"/>
      <c r="AW161" s="491"/>
      <c r="AX161" s="220"/>
      <c r="AY161" s="491"/>
      <c r="AZ161" s="491"/>
      <c r="BA161" s="491"/>
      <c r="BB161" s="491"/>
      <c r="BC161" s="220"/>
      <c r="BD161" s="491"/>
      <c r="BE161" s="491"/>
      <c r="BF161" s="491"/>
      <c r="BG161" s="491"/>
      <c r="BH161" s="220"/>
      <c r="BI161" s="491"/>
      <c r="BJ161" s="491"/>
      <c r="BK161" s="491"/>
      <c r="BL161" s="152"/>
      <c r="BM161" s="220"/>
      <c r="BN161" s="491"/>
      <c r="BO161" s="491"/>
      <c r="BP161" s="491"/>
      <c r="BQ161" s="152"/>
      <c r="BR161" s="220"/>
      <c r="BS161" s="491"/>
      <c r="BT161" s="491"/>
      <c r="BU161" s="491"/>
      <c r="BV161" s="152"/>
      <c r="BW161" s="220"/>
      <c r="BX161" s="491"/>
      <c r="BY161" s="491" t="s">
        <v>45</v>
      </c>
      <c r="BZ161" s="491"/>
      <c r="CA161" s="491"/>
      <c r="CB161" s="220"/>
      <c r="CC161" s="491"/>
      <c r="CD161" s="491"/>
      <c r="CE161" s="491"/>
      <c r="CF161" s="491"/>
      <c r="CG161" s="220"/>
      <c r="CH161" s="491"/>
      <c r="CI161" s="491"/>
      <c r="CJ161" s="491"/>
      <c r="CK161" s="491"/>
      <c r="CL161" s="220"/>
      <c r="CM161" s="491"/>
      <c r="CN161" s="491"/>
      <c r="CO161" s="491"/>
      <c r="CP161" s="491"/>
      <c r="CQ161" s="220"/>
      <c r="CR161" s="491"/>
      <c r="CS161" s="491"/>
      <c r="CT161" s="491"/>
      <c r="CU161" s="491"/>
      <c r="CV161" s="220"/>
      <c r="CW161" s="491"/>
      <c r="CX161" s="491"/>
      <c r="CY161" s="491"/>
      <c r="CZ161" s="491"/>
      <c r="DA161" s="220"/>
      <c r="DB161" s="491"/>
      <c r="DC161" s="491"/>
      <c r="DD161" s="491"/>
      <c r="DE161" s="152"/>
      <c r="DF161" s="220"/>
      <c r="DG161" s="491"/>
      <c r="DH161" s="491"/>
      <c r="DI161" s="491"/>
      <c r="DJ161" s="491"/>
      <c r="DK161" s="220"/>
      <c r="DL161" s="491"/>
      <c r="DM161" s="491"/>
      <c r="DN161" s="491"/>
      <c r="DO161" s="491"/>
      <c r="DP161" s="220"/>
      <c r="DQ161" s="491"/>
      <c r="DR161" s="491"/>
      <c r="DS161" s="491"/>
      <c r="DT161" s="491"/>
      <c r="DU161" s="220"/>
      <c r="DV161" s="491"/>
      <c r="DW161" s="491"/>
      <c r="DX161" s="491"/>
      <c r="DY161" s="491"/>
      <c r="DZ161" s="220"/>
      <c r="EA161" s="491"/>
      <c r="EB161" s="491"/>
      <c r="EC161" s="491"/>
      <c r="ED161" s="491"/>
      <c r="EE161" s="220"/>
      <c r="EF161" s="491"/>
      <c r="EG161" s="491"/>
      <c r="EH161" s="491"/>
      <c r="EI161" s="491"/>
      <c r="EJ161" s="220"/>
      <c r="EK161" s="491"/>
      <c r="EL161" s="491"/>
      <c r="EM161" s="491"/>
      <c r="EN161" s="492"/>
      <c r="EO161" s="144"/>
      <c r="ER161" s="42"/>
      <c r="ES161" s="42"/>
    </row>
    <row r="162" spans="4:149" x14ac:dyDescent="0.3">
      <c r="D162" s="144"/>
      <c r="E162" s="635"/>
      <c r="F162" s="272"/>
      <c r="G162" s="56"/>
      <c r="H162" s="56"/>
      <c r="I162" s="56"/>
      <c r="J162" s="611"/>
      <c r="K162" s="272"/>
      <c r="L162" s="56"/>
      <c r="M162" s="56"/>
      <c r="N162" s="56"/>
      <c r="O162" s="611"/>
      <c r="P162" s="272"/>
      <c r="Q162" s="56"/>
      <c r="R162" s="56"/>
      <c r="S162" s="56"/>
      <c r="T162" s="611"/>
      <c r="U162" s="272"/>
      <c r="V162" s="56"/>
      <c r="W162" s="56"/>
      <c r="X162" s="56"/>
      <c r="Y162" s="611"/>
      <c r="Z162" s="272"/>
      <c r="AA162" s="56"/>
      <c r="AB162" s="56"/>
      <c r="AC162" s="56"/>
      <c r="AD162" s="611"/>
      <c r="AE162" s="272"/>
      <c r="AF162" s="56"/>
      <c r="AG162" s="56"/>
      <c r="AH162" s="56"/>
      <c r="AI162" s="611"/>
      <c r="AJ162" s="272"/>
      <c r="AK162" s="56"/>
      <c r="AL162" s="56"/>
      <c r="AM162" s="56"/>
      <c r="AN162" s="611"/>
      <c r="AO162" s="272"/>
      <c r="AP162" s="56"/>
      <c r="AQ162" s="56"/>
      <c r="AR162" s="56"/>
      <c r="AS162" s="611"/>
      <c r="AT162" s="272"/>
      <c r="AU162" s="56"/>
      <c r="AV162" s="56"/>
      <c r="AW162" s="56"/>
      <c r="AX162" s="611"/>
      <c r="AY162" s="272"/>
      <c r="AZ162" s="56"/>
      <c r="BA162" s="56"/>
      <c r="BB162" s="56"/>
      <c r="BC162" s="611"/>
      <c r="BD162" s="272"/>
      <c r="BE162" s="56"/>
      <c r="BF162" s="56"/>
      <c r="BG162" s="56"/>
      <c r="BH162" s="611"/>
      <c r="BI162" s="272"/>
      <c r="BJ162" s="56"/>
      <c r="BK162" s="56"/>
      <c r="BL162" s="56"/>
      <c r="BM162" s="611"/>
      <c r="BN162" s="272"/>
      <c r="BO162" s="56"/>
      <c r="BP162" s="56"/>
      <c r="BQ162" s="56"/>
      <c r="BR162" s="611"/>
      <c r="BS162" s="272"/>
      <c r="BT162" s="56"/>
      <c r="BU162" s="56"/>
      <c r="BV162" s="56"/>
      <c r="BW162" s="611"/>
      <c r="BX162" s="272"/>
      <c r="BY162" s="56"/>
      <c r="BZ162" s="56"/>
      <c r="CA162" s="56"/>
      <c r="CB162" s="611"/>
      <c r="CC162" s="272"/>
      <c r="CD162" s="56"/>
      <c r="CE162" s="56"/>
      <c r="CF162" s="56"/>
      <c r="CG162" s="611"/>
      <c r="CH162" s="272"/>
      <c r="CI162" s="56"/>
      <c r="CJ162" s="56"/>
      <c r="CK162" s="56"/>
      <c r="CL162" s="611"/>
      <c r="CM162" s="272"/>
      <c r="CN162" s="56"/>
      <c r="CO162" s="56"/>
      <c r="CP162" s="56"/>
      <c r="CQ162" s="611"/>
      <c r="CR162" s="272"/>
      <c r="CS162" s="56"/>
      <c r="CT162" s="56"/>
      <c r="CU162" s="56"/>
      <c r="CV162" s="611"/>
      <c r="CW162" s="272"/>
      <c r="CX162" s="56"/>
      <c r="CY162" s="56"/>
      <c r="CZ162" s="56"/>
      <c r="DA162" s="611"/>
      <c r="DB162" s="272"/>
      <c r="DC162" s="56"/>
      <c r="DD162" s="56"/>
      <c r="DE162" s="55"/>
      <c r="DF162" s="611"/>
      <c r="DG162" s="272"/>
      <c r="DH162" s="56"/>
      <c r="DI162" s="56"/>
      <c r="DJ162" s="56"/>
      <c r="DK162" s="611"/>
      <c r="DL162" s="272"/>
      <c r="DM162" s="56"/>
      <c r="DN162" s="56"/>
      <c r="DO162" s="56"/>
      <c r="DP162" s="611"/>
      <c r="DQ162" s="272"/>
      <c r="DR162" s="56"/>
      <c r="DS162" s="56"/>
      <c r="DT162" s="56"/>
      <c r="DU162" s="611"/>
      <c r="DV162" s="272"/>
      <c r="DW162" s="56"/>
      <c r="DX162" s="56"/>
      <c r="DY162" s="56"/>
      <c r="DZ162" s="611"/>
      <c r="EA162" s="272"/>
      <c r="EB162" s="56"/>
      <c r="EC162" s="56"/>
      <c r="ED162" s="56"/>
      <c r="EE162" s="611"/>
      <c r="EF162" s="272"/>
      <c r="EG162" s="56"/>
      <c r="EH162" s="56"/>
      <c r="EI162" s="56"/>
      <c r="EJ162" s="611"/>
      <c r="EK162" s="272"/>
      <c r="EL162" s="56"/>
      <c r="EM162" s="56"/>
      <c r="EN162" s="56"/>
      <c r="EO162" s="144"/>
      <c r="ER162" s="42"/>
      <c r="ES162" s="42"/>
    </row>
    <row r="163" spans="4:149" hidden="1" x14ac:dyDescent="0.3">
      <c r="D163" s="144" t="s">
        <v>366</v>
      </c>
      <c r="F163" s="277"/>
      <c r="G163" s="117">
        <v>0</v>
      </c>
      <c r="H163" s="117"/>
      <c r="I163" s="56"/>
      <c r="J163" s="611"/>
      <c r="K163" s="277"/>
      <c r="L163" s="117">
        <f>SUM(L164:L165)</f>
        <v>0</v>
      </c>
      <c r="M163" s="117"/>
      <c r="N163" s="56"/>
      <c r="O163" s="611"/>
      <c r="P163" s="277"/>
      <c r="Q163" s="117">
        <f>SUM(Q164:Q165)</f>
        <v>0</v>
      </c>
      <c r="R163" s="117"/>
      <c r="S163" s="56"/>
      <c r="T163" s="611"/>
      <c r="U163" s="277"/>
      <c r="V163" s="117">
        <f>SUM(V164:V165)</f>
        <v>0</v>
      </c>
      <c r="W163" s="117"/>
      <c r="X163" s="56"/>
      <c r="Y163" s="611"/>
      <c r="Z163" s="277"/>
      <c r="AA163" s="117">
        <f>SUM(AA164:AA165)</f>
        <v>0</v>
      </c>
      <c r="AB163" s="117"/>
      <c r="AC163" s="56"/>
      <c r="AD163" s="611"/>
      <c r="AE163" s="277"/>
      <c r="AF163" s="117">
        <f>SUM(AF164:AF165)</f>
        <v>0</v>
      </c>
      <c r="AG163" s="117"/>
      <c r="AH163" s="56"/>
      <c r="AI163" s="611"/>
      <c r="AJ163" s="277"/>
      <c r="AK163" s="117">
        <f>SUM(AK164:AK165)</f>
        <v>0</v>
      </c>
      <c r="AL163" s="117"/>
      <c r="AM163" s="56"/>
      <c r="AN163" s="611"/>
      <c r="AO163" s="277"/>
      <c r="AP163" s="117">
        <f>SUM(AP164:AP165)</f>
        <v>0</v>
      </c>
      <c r="AQ163" s="117"/>
      <c r="AR163" s="56"/>
      <c r="AS163" s="611"/>
      <c r="AT163" s="277"/>
      <c r="AU163" s="117">
        <f>SUM(AU164:AU165)</f>
        <v>0</v>
      </c>
      <c r="AV163" s="117"/>
      <c r="AW163" s="56"/>
      <c r="AX163" s="611"/>
      <c r="AY163" s="277"/>
      <c r="AZ163" s="117">
        <f>SUM(AZ164:AZ165)</f>
        <v>0</v>
      </c>
      <c r="BA163" s="117"/>
      <c r="BB163" s="56"/>
      <c r="BC163" s="611"/>
      <c r="BD163" s="277"/>
      <c r="BE163" s="117">
        <f>SUM(BE164:BE165)</f>
        <v>0</v>
      </c>
      <c r="BF163" s="117"/>
      <c r="BG163" s="56"/>
      <c r="BH163" s="611"/>
      <c r="BI163" s="277"/>
      <c r="BJ163" s="117">
        <f>SUM(BJ164:BJ165)</f>
        <v>0</v>
      </c>
      <c r="BK163" s="117"/>
      <c r="BL163" s="56"/>
      <c r="BM163" s="611"/>
      <c r="BN163" s="277"/>
      <c r="BO163" s="117">
        <f>SUM(BO164:BO165)</f>
        <v>0</v>
      </c>
      <c r="BP163" s="117"/>
      <c r="BQ163" s="56"/>
      <c r="BR163" s="611"/>
      <c r="BS163" s="277"/>
      <c r="BT163" s="117">
        <f>SUM(BT164:BT165)</f>
        <v>0</v>
      </c>
      <c r="BU163" s="117"/>
      <c r="BV163" s="56"/>
      <c r="BW163" s="611"/>
      <c r="BX163" s="277"/>
      <c r="BY163" s="117">
        <f>SUM(BY164:BY165)</f>
        <v>0</v>
      </c>
      <c r="BZ163" s="117"/>
      <c r="CA163" s="56"/>
      <c r="CB163" s="611"/>
      <c r="CC163" s="277"/>
      <c r="CD163" s="117">
        <f>SUM(CD164:CD165)</f>
        <v>0</v>
      </c>
      <c r="CE163" s="117"/>
      <c r="CF163" s="56"/>
      <c r="CG163" s="611"/>
      <c r="CH163" s="277"/>
      <c r="CI163" s="117">
        <f>SUM(CI164:CI165)</f>
        <v>0</v>
      </c>
      <c r="CJ163" s="117"/>
      <c r="CK163" s="56"/>
      <c r="CL163" s="611"/>
      <c r="CM163" s="277"/>
      <c r="CN163" s="117">
        <f>SUM(CN164:CN165)</f>
        <v>0</v>
      </c>
      <c r="CO163" s="117"/>
      <c r="CP163" s="56"/>
      <c r="CQ163" s="611"/>
      <c r="CR163" s="277"/>
      <c r="CS163" s="117">
        <f>SUM(CS164:CS165)</f>
        <v>0</v>
      </c>
      <c r="CT163" s="117"/>
      <c r="CU163" s="56"/>
      <c r="CV163" s="611"/>
      <c r="CW163" s="277"/>
      <c r="CX163" s="117">
        <f>SUM(CX164:CX165)</f>
        <v>0</v>
      </c>
      <c r="CY163" s="117"/>
      <c r="CZ163" s="56"/>
      <c r="DA163" s="611"/>
      <c r="DB163" s="277"/>
      <c r="DC163" s="117">
        <f>SUM(DC164:DC165)</f>
        <v>0</v>
      </c>
      <c r="DD163" s="117"/>
      <c r="DE163" s="56"/>
      <c r="DF163" s="611"/>
      <c r="DG163" s="277"/>
      <c r="DH163" s="117">
        <f>SUM(DH164:DH165)</f>
        <v>0</v>
      </c>
      <c r="DI163" s="117"/>
      <c r="DJ163" s="56"/>
      <c r="DK163" s="611"/>
      <c r="DL163" s="277"/>
      <c r="DM163" s="117">
        <f>SUM(DM164:DM165)</f>
        <v>0</v>
      </c>
      <c r="DN163" s="117"/>
      <c r="DO163" s="56"/>
      <c r="DP163" s="611"/>
      <c r="DQ163" s="277"/>
      <c r="DR163" s="117">
        <f>SUM(DR164:DR165)</f>
        <v>0</v>
      </c>
      <c r="DS163" s="117"/>
      <c r="DT163" s="56"/>
      <c r="DU163" s="611"/>
      <c r="DV163" s="277"/>
      <c r="DW163" s="117">
        <f>SUM(DW164:DW165)</f>
        <v>0</v>
      </c>
      <c r="DX163" s="117"/>
      <c r="DY163" s="56"/>
      <c r="DZ163" s="611"/>
      <c r="EA163" s="277"/>
      <c r="EB163" s="117">
        <f>SUM(EB164:EB165)</f>
        <v>0</v>
      </c>
      <c r="EC163" s="117"/>
      <c r="ED163" s="56"/>
      <c r="EE163" s="611"/>
      <c r="EF163" s="277"/>
      <c r="EG163" s="117">
        <f>SUM(EG164:EG165)</f>
        <v>0</v>
      </c>
      <c r="EH163" s="117"/>
      <c r="EI163" s="56"/>
      <c r="EJ163" s="611"/>
      <c r="EK163" s="277"/>
      <c r="EL163" s="117">
        <f>SUM(EL164:EL165)</f>
        <v>0</v>
      </c>
      <c r="EM163" s="117"/>
      <c r="EN163" s="56"/>
      <c r="EO163" s="144"/>
      <c r="ER163" s="42"/>
      <c r="ES163" s="42"/>
    </row>
    <row r="164" spans="4:149" ht="12.75" hidden="1" customHeight="1" x14ac:dyDescent="0.3">
      <c r="D164" s="144" t="s">
        <v>367</v>
      </c>
      <c r="F164" s="500"/>
      <c r="G164" s="609">
        <v>0</v>
      </c>
      <c r="H164" s="610"/>
      <c r="I164" s="56"/>
      <c r="J164" s="611"/>
      <c r="K164" s="500"/>
      <c r="L164" s="609">
        <v>0</v>
      </c>
      <c r="M164" s="610"/>
      <c r="N164" s="56"/>
      <c r="O164" s="611"/>
      <c r="P164" s="500"/>
      <c r="Q164" s="609">
        <v>0</v>
      </c>
      <c r="R164" s="610"/>
      <c r="S164" s="56"/>
      <c r="T164" s="611"/>
      <c r="U164" s="277"/>
      <c r="V164" s="609">
        <v>0</v>
      </c>
      <c r="W164" s="117"/>
      <c r="X164" s="56"/>
      <c r="Y164" s="611"/>
      <c r="Z164" s="500"/>
      <c r="AA164" s="609">
        <v>0</v>
      </c>
      <c r="AB164" s="610"/>
      <c r="AC164" s="56"/>
      <c r="AD164" s="611"/>
      <c r="AE164" s="500"/>
      <c r="AF164" s="609">
        <v>0</v>
      </c>
      <c r="AG164" s="610"/>
      <c r="AH164" s="56"/>
      <c r="AI164" s="611"/>
      <c r="AJ164" s="500"/>
      <c r="AK164" s="609">
        <v>0</v>
      </c>
      <c r="AL164" s="610"/>
      <c r="AM164" s="56"/>
      <c r="AN164" s="611"/>
      <c r="AO164" s="500"/>
      <c r="AP164" s="609">
        <v>0</v>
      </c>
      <c r="AQ164" s="610"/>
      <c r="AR164" s="56"/>
      <c r="AS164" s="611"/>
      <c r="AT164" s="500"/>
      <c r="AU164" s="609">
        <v>0</v>
      </c>
      <c r="AV164" s="610"/>
      <c r="AW164" s="56"/>
      <c r="AX164" s="611"/>
      <c r="AY164" s="500"/>
      <c r="AZ164" s="609">
        <v>0</v>
      </c>
      <c r="BA164" s="610"/>
      <c r="BB164" s="56"/>
      <c r="BC164" s="611"/>
      <c r="BD164" s="500"/>
      <c r="BE164" s="609">
        <v>0</v>
      </c>
      <c r="BF164" s="610"/>
      <c r="BG164" s="56"/>
      <c r="BH164" s="611"/>
      <c r="BI164" s="500"/>
      <c r="BJ164" s="609">
        <v>0</v>
      </c>
      <c r="BK164" s="610"/>
      <c r="BL164" s="56"/>
      <c r="BM164" s="611"/>
      <c r="BN164" s="500"/>
      <c r="BO164" s="609">
        <v>0</v>
      </c>
      <c r="BP164" s="610"/>
      <c r="BQ164" s="56"/>
      <c r="BR164" s="611"/>
      <c r="BS164" s="500"/>
      <c r="BT164" s="609">
        <f>SUM(L164:BO164)</f>
        <v>0</v>
      </c>
      <c r="BU164" s="610"/>
      <c r="BV164" s="56"/>
      <c r="BW164" s="611"/>
      <c r="BX164" s="612"/>
      <c r="BY164" s="609">
        <f>SUM(Q164:BT164)</f>
        <v>0</v>
      </c>
      <c r="BZ164" s="610"/>
      <c r="CA164" s="56"/>
      <c r="CB164" s="611"/>
      <c r="CC164" s="500"/>
      <c r="CD164" s="609">
        <v>0</v>
      </c>
      <c r="CE164" s="610"/>
      <c r="CF164" s="56"/>
      <c r="CG164" s="611"/>
      <c r="CH164" s="500"/>
      <c r="CI164" s="609">
        <v>0</v>
      </c>
      <c r="CJ164" s="610"/>
      <c r="CK164" s="56"/>
      <c r="CL164" s="611"/>
      <c r="CM164" s="277"/>
      <c r="CN164" s="609">
        <v>0</v>
      </c>
      <c r="CO164" s="117"/>
      <c r="CP164" s="56"/>
      <c r="CQ164" s="611"/>
      <c r="CR164" s="500"/>
      <c r="CS164" s="609">
        <v>0</v>
      </c>
      <c r="CT164" s="610"/>
      <c r="CU164" s="56"/>
      <c r="CV164" s="611"/>
      <c r="CW164" s="500"/>
      <c r="CX164" s="609">
        <v>0</v>
      </c>
      <c r="CY164" s="610"/>
      <c r="CZ164" s="56"/>
      <c r="DA164" s="611"/>
      <c r="DB164" s="500"/>
      <c r="DC164" s="609">
        <v>0</v>
      </c>
      <c r="DD164" s="610"/>
      <c r="DE164" s="56"/>
      <c r="DF164" s="611"/>
      <c r="DG164" s="500"/>
      <c r="DH164" s="609">
        <v>0</v>
      </c>
      <c r="DI164" s="610"/>
      <c r="DJ164" s="56"/>
      <c r="DK164" s="611"/>
      <c r="DL164" s="500"/>
      <c r="DM164" s="609">
        <v>0</v>
      </c>
      <c r="DN164" s="610"/>
      <c r="DO164" s="56"/>
      <c r="DP164" s="611"/>
      <c r="DQ164" s="500"/>
      <c r="DR164" s="609">
        <v>0</v>
      </c>
      <c r="DS164" s="610"/>
      <c r="DT164" s="56"/>
      <c r="DU164" s="611"/>
      <c r="DV164" s="500"/>
      <c r="DW164" s="609">
        <v>0</v>
      </c>
      <c r="DX164" s="610"/>
      <c r="DY164" s="56"/>
      <c r="DZ164" s="611"/>
      <c r="EA164" s="500"/>
      <c r="EB164" s="609">
        <v>0</v>
      </c>
      <c r="EC164" s="610"/>
      <c r="ED164" s="56"/>
      <c r="EE164" s="611"/>
      <c r="EF164" s="500"/>
      <c r="EG164" s="609">
        <v>0</v>
      </c>
      <c r="EH164" s="610"/>
      <c r="EI164" s="56"/>
      <c r="EJ164" s="611"/>
      <c r="EK164" s="500"/>
      <c r="EL164" s="609">
        <f>SUM(CD164:EG164)</f>
        <v>0</v>
      </c>
      <c r="EM164" s="610"/>
      <c r="EN164" s="56"/>
      <c r="EO164" s="144"/>
      <c r="ER164" s="42"/>
      <c r="ES164" s="42"/>
    </row>
    <row r="165" spans="4:149" hidden="1" x14ac:dyDescent="0.3">
      <c r="D165" s="144" t="s">
        <v>368</v>
      </c>
      <c r="F165" s="513"/>
      <c r="G165" s="117">
        <v>0</v>
      </c>
      <c r="H165" s="116"/>
      <c r="I165" s="56"/>
      <c r="J165" s="611"/>
      <c r="K165" s="513"/>
      <c r="L165" s="117">
        <v>0</v>
      </c>
      <c r="M165" s="116"/>
      <c r="N165" s="56"/>
      <c r="O165" s="611"/>
      <c r="P165" s="513"/>
      <c r="Q165" s="117">
        <v>0</v>
      </c>
      <c r="R165" s="116"/>
      <c r="S165" s="56"/>
      <c r="T165" s="611"/>
      <c r="U165" s="513"/>
      <c r="V165" s="117">
        <v>0</v>
      </c>
      <c r="W165" s="116"/>
      <c r="X165" s="56"/>
      <c r="Y165" s="611"/>
      <c r="Z165" s="513"/>
      <c r="AA165" s="117">
        <v>0</v>
      </c>
      <c r="AB165" s="116"/>
      <c r="AC165" s="56"/>
      <c r="AD165" s="611"/>
      <c r="AE165" s="513"/>
      <c r="AF165" s="117">
        <v>0</v>
      </c>
      <c r="AG165" s="116"/>
      <c r="AH165" s="56"/>
      <c r="AI165" s="611"/>
      <c r="AJ165" s="513"/>
      <c r="AK165" s="117">
        <v>0</v>
      </c>
      <c r="AL165" s="116"/>
      <c r="AM165" s="56"/>
      <c r="AN165" s="611"/>
      <c r="AO165" s="513"/>
      <c r="AP165" s="117">
        <v>0</v>
      </c>
      <c r="AQ165" s="116"/>
      <c r="AR165" s="56"/>
      <c r="AS165" s="611"/>
      <c r="AT165" s="620"/>
      <c r="AU165" s="117">
        <v>0</v>
      </c>
      <c r="AV165" s="116"/>
      <c r="AW165" s="56"/>
      <c r="AX165" s="611"/>
      <c r="AY165" s="620"/>
      <c r="AZ165" s="117">
        <v>0</v>
      </c>
      <c r="BA165" s="116"/>
      <c r="BB165" s="56"/>
      <c r="BC165" s="611"/>
      <c r="BD165" s="513"/>
      <c r="BE165" s="117">
        <v>0</v>
      </c>
      <c r="BF165" s="116"/>
      <c r="BG165" s="56"/>
      <c r="BH165" s="611"/>
      <c r="BI165" s="620"/>
      <c r="BJ165" s="117">
        <v>0</v>
      </c>
      <c r="BK165" s="116"/>
      <c r="BL165" s="56"/>
      <c r="BM165" s="611"/>
      <c r="BN165" s="620"/>
      <c r="BO165" s="117">
        <v>0</v>
      </c>
      <c r="BP165" s="116"/>
      <c r="BQ165" s="56"/>
      <c r="BR165" s="611"/>
      <c r="BS165" s="513"/>
      <c r="BT165" s="117">
        <f>SUM(L165:BO165)</f>
        <v>0</v>
      </c>
      <c r="BU165" s="116"/>
      <c r="BV165" s="56"/>
      <c r="BW165" s="611"/>
      <c r="BX165" s="513"/>
      <c r="BY165" s="117">
        <v>0</v>
      </c>
      <c r="BZ165" s="116"/>
      <c r="CA165" s="56"/>
      <c r="CB165" s="611"/>
      <c r="CC165" s="513"/>
      <c r="CD165" s="117">
        <v>0</v>
      </c>
      <c r="CE165" s="116"/>
      <c r="CF165" s="56"/>
      <c r="CG165" s="611"/>
      <c r="CH165" s="513"/>
      <c r="CI165" s="117">
        <v>0</v>
      </c>
      <c r="CJ165" s="116"/>
      <c r="CK165" s="56"/>
      <c r="CL165" s="611"/>
      <c r="CM165" s="513"/>
      <c r="CN165" s="117">
        <v>0</v>
      </c>
      <c r="CO165" s="116"/>
      <c r="CP165" s="56"/>
      <c r="CQ165" s="611"/>
      <c r="CR165" s="513"/>
      <c r="CS165" s="117">
        <v>0</v>
      </c>
      <c r="CT165" s="116"/>
      <c r="CU165" s="56"/>
      <c r="CV165" s="611"/>
      <c r="CW165" s="513"/>
      <c r="CX165" s="117">
        <v>0</v>
      </c>
      <c r="CY165" s="116"/>
      <c r="CZ165" s="56"/>
      <c r="DA165" s="611"/>
      <c r="DB165" s="513"/>
      <c r="DC165" s="117">
        <v>0</v>
      </c>
      <c r="DD165" s="116"/>
      <c r="DE165" s="56"/>
      <c r="DF165" s="611"/>
      <c r="DG165" s="513"/>
      <c r="DH165" s="117">
        <v>0</v>
      </c>
      <c r="DI165" s="116"/>
      <c r="DJ165" s="56"/>
      <c r="DK165" s="611"/>
      <c r="DL165" s="620"/>
      <c r="DM165" s="117">
        <v>0</v>
      </c>
      <c r="DN165" s="116"/>
      <c r="DO165" s="56"/>
      <c r="DP165" s="611"/>
      <c r="DQ165" s="620"/>
      <c r="DR165" s="117">
        <v>0</v>
      </c>
      <c r="DS165" s="116"/>
      <c r="DT165" s="56"/>
      <c r="DU165" s="611"/>
      <c r="DV165" s="513"/>
      <c r="DW165" s="117">
        <v>0</v>
      </c>
      <c r="DX165" s="116"/>
      <c r="DY165" s="56"/>
      <c r="DZ165" s="611"/>
      <c r="EA165" s="620"/>
      <c r="EB165" s="117">
        <v>0</v>
      </c>
      <c r="EC165" s="116"/>
      <c r="ED165" s="56"/>
      <c r="EE165" s="611"/>
      <c r="EF165" s="620"/>
      <c r="EG165" s="117">
        <v>0</v>
      </c>
      <c r="EH165" s="116"/>
      <c r="EI165" s="56"/>
      <c r="EJ165" s="611"/>
      <c r="EK165" s="513"/>
      <c r="EL165" s="117">
        <f>SUM(CD165:EG165)</f>
        <v>0</v>
      </c>
      <c r="EM165" s="116"/>
      <c r="EN165" s="56"/>
      <c r="EO165" s="144"/>
      <c r="ER165" s="42"/>
      <c r="ES165" s="42"/>
    </row>
    <row r="166" spans="4:149" hidden="1" x14ac:dyDescent="0.3">
      <c r="D166" s="144"/>
      <c r="G166" s="56"/>
      <c r="H166" s="56"/>
      <c r="I166" s="56"/>
      <c r="J166" s="611"/>
      <c r="K166" s="56"/>
      <c r="L166" s="56"/>
      <c r="M166" s="56"/>
      <c r="N166" s="56"/>
      <c r="O166" s="611"/>
      <c r="P166" s="56"/>
      <c r="Q166" s="56"/>
      <c r="R166" s="56"/>
      <c r="S166" s="56"/>
      <c r="T166" s="611"/>
      <c r="U166" s="56"/>
      <c r="V166" s="56"/>
      <c r="W166" s="56"/>
      <c r="X166" s="56"/>
      <c r="Y166" s="611"/>
      <c r="Z166" s="56"/>
      <c r="AA166" s="56"/>
      <c r="AB166" s="56"/>
      <c r="AC166" s="56"/>
      <c r="AD166" s="611"/>
      <c r="AE166" s="56"/>
      <c r="AF166" s="56"/>
      <c r="AG166" s="56"/>
      <c r="AH166" s="56"/>
      <c r="AI166" s="611"/>
      <c r="AJ166" s="56"/>
      <c r="AK166" s="56"/>
      <c r="AL166" s="56"/>
      <c r="AM166" s="56"/>
      <c r="AN166" s="611"/>
      <c r="AO166" s="56"/>
      <c r="AP166" s="56"/>
      <c r="AQ166" s="56"/>
      <c r="AR166" s="56"/>
      <c r="AS166" s="611"/>
      <c r="AT166" s="56"/>
      <c r="AU166" s="56"/>
      <c r="AV166" s="56"/>
      <c r="AW166" s="56"/>
      <c r="AX166" s="611"/>
      <c r="AY166" s="56"/>
      <c r="AZ166" s="56"/>
      <c r="BA166" s="56"/>
      <c r="BB166" s="56"/>
      <c r="BC166" s="611"/>
      <c r="BD166" s="56"/>
      <c r="BE166" s="56"/>
      <c r="BF166" s="56"/>
      <c r="BG166" s="56"/>
      <c r="BH166" s="611"/>
      <c r="BI166" s="56"/>
      <c r="BJ166" s="56"/>
      <c r="BK166" s="56"/>
      <c r="BL166" s="56"/>
      <c r="BM166" s="611"/>
      <c r="BN166" s="56"/>
      <c r="BO166" s="56"/>
      <c r="BP166" s="56"/>
      <c r="BQ166" s="56"/>
      <c r="BR166" s="611"/>
      <c r="BS166" s="56"/>
      <c r="BT166" s="56"/>
      <c r="BU166" s="56"/>
      <c r="BV166" s="56"/>
      <c r="BW166" s="611"/>
      <c r="BX166" s="56"/>
      <c r="BY166" s="56"/>
      <c r="BZ166" s="56"/>
      <c r="CA166" s="56"/>
      <c r="CB166" s="611"/>
      <c r="CC166" s="56"/>
      <c r="CD166" s="56"/>
      <c r="CE166" s="56"/>
      <c r="CF166" s="56"/>
      <c r="CG166" s="611"/>
      <c r="CH166" s="56"/>
      <c r="CI166" s="56"/>
      <c r="CJ166" s="56"/>
      <c r="CK166" s="56"/>
      <c r="CL166" s="611"/>
      <c r="CM166" s="56"/>
      <c r="CN166" s="56"/>
      <c r="CO166" s="56"/>
      <c r="CP166" s="56"/>
      <c r="CQ166" s="611"/>
      <c r="CR166" s="56"/>
      <c r="CS166" s="56"/>
      <c r="CT166" s="56"/>
      <c r="CU166" s="56"/>
      <c r="CV166" s="611"/>
      <c r="CW166" s="56"/>
      <c r="CX166" s="56"/>
      <c r="CY166" s="56"/>
      <c r="CZ166" s="56"/>
      <c r="DA166" s="611"/>
      <c r="DB166" s="56"/>
      <c r="DC166" s="56"/>
      <c r="DD166" s="56"/>
      <c r="DE166" s="56"/>
      <c r="DF166" s="611"/>
      <c r="DG166" s="56"/>
      <c r="DH166" s="56"/>
      <c r="DI166" s="56"/>
      <c r="DJ166" s="56"/>
      <c r="DK166" s="611"/>
      <c r="DL166" s="56"/>
      <c r="DM166" s="56"/>
      <c r="DN166" s="56"/>
      <c r="DO166" s="56"/>
      <c r="DP166" s="611"/>
      <c r="DQ166" s="56"/>
      <c r="DR166" s="56"/>
      <c r="DS166" s="56"/>
      <c r="DT166" s="56"/>
      <c r="DU166" s="611"/>
      <c r="DV166" s="56"/>
      <c r="DW166" s="56"/>
      <c r="DX166" s="56"/>
      <c r="DY166" s="56"/>
      <c r="DZ166" s="611"/>
      <c r="EA166" s="56"/>
      <c r="EB166" s="56"/>
      <c r="EC166" s="56"/>
      <c r="ED166" s="56"/>
      <c r="EE166" s="611"/>
      <c r="EF166" s="56"/>
      <c r="EG166" s="56"/>
      <c r="EH166" s="56"/>
      <c r="EI166" s="56"/>
      <c r="EJ166" s="611"/>
      <c r="EK166" s="56"/>
      <c r="EL166" s="56"/>
      <c r="EM166" s="56"/>
      <c r="EN166" s="56"/>
      <c r="EO166" s="144"/>
      <c r="ER166" s="42"/>
      <c r="ES166" s="42"/>
    </row>
    <row r="167" spans="4:149" hidden="1" x14ac:dyDescent="0.3">
      <c r="D167" s="144" t="s">
        <v>369</v>
      </c>
      <c r="G167" s="56">
        <f>SUM(G168:G174)</f>
        <v>0</v>
      </c>
      <c r="H167" s="56"/>
      <c r="I167" s="56"/>
      <c r="J167" s="611"/>
      <c r="L167" s="56">
        <f>SUM(L168:L174)</f>
        <v>0</v>
      </c>
      <c r="M167" s="56"/>
      <c r="N167" s="56"/>
      <c r="O167" s="611"/>
      <c r="Q167" s="56">
        <f>SUM(Q168:Q174)</f>
        <v>0</v>
      </c>
      <c r="R167" s="56"/>
      <c r="S167" s="56"/>
      <c r="T167" s="611"/>
      <c r="V167" s="56">
        <f>SUM(V168:V174)</f>
        <v>0</v>
      </c>
      <c r="W167" s="56"/>
      <c r="X167" s="56"/>
      <c r="Y167" s="611"/>
      <c r="AA167" s="56">
        <f>SUM(AA168:AA174)</f>
        <v>0</v>
      </c>
      <c r="AB167" s="56"/>
      <c r="AC167" s="56"/>
      <c r="AD167" s="611"/>
      <c r="AF167" s="56">
        <f>SUM(AF168:AF174)</f>
        <v>0</v>
      </c>
      <c r="AG167" s="56"/>
      <c r="AH167" s="56"/>
      <c r="AI167" s="611"/>
      <c r="AK167" s="56">
        <f>SUM(AK168:AK174)</f>
        <v>0</v>
      </c>
      <c r="AL167" s="56"/>
      <c r="AM167" s="56"/>
      <c r="AN167" s="611"/>
      <c r="AP167" s="56">
        <f>SUM(AP168:AP174)</f>
        <v>0</v>
      </c>
      <c r="AQ167" s="56"/>
      <c r="AR167" s="56"/>
      <c r="AS167" s="611"/>
      <c r="AU167" s="56">
        <f>SUM(AU168:AU174)</f>
        <v>0</v>
      </c>
      <c r="AV167" s="56"/>
      <c r="AW167" s="56"/>
      <c r="AX167" s="611"/>
      <c r="AZ167" s="56">
        <f>SUM(AZ168:AZ174)</f>
        <v>0</v>
      </c>
      <c r="BA167" s="56"/>
      <c r="BB167" s="56"/>
      <c r="BC167" s="611"/>
      <c r="BE167" s="56">
        <f>SUM(BE168:BE174)</f>
        <v>0</v>
      </c>
      <c r="BF167" s="56"/>
      <c r="BG167" s="56"/>
      <c r="BH167" s="611"/>
      <c r="BJ167" s="56">
        <f>SUM(BJ168:BJ174)</f>
        <v>0</v>
      </c>
      <c r="BK167" s="56"/>
      <c r="BL167" s="56"/>
      <c r="BM167" s="611"/>
      <c r="BO167" s="56">
        <f>SUM(BO168:BO174)</f>
        <v>0</v>
      </c>
      <c r="BP167" s="56"/>
      <c r="BQ167" s="56"/>
      <c r="BR167" s="611"/>
      <c r="BT167" s="56">
        <f>SUM(BT168:BT174)</f>
        <v>0</v>
      </c>
      <c r="BU167" s="56"/>
      <c r="BV167" s="56"/>
      <c r="BW167" s="611"/>
      <c r="BY167" s="56">
        <f>SUM(BY168:BY174)</f>
        <v>0</v>
      </c>
      <c r="BZ167" s="56"/>
      <c r="CA167" s="56"/>
      <c r="CB167" s="611"/>
      <c r="CD167" s="56">
        <f>SUM(CD168:CD174)</f>
        <v>0</v>
      </c>
      <c r="CE167" s="56"/>
      <c r="CF167" s="56"/>
      <c r="CG167" s="611"/>
      <c r="CI167" s="56">
        <f>SUM(CI168:CI174)</f>
        <v>0</v>
      </c>
      <c r="CJ167" s="56"/>
      <c r="CK167" s="56"/>
      <c r="CL167" s="611"/>
      <c r="CN167" s="56">
        <f>SUM(CN168:CN174)</f>
        <v>0</v>
      </c>
      <c r="CO167" s="56"/>
      <c r="CP167" s="56"/>
      <c r="CQ167" s="611"/>
      <c r="CS167" s="56">
        <f>SUM(CS168:CS174)</f>
        <v>0</v>
      </c>
      <c r="CT167" s="56"/>
      <c r="CU167" s="56"/>
      <c r="CV167" s="611"/>
      <c r="CX167" s="56">
        <f>SUM(CX168:CX174)</f>
        <v>0</v>
      </c>
      <c r="CY167" s="56"/>
      <c r="CZ167" s="56"/>
      <c r="DA167" s="611"/>
      <c r="DC167" s="56">
        <f>SUM(DC168:DC174)</f>
        <v>0</v>
      </c>
      <c r="DD167" s="56"/>
      <c r="DE167" s="56"/>
      <c r="DF167" s="611"/>
      <c r="DH167" s="56">
        <f>SUM(DH168:DH174)</f>
        <v>0</v>
      </c>
      <c r="DI167" s="56"/>
      <c r="DJ167" s="56"/>
      <c r="DK167" s="611"/>
      <c r="DM167" s="56">
        <f>SUM(DM168:DM174)</f>
        <v>0</v>
      </c>
      <c r="DN167" s="56"/>
      <c r="DO167" s="56"/>
      <c r="DP167" s="611"/>
      <c r="DR167" s="56">
        <f>SUM(DR168:DR174)</f>
        <v>0</v>
      </c>
      <c r="DS167" s="56"/>
      <c r="DT167" s="56"/>
      <c r="DU167" s="611"/>
      <c r="DW167" s="56">
        <f>SUM(DW168:DW174)</f>
        <v>0</v>
      </c>
      <c r="DX167" s="56"/>
      <c r="DY167" s="56"/>
      <c r="DZ167" s="611"/>
      <c r="EB167" s="56">
        <f>SUM(EB168:EB174)</f>
        <v>0</v>
      </c>
      <c r="EC167" s="56"/>
      <c r="ED167" s="56"/>
      <c r="EE167" s="611"/>
      <c r="EG167" s="56">
        <f>SUM(EG168:EG174)</f>
        <v>0</v>
      </c>
      <c r="EH167" s="56"/>
      <c r="EI167" s="56"/>
      <c r="EJ167" s="611"/>
      <c r="EL167" s="56">
        <f>SUM(EL168:EL174)</f>
        <v>0</v>
      </c>
      <c r="EM167" s="56"/>
      <c r="EN167" s="56"/>
      <c r="EO167" s="144"/>
      <c r="ER167" s="42"/>
      <c r="ES167" s="42"/>
    </row>
    <row r="168" spans="4:149" hidden="1" x14ac:dyDescent="0.3">
      <c r="D168" s="144" t="s">
        <v>370</v>
      </c>
      <c r="F168" s="636"/>
      <c r="G168" s="609">
        <v>0</v>
      </c>
      <c r="H168" s="610"/>
      <c r="I168" s="56"/>
      <c r="J168" s="611"/>
      <c r="K168" s="636"/>
      <c r="L168" s="609">
        <v>0</v>
      </c>
      <c r="M168" s="610"/>
      <c r="N168" s="56"/>
      <c r="O168" s="611"/>
      <c r="P168" s="636"/>
      <c r="Q168" s="609">
        <v>0</v>
      </c>
      <c r="R168" s="610"/>
      <c r="S168" s="56"/>
      <c r="T168" s="611"/>
      <c r="U168" s="636"/>
      <c r="V168" s="609">
        <v>0</v>
      </c>
      <c r="W168" s="610"/>
      <c r="X168" s="56"/>
      <c r="Y168" s="611"/>
      <c r="Z168" s="636"/>
      <c r="AA168" s="609">
        <v>0</v>
      </c>
      <c r="AB168" s="610"/>
      <c r="AC168" s="56"/>
      <c r="AD168" s="611"/>
      <c r="AE168" s="500"/>
      <c r="AF168" s="637">
        <v>0</v>
      </c>
      <c r="AG168" s="610"/>
      <c r="AH168" s="56"/>
      <c r="AI168" s="611"/>
      <c r="AJ168" s="636"/>
      <c r="AK168" s="609">
        <v>0</v>
      </c>
      <c r="AL168" s="610"/>
      <c r="AM168" s="56"/>
      <c r="AN168" s="611"/>
      <c r="AO168" s="636"/>
      <c r="AP168" s="609">
        <v>0</v>
      </c>
      <c r="AQ168" s="610"/>
      <c r="AR168" s="56"/>
      <c r="AS168" s="611"/>
      <c r="AT168" s="636"/>
      <c r="AU168" s="609">
        <v>0</v>
      </c>
      <c r="AV168" s="610"/>
      <c r="AW168" s="56"/>
      <c r="AX168" s="611"/>
      <c r="AY168" s="636"/>
      <c r="AZ168" s="609">
        <v>0</v>
      </c>
      <c r="BA168" s="610"/>
      <c r="BB168" s="56"/>
      <c r="BC168" s="611"/>
      <c r="BD168" s="636"/>
      <c r="BE168" s="609">
        <v>0</v>
      </c>
      <c r="BF168" s="610"/>
      <c r="BG168" s="56"/>
      <c r="BH168" s="611"/>
      <c r="BI168" s="636"/>
      <c r="BJ168" s="609">
        <v>0</v>
      </c>
      <c r="BK168" s="610"/>
      <c r="BL168" s="56"/>
      <c r="BM168" s="611"/>
      <c r="BN168" s="636"/>
      <c r="BO168" s="609">
        <v>0</v>
      </c>
      <c r="BP168" s="610"/>
      <c r="BQ168" s="56"/>
      <c r="BR168" s="611"/>
      <c r="BS168" s="636"/>
      <c r="BT168" s="609">
        <f>SUM(L168:BO168)</f>
        <v>0</v>
      </c>
      <c r="BU168" s="610"/>
      <c r="BV168" s="56"/>
      <c r="BW168" s="611"/>
      <c r="BX168" s="636"/>
      <c r="BY168" s="609">
        <v>0</v>
      </c>
      <c r="BZ168" s="610"/>
      <c r="CA168" s="56"/>
      <c r="CB168" s="611"/>
      <c r="CC168" s="636"/>
      <c r="CD168" s="609">
        <v>0</v>
      </c>
      <c r="CE168" s="610"/>
      <c r="CF168" s="56"/>
      <c r="CG168" s="611"/>
      <c r="CH168" s="636"/>
      <c r="CI168" s="609">
        <v>0</v>
      </c>
      <c r="CJ168" s="610"/>
      <c r="CK168" s="56"/>
      <c r="CL168" s="611"/>
      <c r="CM168" s="636"/>
      <c r="CN168" s="609">
        <v>0</v>
      </c>
      <c r="CO168" s="610"/>
      <c r="CP168" s="56"/>
      <c r="CQ168" s="611"/>
      <c r="CR168" s="636"/>
      <c r="CS168" s="609">
        <v>0</v>
      </c>
      <c r="CT168" s="610"/>
      <c r="CU168" s="56"/>
      <c r="CV168" s="611"/>
      <c r="CW168" s="500"/>
      <c r="CX168" s="637">
        <v>0</v>
      </c>
      <c r="CY168" s="610"/>
      <c r="CZ168" s="56"/>
      <c r="DA168" s="611"/>
      <c r="DB168" s="636"/>
      <c r="DC168" s="609">
        <v>0</v>
      </c>
      <c r="DD168" s="610"/>
      <c r="DE168" s="56"/>
      <c r="DF168" s="611"/>
      <c r="DG168" s="636"/>
      <c r="DH168" s="609">
        <v>0</v>
      </c>
      <c r="DI168" s="610"/>
      <c r="DJ168" s="56"/>
      <c r="DK168" s="611"/>
      <c r="DL168" s="636"/>
      <c r="DM168" s="609">
        <v>0</v>
      </c>
      <c r="DN168" s="610"/>
      <c r="DO168" s="56"/>
      <c r="DP168" s="611"/>
      <c r="DQ168" s="636"/>
      <c r="DR168" s="609">
        <v>0</v>
      </c>
      <c r="DS168" s="610"/>
      <c r="DT168" s="56"/>
      <c r="DU168" s="611"/>
      <c r="DV168" s="636"/>
      <c r="DW168" s="609">
        <v>0</v>
      </c>
      <c r="DX168" s="610"/>
      <c r="DY168" s="56"/>
      <c r="DZ168" s="611"/>
      <c r="EA168" s="636"/>
      <c r="EB168" s="609">
        <v>0</v>
      </c>
      <c r="EC168" s="610"/>
      <c r="ED168" s="56"/>
      <c r="EE168" s="611"/>
      <c r="EF168" s="636"/>
      <c r="EG168" s="609">
        <v>0</v>
      </c>
      <c r="EH168" s="610"/>
      <c r="EI168" s="56"/>
      <c r="EJ168" s="611"/>
      <c r="EK168" s="636"/>
      <c r="EL168" s="609">
        <f t="shared" ref="EL168:EL174" si="17">SUM(CD168:EG168)</f>
        <v>0</v>
      </c>
      <c r="EM168" s="610"/>
      <c r="EN168" s="56"/>
      <c r="EO168" s="144"/>
      <c r="ER168" s="42"/>
      <c r="ES168" s="42"/>
    </row>
    <row r="169" spans="4:149" hidden="1" x14ac:dyDescent="0.3">
      <c r="D169" s="144" t="s">
        <v>371</v>
      </c>
      <c r="F169" s="638"/>
      <c r="G169" s="56">
        <v>0</v>
      </c>
      <c r="H169" s="55"/>
      <c r="I169" s="56"/>
      <c r="J169" s="611"/>
      <c r="K169" s="638"/>
      <c r="L169" s="56">
        <v>0</v>
      </c>
      <c r="M169" s="55"/>
      <c r="N169" s="56"/>
      <c r="O169" s="611"/>
      <c r="P169" s="638"/>
      <c r="Q169" s="56">
        <v>0</v>
      </c>
      <c r="R169" s="55"/>
      <c r="S169" s="56"/>
      <c r="T169" s="611"/>
      <c r="U169" s="638"/>
      <c r="V169" s="56">
        <v>0</v>
      </c>
      <c r="W169" s="55"/>
      <c r="X169" s="56"/>
      <c r="Y169" s="611"/>
      <c r="Z169" s="638"/>
      <c r="AA169" s="56">
        <v>0</v>
      </c>
      <c r="AB169" s="55"/>
      <c r="AC169" s="56"/>
      <c r="AD169" s="611"/>
      <c r="AE169" s="494"/>
      <c r="AF169" s="177">
        <v>0</v>
      </c>
      <c r="AG169" s="55"/>
      <c r="AH169" s="56"/>
      <c r="AI169" s="611"/>
      <c r="AJ169" s="638"/>
      <c r="AK169" s="56">
        <v>0</v>
      </c>
      <c r="AL169" s="55"/>
      <c r="AM169" s="56"/>
      <c r="AN169" s="611"/>
      <c r="AO169" s="638"/>
      <c r="AP169" s="56">
        <v>0</v>
      </c>
      <c r="AQ169" s="55"/>
      <c r="AR169" s="56"/>
      <c r="AS169" s="611"/>
      <c r="AT169" s="638"/>
      <c r="AU169" s="56">
        <v>0</v>
      </c>
      <c r="AV169" s="55"/>
      <c r="AW169" s="56"/>
      <c r="AX169" s="611"/>
      <c r="AY169" s="638"/>
      <c r="AZ169" s="56">
        <v>0</v>
      </c>
      <c r="BA169" s="55"/>
      <c r="BB169" s="56"/>
      <c r="BC169" s="611"/>
      <c r="BD169" s="638"/>
      <c r="BE169" s="56">
        <v>0</v>
      </c>
      <c r="BF169" s="55"/>
      <c r="BG169" s="56"/>
      <c r="BH169" s="611"/>
      <c r="BI169" s="638"/>
      <c r="BJ169" s="56">
        <v>0</v>
      </c>
      <c r="BK169" s="55"/>
      <c r="BL169" s="56"/>
      <c r="BM169" s="611"/>
      <c r="BN169" s="638"/>
      <c r="BO169" s="56">
        <v>0</v>
      </c>
      <c r="BP169" s="55"/>
      <c r="BQ169" s="56"/>
      <c r="BR169" s="611"/>
      <c r="BS169" s="638"/>
      <c r="BT169" s="56">
        <f t="shared" ref="BT169:BT174" si="18">SUM(L169:BO169)</f>
        <v>0</v>
      </c>
      <c r="BU169" s="55"/>
      <c r="BV169" s="56"/>
      <c r="BW169" s="611"/>
      <c r="BX169" s="638"/>
      <c r="BY169" s="56">
        <v>0</v>
      </c>
      <c r="BZ169" s="55"/>
      <c r="CA169" s="56"/>
      <c r="CB169" s="611"/>
      <c r="CC169" s="638"/>
      <c r="CD169" s="56">
        <v>0</v>
      </c>
      <c r="CE169" s="55"/>
      <c r="CF169" s="56"/>
      <c r="CG169" s="611"/>
      <c r="CH169" s="638"/>
      <c r="CI169" s="56">
        <v>0</v>
      </c>
      <c r="CJ169" s="55"/>
      <c r="CK169" s="56"/>
      <c r="CL169" s="611"/>
      <c r="CM169" s="638"/>
      <c r="CN169" s="56">
        <v>0</v>
      </c>
      <c r="CO169" s="55"/>
      <c r="CP169" s="56"/>
      <c r="CQ169" s="611"/>
      <c r="CR169" s="638"/>
      <c r="CS169" s="56">
        <v>0</v>
      </c>
      <c r="CT169" s="55"/>
      <c r="CU169" s="56"/>
      <c r="CV169" s="611"/>
      <c r="CW169" s="494"/>
      <c r="CX169" s="177">
        <v>0</v>
      </c>
      <c r="CY169" s="55"/>
      <c r="CZ169" s="56"/>
      <c r="DA169" s="611"/>
      <c r="DB169" s="638"/>
      <c r="DC169" s="56">
        <v>0</v>
      </c>
      <c r="DD169" s="55"/>
      <c r="DE169" s="56"/>
      <c r="DF169" s="611"/>
      <c r="DG169" s="638"/>
      <c r="DH169" s="56">
        <v>0</v>
      </c>
      <c r="DI169" s="55"/>
      <c r="DJ169" s="56"/>
      <c r="DK169" s="611"/>
      <c r="DL169" s="638"/>
      <c r="DM169" s="56">
        <v>0</v>
      </c>
      <c r="DN169" s="55"/>
      <c r="DO169" s="56"/>
      <c r="DP169" s="611"/>
      <c r="DQ169" s="638"/>
      <c r="DR169" s="56">
        <v>0</v>
      </c>
      <c r="DS169" s="55"/>
      <c r="DT169" s="56"/>
      <c r="DU169" s="611"/>
      <c r="DV169" s="638"/>
      <c r="DW169" s="56">
        <v>0</v>
      </c>
      <c r="DX169" s="55"/>
      <c r="DY169" s="56"/>
      <c r="DZ169" s="611"/>
      <c r="EA169" s="638"/>
      <c r="EB169" s="56">
        <v>0</v>
      </c>
      <c r="EC169" s="55"/>
      <c r="ED169" s="56"/>
      <c r="EE169" s="611"/>
      <c r="EF169" s="638"/>
      <c r="EG169" s="56">
        <v>0</v>
      </c>
      <c r="EH169" s="55"/>
      <c r="EI169" s="56"/>
      <c r="EJ169" s="611"/>
      <c r="EK169" s="638"/>
      <c r="EL169" s="56">
        <f>SUM(CD169:EG169)</f>
        <v>0</v>
      </c>
      <c r="EM169" s="55"/>
      <c r="EN169" s="56"/>
      <c r="EO169" s="144"/>
      <c r="ER169" s="42"/>
      <c r="ES169" s="42"/>
    </row>
    <row r="170" spans="4:149" hidden="1" x14ac:dyDescent="0.3">
      <c r="D170" s="144" t="s">
        <v>372</v>
      </c>
      <c r="F170" s="638"/>
      <c r="G170" s="56">
        <v>0</v>
      </c>
      <c r="H170" s="55"/>
      <c r="I170" s="56"/>
      <c r="J170" s="611"/>
      <c r="K170" s="638"/>
      <c r="L170" s="56">
        <v>0</v>
      </c>
      <c r="M170" s="55"/>
      <c r="N170" s="56"/>
      <c r="O170" s="611"/>
      <c r="P170" s="638"/>
      <c r="Q170" s="56">
        <v>0</v>
      </c>
      <c r="R170" s="55"/>
      <c r="S170" s="56"/>
      <c r="T170" s="611"/>
      <c r="U170" s="638"/>
      <c r="V170" s="56">
        <v>0</v>
      </c>
      <c r="W170" s="55"/>
      <c r="X170" s="56"/>
      <c r="Y170" s="611"/>
      <c r="Z170" s="638"/>
      <c r="AA170" s="56">
        <v>0</v>
      </c>
      <c r="AB170" s="55"/>
      <c r="AC170" s="56"/>
      <c r="AD170" s="611"/>
      <c r="AE170" s="494"/>
      <c r="AF170" s="177">
        <v>0</v>
      </c>
      <c r="AG170" s="55"/>
      <c r="AH170" s="56"/>
      <c r="AI170" s="611"/>
      <c r="AJ170" s="638"/>
      <c r="AK170" s="56">
        <v>0</v>
      </c>
      <c r="AL170" s="55"/>
      <c r="AM170" s="56"/>
      <c r="AN170" s="611"/>
      <c r="AO170" s="638"/>
      <c r="AP170" s="56">
        <v>0</v>
      </c>
      <c r="AQ170" s="55"/>
      <c r="AR170" s="56"/>
      <c r="AS170" s="611"/>
      <c r="AT170" s="638"/>
      <c r="AU170" s="56">
        <v>0</v>
      </c>
      <c r="AV170" s="55"/>
      <c r="AW170" s="56"/>
      <c r="AX170" s="611"/>
      <c r="AY170" s="638"/>
      <c r="AZ170" s="56">
        <v>0</v>
      </c>
      <c r="BA170" s="55"/>
      <c r="BB170" s="56"/>
      <c r="BC170" s="611"/>
      <c r="BD170" s="638"/>
      <c r="BE170" s="56">
        <v>0</v>
      </c>
      <c r="BF170" s="55"/>
      <c r="BG170" s="56"/>
      <c r="BH170" s="611"/>
      <c r="BI170" s="638"/>
      <c r="BJ170" s="56">
        <v>0</v>
      </c>
      <c r="BK170" s="55"/>
      <c r="BL170" s="56"/>
      <c r="BM170" s="611"/>
      <c r="BN170" s="638"/>
      <c r="BO170" s="56">
        <v>0</v>
      </c>
      <c r="BP170" s="55"/>
      <c r="BQ170" s="56"/>
      <c r="BR170" s="611"/>
      <c r="BS170" s="638"/>
      <c r="BT170" s="56">
        <f>SUM(L170:BO170)</f>
        <v>0</v>
      </c>
      <c r="BU170" s="55"/>
      <c r="BV170" s="56"/>
      <c r="BW170" s="611"/>
      <c r="BX170" s="638"/>
      <c r="BY170" s="56">
        <v>0</v>
      </c>
      <c r="BZ170" s="55"/>
      <c r="CA170" s="56"/>
      <c r="CB170" s="611"/>
      <c r="CC170" s="638"/>
      <c r="CD170" s="56">
        <v>0</v>
      </c>
      <c r="CE170" s="55"/>
      <c r="CF170" s="56"/>
      <c r="CG170" s="611"/>
      <c r="CH170" s="638"/>
      <c r="CI170" s="56">
        <v>0</v>
      </c>
      <c r="CJ170" s="55"/>
      <c r="CK170" s="56"/>
      <c r="CL170" s="611"/>
      <c r="CM170" s="638"/>
      <c r="CN170" s="56">
        <v>0</v>
      </c>
      <c r="CO170" s="55"/>
      <c r="CP170" s="56"/>
      <c r="CQ170" s="611"/>
      <c r="CR170" s="638"/>
      <c r="CS170" s="56">
        <v>0</v>
      </c>
      <c r="CT170" s="55"/>
      <c r="CU170" s="56"/>
      <c r="CV170" s="611"/>
      <c r="CW170" s="494"/>
      <c r="CX170" s="177">
        <v>0</v>
      </c>
      <c r="CY170" s="55"/>
      <c r="CZ170" s="56"/>
      <c r="DA170" s="611"/>
      <c r="DB170" s="638"/>
      <c r="DC170" s="56">
        <v>0</v>
      </c>
      <c r="DD170" s="55"/>
      <c r="DE170" s="56"/>
      <c r="DF170" s="611"/>
      <c r="DG170" s="638"/>
      <c r="DH170" s="56">
        <v>0</v>
      </c>
      <c r="DI170" s="55"/>
      <c r="DJ170" s="56"/>
      <c r="DK170" s="611"/>
      <c r="DL170" s="638"/>
      <c r="DM170" s="56">
        <v>0</v>
      </c>
      <c r="DN170" s="55"/>
      <c r="DO170" s="56"/>
      <c r="DP170" s="611"/>
      <c r="DQ170" s="638"/>
      <c r="DR170" s="56">
        <v>0</v>
      </c>
      <c r="DS170" s="55"/>
      <c r="DT170" s="56"/>
      <c r="DU170" s="611"/>
      <c r="DV170" s="638"/>
      <c r="DW170" s="56">
        <v>0</v>
      </c>
      <c r="DX170" s="55"/>
      <c r="DY170" s="56"/>
      <c r="DZ170" s="611"/>
      <c r="EA170" s="638"/>
      <c r="EB170" s="56">
        <v>0</v>
      </c>
      <c r="EC170" s="55"/>
      <c r="ED170" s="56"/>
      <c r="EE170" s="611"/>
      <c r="EF170" s="638"/>
      <c r="EG170" s="56">
        <v>0</v>
      </c>
      <c r="EH170" s="55"/>
      <c r="EI170" s="56"/>
      <c r="EJ170" s="611"/>
      <c r="EK170" s="638"/>
      <c r="EL170" s="56">
        <f t="shared" si="17"/>
        <v>0</v>
      </c>
      <c r="EM170" s="55"/>
      <c r="EN170" s="56"/>
      <c r="EO170" s="144"/>
      <c r="ER170" s="42"/>
      <c r="ES170" s="42"/>
    </row>
    <row r="171" spans="4:149" hidden="1" x14ac:dyDescent="0.3">
      <c r="D171" s="144" t="s">
        <v>373</v>
      </c>
      <c r="F171" s="494"/>
      <c r="G171" s="56">
        <v>0</v>
      </c>
      <c r="H171" s="55"/>
      <c r="I171" s="56"/>
      <c r="J171" s="611"/>
      <c r="K171" s="494"/>
      <c r="L171" s="56">
        <v>0</v>
      </c>
      <c r="M171" s="55"/>
      <c r="N171" s="56"/>
      <c r="O171" s="611"/>
      <c r="P171" s="494"/>
      <c r="Q171" s="56">
        <v>0</v>
      </c>
      <c r="R171" s="55"/>
      <c r="S171" s="56"/>
      <c r="T171" s="611"/>
      <c r="U171" s="494"/>
      <c r="V171" s="56">
        <v>0</v>
      </c>
      <c r="W171" s="55"/>
      <c r="X171" s="56"/>
      <c r="Y171" s="611"/>
      <c r="Z171" s="494"/>
      <c r="AA171" s="56">
        <v>0</v>
      </c>
      <c r="AB171" s="55"/>
      <c r="AC171" s="56"/>
      <c r="AD171" s="611"/>
      <c r="AE171" s="494"/>
      <c r="AF171" s="56">
        <v>0</v>
      </c>
      <c r="AG171" s="55"/>
      <c r="AH171" s="56"/>
      <c r="AI171" s="611"/>
      <c r="AJ171" s="494"/>
      <c r="AK171" s="56">
        <v>0</v>
      </c>
      <c r="AL171" s="55"/>
      <c r="AM171" s="56"/>
      <c r="AN171" s="611"/>
      <c r="AO171" s="494"/>
      <c r="AP171" s="56">
        <v>0</v>
      </c>
      <c r="AQ171" s="55"/>
      <c r="AR171" s="56"/>
      <c r="AS171" s="611"/>
      <c r="AT171" s="494"/>
      <c r="AU171" s="56">
        <v>0</v>
      </c>
      <c r="AV171" s="55"/>
      <c r="AW171" s="56"/>
      <c r="AX171" s="611"/>
      <c r="AY171" s="494"/>
      <c r="AZ171" s="56">
        <v>0</v>
      </c>
      <c r="BA171" s="55"/>
      <c r="BB171" s="56"/>
      <c r="BC171" s="611"/>
      <c r="BD171" s="494"/>
      <c r="BE171" s="56">
        <v>0</v>
      </c>
      <c r="BF171" s="55"/>
      <c r="BG171" s="56"/>
      <c r="BH171" s="611"/>
      <c r="BI171" s="494"/>
      <c r="BJ171" s="56">
        <v>0</v>
      </c>
      <c r="BK171" s="55"/>
      <c r="BL171" s="56"/>
      <c r="BM171" s="611"/>
      <c r="BN171" s="494"/>
      <c r="BO171" s="56">
        <v>0</v>
      </c>
      <c r="BP171" s="55"/>
      <c r="BQ171" s="56"/>
      <c r="BR171" s="611"/>
      <c r="BS171" s="494"/>
      <c r="BT171" s="56">
        <f t="shared" si="18"/>
        <v>0</v>
      </c>
      <c r="BU171" s="55"/>
      <c r="BV171" s="56"/>
      <c r="BW171" s="611"/>
      <c r="BX171" s="494"/>
      <c r="BY171" s="56">
        <v>0</v>
      </c>
      <c r="BZ171" s="55"/>
      <c r="CA171" s="56"/>
      <c r="CB171" s="611"/>
      <c r="CC171" s="494"/>
      <c r="CD171" s="56">
        <v>0</v>
      </c>
      <c r="CE171" s="55"/>
      <c r="CF171" s="56"/>
      <c r="CG171" s="611"/>
      <c r="CH171" s="494"/>
      <c r="CI171" s="56">
        <v>0</v>
      </c>
      <c r="CJ171" s="55"/>
      <c r="CK171" s="56"/>
      <c r="CL171" s="611"/>
      <c r="CM171" s="494"/>
      <c r="CN171" s="56">
        <v>0</v>
      </c>
      <c r="CO171" s="55"/>
      <c r="CP171" s="56"/>
      <c r="CQ171" s="611"/>
      <c r="CR171" s="494"/>
      <c r="CS171" s="56">
        <v>0</v>
      </c>
      <c r="CT171" s="55"/>
      <c r="CU171" s="56"/>
      <c r="CV171" s="611"/>
      <c r="CW171" s="494"/>
      <c r="CX171" s="56">
        <v>0</v>
      </c>
      <c r="CY171" s="55"/>
      <c r="CZ171" s="56"/>
      <c r="DA171" s="611"/>
      <c r="DB171" s="494"/>
      <c r="DC171" s="56">
        <v>0</v>
      </c>
      <c r="DD171" s="55"/>
      <c r="DE171" s="56"/>
      <c r="DF171" s="611"/>
      <c r="DG171" s="494"/>
      <c r="DH171" s="56">
        <v>0</v>
      </c>
      <c r="DI171" s="55"/>
      <c r="DJ171" s="56"/>
      <c r="DK171" s="611"/>
      <c r="DL171" s="494"/>
      <c r="DM171" s="56">
        <v>0</v>
      </c>
      <c r="DN171" s="55"/>
      <c r="DO171" s="56"/>
      <c r="DP171" s="611"/>
      <c r="DQ171" s="494"/>
      <c r="DR171" s="56">
        <v>0</v>
      </c>
      <c r="DS171" s="55"/>
      <c r="DT171" s="56"/>
      <c r="DU171" s="611"/>
      <c r="DV171" s="494"/>
      <c r="DW171" s="56">
        <v>0</v>
      </c>
      <c r="DX171" s="55"/>
      <c r="DY171" s="56"/>
      <c r="DZ171" s="611"/>
      <c r="EA171" s="494"/>
      <c r="EB171" s="56">
        <v>0</v>
      </c>
      <c r="EC171" s="55"/>
      <c r="ED171" s="56"/>
      <c r="EE171" s="611"/>
      <c r="EF171" s="494"/>
      <c r="EG171" s="56">
        <v>0</v>
      </c>
      <c r="EH171" s="55"/>
      <c r="EI171" s="56"/>
      <c r="EJ171" s="611"/>
      <c r="EK171" s="494"/>
      <c r="EL171" s="56">
        <f t="shared" si="17"/>
        <v>0</v>
      </c>
      <c r="EM171" s="55"/>
      <c r="EN171" s="56"/>
      <c r="EO171" s="144"/>
      <c r="ER171" s="42"/>
      <c r="ES171" s="42"/>
    </row>
    <row r="172" spans="4:149" ht="12.75" hidden="1" customHeight="1" x14ac:dyDescent="0.3">
      <c r="D172" s="144" t="s">
        <v>374</v>
      </c>
      <c r="F172" s="494"/>
      <c r="G172" s="56">
        <v>0</v>
      </c>
      <c r="H172" s="55"/>
      <c r="I172" s="56"/>
      <c r="J172" s="611"/>
      <c r="K172" s="494"/>
      <c r="L172" s="56"/>
      <c r="M172" s="55"/>
      <c r="N172" s="56"/>
      <c r="O172" s="611"/>
      <c r="P172" s="494"/>
      <c r="Q172" s="56"/>
      <c r="R172" s="55"/>
      <c r="S172" s="56"/>
      <c r="T172" s="611"/>
      <c r="U172" s="494"/>
      <c r="V172" s="56"/>
      <c r="W172" s="55"/>
      <c r="X172" s="56"/>
      <c r="Y172" s="611"/>
      <c r="Z172" s="494"/>
      <c r="AA172" s="56"/>
      <c r="AB172" s="55"/>
      <c r="AC172" s="56"/>
      <c r="AD172" s="611"/>
      <c r="AE172" s="494"/>
      <c r="AF172" s="56"/>
      <c r="AG172" s="55"/>
      <c r="AH172" s="56"/>
      <c r="AI172" s="611"/>
      <c r="AJ172" s="494"/>
      <c r="AK172" s="56"/>
      <c r="AL172" s="55"/>
      <c r="AM172" s="56"/>
      <c r="AN172" s="611"/>
      <c r="AO172" s="494"/>
      <c r="AP172" s="56"/>
      <c r="AQ172" s="55"/>
      <c r="AR172" s="56"/>
      <c r="AS172" s="611"/>
      <c r="AT172" s="494"/>
      <c r="AU172" s="56"/>
      <c r="AV172" s="55"/>
      <c r="AW172" s="56"/>
      <c r="AX172" s="611"/>
      <c r="AY172" s="494"/>
      <c r="AZ172" s="56"/>
      <c r="BA172" s="55"/>
      <c r="BB172" s="56"/>
      <c r="BC172" s="611"/>
      <c r="BD172" s="494"/>
      <c r="BE172" s="56"/>
      <c r="BF172" s="55"/>
      <c r="BG172" s="56"/>
      <c r="BH172" s="611"/>
      <c r="BI172" s="494"/>
      <c r="BJ172" s="56">
        <v>0</v>
      </c>
      <c r="BK172" s="55"/>
      <c r="BL172" s="56"/>
      <c r="BM172" s="611"/>
      <c r="BN172" s="494"/>
      <c r="BO172" s="56">
        <v>0</v>
      </c>
      <c r="BP172" s="55"/>
      <c r="BQ172" s="56"/>
      <c r="BR172" s="611"/>
      <c r="BS172" s="494"/>
      <c r="BT172" s="56">
        <f t="shared" si="18"/>
        <v>0</v>
      </c>
      <c r="BU172" s="55"/>
      <c r="BV172" s="56"/>
      <c r="BW172" s="611"/>
      <c r="BX172" s="494"/>
      <c r="BY172" s="56">
        <v>0</v>
      </c>
      <c r="BZ172" s="55"/>
      <c r="CA172" s="56"/>
      <c r="CB172" s="611"/>
      <c r="CC172" s="494"/>
      <c r="CD172" s="56"/>
      <c r="CE172" s="55"/>
      <c r="CF172" s="56"/>
      <c r="CG172" s="611"/>
      <c r="CH172" s="494"/>
      <c r="CI172" s="56"/>
      <c r="CJ172" s="55"/>
      <c r="CK172" s="56"/>
      <c r="CL172" s="611"/>
      <c r="CM172" s="494"/>
      <c r="CN172" s="56"/>
      <c r="CO172" s="55"/>
      <c r="CP172" s="56"/>
      <c r="CQ172" s="611"/>
      <c r="CR172" s="494"/>
      <c r="CS172" s="56"/>
      <c r="CT172" s="55"/>
      <c r="CU172" s="56"/>
      <c r="CV172" s="611"/>
      <c r="CW172" s="494"/>
      <c r="CX172" s="56"/>
      <c r="CY172" s="55"/>
      <c r="CZ172" s="56"/>
      <c r="DA172" s="611"/>
      <c r="DB172" s="494"/>
      <c r="DC172" s="56"/>
      <c r="DD172" s="55"/>
      <c r="DE172" s="56"/>
      <c r="DF172" s="611"/>
      <c r="DG172" s="494"/>
      <c r="DH172" s="56"/>
      <c r="DI172" s="55"/>
      <c r="DJ172" s="56"/>
      <c r="DK172" s="611"/>
      <c r="DL172" s="494"/>
      <c r="DM172" s="56"/>
      <c r="DN172" s="55"/>
      <c r="DO172" s="56"/>
      <c r="DP172" s="611"/>
      <c r="DQ172" s="494"/>
      <c r="DR172" s="56"/>
      <c r="DS172" s="55"/>
      <c r="DT172" s="56"/>
      <c r="DU172" s="611"/>
      <c r="DV172" s="494"/>
      <c r="DW172" s="56"/>
      <c r="DX172" s="55"/>
      <c r="DY172" s="56"/>
      <c r="DZ172" s="611"/>
      <c r="EA172" s="494"/>
      <c r="EB172" s="56">
        <v>0</v>
      </c>
      <c r="EC172" s="55"/>
      <c r="ED172" s="56"/>
      <c r="EE172" s="611"/>
      <c r="EF172" s="494"/>
      <c r="EG172" s="56">
        <v>0</v>
      </c>
      <c r="EH172" s="55"/>
      <c r="EI172" s="56"/>
      <c r="EJ172" s="611"/>
      <c r="EK172" s="494"/>
      <c r="EL172" s="56">
        <f t="shared" si="17"/>
        <v>0</v>
      </c>
      <c r="EM172" s="55"/>
      <c r="EN172" s="56"/>
      <c r="EO172" s="144"/>
      <c r="ER172" s="42"/>
      <c r="ES172" s="42"/>
    </row>
    <row r="173" spans="4:149" ht="12.75" hidden="1" customHeight="1" x14ac:dyDescent="0.3">
      <c r="D173" s="144" t="s">
        <v>375</v>
      </c>
      <c r="F173" s="494"/>
      <c r="G173" s="56">
        <v>0</v>
      </c>
      <c r="H173" s="55"/>
      <c r="I173" s="56"/>
      <c r="J173" s="611"/>
      <c r="K173" s="494"/>
      <c r="L173" s="56"/>
      <c r="M173" s="55"/>
      <c r="N173" s="56"/>
      <c r="O173" s="611"/>
      <c r="P173" s="494"/>
      <c r="Q173" s="56"/>
      <c r="R173" s="55"/>
      <c r="S173" s="56"/>
      <c r="T173" s="611"/>
      <c r="U173" s="494"/>
      <c r="V173" s="56"/>
      <c r="W173" s="55"/>
      <c r="X173" s="56"/>
      <c r="Y173" s="611"/>
      <c r="Z173" s="494"/>
      <c r="AA173" s="56"/>
      <c r="AB173" s="55"/>
      <c r="AC173" s="56"/>
      <c r="AD173" s="611"/>
      <c r="AE173" s="494"/>
      <c r="AF173" s="56"/>
      <c r="AG173" s="55"/>
      <c r="AH173" s="56"/>
      <c r="AI173" s="611"/>
      <c r="AJ173" s="494"/>
      <c r="AK173" s="56"/>
      <c r="AL173" s="55"/>
      <c r="AM173" s="56"/>
      <c r="AN173" s="611"/>
      <c r="AO173" s="494"/>
      <c r="AP173" s="56"/>
      <c r="AQ173" s="55"/>
      <c r="AR173" s="56"/>
      <c r="AS173" s="611"/>
      <c r="AT173" s="494"/>
      <c r="AU173" s="56"/>
      <c r="AV173" s="55"/>
      <c r="AW173" s="56"/>
      <c r="AX173" s="611"/>
      <c r="AY173" s="494"/>
      <c r="AZ173" s="56"/>
      <c r="BA173" s="55"/>
      <c r="BB173" s="56"/>
      <c r="BC173" s="611"/>
      <c r="BD173" s="494"/>
      <c r="BE173" s="56"/>
      <c r="BF173" s="55"/>
      <c r="BG173" s="56"/>
      <c r="BH173" s="611"/>
      <c r="BI173" s="494"/>
      <c r="BJ173" s="56">
        <v>0</v>
      </c>
      <c r="BK173" s="55"/>
      <c r="BL173" s="56"/>
      <c r="BM173" s="611"/>
      <c r="BN173" s="494"/>
      <c r="BO173" s="56">
        <v>0</v>
      </c>
      <c r="BP173" s="55"/>
      <c r="BQ173" s="56"/>
      <c r="BR173" s="611"/>
      <c r="BS173" s="494"/>
      <c r="BT173" s="56">
        <f t="shared" si="18"/>
        <v>0</v>
      </c>
      <c r="BU173" s="55"/>
      <c r="BV173" s="56"/>
      <c r="BW173" s="611"/>
      <c r="BX173" s="494"/>
      <c r="BY173" s="56">
        <v>0</v>
      </c>
      <c r="BZ173" s="55"/>
      <c r="CA173" s="56"/>
      <c r="CB173" s="611"/>
      <c r="CC173" s="494"/>
      <c r="CD173" s="56"/>
      <c r="CE173" s="55"/>
      <c r="CF173" s="56"/>
      <c r="CG173" s="611"/>
      <c r="CH173" s="494"/>
      <c r="CI173" s="56"/>
      <c r="CJ173" s="55"/>
      <c r="CK173" s="56"/>
      <c r="CL173" s="611"/>
      <c r="CM173" s="494"/>
      <c r="CN173" s="56"/>
      <c r="CO173" s="55"/>
      <c r="CP173" s="56"/>
      <c r="CQ173" s="611"/>
      <c r="CR173" s="494"/>
      <c r="CS173" s="56"/>
      <c r="CT173" s="55"/>
      <c r="CU173" s="56"/>
      <c r="CV173" s="611"/>
      <c r="CW173" s="494"/>
      <c r="CX173" s="56"/>
      <c r="CY173" s="55"/>
      <c r="CZ173" s="56"/>
      <c r="DA173" s="611"/>
      <c r="DB173" s="494"/>
      <c r="DC173" s="56"/>
      <c r="DD173" s="55"/>
      <c r="DE173" s="56"/>
      <c r="DF173" s="611"/>
      <c r="DG173" s="494"/>
      <c r="DH173" s="56"/>
      <c r="DI173" s="55"/>
      <c r="DJ173" s="56"/>
      <c r="DK173" s="611"/>
      <c r="DL173" s="494"/>
      <c r="DM173" s="56"/>
      <c r="DN173" s="55"/>
      <c r="DO173" s="56"/>
      <c r="DP173" s="611"/>
      <c r="DQ173" s="494"/>
      <c r="DR173" s="56"/>
      <c r="DS173" s="55"/>
      <c r="DT173" s="56"/>
      <c r="DU173" s="611"/>
      <c r="DV173" s="494"/>
      <c r="DW173" s="56"/>
      <c r="DX173" s="55"/>
      <c r="DY173" s="56"/>
      <c r="DZ173" s="611"/>
      <c r="EA173" s="494"/>
      <c r="EB173" s="56">
        <v>0</v>
      </c>
      <c r="EC173" s="55"/>
      <c r="ED173" s="56"/>
      <c r="EE173" s="611"/>
      <c r="EF173" s="494"/>
      <c r="EG173" s="56">
        <v>0</v>
      </c>
      <c r="EH173" s="55"/>
      <c r="EI173" s="56"/>
      <c r="EJ173" s="611"/>
      <c r="EK173" s="494"/>
      <c r="EL173" s="56">
        <f t="shared" si="17"/>
        <v>0</v>
      </c>
      <c r="EM173" s="55"/>
      <c r="EN173" s="56"/>
      <c r="EO173" s="144"/>
      <c r="ER173" s="42"/>
      <c r="ES173" s="42"/>
    </row>
    <row r="174" spans="4:149" ht="12.75" hidden="1" customHeight="1" x14ac:dyDescent="0.3">
      <c r="D174" s="144" t="s">
        <v>376</v>
      </c>
      <c r="F174" s="513"/>
      <c r="G174" s="117">
        <v>0</v>
      </c>
      <c r="H174" s="116"/>
      <c r="I174" s="56"/>
      <c r="J174" s="611"/>
      <c r="K174" s="513"/>
      <c r="L174" s="117">
        <v>0</v>
      </c>
      <c r="M174" s="116"/>
      <c r="N174" s="56"/>
      <c r="O174" s="611"/>
      <c r="P174" s="513"/>
      <c r="Q174" s="117">
        <v>0</v>
      </c>
      <c r="R174" s="116"/>
      <c r="S174" s="56"/>
      <c r="T174" s="611"/>
      <c r="U174" s="513"/>
      <c r="V174" s="117">
        <v>0</v>
      </c>
      <c r="W174" s="116"/>
      <c r="X174" s="56"/>
      <c r="Y174" s="611"/>
      <c r="Z174" s="513"/>
      <c r="AA174" s="117">
        <v>0</v>
      </c>
      <c r="AB174" s="116"/>
      <c r="AC174" s="56"/>
      <c r="AD174" s="611"/>
      <c r="AE174" s="513"/>
      <c r="AF174" s="117">
        <v>0</v>
      </c>
      <c r="AG174" s="116"/>
      <c r="AH174" s="56"/>
      <c r="AI174" s="611"/>
      <c r="AJ174" s="513"/>
      <c r="AK174" s="117">
        <v>0</v>
      </c>
      <c r="AL174" s="116"/>
      <c r="AM174" s="56"/>
      <c r="AN174" s="611"/>
      <c r="AO174" s="513"/>
      <c r="AP174" s="117">
        <v>0</v>
      </c>
      <c r="AQ174" s="116"/>
      <c r="AR174" s="56"/>
      <c r="AS174" s="611"/>
      <c r="AT174" s="513"/>
      <c r="AU174" s="117">
        <v>0</v>
      </c>
      <c r="AV174" s="116"/>
      <c r="AW174" s="56"/>
      <c r="AX174" s="611"/>
      <c r="AY174" s="513"/>
      <c r="AZ174" s="117">
        <v>0</v>
      </c>
      <c r="BA174" s="116"/>
      <c r="BB174" s="56"/>
      <c r="BC174" s="611"/>
      <c r="BD174" s="513"/>
      <c r="BE174" s="117">
        <v>0</v>
      </c>
      <c r="BF174" s="116"/>
      <c r="BG174" s="56"/>
      <c r="BH174" s="611"/>
      <c r="BI174" s="513"/>
      <c r="BJ174" s="117">
        <v>0</v>
      </c>
      <c r="BK174" s="116"/>
      <c r="BL174" s="56"/>
      <c r="BM174" s="611"/>
      <c r="BN174" s="513"/>
      <c r="BO174" s="117">
        <v>0</v>
      </c>
      <c r="BP174" s="116"/>
      <c r="BQ174" s="56"/>
      <c r="BR174" s="611"/>
      <c r="BS174" s="513"/>
      <c r="BT174" s="117">
        <f t="shared" si="18"/>
        <v>0</v>
      </c>
      <c r="BU174" s="116"/>
      <c r="BV174" s="56"/>
      <c r="BW174" s="611"/>
      <c r="BX174" s="513"/>
      <c r="BY174" s="117"/>
      <c r="BZ174" s="116"/>
      <c r="CA174" s="56"/>
      <c r="CB174" s="611"/>
      <c r="CC174" s="513"/>
      <c r="CD174" s="117">
        <v>0</v>
      </c>
      <c r="CE174" s="116"/>
      <c r="CF174" s="56"/>
      <c r="CG174" s="611"/>
      <c r="CH174" s="513"/>
      <c r="CI174" s="117">
        <v>0</v>
      </c>
      <c r="CJ174" s="116"/>
      <c r="CK174" s="56"/>
      <c r="CL174" s="611"/>
      <c r="CM174" s="513"/>
      <c r="CN174" s="117">
        <v>0</v>
      </c>
      <c r="CO174" s="116"/>
      <c r="CP174" s="56"/>
      <c r="CQ174" s="611"/>
      <c r="CR174" s="513"/>
      <c r="CS174" s="117">
        <v>0</v>
      </c>
      <c r="CT174" s="116"/>
      <c r="CU174" s="56"/>
      <c r="CV174" s="611"/>
      <c r="CW174" s="513"/>
      <c r="CX174" s="117">
        <v>0</v>
      </c>
      <c r="CY174" s="116"/>
      <c r="CZ174" s="56"/>
      <c r="DA174" s="611"/>
      <c r="DB174" s="513"/>
      <c r="DC174" s="117">
        <v>0</v>
      </c>
      <c r="DD174" s="116"/>
      <c r="DE174" s="56"/>
      <c r="DF174" s="611"/>
      <c r="DG174" s="513"/>
      <c r="DH174" s="117">
        <v>0</v>
      </c>
      <c r="DI174" s="116"/>
      <c r="DJ174" s="56"/>
      <c r="DK174" s="611"/>
      <c r="DL174" s="513"/>
      <c r="DM174" s="117">
        <v>0</v>
      </c>
      <c r="DN174" s="116"/>
      <c r="DO174" s="56"/>
      <c r="DP174" s="611"/>
      <c r="DQ174" s="513"/>
      <c r="DR174" s="117">
        <v>0</v>
      </c>
      <c r="DS174" s="116"/>
      <c r="DT174" s="56"/>
      <c r="DU174" s="611"/>
      <c r="DV174" s="513"/>
      <c r="DW174" s="117">
        <v>0</v>
      </c>
      <c r="DX174" s="116"/>
      <c r="DY174" s="56"/>
      <c r="DZ174" s="611"/>
      <c r="EA174" s="513"/>
      <c r="EB174" s="117">
        <v>0</v>
      </c>
      <c r="EC174" s="116"/>
      <c r="ED174" s="56"/>
      <c r="EE174" s="611"/>
      <c r="EF174" s="513"/>
      <c r="EG174" s="117">
        <v>0</v>
      </c>
      <c r="EH174" s="116"/>
      <c r="EI174" s="56"/>
      <c r="EJ174" s="611"/>
      <c r="EK174" s="513"/>
      <c r="EL174" s="117">
        <f t="shared" si="17"/>
        <v>0</v>
      </c>
      <c r="EM174" s="116"/>
      <c r="EN174" s="56"/>
      <c r="EO174" s="144"/>
      <c r="ER174" s="42"/>
      <c r="ES174" s="42"/>
    </row>
    <row r="175" spans="4:149" hidden="1" x14ac:dyDescent="0.3">
      <c r="D175" s="144"/>
      <c r="E175" s="635"/>
      <c r="F175" s="272"/>
      <c r="G175" s="56"/>
      <c r="H175" s="56"/>
      <c r="I175" s="56"/>
      <c r="J175" s="611"/>
      <c r="K175" s="272"/>
      <c r="L175" s="56"/>
      <c r="M175" s="56"/>
      <c r="N175" s="56"/>
      <c r="O175" s="611"/>
      <c r="P175" s="272"/>
      <c r="Q175" s="56"/>
      <c r="R175" s="56"/>
      <c r="S175" s="56"/>
      <c r="T175" s="611"/>
      <c r="U175" s="272"/>
      <c r="V175" s="56"/>
      <c r="W175" s="56"/>
      <c r="X175" s="56"/>
      <c r="Y175" s="611"/>
      <c r="Z175" s="272"/>
      <c r="AA175" s="56"/>
      <c r="AB175" s="56"/>
      <c r="AC175" s="56"/>
      <c r="AD175" s="611"/>
      <c r="AE175" s="272"/>
      <c r="AF175" s="56"/>
      <c r="AG175" s="56"/>
      <c r="AH175" s="56"/>
      <c r="AI175" s="611"/>
      <c r="AJ175" s="272"/>
      <c r="AK175" s="56"/>
      <c r="AL175" s="56"/>
      <c r="AM175" s="56"/>
      <c r="AN175" s="611"/>
      <c r="AO175" s="272"/>
      <c r="AP175" s="56"/>
      <c r="AQ175" s="56"/>
      <c r="AR175" s="56"/>
      <c r="AS175" s="611"/>
      <c r="AT175" s="272"/>
      <c r="AU175" s="56"/>
      <c r="AV175" s="56"/>
      <c r="AW175" s="56"/>
      <c r="AX175" s="611"/>
      <c r="AY175" s="272"/>
      <c r="AZ175" s="56"/>
      <c r="BA175" s="56"/>
      <c r="BB175" s="56"/>
      <c r="BC175" s="611"/>
      <c r="BD175" s="272"/>
      <c r="BE175" s="56"/>
      <c r="BF175" s="56"/>
      <c r="BG175" s="56"/>
      <c r="BH175" s="611"/>
      <c r="BI175" s="272"/>
      <c r="BJ175" s="56"/>
      <c r="BK175" s="56"/>
      <c r="BL175" s="56"/>
      <c r="BM175" s="611"/>
      <c r="BN175" s="272"/>
      <c r="BO175" s="56"/>
      <c r="BP175" s="56"/>
      <c r="BQ175" s="56"/>
      <c r="BR175" s="611"/>
      <c r="BS175" s="272"/>
      <c r="BT175" s="56"/>
      <c r="BU175" s="56"/>
      <c r="BV175" s="56"/>
      <c r="BW175" s="611"/>
      <c r="BX175" s="272"/>
      <c r="BY175" s="56"/>
      <c r="BZ175" s="56"/>
      <c r="CA175" s="56"/>
      <c r="CB175" s="611"/>
      <c r="CC175" s="272"/>
      <c r="CD175" s="56"/>
      <c r="CE175" s="56"/>
      <c r="CF175" s="56"/>
      <c r="CG175" s="611"/>
      <c r="CH175" s="272"/>
      <c r="CI175" s="56"/>
      <c r="CJ175" s="56"/>
      <c r="CK175" s="56"/>
      <c r="CL175" s="611"/>
      <c r="CM175" s="272"/>
      <c r="CN175" s="56"/>
      <c r="CO175" s="56"/>
      <c r="CP175" s="56"/>
      <c r="CQ175" s="611"/>
      <c r="CR175" s="272"/>
      <c r="CS175" s="56"/>
      <c r="CT175" s="56"/>
      <c r="CU175" s="56"/>
      <c r="CV175" s="611"/>
      <c r="CW175" s="272"/>
      <c r="CX175" s="56"/>
      <c r="CY175" s="56"/>
      <c r="CZ175" s="56"/>
      <c r="DA175" s="611"/>
      <c r="DB175" s="272"/>
      <c r="DC175" s="56"/>
      <c r="DD175" s="56"/>
      <c r="DE175" s="56"/>
      <c r="DF175" s="611"/>
      <c r="DG175" s="272"/>
      <c r="DH175" s="56"/>
      <c r="DI175" s="56"/>
      <c r="DJ175" s="56"/>
      <c r="DK175" s="611"/>
      <c r="DL175" s="272"/>
      <c r="DM175" s="56"/>
      <c r="DN175" s="56"/>
      <c r="DO175" s="56"/>
      <c r="DP175" s="611"/>
      <c r="DQ175" s="272"/>
      <c r="DR175" s="56"/>
      <c r="DS175" s="56"/>
      <c r="DT175" s="56"/>
      <c r="DU175" s="611"/>
      <c r="DV175" s="272"/>
      <c r="DW175" s="56"/>
      <c r="DX175" s="56"/>
      <c r="DY175" s="56"/>
      <c r="DZ175" s="611"/>
      <c r="EA175" s="272"/>
      <c r="EB175" s="56"/>
      <c r="EC175" s="56"/>
      <c r="ED175" s="56"/>
      <c r="EE175" s="611"/>
      <c r="EF175" s="272"/>
      <c r="EG175" s="56"/>
      <c r="EH175" s="56"/>
      <c r="EI175" s="56"/>
      <c r="EJ175" s="611"/>
      <c r="EK175" s="272"/>
      <c r="EL175" s="56"/>
      <c r="EM175" s="56"/>
      <c r="EN175" s="56"/>
      <c r="EO175" s="144"/>
      <c r="ER175" s="42"/>
      <c r="ES175" s="42"/>
    </row>
    <row r="176" spans="4:149" x14ac:dyDescent="0.3">
      <c r="D176" s="268" t="s">
        <v>328</v>
      </c>
      <c r="E176" s="635"/>
      <c r="F176" s="272"/>
      <c r="G176" s="44">
        <f>SUM(G177:G180)</f>
        <v>8874774</v>
      </c>
      <c r="H176" s="56"/>
      <c r="I176" s="56"/>
      <c r="J176" s="611"/>
      <c r="K176" s="272"/>
      <c r="L176" s="44">
        <f>SUM(L177:L180)</f>
        <v>3409508</v>
      </c>
      <c r="M176" s="56"/>
      <c r="N176" s="56"/>
      <c r="O176" s="611"/>
      <c r="P176" s="272"/>
      <c r="Q176" s="44">
        <f>SUM(Q177:Q180)</f>
        <v>4054354</v>
      </c>
      <c r="R176" s="56"/>
      <c r="S176" s="56"/>
      <c r="T176" s="611"/>
      <c r="U176" s="272"/>
      <c r="V176" s="44">
        <f>SUM(V177:V180)</f>
        <v>1410912</v>
      </c>
      <c r="W176" s="56"/>
      <c r="X176" s="56"/>
      <c r="Y176" s="611"/>
      <c r="Z176" s="272"/>
      <c r="AA176" s="44">
        <f>SUM(AA177:AA180)</f>
        <v>0</v>
      </c>
      <c r="AB176" s="56"/>
      <c r="AC176" s="56"/>
      <c r="AD176" s="611"/>
      <c r="AE176" s="272"/>
      <c r="AF176" s="44">
        <f>SUM(AF177:AF180)</f>
        <v>0</v>
      </c>
      <c r="AG176" s="56"/>
      <c r="AH176" s="56"/>
      <c r="AI176" s="611"/>
      <c r="AJ176" s="272"/>
      <c r="AK176" s="44">
        <f>SUM(AK177:AK180)</f>
        <v>0</v>
      </c>
      <c r="AL176" s="56"/>
      <c r="AM176" s="55"/>
      <c r="AN176" s="611"/>
      <c r="AO176" s="272"/>
      <c r="AP176" s="44">
        <f>SUM(AP177:AP180)</f>
        <v>0</v>
      </c>
      <c r="AQ176" s="56"/>
      <c r="AR176" s="56"/>
      <c r="AS176" s="611"/>
      <c r="AT176" s="272"/>
      <c r="AU176" s="44">
        <f>SUM(AU177:AU180)</f>
        <v>0</v>
      </c>
      <c r="AV176" s="56"/>
      <c r="AW176" s="56"/>
      <c r="AX176" s="611"/>
      <c r="AY176" s="272"/>
      <c r="AZ176" s="44">
        <f>SUM(AZ177:AZ180)</f>
        <v>0</v>
      </c>
      <c r="BA176" s="56"/>
      <c r="BB176" s="56"/>
      <c r="BC176" s="611"/>
      <c r="BD176" s="272"/>
      <c r="BE176" s="44">
        <f>SUM(BE177:BE180)</f>
        <v>0</v>
      </c>
      <c r="BF176" s="56"/>
      <c r="BG176" s="56"/>
      <c r="BH176" s="611"/>
      <c r="BI176" s="272"/>
      <c r="BJ176" s="44">
        <f>SUM(BJ177:BJ180)</f>
        <v>0</v>
      </c>
      <c r="BK176" s="56"/>
      <c r="BL176" s="56"/>
      <c r="BM176" s="611"/>
      <c r="BN176" s="272"/>
      <c r="BO176" s="44">
        <f>SUM(BO177:BO180)</f>
        <v>0</v>
      </c>
      <c r="BP176" s="56"/>
      <c r="BQ176" s="56"/>
      <c r="BR176" s="611"/>
      <c r="BS176" s="272"/>
      <c r="BT176" s="44">
        <f>SUM(BT177:BT180)</f>
        <v>8874774</v>
      </c>
      <c r="BU176" s="56"/>
      <c r="BV176" s="56"/>
      <c r="BW176" s="611"/>
      <c r="BX176" s="272"/>
      <c r="BY176" s="44">
        <f>SUM(BY177:BY180)</f>
        <v>53972577</v>
      </c>
      <c r="BZ176" s="56"/>
      <c r="CA176" s="56"/>
      <c r="CB176" s="611"/>
      <c r="CC176" s="272"/>
      <c r="CD176" s="44">
        <f>SUM(CD177:CD180)</f>
        <v>11663028</v>
      </c>
      <c r="CE176" s="56"/>
      <c r="CF176" s="56"/>
      <c r="CG176" s="611"/>
      <c r="CH176" s="272"/>
      <c r="CI176" s="44">
        <f>SUM(CI177:CI180)</f>
        <v>3767776</v>
      </c>
      <c r="CJ176" s="56"/>
      <c r="CK176" s="56"/>
      <c r="CL176" s="611"/>
      <c r="CM176" s="272"/>
      <c r="CN176" s="44">
        <f>SUM(CN177:CN180)</f>
        <v>7710681</v>
      </c>
      <c r="CO176" s="56"/>
      <c r="CP176" s="56"/>
      <c r="CQ176" s="611"/>
      <c r="CR176" s="272"/>
      <c r="CS176" s="44">
        <f>SUM(CS177:CS180)</f>
        <v>3456518</v>
      </c>
      <c r="CT176" s="56"/>
      <c r="CU176" s="56"/>
      <c r="CV176" s="611"/>
      <c r="CW176" s="272"/>
      <c r="CX176" s="44">
        <f>SUM(CX177:CX180)</f>
        <v>4835965</v>
      </c>
      <c r="CY176" s="56"/>
      <c r="CZ176" s="56"/>
      <c r="DA176" s="611"/>
      <c r="DB176" s="272"/>
      <c r="DC176" s="44">
        <f>SUM(DC177:DC180)</f>
        <v>2187184</v>
      </c>
      <c r="DD176" s="56"/>
      <c r="DE176" s="55"/>
      <c r="DF176" s="611"/>
      <c r="DG176" s="272"/>
      <c r="DH176" s="44">
        <f>SUM(DH177:DH180)</f>
        <v>5017820</v>
      </c>
      <c r="DI176" s="56"/>
      <c r="DJ176" s="56"/>
      <c r="DK176" s="611"/>
      <c r="DL176" s="272"/>
      <c r="DM176" s="44">
        <f>SUM(DM177:DM180)</f>
        <v>4108885</v>
      </c>
      <c r="DN176" s="56"/>
      <c r="DO176" s="56"/>
      <c r="DP176" s="611"/>
      <c r="DQ176" s="272"/>
      <c r="DR176" s="44">
        <f>SUM(DR177:DR180)</f>
        <v>3708680</v>
      </c>
      <c r="DS176" s="56"/>
      <c r="DT176" s="56"/>
      <c r="DU176" s="611"/>
      <c r="DV176" s="272"/>
      <c r="DW176" s="44">
        <f>SUM(DW177:DW180)</f>
        <v>2673022</v>
      </c>
      <c r="DX176" s="56"/>
      <c r="DY176" s="56"/>
      <c r="DZ176" s="611"/>
      <c r="EA176" s="272"/>
      <c r="EB176" s="44">
        <f>SUM(EB177:EB180)</f>
        <v>3014010</v>
      </c>
      <c r="EC176" s="56"/>
      <c r="ED176" s="56"/>
      <c r="EE176" s="611"/>
      <c r="EF176" s="272"/>
      <c r="EG176" s="44">
        <f>SUM(EG177:EG180)</f>
        <v>1829008</v>
      </c>
      <c r="EH176" s="56"/>
      <c r="EI176" s="56"/>
      <c r="EJ176" s="611"/>
      <c r="EK176" s="272"/>
      <c r="EL176" s="44">
        <f>SUM(EL177:EL180)</f>
        <v>49129559</v>
      </c>
      <c r="EM176" s="56"/>
      <c r="EN176" s="56"/>
      <c r="EO176" s="144"/>
      <c r="ER176" s="42"/>
      <c r="ES176" s="42"/>
    </row>
    <row r="177" spans="4:149" x14ac:dyDescent="0.3">
      <c r="D177" s="144" t="s">
        <v>335</v>
      </c>
      <c r="E177" s="635"/>
      <c r="F177" s="636"/>
      <c r="G177" s="609">
        <f>G183+G189+G195+G201+G207+G213+G219+G225+G231+G237+G243+G249+G254+G259+G264+G269+G274+G279+G284+G289+G294+G299+G304+G309</f>
        <v>7781514</v>
      </c>
      <c r="H177" s="610"/>
      <c r="I177" s="56"/>
      <c r="J177" s="611"/>
      <c r="K177" s="636"/>
      <c r="L177" s="609">
        <f>L183+L189+L195+L201+L207+L213+L219+L225+L231+L237+L243+L249+L254+L259+L264+L269+L274+L279+L284+L289+L294+L299+L304+L309</f>
        <v>3072259</v>
      </c>
      <c r="M177" s="610"/>
      <c r="N177" s="56"/>
      <c r="O177" s="611"/>
      <c r="P177" s="636"/>
      <c r="Q177" s="609">
        <f>Q183+Q189+Q195+Q201+Q207+Q213+Q219+Q225+Q231+Q237+Q243+Q249+Q254+Q259+Q264+Q269+Q274+Q279+Q284+Q289+Q294+Q299+Q304+Q309</f>
        <v>3449042</v>
      </c>
      <c r="R177" s="610"/>
      <c r="S177" s="56"/>
      <c r="T177" s="611"/>
      <c r="U177" s="636"/>
      <c r="V177" s="609">
        <f>V183+V189+V195+V201+V207+V213+V219+V225+V231+V237+V243+V249+V254+V259+V264+V269+V274+V279+V284+V289+V294+V299+V304+V309</f>
        <v>1260213</v>
      </c>
      <c r="W177" s="610"/>
      <c r="X177" s="56"/>
      <c r="Y177" s="611"/>
      <c r="Z177" s="636"/>
      <c r="AA177" s="609">
        <f>AA183+AA189+AA195+AA201+AA207+AA213+AA219+AA225+AA231+AA237+AA243+AA249+AA254+AA259+AA264+AA269+AA274+AA279+AA284+AA289+AA294+AA299+AA304+AA309</f>
        <v>0</v>
      </c>
      <c r="AB177" s="610"/>
      <c r="AC177" s="56"/>
      <c r="AD177" s="611"/>
      <c r="AE177" s="636"/>
      <c r="AF177" s="609">
        <f>AF183+AF189+AF195+AF201+AF207+AF213+AF219+AF225+AF231+AF237+AF243+AF249+AF254+AF259+AF264+AF269+AF274+AF279+AF284+AF289+AF294+AF299+AF304+AF309</f>
        <v>0</v>
      </c>
      <c r="AG177" s="610"/>
      <c r="AH177" s="56"/>
      <c r="AI177" s="611"/>
      <c r="AJ177" s="636"/>
      <c r="AK177" s="609">
        <f>AK183+AK189+AK195+AK201+AK207+AK213+AK219+AK225+AK231+AK237+AK243+AK249+AK254+AK259+AK264+AK269+AK274+AK279+AK284+AK289+AK294+AK299+AK304+AK309</f>
        <v>0</v>
      </c>
      <c r="AL177" s="610"/>
      <c r="AM177" s="55"/>
      <c r="AN177" s="611"/>
      <c r="AO177" s="636"/>
      <c r="AP177" s="609">
        <f>AP183+AP189+AP195+AP201+AP207+AP213+AP219+AP225+AP231+AP237+AP243+AP249+AP254+AP259+AP264+AP269+AP274+AP279+AP284+AP289+AP294+AP299+AP304+AP309</f>
        <v>0</v>
      </c>
      <c r="AQ177" s="610"/>
      <c r="AR177" s="56"/>
      <c r="AS177" s="611"/>
      <c r="AT177" s="636"/>
      <c r="AU177" s="609">
        <f>AU183+AU189+AU195+AU201+AU207+AU213+AU219+AU225+AU231+AU237+AU243+AU249+AU254+AU259+AU264+AU269+AU274+AU279+AU284+AU289+AU294+AU299+AU304+AU309</f>
        <v>0</v>
      </c>
      <c r="AV177" s="610"/>
      <c r="AW177" s="56"/>
      <c r="AX177" s="611"/>
      <c r="AY177" s="636"/>
      <c r="AZ177" s="609">
        <f>AZ183+AZ189+AZ195+AZ201+AZ207+AZ213+AZ219+AZ225+AZ231+AZ237+AZ243+AZ249+AZ254+AZ259+AZ264+AZ269+AZ274+AZ279+AZ284+AZ289+AZ294+AZ299+AZ304+AZ309</f>
        <v>0</v>
      </c>
      <c r="BA177" s="610"/>
      <c r="BB177" s="56"/>
      <c r="BC177" s="611"/>
      <c r="BD177" s="636"/>
      <c r="BE177" s="609">
        <f>BE183+BE189+BE195+BE201+BE207+BE213+BE219+BE225+BE231+BE237+BE243+BE249+BE254+BE259+BE264+BE269+BE274+BE279+BE284+BE289+BE294+BE299+BE304+BE309</f>
        <v>0</v>
      </c>
      <c r="BF177" s="610"/>
      <c r="BG177" s="56"/>
      <c r="BH177" s="611"/>
      <c r="BI177" s="636"/>
      <c r="BJ177" s="609">
        <f>BJ183+BJ189+BJ195+BJ201+BJ207+BJ213+BJ219+BJ225+BJ231+BJ237+BJ243+BJ249+BJ254+BJ259+BJ264+BJ269+BJ274+BJ279+BJ284+BJ289+BJ294+BJ299+BJ304+BJ309</f>
        <v>0</v>
      </c>
      <c r="BK177" s="610"/>
      <c r="BL177" s="56"/>
      <c r="BM177" s="611"/>
      <c r="BN177" s="636"/>
      <c r="BO177" s="609">
        <f>BO183+BO189+BO195+BO201+BO207+BO213+BO219+BO225+BO231+BO237+BO243+BO249+BO254+BO259+BO264+BO269+BO274+BO279+BO284+BO289+BO294+BO299+BO304+BO309</f>
        <v>0</v>
      </c>
      <c r="BP177" s="610"/>
      <c r="BQ177" s="56"/>
      <c r="BR177" s="611"/>
      <c r="BS177" s="636"/>
      <c r="BT177" s="609">
        <f>BT183+BT189+BT195+BT201+BT207+BT213+BT219+BT225+BT231+BT237+BT243+BT249+BT254+BT259+BT264+BT269+BT274+BT279+BT284+BT289+BT294+BT299+BT304+BT309</f>
        <v>7781514</v>
      </c>
      <c r="BU177" s="610"/>
      <c r="BV177" s="56"/>
      <c r="BW177" s="611"/>
      <c r="BX177" s="636"/>
      <c r="BY177" s="609">
        <f>BY183+BY189+BY195+BY201+BY207+BY213+BY219+BY225+BY231+BY237+BY243+BY249+BY254+BY259+BY264+BY269+BY274+BY279+BY284+BY289+BY294+BY299+BY304+BY309</f>
        <v>49699913</v>
      </c>
      <c r="BZ177" s="610"/>
      <c r="CA177" s="56"/>
      <c r="CB177" s="611"/>
      <c r="CC177" s="636"/>
      <c r="CD177" s="609">
        <f>CD183+CD189+CD195+CD201+CD207+CD213+CD219+CD225+CD231+CD237+CD243+CD249+CD254+CD259+CD264+CD269+CD274+CD279+CD284+CD289+CD294+CD299+CD304+CD309</f>
        <v>10593648</v>
      </c>
      <c r="CE177" s="610"/>
      <c r="CF177" s="56"/>
      <c r="CG177" s="611"/>
      <c r="CH177" s="636"/>
      <c r="CI177" s="609">
        <f>CI183+CI189+CI195+CI201+CI207+CI213+CI219+CI225+CI231+CI237+CI243+CI249+CI254+CI259+CI264+CI269+CI274+CI279+CI284+CI289+CI294+CI299+CI304+CI309</f>
        <v>3320698</v>
      </c>
      <c r="CJ177" s="610"/>
      <c r="CK177" s="56"/>
      <c r="CL177" s="611"/>
      <c r="CM177" s="636"/>
      <c r="CN177" s="609">
        <f>CN183+CN189+CN195+CN201+CN207+CN213+CN219+CN225+CN231+CN237+CN243+CN249+CN254+CN259+CN264+CN269+CN274+CN279+CN284+CN289+CN294+CN299+CN304+CN309</f>
        <v>7253839</v>
      </c>
      <c r="CO177" s="610"/>
      <c r="CP177" s="56"/>
      <c r="CQ177" s="611"/>
      <c r="CR177" s="636"/>
      <c r="CS177" s="609">
        <f>CS183+CS189+CS195+CS201+CS207+CS213+CS219+CS225+CS231+CS237+CS243+CS249+CS254+CS259+CS264+CS269+CS274+CS279+CS284+CS289+CS294+CS299+CS304+CS309</f>
        <v>3300045</v>
      </c>
      <c r="CT177" s="610"/>
      <c r="CU177" s="56"/>
      <c r="CV177" s="611"/>
      <c r="CW177" s="636"/>
      <c r="CX177" s="609">
        <f>CX183+CX189+CX195+CX201+CX207+CX213+CX219+CX225+CX231+CX237+CX243+CX249+CX254+CX259+CX264+CX269+CX274+CX279+CX284+CX289+CX294+CX299+CX304+CX309</f>
        <v>4600884</v>
      </c>
      <c r="CY177" s="610"/>
      <c r="CZ177" s="56"/>
      <c r="DA177" s="611"/>
      <c r="DB177" s="636"/>
      <c r="DC177" s="609">
        <f>DC183+DC189+DC195+DC201+DC207+DC213+DC219+DC225+DC231+DC237+DC243+DC249+DC254+DC259+DC264+DC269+DC274+DC279+DC284+DC289+DC294+DC299+DC304+DC309</f>
        <v>2320684</v>
      </c>
      <c r="DD177" s="610"/>
      <c r="DE177" s="55"/>
      <c r="DF177" s="611"/>
      <c r="DG177" s="636"/>
      <c r="DH177" s="609">
        <f>DH183+DH189+DH195+DH201+DH207+DH213+DH219+DH225+DH231+DH237+DH243+DH249+DH254+DH259+DH264+DH269+DH274+DH279+DH284+DH289+DH294+DH299+DH304+DH309</f>
        <v>4355790</v>
      </c>
      <c r="DI177" s="610"/>
      <c r="DJ177" s="56"/>
      <c r="DK177" s="611"/>
      <c r="DL177" s="636"/>
      <c r="DM177" s="609">
        <f>DM183+DM189+DM195+DM201+DM207+DM213+DM219+DM225+DM231+DM237+DM243+DM249+DM254+DM259+DM264+DM269+DM274+DM279+DM284+DM289+DM294+DM299+DM304+DM309</f>
        <v>3525338</v>
      </c>
      <c r="DN177" s="610"/>
      <c r="DO177" s="56"/>
      <c r="DP177" s="611"/>
      <c r="DQ177" s="636"/>
      <c r="DR177" s="609">
        <f>DR183+DR189+DR195+DR201+DR207+DR213+DR219+DR225+DR231+DR237+DR243+DR249+DR254+DR259+DR264+DR269+DR274+DR279+DR284+DR289+DR294+DR299+DR304+DR309</f>
        <v>3411845</v>
      </c>
      <c r="DS177" s="610"/>
      <c r="DT177" s="56"/>
      <c r="DU177" s="611"/>
      <c r="DV177" s="636"/>
      <c r="DW177" s="609">
        <f>DW183+DW189+DW195+DW201+DW207+DW213+DW219+DW225+DW231+DW237+DW243+DW249+DW254+DW259+DW264+DW269+DW274+DW279+DW284+DW289+DW294+DW299+DW304+DW309</f>
        <v>2368101</v>
      </c>
      <c r="DX177" s="610"/>
      <c r="DY177" s="56"/>
      <c r="DZ177" s="611"/>
      <c r="EA177" s="636"/>
      <c r="EB177" s="609">
        <f>EB183+EB189+EB195+EB201+EB207+EB213+EB219+EB225+EB231+EB237+EB243+EB249+EB254+EB259+EB264+EB269+EB274+EB279+EB284+EB289+EB294+EB299+EB304+EB309</f>
        <v>2760963</v>
      </c>
      <c r="EC177" s="610"/>
      <c r="ED177" s="56"/>
      <c r="EE177" s="611"/>
      <c r="EF177" s="636"/>
      <c r="EG177" s="609">
        <f>EG183+EG189+EG195+EG201+EG207+EG213+EG219+EG225+EG231+EG237+EG243+EG249+EG254+EG259+EG264+EG269+EG274+EG279+EG284+EG289+EG294+EG299+EG304+EG309</f>
        <v>1888078</v>
      </c>
      <c r="EH177" s="610"/>
      <c r="EI177" s="56"/>
      <c r="EJ177" s="611"/>
      <c r="EK177" s="636"/>
      <c r="EL177" s="609">
        <f>EL183+EL189+EL195+EL201+EL207+EL213+EL219+EL225+EL231+EL237+EL243+EL249+EL254+EL259+EL264+EL269+EL274+EL279+EL284+EL289+EL294+EL299+EL304+EL309</f>
        <v>45050872</v>
      </c>
      <c r="EM177" s="610"/>
      <c r="EN177" s="56"/>
      <c r="EO177" s="144"/>
      <c r="ER177" s="42"/>
      <c r="ES177" s="42"/>
    </row>
    <row r="178" spans="4:149" x14ac:dyDescent="0.3">
      <c r="D178" s="144" t="s">
        <v>338</v>
      </c>
      <c r="E178" s="635"/>
      <c r="F178" s="638"/>
      <c r="G178" s="56">
        <f>G184+G190+G196+G202+G208+G214+G220+G226+G232+G238+G244+G250+G255+G260+G265+G270+G275+G280+G285+G290+G295+G300+G305+G310</f>
        <v>1093260</v>
      </c>
      <c r="H178" s="55"/>
      <c r="I178" s="56"/>
      <c r="J178" s="611"/>
      <c r="K178" s="638"/>
      <c r="L178" s="56">
        <f>L184+L190+L196+L202+L208+L214+L220+L226+L232+L238+L244+L250+L255+L260+L265+L270+L275+L280+L285+L290+L295+L300+L305+L310</f>
        <v>337249</v>
      </c>
      <c r="M178" s="55"/>
      <c r="N178" s="56"/>
      <c r="O178" s="611"/>
      <c r="P178" s="638"/>
      <c r="Q178" s="56">
        <f>Q184+Q190+Q196+Q202+Q208+Q214+Q220+Q226+Q232+Q238+Q244+Q250+Q255+Q260+Q265+Q270+Q275+Q280+Q285+Q290+Q295+Q300+Q305+Q310</f>
        <v>605312</v>
      </c>
      <c r="R178" s="55"/>
      <c r="S178" s="56"/>
      <c r="T178" s="611"/>
      <c r="U178" s="638"/>
      <c r="V178" s="56">
        <f>V184+V190+V196+V202+V208+V214+V220+V226+V232+V238+V244+V250+V255+V260+V265+V270+V275+V280+V285+V290+V295+V300+V305+V310</f>
        <v>150699</v>
      </c>
      <c r="W178" s="55"/>
      <c r="X178" s="56"/>
      <c r="Y178" s="611"/>
      <c r="Z178" s="638"/>
      <c r="AA178" s="56">
        <f>AA184+AA190+AA196+AA202+AA208+AA214+AA220+AA226+AA232+AA238+AA244+AA250+AA255+AA260+AA265+AA270+AA275+AA280+AA285+AA290+AA295+AA300+AA305+AA310</f>
        <v>0</v>
      </c>
      <c r="AB178" s="55"/>
      <c r="AC178" s="56"/>
      <c r="AD178" s="611"/>
      <c r="AE178" s="638"/>
      <c r="AF178" s="56">
        <f>AF184+AF190+AF196+AF202+AF208+AF214+AF220+AF226+AF232+AF238+AF244+AF250+AF255+AF260+AF265+AF270+AF275+AF280+AF285+AF290+AF295+AF300+AF305+AF310</f>
        <v>0</v>
      </c>
      <c r="AG178" s="55"/>
      <c r="AH178" s="56"/>
      <c r="AI178" s="611"/>
      <c r="AJ178" s="638"/>
      <c r="AK178" s="56">
        <f>AK184+AK190+AK196+AK202+AK208+AK214+AK220+AK226+AK232+AK238+AK244+AK250+AK255+AK260+AK265+AK270+AK275+AK280+AK285+AK290+AK295+AK300+AK305+AK310</f>
        <v>0</v>
      </c>
      <c r="AL178" s="55"/>
      <c r="AM178" s="56"/>
      <c r="AN178" s="611"/>
      <c r="AO178" s="638"/>
      <c r="AP178" s="56">
        <f>AP184+AP190+AP196+AP202+AP208+AP214+AP220+AP226+AP232+AP238+AP244+AP250+AP255+AP260+AP265+AP270+AP275+AP280+AP285+AP290+AP295+AP300+AP305+AP310</f>
        <v>0</v>
      </c>
      <c r="AQ178" s="55"/>
      <c r="AR178" s="56"/>
      <c r="AS178" s="611"/>
      <c r="AT178" s="638"/>
      <c r="AU178" s="56">
        <f>AU184+AU190+AU196+AU202+AU208+AU214+AU220+AU226+AU232+AU238+AU244+AU250+AU255+AU260+AU265+AU270+AU275+AU280+AU285+AU290+AU295+AU300+AU305+AU310</f>
        <v>0</v>
      </c>
      <c r="AV178" s="55"/>
      <c r="AW178" s="56"/>
      <c r="AX178" s="611"/>
      <c r="AY178" s="638"/>
      <c r="AZ178" s="56">
        <f>AZ184+AZ190+AZ196+AZ202+AZ208+AZ214+AZ220+AZ226+AZ232+AZ238+AZ244+AZ250+AZ255+AZ260+AZ265+AZ270+AZ275+AZ280+AZ285+AZ290+AZ295+AZ300+AZ305+AZ310</f>
        <v>0</v>
      </c>
      <c r="BA178" s="55"/>
      <c r="BB178" s="56"/>
      <c r="BC178" s="611"/>
      <c r="BD178" s="638"/>
      <c r="BE178" s="56">
        <f>BE184+BE190+BE196+BE202+BE208+BE214+BE220+BE226+BE232+BE238+BE244+BE250+BE255+BE260+BE265+BE270+BE275+BE280+BE285+BE290+BE295+BE300+BE305+BE310</f>
        <v>0</v>
      </c>
      <c r="BF178" s="55"/>
      <c r="BG178" s="56"/>
      <c r="BH178" s="611"/>
      <c r="BI178" s="638"/>
      <c r="BJ178" s="56">
        <f>BJ184+BJ190+BJ196+BJ202+BJ208+BJ214+BJ220+BJ226+BJ232+BJ238+BJ244+BJ250+BJ255+BJ260+BJ265+BJ270+BJ275+BJ280+BJ285+BJ290+BJ295+BJ300+BJ305+BJ310</f>
        <v>0</v>
      </c>
      <c r="BK178" s="55"/>
      <c r="BL178" s="56"/>
      <c r="BM178" s="611"/>
      <c r="BN178" s="638"/>
      <c r="BO178" s="56">
        <f>BO184+BO190+BO196+BO202+BO208+BO214+BO220+BO226+BO232+BO238+BO244+BO250+BO255+BO260+BO265+BO270+BO275+BO280+BO285+BO290+BO295+BO300+BO305+BO310</f>
        <v>0</v>
      </c>
      <c r="BP178" s="55"/>
      <c r="BQ178" s="56"/>
      <c r="BR178" s="611"/>
      <c r="BS178" s="638"/>
      <c r="BT178" s="56">
        <f>BT184+BT190+BT196+BT202+BT208+BT214+BT220+BT226+BT232+BT238+BT244+BT250+BT255+BT260+BT265+BT270+BT275+BT280+BT285+BT290+BT295+BT300+BT305+BT310</f>
        <v>1093260</v>
      </c>
      <c r="BU178" s="55"/>
      <c r="BV178" s="56"/>
      <c r="BW178" s="611"/>
      <c r="BX178" s="638"/>
      <c r="BY178" s="56">
        <f>BY184+BY190+BY196+BY202+BY208+BY214+BY220+BY226+BY232+BY238+BY244+BY250+BY255+BY260+BY265+BY270+BY275+BY280+BY285+BY290+BY295+BY300+BY305+BY310</f>
        <v>5585924</v>
      </c>
      <c r="BZ178" s="55"/>
      <c r="CA178" s="56"/>
      <c r="CB178" s="611"/>
      <c r="CC178" s="638"/>
      <c r="CD178" s="56">
        <f>CD184+CD190+CD196+CD202+CD208+CD214+CD220+CD226+CD232+CD238+CD244+CD250+CD255+CD260+CD265+CD270+CD275+CD280+CD285+CD290+CD295+CD300+CD305+CD310</f>
        <v>1360296</v>
      </c>
      <c r="CE178" s="55"/>
      <c r="CF178" s="56"/>
      <c r="CG178" s="611"/>
      <c r="CH178" s="638"/>
      <c r="CI178" s="56">
        <f>CI184+CI190+CI196+CI202+CI208+CI214+CI220+CI226+CI232+CI238+CI244+CI250+CI255+CI260+CI265+CI270+CI275+CI280+CI285+CI290+CI295+CI300+CI305+CI310</f>
        <v>515486</v>
      </c>
      <c r="CJ178" s="55"/>
      <c r="CK178" s="56"/>
      <c r="CL178" s="611"/>
      <c r="CM178" s="638"/>
      <c r="CN178" s="56">
        <f>CN184+CN190+CN196+CN202+CN208+CN214+CN220+CN226+CN232+CN238+CN244+CN250+CN255+CN260+CN265+CN270+CN275+CN280+CN285+CN290+CN295+CN300+CN305+CN310</f>
        <v>670006</v>
      </c>
      <c r="CO178" s="55"/>
      <c r="CP178" s="56"/>
      <c r="CQ178" s="611"/>
      <c r="CR178" s="638"/>
      <c r="CS178" s="56">
        <f>CS184+CS190+CS196+CS202+CS208+CS214+CS220+CS226+CS232+CS238+CS244+CS250+CS255+CS260+CS265+CS270+CS275+CS280+CS285+CS290+CS295+CS300+CS305+CS310</f>
        <v>271993</v>
      </c>
      <c r="CT178" s="55"/>
      <c r="CU178" s="56"/>
      <c r="CV178" s="611"/>
      <c r="CW178" s="638"/>
      <c r="CX178" s="56">
        <f>CX184+CX190+CX196+CX202+CX208+CX214+CX220+CX226+CX232+CX238+CX244+CX250+CX255+CX260+CX265+CX270+CX275+CX280+CX285+CX290+CX295+CX300+CX305+CX310</f>
        <v>350772</v>
      </c>
      <c r="CY178" s="55"/>
      <c r="CZ178" s="56"/>
      <c r="DA178" s="611"/>
      <c r="DB178" s="638"/>
      <c r="DC178" s="56">
        <f>DC184+DC190+DC196+DC202+DC208+DC214+DC220+DC226+DC232+DC238+DC244+DC250+DC255+DC260+DC265+DC270+DC275+DC280+DC285+DC290+DC295+DC300+DC305+DC310</f>
        <v>77228</v>
      </c>
      <c r="DD178" s="55"/>
      <c r="DE178" s="56"/>
      <c r="DF178" s="611"/>
      <c r="DG178" s="638"/>
      <c r="DH178" s="56">
        <f>DH184+DH190+DH196+DH202+DH208+DH214+DH220+DH226+DH232+DH238+DH244+DH250+DH255+DH260+DH265+DH270+DH275+DH280+DH285+DH290+DH295+DH300+DH305+DH310</f>
        <v>682857</v>
      </c>
      <c r="DI178" s="55"/>
      <c r="DJ178" s="56"/>
      <c r="DK178" s="611"/>
      <c r="DL178" s="638"/>
      <c r="DM178" s="56">
        <f>DM184+DM190+DM196+DM202+DM208+DM214+DM220+DM226+DM232+DM238+DM244+DM250+DM255+DM260+DM265+DM270+DM275+DM280+DM285+DM290+DM295+DM300+DM305+DM310</f>
        <v>605254</v>
      </c>
      <c r="DN178" s="55"/>
      <c r="DO178" s="56"/>
      <c r="DP178" s="611"/>
      <c r="DQ178" s="638"/>
      <c r="DR178" s="56">
        <f>DR184+DR190+DR196+DR202+DR208+DR214+DR220+DR226+DR232+DR238+DR244+DR250+DR255+DR260+DR265+DR270+DR275+DR280+DR285+DR290+DR295+DR300+DR305+DR310</f>
        <v>375351</v>
      </c>
      <c r="DS178" s="55"/>
      <c r="DT178" s="56"/>
      <c r="DU178" s="611"/>
      <c r="DV178" s="638"/>
      <c r="DW178" s="56">
        <f>DW184+DW190+DW196+DW202+DW208+DW214+DW220+DW226+DW232+DW238+DW244+DW250+DW255+DW260+DW265+DW270+DW275+DW280+DW285+DW290+DW295+DW300+DW305+DW310</f>
        <v>335778</v>
      </c>
      <c r="DX178" s="55"/>
      <c r="DY178" s="56"/>
      <c r="DZ178" s="611"/>
      <c r="EA178" s="638"/>
      <c r="EB178" s="56">
        <f>EB184+EB190+EB196+EB202+EB208+EB214+EB220+EB226+EB232+EB238+EB244+EB250+EB255+EB260+EB265+EB270+EB275+EB280+EB285+EB290+EB295+EB300+EB305+EB310</f>
        <v>274925</v>
      </c>
      <c r="EC178" s="55"/>
      <c r="ED178" s="56"/>
      <c r="EE178" s="611"/>
      <c r="EF178" s="638"/>
      <c r="EG178" s="56">
        <f>EG184+EG190+EG196+EG202+EG208+EG214+EG220+EG226+EG232+EG238+EG244+EG250+EG255+EG260+EG265+EG270+EG275+EG280+EG285+EG290+EG295+EG300+EG305+EG310</f>
        <v>65978</v>
      </c>
      <c r="EH178" s="55"/>
      <c r="EI178" s="56"/>
      <c r="EJ178" s="611"/>
      <c r="EK178" s="638"/>
      <c r="EL178" s="56">
        <f>EL184+EL190+EL196+EL202+EL208+EL214+EL220+EL226+EL232+EL238+EL244+EL250+EL255+EL260+EL265+EL270+EL275+EL280+EL285+EL290+EL295+EL300+EL305+EL310</f>
        <v>5245021</v>
      </c>
      <c r="EM178" s="55"/>
      <c r="EN178" s="56"/>
      <c r="EO178" s="144"/>
      <c r="ER178" s="42"/>
      <c r="ES178" s="42"/>
    </row>
    <row r="179" spans="4:149" x14ac:dyDescent="0.3">
      <c r="D179" s="144" t="s">
        <v>352</v>
      </c>
      <c r="E179" s="635"/>
      <c r="F179" s="638"/>
      <c r="G179" s="56">
        <f>G185+G191+G197+G203+G209+G215+G221+G227+G233+G239+G245+G251+G256+G261+G266+G271+G276+G281+G286+G291+G296+G301+G306+G311</f>
        <v>0</v>
      </c>
      <c r="H179" s="55"/>
      <c r="I179" s="56"/>
      <c r="J179" s="611"/>
      <c r="K179" s="638"/>
      <c r="L179" s="56">
        <f>L185+L191+L197+L203+L209+L215+L221+L227+L233+L239+L245+L251+L256+L261+L266+L271+L276+L281+L286+L291+L296+L301+L306+L311</f>
        <v>0</v>
      </c>
      <c r="M179" s="55"/>
      <c r="N179" s="56"/>
      <c r="O179" s="611"/>
      <c r="P179" s="638"/>
      <c r="Q179" s="56">
        <f>Q185+Q191+Q197+Q203+Q209+Q215+Q221+Q227+Q233+Q239+Q245+Q251+Q256+Q261+Q266+Q271+Q276+Q281+Q286+Q291+Q296+Q301+Q306+Q311</f>
        <v>0</v>
      </c>
      <c r="R179" s="55"/>
      <c r="S179" s="56"/>
      <c r="T179" s="611"/>
      <c r="U179" s="638"/>
      <c r="V179" s="56">
        <f>V185+V191+V197+V203+V209+V215+V221+V227+V233+V239+V245+V251+V256+V261+V266+V271+V276+V281+V286+V291+V296+V301+V306+V311</f>
        <v>0</v>
      </c>
      <c r="W179" s="55"/>
      <c r="X179" s="56"/>
      <c r="Y179" s="611"/>
      <c r="Z179" s="638"/>
      <c r="AA179" s="56">
        <f>AA185+AA191+AA197+AA203+AA209+AA215+AA221+AA227+AA233+AA239+AA245+AA251+AA256+AA261+AA266+AA271+AA276+AA281+AA286+AA291+AA296+AA301+AA306+AA311</f>
        <v>0</v>
      </c>
      <c r="AB179" s="55"/>
      <c r="AC179" s="56"/>
      <c r="AD179" s="611"/>
      <c r="AE179" s="638"/>
      <c r="AF179" s="56">
        <f>AF185+AF191+AF197+AF203+AF209+AF215+AF221+AF227+AF233+AF239+AF245+AF251+AF256+AF261+AF266+AF271+AF276+AF281+AF286+AF291+AF296+AF301+AF306+AF311</f>
        <v>0</v>
      </c>
      <c r="AG179" s="55"/>
      <c r="AH179" s="56"/>
      <c r="AI179" s="611"/>
      <c r="AJ179" s="638"/>
      <c r="AK179" s="56">
        <f>AK185+AK191+AK197+AK203+AK209+AK215+AK221+AK227+AK233+AK239+AK245+AK251+AK256+AK261+AK266+AK271+AK276+AK281+AK286+AK291+AK296+AK301+AK306+AK311</f>
        <v>0</v>
      </c>
      <c r="AL179" s="55"/>
      <c r="AM179" s="56"/>
      <c r="AN179" s="611"/>
      <c r="AO179" s="638"/>
      <c r="AP179" s="56">
        <f>AP185+AP191+AP197+AP203+AP209+AP215+AP221+AP227+AP233+AP239+AP245+AP251+AP256+AP261+AP266+AP271+AP276+AP281+AP286+AP291+AP296+AP301+AP306+AP311</f>
        <v>0</v>
      </c>
      <c r="AQ179" s="55"/>
      <c r="AR179" s="56"/>
      <c r="AS179" s="611"/>
      <c r="AT179" s="638"/>
      <c r="AU179" s="56">
        <f>AU185+AU191+AU197+AU203+AU209+AU215+AU221+AU227+AU233+AU239+AU245+AU251+AU256+AU261+AU266+AU271+AU276+AU281+AU286+AU291+AU296+AU301+AU306+AU311</f>
        <v>0</v>
      </c>
      <c r="AV179" s="55"/>
      <c r="AW179" s="56"/>
      <c r="AX179" s="611"/>
      <c r="AY179" s="638"/>
      <c r="AZ179" s="56">
        <f>AZ185+AZ191+AZ197+AZ203+AZ209+AZ215+AZ221+AZ227+AZ233+AZ239+AZ245+AZ251+AZ256+AZ261+AZ266+AZ271+AZ276+AZ281+AZ286+AZ291+AZ296+AZ301+AZ306+AZ311</f>
        <v>0</v>
      </c>
      <c r="BA179" s="55"/>
      <c r="BB179" s="56"/>
      <c r="BC179" s="611"/>
      <c r="BD179" s="638"/>
      <c r="BE179" s="56">
        <f>BE185+BE191+BE197+BE203+BE209+BE215+BE221+BE227+BE233+BE239+BE245+BE251+BE256+BE261+BE266+BE271+BE276+BE281+BE286+BE291+BE296+BE301+BE306+BE311</f>
        <v>0</v>
      </c>
      <c r="BF179" s="55"/>
      <c r="BG179" s="56"/>
      <c r="BH179" s="611"/>
      <c r="BI179" s="638"/>
      <c r="BJ179" s="56">
        <f>BJ185+BJ191+BJ197+BJ203+BJ209+BJ215+BJ221+BJ227+BJ233+BJ239+BJ245+BJ251+BJ256+BJ261+BJ266+BJ271+BJ276+BJ281+BJ286+BJ291+BJ296+BJ301+BJ306+BJ311</f>
        <v>0</v>
      </c>
      <c r="BK179" s="55"/>
      <c r="BL179" s="56"/>
      <c r="BM179" s="611"/>
      <c r="BN179" s="638"/>
      <c r="BO179" s="56">
        <f>BO185+BO191+BO197+BO203+BO209+BO215+BO221+BO227+BO233+BO239+BO245+BO251+BO256+BO261+BO266+BO271+BO276+BO281+BO286+BO291+BO296+BO301+BO306+BO311</f>
        <v>0</v>
      </c>
      <c r="BP179" s="55"/>
      <c r="BQ179" s="56"/>
      <c r="BR179" s="611"/>
      <c r="BS179" s="638"/>
      <c r="BT179" s="56">
        <f>BT185+BT191+BT197+BT203+BT209+BT215+BT221+BT227+BT233+BT239+BT245+BT251+BT256+BT261+BT266+BT271+BT276+BT281+BT286+BT291+BT296+BT301+BT306+BT311</f>
        <v>0</v>
      </c>
      <c r="BU179" s="55"/>
      <c r="BV179" s="56"/>
      <c r="BW179" s="611"/>
      <c r="BX179" s="638"/>
      <c r="BY179" s="56">
        <f>BY185+BY191+BY197+BY203+BY209+BY215+BY221+BY227+BY233+BY239+BY245+BY251+BY256+BY261+BY266+BY271+BY276+BY281+BY286+BY291+BY296+BY301+BY306+BY311</f>
        <v>-1313260</v>
      </c>
      <c r="BZ179" s="55"/>
      <c r="CA179" s="56"/>
      <c r="CB179" s="611"/>
      <c r="CC179" s="638"/>
      <c r="CD179" s="56">
        <f>CD185+CD191+CD197+CD203+CD209+CD215+CD221+CD227+CD233+CD239+CD245+CD251+CD256+CD261+CD266+CD271+CD276+CD281+CD286+CD291+CD296+CD301+CD306+CD311</f>
        <v>-290916</v>
      </c>
      <c r="CE179" s="55"/>
      <c r="CF179" s="56"/>
      <c r="CG179" s="611"/>
      <c r="CH179" s="638"/>
      <c r="CI179" s="56">
        <f>CI185+CI191+CI197+CI203+CI209+CI215+CI221+CI227+CI233+CI239+CI245+CI251+CI256+CI261+CI266+CI271+CI276+CI281+CI286+CI291+CI296+CI301+CI306+CI311</f>
        <v>-68408</v>
      </c>
      <c r="CJ179" s="55"/>
      <c r="CK179" s="56"/>
      <c r="CL179" s="611"/>
      <c r="CM179" s="638"/>
      <c r="CN179" s="56">
        <f>CN185+CN191+CN197+CN203+CN209+CN215+CN221+CN227+CN233+CN239+CN245+CN251+CN256+CN261+CN266+CN271+CN276+CN281+CN286+CN291+CN296+CN301+CN306+CN311</f>
        <v>-213164</v>
      </c>
      <c r="CO179" s="55"/>
      <c r="CP179" s="56"/>
      <c r="CQ179" s="611"/>
      <c r="CR179" s="638"/>
      <c r="CS179" s="56">
        <f>CS185+CS191+CS197+CS203+CS209+CS215+CS221+CS227+CS233+CS239+CS245+CS251+CS256+CS261+CS266+CS271+CS276+CS281+CS286+CS291+CS296+CS301+CS306+CS311</f>
        <v>-115520</v>
      </c>
      <c r="CT179" s="55"/>
      <c r="CU179" s="56"/>
      <c r="CV179" s="611"/>
      <c r="CW179" s="638"/>
      <c r="CX179" s="56">
        <f>CX185+CX191+CX197+CX203+CX209+CX215+CX221+CX227+CX233+CX239+CX245+CX251+CX256+CX261+CX266+CX271+CX276+CX281+CX286+CX291+CX296+CX301+CX306+CX311</f>
        <v>-115691</v>
      </c>
      <c r="CY179" s="55"/>
      <c r="CZ179" s="56"/>
      <c r="DA179" s="611"/>
      <c r="DB179" s="638"/>
      <c r="DC179" s="56">
        <f>DC185+DC191+DC197+DC203+DC209+DC215+DC221+DC227+DC233+DC239+DC245+DC251+DC256+DC261+DC266+DC271+DC276+DC281+DC286+DC291+DC296+DC301+DC306+DC311</f>
        <v>-210728</v>
      </c>
      <c r="DD179" s="55"/>
      <c r="DE179" s="56"/>
      <c r="DF179" s="611"/>
      <c r="DG179" s="638"/>
      <c r="DH179" s="56">
        <f>DH185+DH191+DH197+DH203+DH209+DH215+DH221+DH227+DH233+DH239+DH245+DH251+DH256+DH261+DH266+DH271+DH276+DH281+DH286+DH291+DH296+DH301+DH306+DH311</f>
        <v>-20827</v>
      </c>
      <c r="DI179" s="55"/>
      <c r="DJ179" s="56"/>
      <c r="DK179" s="611"/>
      <c r="DL179" s="638"/>
      <c r="DM179" s="56">
        <f>DM185+DM191+DM197+DM203+DM209+DM215+DM221+DM227+DM233+DM239+DM245+DM251+DM256+DM261+DM266+DM271+DM276+DM281+DM286+DM291+DM296+DM301+DM306+DM311</f>
        <v>-21707</v>
      </c>
      <c r="DN179" s="55"/>
      <c r="DO179" s="56"/>
      <c r="DP179" s="611"/>
      <c r="DQ179" s="638"/>
      <c r="DR179" s="56">
        <f>DR185+DR191+DR197+DR203+DR209+DR215+DR221+DR227+DR233+DR239+DR245+DR251+DR256+DR261+DR266+DR271+DR276+DR281+DR286+DR291+DR296+DR301+DR306+DR311</f>
        <v>-78516</v>
      </c>
      <c r="DS179" s="55"/>
      <c r="DT179" s="56"/>
      <c r="DU179" s="611"/>
      <c r="DV179" s="638"/>
      <c r="DW179" s="56">
        <f>DW185+DW191+DW197+DW203+DW209+DW215+DW221+DW227+DW233+DW239+DW245+DW251+DW256+DW261+DW266+DW271+DW276+DW281+DW286+DW291+DW296+DW301+DW306+DW311</f>
        <v>-30857</v>
      </c>
      <c r="DX179" s="55"/>
      <c r="DY179" s="56"/>
      <c r="DZ179" s="611"/>
      <c r="EA179" s="638"/>
      <c r="EB179" s="56">
        <f>EB185+EB191+EB197+EB203+EB209+EB215+EB221+EB227+EB233+EB239+EB245+EB251+EB256+EB261+EB266+EB271+EB276+EB281+EB286+EB291+EB296+EB301+EB306+EB311</f>
        <v>-21878</v>
      </c>
      <c r="EC179" s="55"/>
      <c r="ED179" s="56"/>
      <c r="EE179" s="611"/>
      <c r="EF179" s="638"/>
      <c r="EG179" s="56">
        <f>EG185+EG191+EG197+EG203+EG209+EG215+EG221+EG227+EG233+EG239+EG245+EG251+EG256+EG261+EG266+EG271+EG276+EG281+EG286+EG291+EG296+EG301+EG306+EG311</f>
        <v>-125048</v>
      </c>
      <c r="EH179" s="55"/>
      <c r="EI179" s="56"/>
      <c r="EJ179" s="611"/>
      <c r="EK179" s="638"/>
      <c r="EL179" s="56">
        <f>EL185+EL191+EL197+EL203+EL209+EL215+EL221+EL227+EL233+EL239+EL245+EL251+EL256+EL261+EL266+EL271+EL276+EL281+EL286+EL291+EL296+EL301+EL306+EL311</f>
        <v>-1166334</v>
      </c>
      <c r="EM179" s="55"/>
      <c r="EN179" s="56"/>
      <c r="EO179" s="144"/>
      <c r="ER179" s="42"/>
      <c r="ES179" s="42"/>
    </row>
    <row r="180" spans="4:149" x14ac:dyDescent="0.3">
      <c r="D180" s="144" t="s">
        <v>340</v>
      </c>
      <c r="E180" s="635"/>
      <c r="F180" s="639"/>
      <c r="G180" s="117">
        <f>G198+G228</f>
        <v>0</v>
      </c>
      <c r="H180" s="116"/>
      <c r="I180" s="56"/>
      <c r="J180" s="611"/>
      <c r="K180" s="639"/>
      <c r="L180" s="117">
        <f>L198+L228</f>
        <v>0</v>
      </c>
      <c r="M180" s="116"/>
      <c r="N180" s="56"/>
      <c r="O180" s="611"/>
      <c r="P180" s="639"/>
      <c r="Q180" s="117">
        <f>Q198+Q228</f>
        <v>0</v>
      </c>
      <c r="R180" s="116"/>
      <c r="S180" s="56"/>
      <c r="T180" s="611"/>
      <c r="U180" s="639"/>
      <c r="V180" s="117">
        <f>V198+V228</f>
        <v>0</v>
      </c>
      <c r="W180" s="116"/>
      <c r="X180" s="56"/>
      <c r="Y180" s="611"/>
      <c r="Z180" s="639"/>
      <c r="AA180" s="117">
        <f>AA198+AA228</f>
        <v>0</v>
      </c>
      <c r="AB180" s="116"/>
      <c r="AC180" s="56"/>
      <c r="AD180" s="611"/>
      <c r="AE180" s="639"/>
      <c r="AF180" s="117">
        <f>AF198+AF228</f>
        <v>0</v>
      </c>
      <c r="AG180" s="116"/>
      <c r="AH180" s="56"/>
      <c r="AI180" s="611"/>
      <c r="AJ180" s="639"/>
      <c r="AK180" s="117">
        <f>AK198+AK228</f>
        <v>0</v>
      </c>
      <c r="AL180" s="116"/>
      <c r="AM180" s="56"/>
      <c r="AN180" s="611"/>
      <c r="AO180" s="639"/>
      <c r="AP180" s="117">
        <f>AP198+AP228</f>
        <v>0</v>
      </c>
      <c r="AQ180" s="116"/>
      <c r="AR180" s="56"/>
      <c r="AS180" s="611"/>
      <c r="AT180" s="639"/>
      <c r="AU180" s="117">
        <f>AU198+AU228</f>
        <v>0</v>
      </c>
      <c r="AV180" s="116"/>
      <c r="AW180" s="56"/>
      <c r="AX180" s="611"/>
      <c r="AY180" s="639"/>
      <c r="AZ180" s="117">
        <f>AZ198+AZ228</f>
        <v>0</v>
      </c>
      <c r="BA180" s="116"/>
      <c r="BB180" s="56"/>
      <c r="BC180" s="611"/>
      <c r="BD180" s="639"/>
      <c r="BE180" s="117">
        <f>BE198+BE228</f>
        <v>0</v>
      </c>
      <c r="BF180" s="116"/>
      <c r="BG180" s="56"/>
      <c r="BH180" s="611"/>
      <c r="BI180" s="639"/>
      <c r="BJ180" s="117">
        <f>BJ198+BJ228</f>
        <v>0</v>
      </c>
      <c r="BK180" s="116"/>
      <c r="BL180" s="56"/>
      <c r="BM180" s="611"/>
      <c r="BN180" s="639"/>
      <c r="BO180" s="117">
        <f>BO198+BO228</f>
        <v>0</v>
      </c>
      <c r="BP180" s="116"/>
      <c r="BQ180" s="56"/>
      <c r="BR180" s="611"/>
      <c r="BS180" s="639"/>
      <c r="BT180" s="117">
        <f>BT198+BT228</f>
        <v>0</v>
      </c>
      <c r="BU180" s="116"/>
      <c r="BV180" s="56"/>
      <c r="BW180" s="611"/>
      <c r="BX180" s="639"/>
      <c r="BY180" s="117">
        <f>BY198+BY228</f>
        <v>0</v>
      </c>
      <c r="BZ180" s="116"/>
      <c r="CA180" s="56"/>
      <c r="CB180" s="611"/>
      <c r="CC180" s="639"/>
      <c r="CD180" s="117">
        <f>CD198+CD228</f>
        <v>0</v>
      </c>
      <c r="CE180" s="116"/>
      <c r="CF180" s="56"/>
      <c r="CG180" s="611"/>
      <c r="CH180" s="639"/>
      <c r="CI180" s="117">
        <f>CI198+CI228</f>
        <v>0</v>
      </c>
      <c r="CJ180" s="116"/>
      <c r="CK180" s="56"/>
      <c r="CL180" s="611"/>
      <c r="CM180" s="639"/>
      <c r="CN180" s="117">
        <f>CN198+CN228</f>
        <v>0</v>
      </c>
      <c r="CO180" s="116"/>
      <c r="CP180" s="56"/>
      <c r="CQ180" s="611"/>
      <c r="CR180" s="639"/>
      <c r="CS180" s="117">
        <f>CS198+CS228</f>
        <v>0</v>
      </c>
      <c r="CT180" s="116"/>
      <c r="CU180" s="56"/>
      <c r="CV180" s="611"/>
      <c r="CW180" s="639"/>
      <c r="CX180" s="117">
        <f>CX198+CX228</f>
        <v>0</v>
      </c>
      <c r="CY180" s="116"/>
      <c r="CZ180" s="56"/>
      <c r="DA180" s="611"/>
      <c r="DB180" s="639"/>
      <c r="DC180" s="117">
        <f>DC198+DC228</f>
        <v>0</v>
      </c>
      <c r="DD180" s="116"/>
      <c r="DE180" s="56"/>
      <c r="DF180" s="611"/>
      <c r="DG180" s="639"/>
      <c r="DH180" s="117">
        <f>DH198+DH228</f>
        <v>0</v>
      </c>
      <c r="DI180" s="116"/>
      <c r="DJ180" s="56"/>
      <c r="DK180" s="611"/>
      <c r="DL180" s="639"/>
      <c r="DM180" s="117">
        <f>DM198+DM228</f>
        <v>0</v>
      </c>
      <c r="DN180" s="116"/>
      <c r="DO180" s="56"/>
      <c r="DP180" s="611"/>
      <c r="DQ180" s="639"/>
      <c r="DR180" s="117">
        <f>DR198+DR228</f>
        <v>0</v>
      </c>
      <c r="DS180" s="116"/>
      <c r="DT180" s="56"/>
      <c r="DU180" s="611"/>
      <c r="DV180" s="639"/>
      <c r="DW180" s="117">
        <f>DW198+DW228</f>
        <v>0</v>
      </c>
      <c r="DX180" s="116"/>
      <c r="DY180" s="56"/>
      <c r="DZ180" s="611"/>
      <c r="EA180" s="639"/>
      <c r="EB180" s="117">
        <f>EB198+EB228</f>
        <v>0</v>
      </c>
      <c r="EC180" s="116"/>
      <c r="ED180" s="56"/>
      <c r="EE180" s="611"/>
      <c r="EF180" s="639"/>
      <c r="EG180" s="117">
        <f>EG198+EG228</f>
        <v>0</v>
      </c>
      <c r="EH180" s="116"/>
      <c r="EI180" s="56"/>
      <c r="EJ180" s="611"/>
      <c r="EK180" s="639"/>
      <c r="EL180" s="117">
        <f>EL198+EL228</f>
        <v>0</v>
      </c>
      <c r="EM180" s="116"/>
      <c r="EN180" s="56"/>
      <c r="EO180" s="144"/>
      <c r="ER180" s="42"/>
      <c r="ES180" s="42"/>
    </row>
    <row r="181" spans="4:149" x14ac:dyDescent="0.3">
      <c r="D181" s="144"/>
      <c r="E181" s="635"/>
      <c r="F181" s="272"/>
      <c r="G181" s="56"/>
      <c r="H181" s="56"/>
      <c r="I181" s="56"/>
      <c r="J181" s="611"/>
      <c r="K181" s="272"/>
      <c r="L181" s="56"/>
      <c r="M181" s="56"/>
      <c r="N181" s="56"/>
      <c r="O181" s="611"/>
      <c r="P181" s="272"/>
      <c r="Q181" s="56"/>
      <c r="R181" s="56"/>
      <c r="S181" s="56"/>
      <c r="T181" s="611"/>
      <c r="U181" s="272"/>
      <c r="V181" s="56"/>
      <c r="W181" s="56"/>
      <c r="X181" s="56"/>
      <c r="Y181" s="611"/>
      <c r="Z181" s="272"/>
      <c r="AA181" s="56"/>
      <c r="AB181" s="56"/>
      <c r="AC181" s="56"/>
      <c r="AD181" s="611"/>
      <c r="AE181" s="272"/>
      <c r="AF181" s="56"/>
      <c r="AG181" s="56"/>
      <c r="AH181" s="56"/>
      <c r="AI181" s="611"/>
      <c r="AJ181" s="272"/>
      <c r="AK181" s="56"/>
      <c r="AL181" s="56"/>
      <c r="AM181" s="56"/>
      <c r="AN181" s="611"/>
      <c r="AO181" s="272"/>
      <c r="AP181" s="56"/>
      <c r="AQ181" s="56"/>
      <c r="AR181" s="56"/>
      <c r="AS181" s="611"/>
      <c r="AT181" s="272"/>
      <c r="AU181" s="56"/>
      <c r="AV181" s="56"/>
      <c r="AW181" s="56"/>
      <c r="AX181" s="611"/>
      <c r="AY181" s="272"/>
      <c r="AZ181" s="56"/>
      <c r="BA181" s="56"/>
      <c r="BB181" s="56"/>
      <c r="BC181" s="611"/>
      <c r="BD181" s="272"/>
      <c r="BE181" s="56"/>
      <c r="BF181" s="56"/>
      <c r="BG181" s="56"/>
      <c r="BH181" s="611"/>
      <c r="BI181" s="272"/>
      <c r="BJ181" s="56"/>
      <c r="BK181" s="56"/>
      <c r="BL181" s="56"/>
      <c r="BM181" s="611"/>
      <c r="BN181" s="272"/>
      <c r="BO181" s="56"/>
      <c r="BP181" s="56"/>
      <c r="BQ181" s="56"/>
      <c r="BR181" s="611"/>
      <c r="BS181" s="272"/>
      <c r="BT181" s="56"/>
      <c r="BU181" s="56"/>
      <c r="BV181" s="56"/>
      <c r="BW181" s="611"/>
      <c r="BX181" s="272"/>
      <c r="BY181" s="56"/>
      <c r="BZ181" s="56"/>
      <c r="CA181" s="56"/>
      <c r="CB181" s="611"/>
      <c r="CC181" s="272"/>
      <c r="CD181" s="56"/>
      <c r="CE181" s="56"/>
      <c r="CF181" s="56"/>
      <c r="CG181" s="611"/>
      <c r="CH181" s="272"/>
      <c r="CI181" s="56"/>
      <c r="CJ181" s="56"/>
      <c r="CK181" s="56"/>
      <c r="CL181" s="611"/>
      <c r="CM181" s="272"/>
      <c r="CN181" s="56"/>
      <c r="CO181" s="56"/>
      <c r="CP181" s="56"/>
      <c r="CQ181" s="611"/>
      <c r="CR181" s="272"/>
      <c r="CS181" s="56"/>
      <c r="CT181" s="56"/>
      <c r="CU181" s="56"/>
      <c r="CV181" s="611"/>
      <c r="CW181" s="272"/>
      <c r="CX181" s="56"/>
      <c r="CY181" s="56"/>
      <c r="CZ181" s="56"/>
      <c r="DA181" s="611"/>
      <c r="DB181" s="272"/>
      <c r="DC181" s="56"/>
      <c r="DD181" s="56"/>
      <c r="DE181" s="56"/>
      <c r="DF181" s="611"/>
      <c r="DG181" s="272"/>
      <c r="DH181" s="56"/>
      <c r="DI181" s="56"/>
      <c r="DJ181" s="56"/>
      <c r="DK181" s="611"/>
      <c r="DL181" s="272"/>
      <c r="DM181" s="56"/>
      <c r="DN181" s="56"/>
      <c r="DO181" s="56"/>
      <c r="DP181" s="611"/>
      <c r="DQ181" s="272"/>
      <c r="DR181" s="56"/>
      <c r="DS181" s="56"/>
      <c r="DT181" s="56"/>
      <c r="DU181" s="611"/>
      <c r="DV181" s="272"/>
      <c r="DW181" s="56"/>
      <c r="DX181" s="56"/>
      <c r="DY181" s="56"/>
      <c r="DZ181" s="611"/>
      <c r="EA181" s="272"/>
      <c r="EB181" s="56"/>
      <c r="EC181" s="56"/>
      <c r="ED181" s="56"/>
      <c r="EE181" s="611"/>
      <c r="EF181" s="272"/>
      <c r="EG181" s="56"/>
      <c r="EH181" s="56"/>
      <c r="EI181" s="56"/>
      <c r="EJ181" s="611"/>
      <c r="EK181" s="272"/>
      <c r="EL181" s="56"/>
      <c r="EM181" s="56"/>
      <c r="EN181" s="56"/>
      <c r="EO181" s="144"/>
      <c r="ER181" s="42"/>
      <c r="ES181" s="42"/>
    </row>
    <row r="182" spans="4:149" hidden="1" x14ac:dyDescent="0.3">
      <c r="D182" s="144" t="s">
        <v>337</v>
      </c>
      <c r="G182" s="56">
        <f>SUM(G183:G186)</f>
        <v>0</v>
      </c>
      <c r="H182" s="56"/>
      <c r="I182" s="56"/>
      <c r="J182" s="611"/>
      <c r="K182" s="56"/>
      <c r="L182" s="56">
        <f>SUM(L183:L186)</f>
        <v>0</v>
      </c>
      <c r="M182" s="56"/>
      <c r="N182" s="56"/>
      <c r="O182" s="611"/>
      <c r="P182" s="56"/>
      <c r="Q182" s="56">
        <f>SUM(Q183:Q186)</f>
        <v>0</v>
      </c>
      <c r="R182" s="56"/>
      <c r="S182" s="56"/>
      <c r="T182" s="611"/>
      <c r="U182" s="56"/>
      <c r="V182" s="56">
        <f>SUM(V183:V186)</f>
        <v>0</v>
      </c>
      <c r="W182" s="56"/>
      <c r="X182" s="56"/>
      <c r="Y182" s="611"/>
      <c r="Z182" s="56"/>
      <c r="AA182" s="56">
        <f>SUM(AA183:AA186)</f>
        <v>0</v>
      </c>
      <c r="AB182" s="56"/>
      <c r="AC182" s="56"/>
      <c r="AD182" s="611"/>
      <c r="AE182" s="56"/>
      <c r="AF182" s="56">
        <f>SUM(AF183:AF186)</f>
        <v>0</v>
      </c>
      <c r="AG182" s="56"/>
      <c r="AH182" s="56"/>
      <c r="AI182" s="611"/>
      <c r="AJ182" s="56"/>
      <c r="AK182" s="56">
        <f>SUM(AK183:AK186)</f>
        <v>0</v>
      </c>
      <c r="AL182" s="56"/>
      <c r="AM182" s="56"/>
      <c r="AN182" s="611"/>
      <c r="AO182" s="56"/>
      <c r="AP182" s="56">
        <f>SUM(AP183:AP186)</f>
        <v>0</v>
      </c>
      <c r="AQ182" s="56"/>
      <c r="AR182" s="56"/>
      <c r="AS182" s="611"/>
      <c r="AT182" s="56"/>
      <c r="AU182" s="56">
        <f>SUM(AU183:AU186)</f>
        <v>0</v>
      </c>
      <c r="AV182" s="56"/>
      <c r="AW182" s="56"/>
      <c r="AX182" s="611"/>
      <c r="AY182" s="56"/>
      <c r="AZ182" s="56">
        <f>SUM(AZ183:AZ186)</f>
        <v>0</v>
      </c>
      <c r="BA182" s="56"/>
      <c r="BB182" s="56"/>
      <c r="BC182" s="611"/>
      <c r="BD182" s="56"/>
      <c r="BE182" s="56">
        <f>SUM(BE183:BE186)</f>
        <v>0</v>
      </c>
      <c r="BF182" s="56"/>
      <c r="BG182" s="56"/>
      <c r="BH182" s="611"/>
      <c r="BI182" s="56"/>
      <c r="BJ182" s="56">
        <f>SUM(BJ183:BJ186)</f>
        <v>0</v>
      </c>
      <c r="BK182" s="56"/>
      <c r="BL182" s="56"/>
      <c r="BM182" s="611"/>
      <c r="BN182" s="56"/>
      <c r="BO182" s="56">
        <f>SUM(BO183:BO186)</f>
        <v>0</v>
      </c>
      <c r="BP182" s="56"/>
      <c r="BQ182" s="56"/>
      <c r="BR182" s="611"/>
      <c r="BS182" s="56"/>
      <c r="BT182" s="56">
        <f>SUM(BT183:BT186)</f>
        <v>0</v>
      </c>
      <c r="BU182" s="56"/>
      <c r="BV182" s="56"/>
      <c r="BW182" s="611"/>
      <c r="BX182" s="56"/>
      <c r="BY182" s="56">
        <f>SUM(BY183:BY186)</f>
        <v>0</v>
      </c>
      <c r="BZ182" s="56"/>
      <c r="CA182" s="56"/>
      <c r="CB182" s="611"/>
      <c r="CC182" s="56"/>
      <c r="CD182" s="56">
        <f>SUM(CD183:CD186)</f>
        <v>0</v>
      </c>
      <c r="CE182" s="56"/>
      <c r="CF182" s="56"/>
      <c r="CG182" s="611"/>
      <c r="CH182" s="56"/>
      <c r="CI182" s="56">
        <f>SUM(CI183:CI186)</f>
        <v>0</v>
      </c>
      <c r="CJ182" s="56"/>
      <c r="CK182" s="56"/>
      <c r="CL182" s="611"/>
      <c r="CM182" s="56"/>
      <c r="CN182" s="56">
        <f>SUM(CN183:CN186)</f>
        <v>0</v>
      </c>
      <c r="CO182" s="56"/>
      <c r="CP182" s="56"/>
      <c r="CQ182" s="611"/>
      <c r="CR182" s="56"/>
      <c r="CS182" s="56">
        <f>SUM(CS183:CS186)</f>
        <v>0</v>
      </c>
      <c r="CT182" s="56"/>
      <c r="CU182" s="56"/>
      <c r="CV182" s="611"/>
      <c r="CW182" s="56"/>
      <c r="CX182" s="56">
        <f>SUM(CX183:CX186)</f>
        <v>0</v>
      </c>
      <c r="CY182" s="56"/>
      <c r="CZ182" s="56"/>
      <c r="DA182" s="611"/>
      <c r="DB182" s="56"/>
      <c r="DC182" s="56">
        <f>SUM(DC183:DC186)</f>
        <v>0</v>
      </c>
      <c r="DD182" s="56"/>
      <c r="DE182" s="56"/>
      <c r="DF182" s="611"/>
      <c r="DG182" s="56"/>
      <c r="DH182" s="56">
        <f>SUM(DH183:DH186)</f>
        <v>0</v>
      </c>
      <c r="DI182" s="56"/>
      <c r="DJ182" s="56"/>
      <c r="DK182" s="611"/>
      <c r="DL182" s="56"/>
      <c r="DM182" s="56">
        <f>SUM(DM183:DM186)</f>
        <v>0</v>
      </c>
      <c r="DN182" s="56"/>
      <c r="DO182" s="56"/>
      <c r="DP182" s="611"/>
      <c r="DQ182" s="56"/>
      <c r="DR182" s="56">
        <f>SUM(DR183:DR186)</f>
        <v>0</v>
      </c>
      <c r="DS182" s="56"/>
      <c r="DT182" s="56"/>
      <c r="DU182" s="611"/>
      <c r="DV182" s="56"/>
      <c r="DW182" s="56">
        <f>SUM(DW183:DW186)</f>
        <v>0</v>
      </c>
      <c r="DX182" s="56"/>
      <c r="DY182" s="56"/>
      <c r="DZ182" s="611"/>
      <c r="EA182" s="56"/>
      <c r="EB182" s="56">
        <f>SUM(EB183:EB186)</f>
        <v>0</v>
      </c>
      <c r="EC182" s="56"/>
      <c r="ED182" s="56"/>
      <c r="EE182" s="611"/>
      <c r="EF182" s="56"/>
      <c r="EG182" s="56">
        <f>SUM(EG183:EG186)</f>
        <v>0</v>
      </c>
      <c r="EH182" s="56"/>
      <c r="EI182" s="56"/>
      <c r="EJ182" s="611"/>
      <c r="EK182" s="56"/>
      <c r="EL182" s="56">
        <f>SUM(EL183:EL186)</f>
        <v>0</v>
      </c>
      <c r="EM182" s="56"/>
      <c r="EN182" s="56"/>
      <c r="EO182" s="144"/>
      <c r="ER182" s="42"/>
      <c r="ES182" s="42"/>
    </row>
    <row r="183" spans="4:149" hidden="1" x14ac:dyDescent="0.3">
      <c r="D183" s="144" t="s">
        <v>335</v>
      </c>
      <c r="F183" s="500"/>
      <c r="G183" s="609">
        <v>0</v>
      </c>
      <c r="H183" s="610"/>
      <c r="I183" s="56"/>
      <c r="J183" s="611"/>
      <c r="K183" s="612"/>
      <c r="L183" s="609">
        <v>0</v>
      </c>
      <c r="M183" s="610"/>
      <c r="N183" s="56"/>
      <c r="O183" s="611"/>
      <c r="P183" s="612"/>
      <c r="Q183" s="609">
        <v>0</v>
      </c>
      <c r="R183" s="610"/>
      <c r="S183" s="56"/>
      <c r="T183" s="611"/>
      <c r="U183" s="612"/>
      <c r="V183" s="609">
        <v>0</v>
      </c>
      <c r="W183" s="610"/>
      <c r="X183" s="56"/>
      <c r="Y183" s="611"/>
      <c r="Z183" s="612"/>
      <c r="AA183" s="609">
        <v>0</v>
      </c>
      <c r="AB183" s="610"/>
      <c r="AC183" s="56"/>
      <c r="AD183" s="611"/>
      <c r="AE183" s="612"/>
      <c r="AF183" s="609">
        <v>0</v>
      </c>
      <c r="AG183" s="610"/>
      <c r="AH183" s="56"/>
      <c r="AI183" s="611"/>
      <c r="AJ183" s="612"/>
      <c r="AK183" s="609">
        <v>0</v>
      </c>
      <c r="AL183" s="610"/>
      <c r="AM183" s="56"/>
      <c r="AN183" s="611"/>
      <c r="AO183" s="612"/>
      <c r="AP183" s="609">
        <v>0</v>
      </c>
      <c r="AQ183" s="610"/>
      <c r="AR183" s="56"/>
      <c r="AS183" s="611"/>
      <c r="AT183" s="612"/>
      <c r="AU183" s="609">
        <v>0</v>
      </c>
      <c r="AV183" s="610"/>
      <c r="AW183" s="56"/>
      <c r="AX183" s="611"/>
      <c r="AY183" s="612"/>
      <c r="AZ183" s="609">
        <v>0</v>
      </c>
      <c r="BA183" s="610"/>
      <c r="BB183" s="56"/>
      <c r="BC183" s="611"/>
      <c r="BD183" s="612"/>
      <c r="BE183" s="609">
        <v>0</v>
      </c>
      <c r="BF183" s="610"/>
      <c r="BG183" s="56"/>
      <c r="BH183" s="611"/>
      <c r="BI183" s="612"/>
      <c r="BJ183" s="609">
        <v>0</v>
      </c>
      <c r="BK183" s="610"/>
      <c r="BL183" s="56"/>
      <c r="BM183" s="611"/>
      <c r="BN183" s="612"/>
      <c r="BO183" s="609">
        <v>0</v>
      </c>
      <c r="BP183" s="610"/>
      <c r="BQ183" s="56"/>
      <c r="BR183" s="611"/>
      <c r="BS183" s="612"/>
      <c r="BT183" s="609">
        <f>SUM(L183:BO183)</f>
        <v>0</v>
      </c>
      <c r="BU183" s="610"/>
      <c r="BV183" s="56"/>
      <c r="BW183" s="611"/>
      <c r="BX183" s="612"/>
      <c r="BY183" s="609">
        <v>0</v>
      </c>
      <c r="BZ183" s="610"/>
      <c r="CA183" s="56"/>
      <c r="CB183" s="611"/>
      <c r="CC183" s="612"/>
      <c r="CD183" s="609">
        <v>0</v>
      </c>
      <c r="CE183" s="610"/>
      <c r="CF183" s="56"/>
      <c r="CG183" s="611"/>
      <c r="CH183" s="612"/>
      <c r="CI183" s="609">
        <v>0</v>
      </c>
      <c r="CJ183" s="610"/>
      <c r="CK183" s="56"/>
      <c r="CL183" s="611"/>
      <c r="CM183" s="612"/>
      <c r="CN183" s="609">
        <v>0</v>
      </c>
      <c r="CO183" s="610"/>
      <c r="CP183" s="56"/>
      <c r="CQ183" s="611"/>
      <c r="CR183" s="612"/>
      <c r="CS183" s="609">
        <v>0</v>
      </c>
      <c r="CT183" s="610"/>
      <c r="CU183" s="56"/>
      <c r="CV183" s="611"/>
      <c r="CW183" s="612"/>
      <c r="CX183" s="609">
        <v>0</v>
      </c>
      <c r="CY183" s="610"/>
      <c r="CZ183" s="56"/>
      <c r="DA183" s="611"/>
      <c r="DB183" s="612"/>
      <c r="DC183" s="609">
        <v>0</v>
      </c>
      <c r="DD183" s="610"/>
      <c r="DE183" s="56"/>
      <c r="DF183" s="611"/>
      <c r="DG183" s="612"/>
      <c r="DH183" s="609">
        <v>0</v>
      </c>
      <c r="DI183" s="610"/>
      <c r="DJ183" s="56"/>
      <c r="DK183" s="611"/>
      <c r="DL183" s="612"/>
      <c r="DM183" s="609">
        <v>0</v>
      </c>
      <c r="DN183" s="610"/>
      <c r="DO183" s="56"/>
      <c r="DP183" s="611"/>
      <c r="DQ183" s="612"/>
      <c r="DR183" s="609">
        <v>0</v>
      </c>
      <c r="DS183" s="610"/>
      <c r="DT183" s="56"/>
      <c r="DU183" s="611"/>
      <c r="DV183" s="612"/>
      <c r="DW183" s="609">
        <v>0</v>
      </c>
      <c r="DX183" s="610"/>
      <c r="DY183" s="56"/>
      <c r="DZ183" s="611"/>
      <c r="EA183" s="612"/>
      <c r="EB183" s="609">
        <v>0</v>
      </c>
      <c r="EC183" s="610"/>
      <c r="ED183" s="56"/>
      <c r="EE183" s="611"/>
      <c r="EF183" s="612"/>
      <c r="EG183" s="609">
        <v>0</v>
      </c>
      <c r="EH183" s="610"/>
      <c r="EI183" s="56"/>
      <c r="EJ183" s="611"/>
      <c r="EK183" s="612"/>
      <c r="EL183" s="609">
        <f>SUM(CD183:EG183)</f>
        <v>0</v>
      </c>
      <c r="EM183" s="610"/>
      <c r="EN183" s="56"/>
      <c r="EO183" s="144"/>
      <c r="ER183" s="42"/>
      <c r="ES183" s="42"/>
    </row>
    <row r="184" spans="4:149" hidden="1" x14ac:dyDescent="0.3">
      <c r="D184" s="144" t="s">
        <v>338</v>
      </c>
      <c r="F184" s="494"/>
      <c r="G184" s="56">
        <v>0</v>
      </c>
      <c r="H184" s="55"/>
      <c r="I184" s="56"/>
      <c r="J184" s="611"/>
      <c r="K184" s="611"/>
      <c r="L184" s="56">
        <v>0</v>
      </c>
      <c r="M184" s="55"/>
      <c r="N184" s="56"/>
      <c r="O184" s="611"/>
      <c r="P184" s="611"/>
      <c r="Q184" s="56">
        <v>0</v>
      </c>
      <c r="R184" s="55"/>
      <c r="S184" s="56"/>
      <c r="T184" s="611"/>
      <c r="U184" s="611"/>
      <c r="V184" s="56">
        <v>0</v>
      </c>
      <c r="W184" s="55"/>
      <c r="X184" s="56"/>
      <c r="Y184" s="611"/>
      <c r="Z184" s="611"/>
      <c r="AA184" s="56">
        <v>0</v>
      </c>
      <c r="AB184" s="55"/>
      <c r="AC184" s="56"/>
      <c r="AD184" s="611"/>
      <c r="AE184" s="611"/>
      <c r="AF184" s="56">
        <v>0</v>
      </c>
      <c r="AG184" s="55"/>
      <c r="AH184" s="56"/>
      <c r="AI184" s="611"/>
      <c r="AJ184" s="611"/>
      <c r="AK184" s="56">
        <v>0</v>
      </c>
      <c r="AL184" s="55"/>
      <c r="AM184" s="56"/>
      <c r="AN184" s="611"/>
      <c r="AO184" s="611"/>
      <c r="AP184" s="56">
        <v>0</v>
      </c>
      <c r="AQ184" s="55"/>
      <c r="AR184" s="56"/>
      <c r="AS184" s="611"/>
      <c r="AT184" s="611"/>
      <c r="AU184" s="56">
        <v>0</v>
      </c>
      <c r="AV184" s="55"/>
      <c r="AW184" s="56"/>
      <c r="AX184" s="611"/>
      <c r="AY184" s="611"/>
      <c r="AZ184" s="56">
        <v>0</v>
      </c>
      <c r="BA184" s="55"/>
      <c r="BB184" s="56"/>
      <c r="BC184" s="611"/>
      <c r="BD184" s="611"/>
      <c r="BE184" s="56">
        <v>0</v>
      </c>
      <c r="BF184" s="55"/>
      <c r="BG184" s="56"/>
      <c r="BH184" s="611"/>
      <c r="BI184" s="611"/>
      <c r="BJ184" s="56">
        <v>0</v>
      </c>
      <c r="BK184" s="55"/>
      <c r="BL184" s="56"/>
      <c r="BM184" s="611"/>
      <c r="BN184" s="611"/>
      <c r="BO184" s="56">
        <v>0</v>
      </c>
      <c r="BP184" s="55"/>
      <c r="BQ184" s="56"/>
      <c r="BR184" s="611"/>
      <c r="BS184" s="611"/>
      <c r="BT184" s="56">
        <f>SUM(L184:BO184)</f>
        <v>0</v>
      </c>
      <c r="BU184" s="55"/>
      <c r="BV184" s="56"/>
      <c r="BW184" s="611"/>
      <c r="BX184" s="611"/>
      <c r="BY184" s="56">
        <v>0</v>
      </c>
      <c r="BZ184" s="55"/>
      <c r="CA184" s="56"/>
      <c r="CB184" s="611"/>
      <c r="CC184" s="611"/>
      <c r="CD184" s="56">
        <v>0</v>
      </c>
      <c r="CE184" s="55"/>
      <c r="CF184" s="56"/>
      <c r="CG184" s="611"/>
      <c r="CH184" s="611"/>
      <c r="CI184" s="56">
        <v>0</v>
      </c>
      <c r="CJ184" s="55"/>
      <c r="CK184" s="56"/>
      <c r="CL184" s="611"/>
      <c r="CM184" s="611"/>
      <c r="CN184" s="56">
        <v>0</v>
      </c>
      <c r="CO184" s="55"/>
      <c r="CP184" s="56"/>
      <c r="CQ184" s="611"/>
      <c r="CR184" s="611"/>
      <c r="CS184" s="56">
        <v>0</v>
      </c>
      <c r="CT184" s="55"/>
      <c r="CU184" s="56"/>
      <c r="CV184" s="611"/>
      <c r="CW184" s="611"/>
      <c r="CX184" s="56">
        <v>0</v>
      </c>
      <c r="CY184" s="55"/>
      <c r="CZ184" s="56"/>
      <c r="DA184" s="611"/>
      <c r="DB184" s="611"/>
      <c r="DC184" s="56">
        <v>0</v>
      </c>
      <c r="DD184" s="55"/>
      <c r="DE184" s="56"/>
      <c r="DF184" s="611"/>
      <c r="DG184" s="611"/>
      <c r="DH184" s="56">
        <v>0</v>
      </c>
      <c r="DI184" s="55"/>
      <c r="DJ184" s="56"/>
      <c r="DK184" s="611"/>
      <c r="DL184" s="611"/>
      <c r="DM184" s="56">
        <v>0</v>
      </c>
      <c r="DN184" s="55"/>
      <c r="DO184" s="56"/>
      <c r="DP184" s="611"/>
      <c r="DQ184" s="611"/>
      <c r="DR184" s="56">
        <v>0</v>
      </c>
      <c r="DS184" s="55"/>
      <c r="DT184" s="56"/>
      <c r="DU184" s="611"/>
      <c r="DV184" s="611"/>
      <c r="DW184" s="56">
        <v>0</v>
      </c>
      <c r="DX184" s="55"/>
      <c r="DY184" s="56"/>
      <c r="DZ184" s="611"/>
      <c r="EA184" s="611"/>
      <c r="EB184" s="56">
        <v>0</v>
      </c>
      <c r="EC184" s="55"/>
      <c r="ED184" s="56"/>
      <c r="EE184" s="611"/>
      <c r="EF184" s="611"/>
      <c r="EG184" s="56">
        <v>0</v>
      </c>
      <c r="EH184" s="55"/>
      <c r="EI184" s="56"/>
      <c r="EJ184" s="611"/>
      <c r="EK184" s="611"/>
      <c r="EL184" s="56">
        <f>SUM(CD184:EG184)</f>
        <v>0</v>
      </c>
      <c r="EM184" s="55"/>
      <c r="EN184" s="56"/>
      <c r="EO184" s="144"/>
      <c r="ER184" s="42"/>
      <c r="ES184" s="42"/>
    </row>
    <row r="185" spans="4:149" hidden="1" x14ac:dyDescent="0.3">
      <c r="D185" s="144" t="s">
        <v>339</v>
      </c>
      <c r="F185" s="494"/>
      <c r="G185" s="56">
        <v>0</v>
      </c>
      <c r="H185" s="55"/>
      <c r="I185" s="56"/>
      <c r="J185" s="611"/>
      <c r="K185" s="611"/>
      <c r="L185" s="56">
        <v>0</v>
      </c>
      <c r="M185" s="55"/>
      <c r="N185" s="56"/>
      <c r="O185" s="611"/>
      <c r="P185" s="611"/>
      <c r="Q185" s="56">
        <v>0</v>
      </c>
      <c r="R185" s="55"/>
      <c r="S185" s="56"/>
      <c r="T185" s="611"/>
      <c r="U185" s="611"/>
      <c r="V185" s="56">
        <v>0</v>
      </c>
      <c r="W185" s="55"/>
      <c r="X185" s="56"/>
      <c r="Y185" s="611"/>
      <c r="Z185" s="611"/>
      <c r="AA185" s="56">
        <v>0</v>
      </c>
      <c r="AB185" s="55"/>
      <c r="AC185" s="56"/>
      <c r="AD185" s="611"/>
      <c r="AE185" s="611"/>
      <c r="AF185" s="56">
        <v>0</v>
      </c>
      <c r="AG185" s="55"/>
      <c r="AH185" s="56"/>
      <c r="AI185" s="611"/>
      <c r="AJ185" s="611"/>
      <c r="AK185" s="56">
        <v>0</v>
      </c>
      <c r="AL185" s="55"/>
      <c r="AM185" s="56"/>
      <c r="AN185" s="611"/>
      <c r="AO185" s="611"/>
      <c r="AP185" s="56">
        <v>0</v>
      </c>
      <c r="AQ185" s="55"/>
      <c r="AR185" s="56"/>
      <c r="AS185" s="611"/>
      <c r="AT185" s="611"/>
      <c r="AU185" s="56">
        <v>0</v>
      </c>
      <c r="AV185" s="55"/>
      <c r="AW185" s="56"/>
      <c r="AX185" s="611"/>
      <c r="AY185" s="611"/>
      <c r="AZ185" s="56">
        <v>0</v>
      </c>
      <c r="BA185" s="55"/>
      <c r="BB185" s="56"/>
      <c r="BC185" s="611"/>
      <c r="BD185" s="611"/>
      <c r="BE185" s="56">
        <v>0</v>
      </c>
      <c r="BF185" s="55"/>
      <c r="BG185" s="56"/>
      <c r="BH185" s="611"/>
      <c r="BI185" s="611"/>
      <c r="BJ185" s="56">
        <v>0</v>
      </c>
      <c r="BK185" s="55"/>
      <c r="BL185" s="56"/>
      <c r="BM185" s="611"/>
      <c r="BN185" s="611"/>
      <c r="BO185" s="56">
        <v>0</v>
      </c>
      <c r="BP185" s="55"/>
      <c r="BQ185" s="56"/>
      <c r="BR185" s="611"/>
      <c r="BS185" s="611"/>
      <c r="BT185" s="56">
        <f>SUM(L185:BO185)</f>
        <v>0</v>
      </c>
      <c r="BU185" s="55"/>
      <c r="BV185" s="56"/>
      <c r="BW185" s="611"/>
      <c r="BX185" s="611"/>
      <c r="BY185" s="56">
        <v>0</v>
      </c>
      <c r="BZ185" s="55"/>
      <c r="CA185" s="56"/>
      <c r="CB185" s="611"/>
      <c r="CC185" s="611"/>
      <c r="CD185" s="56">
        <v>0</v>
      </c>
      <c r="CE185" s="55"/>
      <c r="CF185" s="56"/>
      <c r="CG185" s="611"/>
      <c r="CH185" s="611"/>
      <c r="CI185" s="56">
        <v>0</v>
      </c>
      <c r="CJ185" s="55"/>
      <c r="CK185" s="56"/>
      <c r="CL185" s="611"/>
      <c r="CM185" s="611"/>
      <c r="CN185" s="56">
        <v>0</v>
      </c>
      <c r="CO185" s="55"/>
      <c r="CP185" s="56"/>
      <c r="CQ185" s="611"/>
      <c r="CR185" s="611"/>
      <c r="CS185" s="56">
        <v>0</v>
      </c>
      <c r="CT185" s="55"/>
      <c r="CU185" s="56"/>
      <c r="CV185" s="611"/>
      <c r="CW185" s="611"/>
      <c r="CX185" s="56">
        <v>0</v>
      </c>
      <c r="CY185" s="55"/>
      <c r="CZ185" s="56"/>
      <c r="DA185" s="611"/>
      <c r="DB185" s="611"/>
      <c r="DC185" s="56">
        <v>0</v>
      </c>
      <c r="DD185" s="55"/>
      <c r="DE185" s="56"/>
      <c r="DF185" s="611"/>
      <c r="DG185" s="611"/>
      <c r="DH185" s="56">
        <v>0</v>
      </c>
      <c r="DI185" s="55"/>
      <c r="DJ185" s="56"/>
      <c r="DK185" s="611"/>
      <c r="DL185" s="611"/>
      <c r="DM185" s="56">
        <v>0</v>
      </c>
      <c r="DN185" s="55"/>
      <c r="DO185" s="56"/>
      <c r="DP185" s="611"/>
      <c r="DQ185" s="611"/>
      <c r="DR185" s="56">
        <v>0</v>
      </c>
      <c r="DS185" s="55"/>
      <c r="DT185" s="56"/>
      <c r="DU185" s="611"/>
      <c r="DV185" s="611"/>
      <c r="DW185" s="56">
        <v>0</v>
      </c>
      <c r="DX185" s="55"/>
      <c r="DY185" s="56"/>
      <c r="DZ185" s="611"/>
      <c r="EA185" s="611"/>
      <c r="EB185" s="56">
        <v>0</v>
      </c>
      <c r="EC185" s="55"/>
      <c r="ED185" s="56"/>
      <c r="EE185" s="611"/>
      <c r="EF185" s="611"/>
      <c r="EG185" s="56">
        <v>0</v>
      </c>
      <c r="EH185" s="55"/>
      <c r="EI185" s="56"/>
      <c r="EJ185" s="611"/>
      <c r="EK185" s="611"/>
      <c r="EL185" s="56">
        <f>SUM(CD185:EG185)</f>
        <v>0</v>
      </c>
      <c r="EM185" s="55"/>
      <c r="EN185" s="56"/>
      <c r="EO185" s="144"/>
      <c r="ER185" s="42"/>
      <c r="ES185" s="42"/>
    </row>
    <row r="186" spans="4:149" hidden="1" x14ac:dyDescent="0.3">
      <c r="D186" s="144" t="s">
        <v>340</v>
      </c>
      <c r="F186" s="513"/>
      <c r="G186" s="117">
        <v>0</v>
      </c>
      <c r="H186" s="116"/>
      <c r="I186" s="56"/>
      <c r="J186" s="611"/>
      <c r="K186" s="620"/>
      <c r="L186" s="117">
        <v>0</v>
      </c>
      <c r="M186" s="116"/>
      <c r="N186" s="56"/>
      <c r="O186" s="611"/>
      <c r="P186" s="620"/>
      <c r="Q186" s="117">
        <v>0</v>
      </c>
      <c r="R186" s="116"/>
      <c r="S186" s="56"/>
      <c r="T186" s="611"/>
      <c r="U186" s="620"/>
      <c r="V186" s="117">
        <v>0</v>
      </c>
      <c r="W186" s="116"/>
      <c r="X186" s="56"/>
      <c r="Y186" s="611"/>
      <c r="Z186" s="620"/>
      <c r="AA186" s="117">
        <v>0</v>
      </c>
      <c r="AB186" s="116"/>
      <c r="AC186" s="56"/>
      <c r="AD186" s="611"/>
      <c r="AE186" s="620"/>
      <c r="AF186" s="117">
        <v>0</v>
      </c>
      <c r="AG186" s="116"/>
      <c r="AH186" s="56"/>
      <c r="AI186" s="611"/>
      <c r="AJ186" s="620"/>
      <c r="AK186" s="117">
        <v>0</v>
      </c>
      <c r="AL186" s="116"/>
      <c r="AM186" s="56"/>
      <c r="AN186" s="611"/>
      <c r="AO186" s="620"/>
      <c r="AP186" s="117">
        <v>0</v>
      </c>
      <c r="AQ186" s="116"/>
      <c r="AR186" s="56"/>
      <c r="AS186" s="611"/>
      <c r="AT186" s="620"/>
      <c r="AU186" s="117">
        <v>0</v>
      </c>
      <c r="AV186" s="116"/>
      <c r="AW186" s="56"/>
      <c r="AX186" s="611"/>
      <c r="AY186" s="620"/>
      <c r="AZ186" s="117">
        <v>0</v>
      </c>
      <c r="BA186" s="116"/>
      <c r="BB186" s="56"/>
      <c r="BC186" s="611"/>
      <c r="BD186" s="620"/>
      <c r="BE186" s="117">
        <v>0</v>
      </c>
      <c r="BF186" s="116"/>
      <c r="BG186" s="56"/>
      <c r="BH186" s="611"/>
      <c r="BI186" s="620"/>
      <c r="BJ186" s="117">
        <v>0</v>
      </c>
      <c r="BK186" s="116"/>
      <c r="BL186" s="56"/>
      <c r="BM186" s="611"/>
      <c r="BN186" s="620"/>
      <c r="BO186" s="117">
        <v>0</v>
      </c>
      <c r="BP186" s="116"/>
      <c r="BQ186" s="56"/>
      <c r="BR186" s="611"/>
      <c r="BS186" s="620"/>
      <c r="BT186" s="117">
        <f>SUM(L186:BO186)</f>
        <v>0</v>
      </c>
      <c r="BU186" s="116"/>
      <c r="BV186" s="56"/>
      <c r="BW186" s="611"/>
      <c r="BX186" s="620"/>
      <c r="BY186" s="117">
        <v>0</v>
      </c>
      <c r="BZ186" s="116"/>
      <c r="CA186" s="56"/>
      <c r="CB186" s="611"/>
      <c r="CC186" s="620"/>
      <c r="CD186" s="117">
        <v>0</v>
      </c>
      <c r="CE186" s="116"/>
      <c r="CF186" s="56"/>
      <c r="CG186" s="611"/>
      <c r="CH186" s="620"/>
      <c r="CI186" s="117">
        <v>0</v>
      </c>
      <c r="CJ186" s="116"/>
      <c r="CK186" s="56"/>
      <c r="CL186" s="611"/>
      <c r="CM186" s="620"/>
      <c r="CN186" s="117">
        <v>0</v>
      </c>
      <c r="CO186" s="116"/>
      <c r="CP186" s="56"/>
      <c r="CQ186" s="611"/>
      <c r="CR186" s="620"/>
      <c r="CS186" s="117">
        <v>0</v>
      </c>
      <c r="CT186" s="116"/>
      <c r="CU186" s="56"/>
      <c r="CV186" s="611"/>
      <c r="CW186" s="620"/>
      <c r="CX186" s="117">
        <v>0</v>
      </c>
      <c r="CY186" s="116"/>
      <c r="CZ186" s="56"/>
      <c r="DA186" s="611"/>
      <c r="DB186" s="620"/>
      <c r="DC186" s="117">
        <v>0</v>
      </c>
      <c r="DD186" s="116"/>
      <c r="DE186" s="56"/>
      <c r="DF186" s="611"/>
      <c r="DG186" s="620"/>
      <c r="DH186" s="117">
        <v>0</v>
      </c>
      <c r="DI186" s="116"/>
      <c r="DJ186" s="56"/>
      <c r="DK186" s="611"/>
      <c r="DL186" s="620"/>
      <c r="DM186" s="117">
        <v>0</v>
      </c>
      <c r="DN186" s="116"/>
      <c r="DO186" s="56"/>
      <c r="DP186" s="611"/>
      <c r="DQ186" s="620"/>
      <c r="DR186" s="117">
        <v>0</v>
      </c>
      <c r="DS186" s="116"/>
      <c r="DT186" s="56"/>
      <c r="DU186" s="611"/>
      <c r="DV186" s="620"/>
      <c r="DW186" s="117">
        <v>0</v>
      </c>
      <c r="DX186" s="116"/>
      <c r="DY186" s="56"/>
      <c r="DZ186" s="611"/>
      <c r="EA186" s="620"/>
      <c r="EB186" s="117">
        <v>0</v>
      </c>
      <c r="EC186" s="116"/>
      <c r="ED186" s="56"/>
      <c r="EE186" s="611"/>
      <c r="EF186" s="620"/>
      <c r="EG186" s="117">
        <v>0</v>
      </c>
      <c r="EH186" s="116"/>
      <c r="EI186" s="56"/>
      <c r="EJ186" s="611"/>
      <c r="EK186" s="620"/>
      <c r="EL186" s="117">
        <f>SUM(CD186:EG186)</f>
        <v>0</v>
      </c>
      <c r="EM186" s="116"/>
      <c r="EN186" s="56"/>
      <c r="EO186" s="144"/>
      <c r="ER186" s="42"/>
      <c r="ES186" s="42"/>
    </row>
    <row r="187" spans="4:149" hidden="1" x14ac:dyDescent="0.3">
      <c r="D187" s="144"/>
      <c r="G187" s="56"/>
      <c r="H187" s="56"/>
      <c r="I187" s="56"/>
      <c r="J187" s="611"/>
      <c r="K187" s="56"/>
      <c r="L187" s="56"/>
      <c r="M187" s="56"/>
      <c r="N187" s="56"/>
      <c r="O187" s="611"/>
      <c r="P187" s="56"/>
      <c r="Q187" s="56"/>
      <c r="R187" s="56"/>
      <c r="S187" s="56"/>
      <c r="T187" s="611"/>
      <c r="U187" s="56"/>
      <c r="V187" s="56"/>
      <c r="W187" s="56"/>
      <c r="X187" s="56"/>
      <c r="Y187" s="611"/>
      <c r="Z187" s="56"/>
      <c r="AA187" s="56"/>
      <c r="AB187" s="56"/>
      <c r="AC187" s="56"/>
      <c r="AD187" s="611"/>
      <c r="AE187" s="56"/>
      <c r="AF187" s="56"/>
      <c r="AG187" s="56"/>
      <c r="AH187" s="56"/>
      <c r="AI187" s="611"/>
      <c r="AJ187" s="56"/>
      <c r="AK187" s="56"/>
      <c r="AL187" s="56"/>
      <c r="AM187" s="56"/>
      <c r="AN187" s="611"/>
      <c r="AO187" s="56"/>
      <c r="AP187" s="56"/>
      <c r="AQ187" s="56"/>
      <c r="AR187" s="56"/>
      <c r="AS187" s="611"/>
      <c r="AT187" s="56"/>
      <c r="AU187" s="56"/>
      <c r="AV187" s="56"/>
      <c r="AW187" s="56"/>
      <c r="AX187" s="611"/>
      <c r="AY187" s="56"/>
      <c r="AZ187" s="56"/>
      <c r="BA187" s="56"/>
      <c r="BB187" s="56"/>
      <c r="BC187" s="611"/>
      <c r="BD187" s="56"/>
      <c r="BE187" s="56"/>
      <c r="BF187" s="56"/>
      <c r="BG187" s="56"/>
      <c r="BH187" s="611"/>
      <c r="BI187" s="56"/>
      <c r="BJ187" s="56"/>
      <c r="BK187" s="56"/>
      <c r="BL187" s="56"/>
      <c r="BM187" s="611"/>
      <c r="BN187" s="56"/>
      <c r="BO187" s="56"/>
      <c r="BP187" s="56"/>
      <c r="BQ187" s="56"/>
      <c r="BR187" s="611"/>
      <c r="BS187" s="56"/>
      <c r="BT187" s="56"/>
      <c r="BU187" s="56"/>
      <c r="BV187" s="56"/>
      <c r="BW187" s="611"/>
      <c r="BX187" s="56"/>
      <c r="BY187" s="56"/>
      <c r="BZ187" s="56"/>
      <c r="CA187" s="56"/>
      <c r="CB187" s="611"/>
      <c r="CC187" s="56"/>
      <c r="CD187" s="56"/>
      <c r="CE187" s="56"/>
      <c r="CF187" s="56"/>
      <c r="CG187" s="611"/>
      <c r="CH187" s="56"/>
      <c r="CI187" s="56"/>
      <c r="CJ187" s="56"/>
      <c r="CK187" s="56"/>
      <c r="CL187" s="611"/>
      <c r="CM187" s="56"/>
      <c r="CN187" s="56"/>
      <c r="CO187" s="56"/>
      <c r="CP187" s="56"/>
      <c r="CQ187" s="611"/>
      <c r="CR187" s="56"/>
      <c r="CS187" s="56"/>
      <c r="CT187" s="56"/>
      <c r="CU187" s="56"/>
      <c r="CV187" s="611"/>
      <c r="CW187" s="56"/>
      <c r="CX187" s="56"/>
      <c r="CY187" s="56"/>
      <c r="CZ187" s="56"/>
      <c r="DA187" s="611"/>
      <c r="DB187" s="56"/>
      <c r="DC187" s="56"/>
      <c r="DD187" s="56"/>
      <c r="DE187" s="56"/>
      <c r="DF187" s="611"/>
      <c r="DG187" s="56"/>
      <c r="DH187" s="56"/>
      <c r="DI187" s="56"/>
      <c r="DJ187" s="56"/>
      <c r="DK187" s="611"/>
      <c r="DL187" s="56"/>
      <c r="DM187" s="56"/>
      <c r="DN187" s="56"/>
      <c r="DO187" s="56"/>
      <c r="DP187" s="611"/>
      <c r="DQ187" s="56"/>
      <c r="DR187" s="56"/>
      <c r="DS187" s="56"/>
      <c r="DT187" s="56"/>
      <c r="DU187" s="611"/>
      <c r="DV187" s="56"/>
      <c r="DW187" s="56"/>
      <c r="DX187" s="56"/>
      <c r="DY187" s="56"/>
      <c r="DZ187" s="611"/>
      <c r="EA187" s="56"/>
      <c r="EB187" s="56"/>
      <c r="EC187" s="56"/>
      <c r="ED187" s="56"/>
      <c r="EE187" s="611"/>
      <c r="EF187" s="56"/>
      <c r="EG187" s="56"/>
      <c r="EH187" s="56"/>
      <c r="EI187" s="56"/>
      <c r="EJ187" s="611"/>
      <c r="EK187" s="56"/>
      <c r="EL187" s="56"/>
      <c r="EM187" s="56"/>
      <c r="EN187" s="56"/>
      <c r="EO187" s="144"/>
      <c r="ER187" s="42"/>
      <c r="ES187" s="42"/>
    </row>
    <row r="188" spans="4:149" hidden="1" x14ac:dyDescent="0.3">
      <c r="D188" s="144" t="s">
        <v>341</v>
      </c>
      <c r="G188" s="56">
        <f>SUM(G189:G192)</f>
        <v>0</v>
      </c>
      <c r="H188" s="56"/>
      <c r="I188" s="56"/>
      <c r="J188" s="611"/>
      <c r="K188" s="56"/>
      <c r="L188" s="56">
        <f>SUM(L189:L192)</f>
        <v>0</v>
      </c>
      <c r="M188" s="56"/>
      <c r="N188" s="56"/>
      <c r="O188" s="611"/>
      <c r="P188" s="56"/>
      <c r="Q188" s="56">
        <f>SUM(Q189:Q192)</f>
        <v>0</v>
      </c>
      <c r="R188" s="56"/>
      <c r="S188" s="56"/>
      <c r="T188" s="611"/>
      <c r="U188" s="56"/>
      <c r="V188" s="56">
        <f>SUM(V189:V192)</f>
        <v>0</v>
      </c>
      <c r="W188" s="56"/>
      <c r="X188" s="56"/>
      <c r="Y188" s="611"/>
      <c r="Z188" s="56"/>
      <c r="AA188" s="56">
        <f>SUM(AA189:AA192)</f>
        <v>0</v>
      </c>
      <c r="AB188" s="56"/>
      <c r="AC188" s="56"/>
      <c r="AD188" s="611"/>
      <c r="AE188" s="56"/>
      <c r="AF188" s="56">
        <f>SUM(AF189:AF192)</f>
        <v>0</v>
      </c>
      <c r="AG188" s="56"/>
      <c r="AH188" s="56"/>
      <c r="AI188" s="611"/>
      <c r="AJ188" s="56"/>
      <c r="AK188" s="56">
        <f>SUM(AK189:AK192)</f>
        <v>0</v>
      </c>
      <c r="AL188" s="56"/>
      <c r="AM188" s="56"/>
      <c r="AN188" s="611"/>
      <c r="AO188" s="56"/>
      <c r="AP188" s="56">
        <f>SUM(AP189:AP192)</f>
        <v>0</v>
      </c>
      <c r="AQ188" s="56"/>
      <c r="AR188" s="56"/>
      <c r="AS188" s="611"/>
      <c r="AT188" s="56"/>
      <c r="AU188" s="56">
        <f>SUM(AU189:AU192)</f>
        <v>0</v>
      </c>
      <c r="AV188" s="56"/>
      <c r="AW188" s="56"/>
      <c r="AX188" s="611"/>
      <c r="AY188" s="56"/>
      <c r="AZ188" s="56">
        <f>SUM(AZ189:AZ192)</f>
        <v>0</v>
      </c>
      <c r="BA188" s="56"/>
      <c r="BB188" s="56"/>
      <c r="BC188" s="611"/>
      <c r="BD188" s="56"/>
      <c r="BE188" s="56">
        <f>SUM(BE189:BE192)</f>
        <v>0</v>
      </c>
      <c r="BF188" s="56"/>
      <c r="BG188" s="56"/>
      <c r="BH188" s="611"/>
      <c r="BI188" s="56"/>
      <c r="BJ188" s="56">
        <f>SUM(BJ189:BJ192)</f>
        <v>0</v>
      </c>
      <c r="BK188" s="56"/>
      <c r="BL188" s="56"/>
      <c r="BM188" s="611"/>
      <c r="BN188" s="56"/>
      <c r="BO188" s="56">
        <f>SUM(BO189:BO192)</f>
        <v>0</v>
      </c>
      <c r="BP188" s="56"/>
      <c r="BQ188" s="56"/>
      <c r="BR188" s="611"/>
      <c r="BS188" s="56"/>
      <c r="BT188" s="56">
        <f>SUM(BT189:BT192)</f>
        <v>0</v>
      </c>
      <c r="BU188" s="56"/>
      <c r="BV188" s="56"/>
      <c r="BW188" s="611"/>
      <c r="BX188" s="56"/>
      <c r="BY188" s="56">
        <f>SUM(BY189:BY192)</f>
        <v>0</v>
      </c>
      <c r="BZ188" s="56"/>
      <c r="CA188" s="56"/>
      <c r="CB188" s="611"/>
      <c r="CC188" s="56"/>
      <c r="CD188" s="56">
        <f>SUM(CD189:CD192)</f>
        <v>0</v>
      </c>
      <c r="CE188" s="56"/>
      <c r="CF188" s="56"/>
      <c r="CG188" s="611"/>
      <c r="CH188" s="56"/>
      <c r="CI188" s="56">
        <f>SUM(CI189:CI192)</f>
        <v>0</v>
      </c>
      <c r="CJ188" s="56"/>
      <c r="CK188" s="56"/>
      <c r="CL188" s="611"/>
      <c r="CM188" s="56"/>
      <c r="CN188" s="56">
        <f>SUM(CN189:CN192)</f>
        <v>0</v>
      </c>
      <c r="CO188" s="56"/>
      <c r="CP188" s="56"/>
      <c r="CQ188" s="611"/>
      <c r="CR188" s="56"/>
      <c r="CS188" s="56">
        <f>SUM(CS189:CS192)</f>
        <v>0</v>
      </c>
      <c r="CT188" s="56"/>
      <c r="CU188" s="56"/>
      <c r="CV188" s="611"/>
      <c r="CW188" s="56"/>
      <c r="CX188" s="56">
        <f>SUM(CX189:CX192)</f>
        <v>0</v>
      </c>
      <c r="CY188" s="56"/>
      <c r="CZ188" s="56"/>
      <c r="DA188" s="611"/>
      <c r="DB188" s="56"/>
      <c r="DC188" s="56">
        <f>SUM(DC189:DC192)</f>
        <v>0</v>
      </c>
      <c r="DD188" s="56"/>
      <c r="DE188" s="56"/>
      <c r="DF188" s="611"/>
      <c r="DG188" s="56"/>
      <c r="DH188" s="56">
        <f>SUM(DH189:DH192)</f>
        <v>0</v>
      </c>
      <c r="DI188" s="56"/>
      <c r="DJ188" s="56"/>
      <c r="DK188" s="611"/>
      <c r="DL188" s="56"/>
      <c r="DM188" s="56">
        <f>SUM(DM189:DM192)</f>
        <v>0</v>
      </c>
      <c r="DN188" s="56"/>
      <c r="DO188" s="56"/>
      <c r="DP188" s="611"/>
      <c r="DQ188" s="56"/>
      <c r="DR188" s="56">
        <f>SUM(DR189:DR192)</f>
        <v>0</v>
      </c>
      <c r="DS188" s="56"/>
      <c r="DT188" s="56"/>
      <c r="DU188" s="611"/>
      <c r="DV188" s="56"/>
      <c r="DW188" s="56">
        <f>SUM(DW189:DW192)</f>
        <v>0</v>
      </c>
      <c r="DX188" s="56"/>
      <c r="DY188" s="56"/>
      <c r="DZ188" s="611"/>
      <c r="EA188" s="56"/>
      <c r="EB188" s="56">
        <f>SUM(EB189:EB192)</f>
        <v>0</v>
      </c>
      <c r="EC188" s="56"/>
      <c r="ED188" s="56"/>
      <c r="EE188" s="611"/>
      <c r="EF188" s="56"/>
      <c r="EG188" s="56">
        <f>SUM(EG189:EG192)</f>
        <v>0</v>
      </c>
      <c r="EH188" s="56"/>
      <c r="EI188" s="56"/>
      <c r="EJ188" s="611"/>
      <c r="EK188" s="56"/>
      <c r="EL188" s="56">
        <f>SUM(EL189:EL192)</f>
        <v>0</v>
      </c>
      <c r="EM188" s="56"/>
      <c r="EN188" s="56"/>
      <c r="EO188" s="144"/>
      <c r="ER188" s="42"/>
      <c r="ES188" s="42"/>
    </row>
    <row r="189" spans="4:149" hidden="1" x14ac:dyDescent="0.3">
      <c r="D189" s="144" t="s">
        <v>335</v>
      </c>
      <c r="F189" s="500"/>
      <c r="G189" s="609">
        <v>0</v>
      </c>
      <c r="H189" s="610"/>
      <c r="I189" s="56"/>
      <c r="J189" s="611"/>
      <c r="K189" s="612"/>
      <c r="L189" s="609">
        <v>0</v>
      </c>
      <c r="M189" s="610"/>
      <c r="N189" s="56"/>
      <c r="O189" s="611"/>
      <c r="P189" s="612"/>
      <c r="Q189" s="609">
        <v>0</v>
      </c>
      <c r="R189" s="610"/>
      <c r="S189" s="56"/>
      <c r="T189" s="611"/>
      <c r="U189" s="612"/>
      <c r="V189" s="609">
        <v>0</v>
      </c>
      <c r="W189" s="610"/>
      <c r="X189" s="56"/>
      <c r="Y189" s="611"/>
      <c r="Z189" s="612"/>
      <c r="AA189" s="609">
        <v>0</v>
      </c>
      <c r="AB189" s="610"/>
      <c r="AC189" s="56"/>
      <c r="AD189" s="611"/>
      <c r="AE189" s="612"/>
      <c r="AF189" s="609">
        <v>0</v>
      </c>
      <c r="AG189" s="610"/>
      <c r="AH189" s="56"/>
      <c r="AI189" s="611"/>
      <c r="AJ189" s="612"/>
      <c r="AK189" s="609">
        <v>0</v>
      </c>
      <c r="AL189" s="610"/>
      <c r="AM189" s="56"/>
      <c r="AN189" s="611"/>
      <c r="AO189" s="612"/>
      <c r="AP189" s="609">
        <v>0</v>
      </c>
      <c r="AQ189" s="610"/>
      <c r="AR189" s="56"/>
      <c r="AS189" s="611"/>
      <c r="AT189" s="612"/>
      <c r="AU189" s="609">
        <v>0</v>
      </c>
      <c r="AV189" s="610"/>
      <c r="AW189" s="56"/>
      <c r="AX189" s="611"/>
      <c r="AY189" s="612"/>
      <c r="AZ189" s="609">
        <v>0</v>
      </c>
      <c r="BA189" s="610"/>
      <c r="BB189" s="56"/>
      <c r="BC189" s="611"/>
      <c r="BD189" s="612"/>
      <c r="BE189" s="609">
        <v>0</v>
      </c>
      <c r="BF189" s="610"/>
      <c r="BG189" s="56"/>
      <c r="BH189" s="611"/>
      <c r="BI189" s="612"/>
      <c r="BJ189" s="609">
        <v>0</v>
      </c>
      <c r="BK189" s="610"/>
      <c r="BL189" s="56"/>
      <c r="BM189" s="611"/>
      <c r="BN189" s="612"/>
      <c r="BO189" s="609">
        <v>0</v>
      </c>
      <c r="BP189" s="610"/>
      <c r="BQ189" s="56"/>
      <c r="BR189" s="611"/>
      <c r="BS189" s="612"/>
      <c r="BT189" s="609">
        <f>SUM(L189:BO189)</f>
        <v>0</v>
      </c>
      <c r="BU189" s="610"/>
      <c r="BV189" s="56"/>
      <c r="BW189" s="611"/>
      <c r="BX189" s="612"/>
      <c r="BY189" s="609">
        <v>0</v>
      </c>
      <c r="BZ189" s="610"/>
      <c r="CA189" s="56"/>
      <c r="CB189" s="611"/>
      <c r="CC189" s="612"/>
      <c r="CD189" s="609">
        <v>0</v>
      </c>
      <c r="CE189" s="610"/>
      <c r="CF189" s="56"/>
      <c r="CG189" s="611"/>
      <c r="CH189" s="612"/>
      <c r="CI189" s="609">
        <v>0</v>
      </c>
      <c r="CJ189" s="610"/>
      <c r="CK189" s="56"/>
      <c r="CL189" s="611"/>
      <c r="CM189" s="612"/>
      <c r="CN189" s="609">
        <v>0</v>
      </c>
      <c r="CO189" s="610"/>
      <c r="CP189" s="56"/>
      <c r="CQ189" s="611"/>
      <c r="CR189" s="612"/>
      <c r="CS189" s="609">
        <v>0</v>
      </c>
      <c r="CT189" s="610"/>
      <c r="CU189" s="56"/>
      <c r="CV189" s="611"/>
      <c r="CW189" s="612"/>
      <c r="CX189" s="609">
        <v>0</v>
      </c>
      <c r="CY189" s="610"/>
      <c r="CZ189" s="56"/>
      <c r="DA189" s="611"/>
      <c r="DB189" s="612"/>
      <c r="DC189" s="609">
        <v>0</v>
      </c>
      <c r="DD189" s="610"/>
      <c r="DE189" s="56"/>
      <c r="DF189" s="611"/>
      <c r="DG189" s="612"/>
      <c r="DH189" s="609">
        <v>0</v>
      </c>
      <c r="DI189" s="610"/>
      <c r="DJ189" s="56"/>
      <c r="DK189" s="611"/>
      <c r="DL189" s="612"/>
      <c r="DM189" s="609">
        <v>0</v>
      </c>
      <c r="DN189" s="610"/>
      <c r="DO189" s="56"/>
      <c r="DP189" s="611"/>
      <c r="DQ189" s="612"/>
      <c r="DR189" s="609">
        <v>0</v>
      </c>
      <c r="DS189" s="610"/>
      <c r="DT189" s="56"/>
      <c r="DU189" s="611"/>
      <c r="DV189" s="612"/>
      <c r="DW189" s="609">
        <v>0</v>
      </c>
      <c r="DX189" s="610"/>
      <c r="DY189" s="56"/>
      <c r="DZ189" s="611"/>
      <c r="EA189" s="612"/>
      <c r="EB189" s="609">
        <v>0</v>
      </c>
      <c r="EC189" s="610"/>
      <c r="ED189" s="56"/>
      <c r="EE189" s="611"/>
      <c r="EF189" s="612"/>
      <c r="EG189" s="609">
        <v>0</v>
      </c>
      <c r="EH189" s="610"/>
      <c r="EI189" s="56"/>
      <c r="EJ189" s="611"/>
      <c r="EK189" s="612"/>
      <c r="EL189" s="609">
        <f>SUM(CD189:EG189)</f>
        <v>0</v>
      </c>
      <c r="EM189" s="610"/>
      <c r="EN189" s="56"/>
      <c r="EO189" s="144"/>
      <c r="ER189" s="42"/>
      <c r="ES189" s="42"/>
    </row>
    <row r="190" spans="4:149" hidden="1" x14ac:dyDescent="0.3">
      <c r="D190" s="144" t="s">
        <v>338</v>
      </c>
      <c r="F190" s="494"/>
      <c r="G190" s="56">
        <v>0</v>
      </c>
      <c r="H190" s="55"/>
      <c r="I190" s="56"/>
      <c r="J190" s="611"/>
      <c r="K190" s="611"/>
      <c r="L190" s="56">
        <v>0</v>
      </c>
      <c r="M190" s="55"/>
      <c r="N190" s="56"/>
      <c r="O190" s="611"/>
      <c r="P190" s="611"/>
      <c r="Q190" s="56">
        <v>0</v>
      </c>
      <c r="R190" s="55"/>
      <c r="S190" s="56"/>
      <c r="T190" s="611"/>
      <c r="U190" s="611"/>
      <c r="V190" s="56">
        <v>0</v>
      </c>
      <c r="W190" s="55"/>
      <c r="X190" s="56"/>
      <c r="Y190" s="611"/>
      <c r="Z190" s="611"/>
      <c r="AA190" s="56">
        <v>0</v>
      </c>
      <c r="AB190" s="55"/>
      <c r="AC190" s="56"/>
      <c r="AD190" s="611"/>
      <c r="AE190" s="611"/>
      <c r="AF190" s="56">
        <v>0</v>
      </c>
      <c r="AG190" s="55"/>
      <c r="AH190" s="56"/>
      <c r="AI190" s="611"/>
      <c r="AJ190" s="611"/>
      <c r="AK190" s="56">
        <v>0</v>
      </c>
      <c r="AL190" s="55"/>
      <c r="AM190" s="56"/>
      <c r="AN190" s="611"/>
      <c r="AO190" s="611"/>
      <c r="AP190" s="56">
        <v>0</v>
      </c>
      <c r="AQ190" s="55"/>
      <c r="AR190" s="56"/>
      <c r="AS190" s="611"/>
      <c r="AT190" s="611"/>
      <c r="AU190" s="56">
        <v>0</v>
      </c>
      <c r="AV190" s="55"/>
      <c r="AW190" s="56"/>
      <c r="AX190" s="611"/>
      <c r="AY190" s="611"/>
      <c r="AZ190" s="56">
        <v>0</v>
      </c>
      <c r="BA190" s="55"/>
      <c r="BB190" s="56"/>
      <c r="BC190" s="611"/>
      <c r="BD190" s="611"/>
      <c r="BE190" s="56">
        <v>0</v>
      </c>
      <c r="BF190" s="55"/>
      <c r="BG190" s="56"/>
      <c r="BH190" s="611"/>
      <c r="BI190" s="611"/>
      <c r="BJ190" s="56">
        <v>0</v>
      </c>
      <c r="BK190" s="55"/>
      <c r="BL190" s="56"/>
      <c r="BM190" s="611"/>
      <c r="BN190" s="611"/>
      <c r="BO190" s="56">
        <v>0</v>
      </c>
      <c r="BP190" s="55"/>
      <c r="BQ190" s="56"/>
      <c r="BR190" s="611"/>
      <c r="BS190" s="611"/>
      <c r="BT190" s="56">
        <f>SUM(L190:BO190)</f>
        <v>0</v>
      </c>
      <c r="BU190" s="55"/>
      <c r="BV190" s="56"/>
      <c r="BW190" s="611"/>
      <c r="BX190" s="611"/>
      <c r="BY190" s="56">
        <v>0</v>
      </c>
      <c r="BZ190" s="55"/>
      <c r="CA190" s="56"/>
      <c r="CB190" s="611"/>
      <c r="CC190" s="611"/>
      <c r="CD190" s="56">
        <v>0</v>
      </c>
      <c r="CE190" s="55"/>
      <c r="CF190" s="56"/>
      <c r="CG190" s="611"/>
      <c r="CH190" s="611"/>
      <c r="CI190" s="56">
        <v>0</v>
      </c>
      <c r="CJ190" s="55"/>
      <c r="CK190" s="56"/>
      <c r="CL190" s="611"/>
      <c r="CM190" s="611"/>
      <c r="CN190" s="56">
        <v>0</v>
      </c>
      <c r="CO190" s="55"/>
      <c r="CP190" s="56"/>
      <c r="CQ190" s="611"/>
      <c r="CR190" s="611"/>
      <c r="CS190" s="56">
        <v>0</v>
      </c>
      <c r="CT190" s="55"/>
      <c r="CU190" s="56"/>
      <c r="CV190" s="611"/>
      <c r="CW190" s="611"/>
      <c r="CX190" s="56">
        <v>0</v>
      </c>
      <c r="CY190" s="55"/>
      <c r="CZ190" s="56"/>
      <c r="DA190" s="611"/>
      <c r="DB190" s="611"/>
      <c r="DC190" s="56">
        <v>0</v>
      </c>
      <c r="DD190" s="55"/>
      <c r="DE190" s="56"/>
      <c r="DF190" s="611"/>
      <c r="DG190" s="611"/>
      <c r="DH190" s="56">
        <v>0</v>
      </c>
      <c r="DI190" s="55"/>
      <c r="DJ190" s="56"/>
      <c r="DK190" s="611"/>
      <c r="DL190" s="611"/>
      <c r="DM190" s="56">
        <v>0</v>
      </c>
      <c r="DN190" s="55"/>
      <c r="DO190" s="56"/>
      <c r="DP190" s="611"/>
      <c r="DQ190" s="611"/>
      <c r="DR190" s="56">
        <v>0</v>
      </c>
      <c r="DS190" s="55"/>
      <c r="DT190" s="56"/>
      <c r="DU190" s="611"/>
      <c r="DV190" s="611"/>
      <c r="DW190" s="56">
        <v>0</v>
      </c>
      <c r="DX190" s="55"/>
      <c r="DY190" s="56"/>
      <c r="DZ190" s="611"/>
      <c r="EA190" s="611"/>
      <c r="EB190" s="56">
        <v>0</v>
      </c>
      <c r="EC190" s="55"/>
      <c r="ED190" s="56"/>
      <c r="EE190" s="611"/>
      <c r="EF190" s="611"/>
      <c r="EG190" s="56">
        <v>0</v>
      </c>
      <c r="EH190" s="55"/>
      <c r="EI190" s="56"/>
      <c r="EJ190" s="611"/>
      <c r="EK190" s="611"/>
      <c r="EL190" s="56">
        <f>SUM(CD190:EG190)</f>
        <v>0</v>
      </c>
      <c r="EM190" s="55"/>
      <c r="EN190" s="56"/>
      <c r="EO190" s="144"/>
      <c r="ER190" s="42"/>
      <c r="ES190" s="42"/>
    </row>
    <row r="191" spans="4:149" hidden="1" x14ac:dyDescent="0.3">
      <c r="D191" s="144" t="s">
        <v>339</v>
      </c>
      <c r="F191" s="494"/>
      <c r="G191" s="56">
        <v>0</v>
      </c>
      <c r="H191" s="55"/>
      <c r="I191" s="56"/>
      <c r="J191" s="611"/>
      <c r="K191" s="611"/>
      <c r="L191" s="56">
        <v>0</v>
      </c>
      <c r="M191" s="55"/>
      <c r="N191" s="56"/>
      <c r="O191" s="611"/>
      <c r="P191" s="611"/>
      <c r="Q191" s="56">
        <v>0</v>
      </c>
      <c r="R191" s="55"/>
      <c r="S191" s="56"/>
      <c r="T191" s="611"/>
      <c r="U191" s="611"/>
      <c r="V191" s="56">
        <v>0</v>
      </c>
      <c r="W191" s="55"/>
      <c r="X191" s="56"/>
      <c r="Y191" s="611"/>
      <c r="Z191" s="611"/>
      <c r="AA191" s="56">
        <v>0</v>
      </c>
      <c r="AB191" s="55"/>
      <c r="AC191" s="56"/>
      <c r="AD191" s="611"/>
      <c r="AE191" s="611"/>
      <c r="AF191" s="56">
        <v>0</v>
      </c>
      <c r="AG191" s="55"/>
      <c r="AH191" s="56"/>
      <c r="AI191" s="611"/>
      <c r="AJ191" s="611"/>
      <c r="AK191" s="56">
        <v>0</v>
      </c>
      <c r="AL191" s="55"/>
      <c r="AM191" s="56"/>
      <c r="AN191" s="611"/>
      <c r="AO191" s="611"/>
      <c r="AP191" s="56">
        <v>0</v>
      </c>
      <c r="AQ191" s="55"/>
      <c r="AR191" s="56"/>
      <c r="AS191" s="611"/>
      <c r="AT191" s="611"/>
      <c r="AU191" s="56">
        <v>0</v>
      </c>
      <c r="AV191" s="55"/>
      <c r="AW191" s="56"/>
      <c r="AX191" s="611"/>
      <c r="AY191" s="611"/>
      <c r="AZ191" s="56">
        <v>0</v>
      </c>
      <c r="BA191" s="55"/>
      <c r="BB191" s="56"/>
      <c r="BC191" s="611"/>
      <c r="BD191" s="611"/>
      <c r="BE191" s="56">
        <v>0</v>
      </c>
      <c r="BF191" s="55"/>
      <c r="BG191" s="56"/>
      <c r="BH191" s="611"/>
      <c r="BI191" s="611"/>
      <c r="BJ191" s="56">
        <v>0</v>
      </c>
      <c r="BK191" s="55"/>
      <c r="BL191" s="56"/>
      <c r="BM191" s="611"/>
      <c r="BN191" s="611"/>
      <c r="BO191" s="56">
        <v>0</v>
      </c>
      <c r="BP191" s="55"/>
      <c r="BQ191" s="56"/>
      <c r="BR191" s="611"/>
      <c r="BS191" s="611"/>
      <c r="BT191" s="56">
        <f>SUM(L191:BO191)</f>
        <v>0</v>
      </c>
      <c r="BU191" s="55"/>
      <c r="BV191" s="56"/>
      <c r="BW191" s="611"/>
      <c r="BX191" s="611"/>
      <c r="BY191" s="56">
        <v>0</v>
      </c>
      <c r="BZ191" s="55"/>
      <c r="CA191" s="56"/>
      <c r="CB191" s="611"/>
      <c r="CC191" s="611"/>
      <c r="CD191" s="56">
        <v>0</v>
      </c>
      <c r="CE191" s="55"/>
      <c r="CF191" s="56"/>
      <c r="CG191" s="611"/>
      <c r="CH191" s="611"/>
      <c r="CI191" s="56">
        <v>0</v>
      </c>
      <c r="CJ191" s="55"/>
      <c r="CK191" s="56"/>
      <c r="CL191" s="611"/>
      <c r="CM191" s="611"/>
      <c r="CN191" s="56">
        <v>0</v>
      </c>
      <c r="CO191" s="55"/>
      <c r="CP191" s="56"/>
      <c r="CQ191" s="611"/>
      <c r="CR191" s="611"/>
      <c r="CS191" s="56">
        <v>0</v>
      </c>
      <c r="CT191" s="55"/>
      <c r="CU191" s="56"/>
      <c r="CV191" s="611"/>
      <c r="CW191" s="611"/>
      <c r="CX191" s="56">
        <v>0</v>
      </c>
      <c r="CY191" s="55"/>
      <c r="CZ191" s="56"/>
      <c r="DA191" s="611"/>
      <c r="DB191" s="611"/>
      <c r="DC191" s="56">
        <v>0</v>
      </c>
      <c r="DD191" s="55"/>
      <c r="DE191" s="56"/>
      <c r="DF191" s="611"/>
      <c r="DG191" s="611"/>
      <c r="DH191" s="56">
        <v>0</v>
      </c>
      <c r="DI191" s="55"/>
      <c r="DJ191" s="56"/>
      <c r="DK191" s="611"/>
      <c r="DL191" s="611"/>
      <c r="DM191" s="56">
        <v>0</v>
      </c>
      <c r="DN191" s="55"/>
      <c r="DO191" s="56"/>
      <c r="DP191" s="611"/>
      <c r="DQ191" s="611"/>
      <c r="DR191" s="56">
        <v>0</v>
      </c>
      <c r="DS191" s="55"/>
      <c r="DT191" s="56"/>
      <c r="DU191" s="611"/>
      <c r="DV191" s="611"/>
      <c r="DW191" s="56">
        <v>0</v>
      </c>
      <c r="DX191" s="55"/>
      <c r="DY191" s="56"/>
      <c r="DZ191" s="611"/>
      <c r="EA191" s="611"/>
      <c r="EB191" s="56">
        <v>0</v>
      </c>
      <c r="EC191" s="55"/>
      <c r="ED191" s="56"/>
      <c r="EE191" s="611"/>
      <c r="EF191" s="611"/>
      <c r="EG191" s="56">
        <v>0</v>
      </c>
      <c r="EH191" s="55"/>
      <c r="EI191" s="56"/>
      <c r="EJ191" s="611"/>
      <c r="EK191" s="611"/>
      <c r="EL191" s="56">
        <f>SUM(CD191:EG191)</f>
        <v>0</v>
      </c>
      <c r="EM191" s="55"/>
      <c r="EN191" s="56"/>
      <c r="EO191" s="144"/>
      <c r="ER191" s="42"/>
      <c r="ES191" s="42"/>
    </row>
    <row r="192" spans="4:149" hidden="1" x14ac:dyDescent="0.3">
      <c r="D192" s="144" t="s">
        <v>340</v>
      </c>
      <c r="F192" s="513"/>
      <c r="G192" s="117">
        <v>0</v>
      </c>
      <c r="H192" s="116"/>
      <c r="I192" s="56"/>
      <c r="J192" s="611"/>
      <c r="K192" s="620"/>
      <c r="L192" s="117">
        <v>0</v>
      </c>
      <c r="M192" s="116"/>
      <c r="N192" s="56"/>
      <c r="O192" s="611"/>
      <c r="P192" s="620"/>
      <c r="Q192" s="117">
        <v>0</v>
      </c>
      <c r="R192" s="116"/>
      <c r="S192" s="56"/>
      <c r="T192" s="611"/>
      <c r="U192" s="620"/>
      <c r="V192" s="117">
        <v>0</v>
      </c>
      <c r="W192" s="116"/>
      <c r="X192" s="56"/>
      <c r="Y192" s="611"/>
      <c r="Z192" s="620"/>
      <c r="AA192" s="117">
        <v>0</v>
      </c>
      <c r="AB192" s="116"/>
      <c r="AC192" s="56"/>
      <c r="AD192" s="611"/>
      <c r="AE192" s="620"/>
      <c r="AF192" s="117">
        <v>0</v>
      </c>
      <c r="AG192" s="116"/>
      <c r="AH192" s="56"/>
      <c r="AI192" s="611"/>
      <c r="AJ192" s="620"/>
      <c r="AK192" s="117">
        <v>0</v>
      </c>
      <c r="AL192" s="116"/>
      <c r="AM192" s="56"/>
      <c r="AN192" s="611"/>
      <c r="AO192" s="620"/>
      <c r="AP192" s="117">
        <v>0</v>
      </c>
      <c r="AQ192" s="116"/>
      <c r="AR192" s="56"/>
      <c r="AS192" s="611"/>
      <c r="AT192" s="620"/>
      <c r="AU192" s="117">
        <v>0</v>
      </c>
      <c r="AV192" s="116"/>
      <c r="AW192" s="56"/>
      <c r="AX192" s="611"/>
      <c r="AY192" s="620"/>
      <c r="AZ192" s="117">
        <v>0</v>
      </c>
      <c r="BA192" s="116"/>
      <c r="BB192" s="56"/>
      <c r="BC192" s="611"/>
      <c r="BD192" s="620"/>
      <c r="BE192" s="117">
        <v>0</v>
      </c>
      <c r="BF192" s="116"/>
      <c r="BG192" s="56"/>
      <c r="BH192" s="611"/>
      <c r="BI192" s="620"/>
      <c r="BJ192" s="117">
        <v>0</v>
      </c>
      <c r="BK192" s="116"/>
      <c r="BL192" s="56"/>
      <c r="BM192" s="611"/>
      <c r="BN192" s="620"/>
      <c r="BO192" s="117">
        <v>0</v>
      </c>
      <c r="BP192" s="116"/>
      <c r="BQ192" s="56"/>
      <c r="BR192" s="611"/>
      <c r="BS192" s="620"/>
      <c r="BT192" s="117">
        <f>SUM(L192:BO192)</f>
        <v>0</v>
      </c>
      <c r="BU192" s="116"/>
      <c r="BV192" s="56"/>
      <c r="BW192" s="611"/>
      <c r="BX192" s="620"/>
      <c r="BY192" s="117">
        <v>0</v>
      </c>
      <c r="BZ192" s="116"/>
      <c r="CA192" s="56"/>
      <c r="CB192" s="611"/>
      <c r="CC192" s="620"/>
      <c r="CD192" s="117">
        <v>0</v>
      </c>
      <c r="CE192" s="116"/>
      <c r="CF192" s="56"/>
      <c r="CG192" s="611"/>
      <c r="CH192" s="620"/>
      <c r="CI192" s="117">
        <v>0</v>
      </c>
      <c r="CJ192" s="116"/>
      <c r="CK192" s="56"/>
      <c r="CL192" s="611"/>
      <c r="CM192" s="620"/>
      <c r="CN192" s="117">
        <v>0</v>
      </c>
      <c r="CO192" s="116"/>
      <c r="CP192" s="56"/>
      <c r="CQ192" s="611"/>
      <c r="CR192" s="620"/>
      <c r="CS192" s="117">
        <v>0</v>
      </c>
      <c r="CT192" s="116"/>
      <c r="CU192" s="56"/>
      <c r="CV192" s="611"/>
      <c r="CW192" s="620"/>
      <c r="CX192" s="117">
        <v>0</v>
      </c>
      <c r="CY192" s="116"/>
      <c r="CZ192" s="56"/>
      <c r="DA192" s="611"/>
      <c r="DB192" s="620"/>
      <c r="DC192" s="117">
        <v>0</v>
      </c>
      <c r="DD192" s="116"/>
      <c r="DE192" s="56"/>
      <c r="DF192" s="611"/>
      <c r="DG192" s="620"/>
      <c r="DH192" s="117">
        <v>0</v>
      </c>
      <c r="DI192" s="116"/>
      <c r="DJ192" s="56"/>
      <c r="DK192" s="611"/>
      <c r="DL192" s="620"/>
      <c r="DM192" s="117">
        <v>0</v>
      </c>
      <c r="DN192" s="116"/>
      <c r="DO192" s="56"/>
      <c r="DP192" s="611"/>
      <c r="DQ192" s="620"/>
      <c r="DR192" s="117">
        <v>0</v>
      </c>
      <c r="DS192" s="116"/>
      <c r="DT192" s="56"/>
      <c r="DU192" s="611"/>
      <c r="DV192" s="620"/>
      <c r="DW192" s="117">
        <v>0</v>
      </c>
      <c r="DX192" s="116"/>
      <c r="DY192" s="56"/>
      <c r="DZ192" s="611"/>
      <c r="EA192" s="620"/>
      <c r="EB192" s="117">
        <v>0</v>
      </c>
      <c r="EC192" s="116"/>
      <c r="ED192" s="56"/>
      <c r="EE192" s="611"/>
      <c r="EF192" s="620"/>
      <c r="EG192" s="117">
        <v>0</v>
      </c>
      <c r="EH192" s="116"/>
      <c r="EI192" s="56"/>
      <c r="EJ192" s="611"/>
      <c r="EK192" s="620"/>
      <c r="EL192" s="117">
        <f>SUM(CD192:EG192)</f>
        <v>0</v>
      </c>
      <c r="EM192" s="116"/>
      <c r="EN192" s="56"/>
      <c r="EO192" s="144"/>
      <c r="ER192" s="42"/>
      <c r="ES192" s="42"/>
    </row>
    <row r="193" spans="4:149" ht="12.75" hidden="1" customHeight="1" x14ac:dyDescent="0.3">
      <c r="D193" s="144"/>
      <c r="E193" s="635"/>
      <c r="F193" s="272"/>
      <c r="G193" s="56"/>
      <c r="H193" s="56"/>
      <c r="I193" s="56"/>
      <c r="J193" s="611"/>
      <c r="K193" s="272"/>
      <c r="L193" s="56"/>
      <c r="M193" s="56"/>
      <c r="N193" s="56"/>
      <c r="O193" s="611"/>
      <c r="P193" s="272"/>
      <c r="Q193" s="56"/>
      <c r="R193" s="56"/>
      <c r="S193" s="56"/>
      <c r="T193" s="611"/>
      <c r="U193" s="272"/>
      <c r="V193" s="56"/>
      <c r="W193" s="56"/>
      <c r="X193" s="56"/>
      <c r="Y193" s="611"/>
      <c r="Z193" s="272"/>
      <c r="AA193" s="56"/>
      <c r="AB193" s="56"/>
      <c r="AC193" s="56"/>
      <c r="AD193" s="611"/>
      <c r="AE193" s="272"/>
      <c r="AF193" s="56"/>
      <c r="AG193" s="56"/>
      <c r="AH193" s="56"/>
      <c r="AI193" s="611"/>
      <c r="AJ193" s="272"/>
      <c r="AK193" s="56"/>
      <c r="AL193" s="56"/>
      <c r="AM193" s="56"/>
      <c r="AN193" s="611"/>
      <c r="AO193" s="272"/>
      <c r="AP193" s="56"/>
      <c r="AQ193" s="56"/>
      <c r="AR193" s="56"/>
      <c r="AS193" s="611"/>
      <c r="AT193" s="272"/>
      <c r="AU193" s="56"/>
      <c r="AV193" s="56"/>
      <c r="AW193" s="56"/>
      <c r="AX193" s="611"/>
      <c r="AY193" s="272"/>
      <c r="AZ193" s="56"/>
      <c r="BA193" s="56"/>
      <c r="BB193" s="56"/>
      <c r="BC193" s="611"/>
      <c r="BD193" s="272"/>
      <c r="BE193" s="56"/>
      <c r="BF193" s="56"/>
      <c r="BG193" s="56"/>
      <c r="BH193" s="611"/>
      <c r="BI193" s="272"/>
      <c r="BJ193" s="56"/>
      <c r="BK193" s="56"/>
      <c r="BL193" s="56"/>
      <c r="BM193" s="611"/>
      <c r="BN193" s="272"/>
      <c r="BO193" s="56"/>
      <c r="BP193" s="56"/>
      <c r="BQ193" s="56"/>
      <c r="BR193" s="611"/>
      <c r="BS193" s="272"/>
      <c r="BT193" s="56"/>
      <c r="BU193" s="56"/>
      <c r="BV193" s="56"/>
      <c r="BW193" s="611"/>
      <c r="BX193" s="272"/>
      <c r="BY193" s="56"/>
      <c r="BZ193" s="56"/>
      <c r="CA193" s="56"/>
      <c r="CB193" s="611"/>
      <c r="CC193" s="272"/>
      <c r="CD193" s="56"/>
      <c r="CE193" s="56"/>
      <c r="CF193" s="56"/>
      <c r="CG193" s="611"/>
      <c r="CH193" s="272"/>
      <c r="CI193" s="56"/>
      <c r="CJ193" s="56"/>
      <c r="CK193" s="56"/>
      <c r="CL193" s="611"/>
      <c r="CM193" s="272"/>
      <c r="CN193" s="56"/>
      <c r="CO193" s="56"/>
      <c r="CP193" s="56"/>
      <c r="CQ193" s="611"/>
      <c r="CR193" s="272"/>
      <c r="CS193" s="56"/>
      <c r="CT193" s="56"/>
      <c r="CU193" s="56"/>
      <c r="CV193" s="611"/>
      <c r="CW193" s="272"/>
      <c r="CX193" s="56"/>
      <c r="CY193" s="56"/>
      <c r="CZ193" s="56"/>
      <c r="DA193" s="611"/>
      <c r="DB193" s="272"/>
      <c r="DC193" s="56"/>
      <c r="DD193" s="56"/>
      <c r="DE193" s="56"/>
      <c r="DF193" s="611"/>
      <c r="DG193" s="272"/>
      <c r="DH193" s="56"/>
      <c r="DI193" s="56"/>
      <c r="DJ193" s="56"/>
      <c r="DK193" s="611"/>
      <c r="DL193" s="272"/>
      <c r="DM193" s="56"/>
      <c r="DN193" s="56"/>
      <c r="DO193" s="56"/>
      <c r="DP193" s="611"/>
      <c r="DQ193" s="272"/>
      <c r="DR193" s="56"/>
      <c r="DS193" s="56"/>
      <c r="DT193" s="56"/>
      <c r="DU193" s="611"/>
      <c r="DV193" s="272"/>
      <c r="DW193" s="56"/>
      <c r="DX193" s="56"/>
      <c r="DY193" s="56"/>
      <c r="DZ193" s="611"/>
      <c r="EA193" s="272"/>
      <c r="EB193" s="56"/>
      <c r="EC193" s="56"/>
      <c r="ED193" s="56"/>
      <c r="EE193" s="611"/>
      <c r="EF193" s="272"/>
      <c r="EG193" s="56"/>
      <c r="EH193" s="56"/>
      <c r="EI193" s="56"/>
      <c r="EJ193" s="611"/>
      <c r="EK193" s="272"/>
      <c r="EL193" s="56"/>
      <c r="EM193" s="56"/>
      <c r="EN193" s="56"/>
      <c r="EO193" s="144"/>
      <c r="ER193" s="42"/>
      <c r="ES193" s="42"/>
    </row>
    <row r="194" spans="4:149" ht="12.75" hidden="1" customHeight="1" x14ac:dyDescent="0.3">
      <c r="D194" s="144" t="s">
        <v>342</v>
      </c>
      <c r="E194" s="635"/>
      <c r="F194" s="272"/>
      <c r="G194" s="56">
        <f>SUM(G195:G197)</f>
        <v>0</v>
      </c>
      <c r="H194" s="56"/>
      <c r="I194" s="56"/>
      <c r="J194" s="611"/>
      <c r="K194" s="56"/>
      <c r="L194" s="56">
        <f>SUM(L195:L197)</f>
        <v>0</v>
      </c>
      <c r="M194" s="56"/>
      <c r="N194" s="56"/>
      <c r="O194" s="611"/>
      <c r="P194" s="272"/>
      <c r="Q194" s="56">
        <f>SUM(Q195:Q197)</f>
        <v>0</v>
      </c>
      <c r="R194" s="56"/>
      <c r="S194" s="56"/>
      <c r="T194" s="611"/>
      <c r="U194" s="272"/>
      <c r="V194" s="56">
        <f>SUM(V195:V197)</f>
        <v>0</v>
      </c>
      <c r="W194" s="56"/>
      <c r="X194" s="56"/>
      <c r="Y194" s="611"/>
      <c r="Z194" s="272"/>
      <c r="AA194" s="56">
        <f>SUM(AA195:AA197)</f>
        <v>0</v>
      </c>
      <c r="AB194" s="56"/>
      <c r="AC194" s="56"/>
      <c r="AD194" s="611"/>
      <c r="AE194" s="272"/>
      <c r="AF194" s="56">
        <f>SUM(AF195:AF197)</f>
        <v>0</v>
      </c>
      <c r="AG194" s="56"/>
      <c r="AH194" s="56"/>
      <c r="AI194" s="611"/>
      <c r="AJ194" s="272"/>
      <c r="AK194" s="56">
        <f>SUM(AK195:AK197)</f>
        <v>0</v>
      </c>
      <c r="AL194" s="56"/>
      <c r="AM194" s="56"/>
      <c r="AN194" s="611"/>
      <c r="AO194" s="272"/>
      <c r="AP194" s="56">
        <f>SUM(AP195:AP197)</f>
        <v>0</v>
      </c>
      <c r="AQ194" s="56"/>
      <c r="AR194" s="56"/>
      <c r="AS194" s="611"/>
      <c r="AT194" s="272"/>
      <c r="AU194" s="56">
        <f>SUM(AU195:AU197)</f>
        <v>0</v>
      </c>
      <c r="AV194" s="56"/>
      <c r="AW194" s="56"/>
      <c r="AX194" s="611"/>
      <c r="AY194" s="272"/>
      <c r="AZ194" s="56">
        <f>SUM(AZ195:AZ197)</f>
        <v>0</v>
      </c>
      <c r="BA194" s="56"/>
      <c r="BB194" s="56"/>
      <c r="BC194" s="611"/>
      <c r="BD194" s="272"/>
      <c r="BE194" s="56">
        <f>SUM(BE195:BE197)</f>
        <v>0</v>
      </c>
      <c r="BF194" s="56"/>
      <c r="BG194" s="56"/>
      <c r="BH194" s="611"/>
      <c r="BI194" s="272"/>
      <c r="BJ194" s="56">
        <f>SUM(BJ195:BJ197)</f>
        <v>0</v>
      </c>
      <c r="BK194" s="56"/>
      <c r="BL194" s="56"/>
      <c r="BM194" s="611"/>
      <c r="BN194" s="272"/>
      <c r="BO194" s="56">
        <f>SUM(BO195:BO197)</f>
        <v>0</v>
      </c>
      <c r="BP194" s="56"/>
      <c r="BQ194" s="56"/>
      <c r="BR194" s="611"/>
      <c r="BS194" s="272"/>
      <c r="BT194" s="56">
        <f>SUM(BT195:BT198)</f>
        <v>0</v>
      </c>
      <c r="BU194" s="56"/>
      <c r="BV194" s="56"/>
      <c r="BW194" s="611"/>
      <c r="BX194" s="272"/>
      <c r="BY194" s="56">
        <f>SUM(BY195:BY197)</f>
        <v>0</v>
      </c>
      <c r="BZ194" s="56"/>
      <c r="CA194" s="56"/>
      <c r="CB194" s="611"/>
      <c r="CC194" s="56"/>
      <c r="CD194" s="56">
        <f>SUM(CD195:CD197)</f>
        <v>0</v>
      </c>
      <c r="CE194" s="56"/>
      <c r="CF194" s="56"/>
      <c r="CG194" s="611"/>
      <c r="CH194" s="272"/>
      <c r="CI194" s="56">
        <f>SUM(CI195:CI197)</f>
        <v>0</v>
      </c>
      <c r="CJ194" s="56"/>
      <c r="CK194" s="56"/>
      <c r="CL194" s="611"/>
      <c r="CM194" s="272"/>
      <c r="CN194" s="56">
        <f>SUM(CN195:CN197)</f>
        <v>0</v>
      </c>
      <c r="CO194" s="56"/>
      <c r="CP194" s="56"/>
      <c r="CQ194" s="611"/>
      <c r="CR194" s="272"/>
      <c r="CS194" s="56">
        <f>SUM(CS195:CS197)</f>
        <v>0</v>
      </c>
      <c r="CT194" s="56"/>
      <c r="CU194" s="56"/>
      <c r="CV194" s="611"/>
      <c r="CW194" s="272"/>
      <c r="CX194" s="56">
        <f>SUM(CX195:CX197)</f>
        <v>0</v>
      </c>
      <c r="CY194" s="56"/>
      <c r="CZ194" s="56"/>
      <c r="DA194" s="611"/>
      <c r="DB194" s="272"/>
      <c r="DC194" s="56">
        <f>SUM(DC195:DC197)</f>
        <v>0</v>
      </c>
      <c r="DD194" s="56"/>
      <c r="DE194" s="56"/>
      <c r="DF194" s="611"/>
      <c r="DG194" s="272"/>
      <c r="DH194" s="56">
        <f>SUM(DH195:DH197)</f>
        <v>0</v>
      </c>
      <c r="DI194" s="56"/>
      <c r="DJ194" s="56"/>
      <c r="DK194" s="611"/>
      <c r="DL194" s="272"/>
      <c r="DM194" s="56">
        <f>SUM(DM195:DM197)</f>
        <v>0</v>
      </c>
      <c r="DN194" s="56"/>
      <c r="DO194" s="56"/>
      <c r="DP194" s="611"/>
      <c r="DQ194" s="272"/>
      <c r="DR194" s="56">
        <f>SUM(DR195:DR197)</f>
        <v>0</v>
      </c>
      <c r="DS194" s="56"/>
      <c r="DT194" s="56"/>
      <c r="DU194" s="611"/>
      <c r="DV194" s="272"/>
      <c r="DW194" s="56">
        <f>SUM(DW195:DW197)</f>
        <v>0</v>
      </c>
      <c r="DX194" s="56"/>
      <c r="DY194" s="56"/>
      <c r="DZ194" s="611"/>
      <c r="EA194" s="272"/>
      <c r="EB194" s="56">
        <f>SUM(EB195:EB197)</f>
        <v>0</v>
      </c>
      <c r="EC194" s="56"/>
      <c r="ED194" s="56"/>
      <c r="EE194" s="611"/>
      <c r="EF194" s="272"/>
      <c r="EG194" s="56">
        <f>SUM(EG195:EG197)</f>
        <v>0</v>
      </c>
      <c r="EH194" s="56"/>
      <c r="EI194" s="56"/>
      <c r="EJ194" s="611"/>
      <c r="EK194" s="272"/>
      <c r="EL194" s="56">
        <f>SUM(EL195:EL198)</f>
        <v>0</v>
      </c>
      <c r="EM194" s="56"/>
      <c r="EN194" s="56"/>
      <c r="EO194" s="144"/>
      <c r="ER194" s="42"/>
      <c r="ES194" s="42"/>
    </row>
    <row r="195" spans="4:149" ht="12.75" hidden="1" customHeight="1" x14ac:dyDescent="0.3">
      <c r="D195" s="144" t="s">
        <v>335</v>
      </c>
      <c r="E195" s="635"/>
      <c r="F195" s="500"/>
      <c r="G195" s="609">
        <v>0</v>
      </c>
      <c r="H195" s="610"/>
      <c r="I195" s="56"/>
      <c r="J195" s="611"/>
      <c r="K195" s="500"/>
      <c r="L195" s="609">
        <v>0</v>
      </c>
      <c r="M195" s="610"/>
      <c r="N195" s="56"/>
      <c r="O195" s="611"/>
      <c r="P195" s="500"/>
      <c r="Q195" s="609">
        <v>0</v>
      </c>
      <c r="R195" s="610"/>
      <c r="S195" s="56"/>
      <c r="T195" s="611"/>
      <c r="U195" s="500"/>
      <c r="V195" s="609">
        <v>0</v>
      </c>
      <c r="W195" s="610"/>
      <c r="X195" s="56"/>
      <c r="Y195" s="611"/>
      <c r="Z195" s="500"/>
      <c r="AA195" s="609">
        <v>0</v>
      </c>
      <c r="AB195" s="610"/>
      <c r="AC195" s="56"/>
      <c r="AD195" s="611"/>
      <c r="AE195" s="500"/>
      <c r="AF195" s="609">
        <v>0</v>
      </c>
      <c r="AG195" s="610"/>
      <c r="AH195" s="56"/>
      <c r="AI195" s="611"/>
      <c r="AJ195" s="500"/>
      <c r="AK195" s="609">
        <v>0</v>
      </c>
      <c r="AL195" s="610"/>
      <c r="AM195" s="56"/>
      <c r="AN195" s="611"/>
      <c r="AO195" s="500"/>
      <c r="AP195" s="609">
        <v>0</v>
      </c>
      <c r="AQ195" s="610"/>
      <c r="AR195" s="56"/>
      <c r="AS195" s="611"/>
      <c r="AT195" s="500"/>
      <c r="AU195" s="609">
        <v>0</v>
      </c>
      <c r="AV195" s="610"/>
      <c r="AW195" s="56"/>
      <c r="AX195" s="611"/>
      <c r="AY195" s="500"/>
      <c r="AZ195" s="609">
        <v>0</v>
      </c>
      <c r="BA195" s="610"/>
      <c r="BB195" s="56"/>
      <c r="BC195" s="611"/>
      <c r="BD195" s="500"/>
      <c r="BE195" s="609">
        <v>0</v>
      </c>
      <c r="BF195" s="610"/>
      <c r="BG195" s="56"/>
      <c r="BH195" s="611"/>
      <c r="BI195" s="500"/>
      <c r="BJ195" s="609">
        <v>0</v>
      </c>
      <c r="BK195" s="610"/>
      <c r="BL195" s="56"/>
      <c r="BM195" s="611"/>
      <c r="BN195" s="500"/>
      <c r="BO195" s="609">
        <v>0</v>
      </c>
      <c r="BP195" s="610"/>
      <c r="BQ195" s="56"/>
      <c r="BR195" s="611"/>
      <c r="BS195" s="612"/>
      <c r="BT195" s="609">
        <f>SUM(L195:BO195)</f>
        <v>0</v>
      </c>
      <c r="BU195" s="610"/>
      <c r="BV195" s="56"/>
      <c r="BW195" s="611"/>
      <c r="BX195" s="612"/>
      <c r="BY195" s="609">
        <v>0</v>
      </c>
      <c r="BZ195" s="610"/>
      <c r="CA195" s="56"/>
      <c r="CB195" s="611"/>
      <c r="CC195" s="612"/>
      <c r="CD195" s="609">
        <v>0</v>
      </c>
      <c r="CE195" s="610"/>
      <c r="CF195" s="56"/>
      <c r="CG195" s="611"/>
      <c r="CH195" s="612"/>
      <c r="CI195" s="609">
        <v>0</v>
      </c>
      <c r="CJ195" s="610"/>
      <c r="CK195" s="56"/>
      <c r="CL195" s="611"/>
      <c r="CM195" s="612"/>
      <c r="CN195" s="609">
        <v>0</v>
      </c>
      <c r="CO195" s="610"/>
      <c r="CP195" s="56"/>
      <c r="CQ195" s="611"/>
      <c r="CR195" s="612"/>
      <c r="CS195" s="609">
        <v>0</v>
      </c>
      <c r="CT195" s="610"/>
      <c r="CU195" s="56"/>
      <c r="CV195" s="611"/>
      <c r="CW195" s="612"/>
      <c r="CX195" s="609">
        <v>0</v>
      </c>
      <c r="CY195" s="610"/>
      <c r="CZ195" s="56"/>
      <c r="DA195" s="611"/>
      <c r="DB195" s="612"/>
      <c r="DC195" s="609">
        <v>0</v>
      </c>
      <c r="DD195" s="610"/>
      <c r="DE195" s="56"/>
      <c r="DF195" s="611"/>
      <c r="DG195" s="612"/>
      <c r="DH195" s="609">
        <v>0</v>
      </c>
      <c r="DI195" s="610"/>
      <c r="DJ195" s="56"/>
      <c r="DK195" s="611"/>
      <c r="DL195" s="612"/>
      <c r="DM195" s="609">
        <v>0</v>
      </c>
      <c r="DN195" s="610"/>
      <c r="DO195" s="56"/>
      <c r="DP195" s="611"/>
      <c r="DQ195" s="612"/>
      <c r="DR195" s="609">
        <v>0</v>
      </c>
      <c r="DS195" s="610"/>
      <c r="DT195" s="56"/>
      <c r="DU195" s="611"/>
      <c r="DV195" s="612"/>
      <c r="DW195" s="609">
        <v>0</v>
      </c>
      <c r="DX195" s="610"/>
      <c r="DY195" s="56"/>
      <c r="DZ195" s="611"/>
      <c r="EA195" s="612"/>
      <c r="EB195" s="609">
        <v>0</v>
      </c>
      <c r="EC195" s="610"/>
      <c r="ED195" s="56"/>
      <c r="EE195" s="611"/>
      <c r="EF195" s="612"/>
      <c r="EG195" s="609">
        <v>0</v>
      </c>
      <c r="EH195" s="610"/>
      <c r="EI195" s="56"/>
      <c r="EJ195" s="611"/>
      <c r="EK195" s="612"/>
      <c r="EL195" s="609">
        <f>SUM(CD195:EG195)</f>
        <v>0</v>
      </c>
      <c r="EM195" s="610"/>
      <c r="EN195" s="56"/>
      <c r="EO195" s="144"/>
      <c r="ER195" s="42"/>
      <c r="ES195" s="42"/>
    </row>
    <row r="196" spans="4:149" ht="12.75" hidden="1" customHeight="1" x14ac:dyDescent="0.3">
      <c r="D196" s="144" t="s">
        <v>338</v>
      </c>
      <c r="E196" s="635"/>
      <c r="F196" s="494"/>
      <c r="G196" s="56">
        <v>0</v>
      </c>
      <c r="H196" s="55"/>
      <c r="I196" s="56"/>
      <c r="J196" s="611"/>
      <c r="K196" s="494"/>
      <c r="L196" s="56">
        <v>0</v>
      </c>
      <c r="M196" s="55"/>
      <c r="N196" s="56"/>
      <c r="O196" s="611"/>
      <c r="P196" s="494"/>
      <c r="Q196" s="56">
        <v>0</v>
      </c>
      <c r="R196" s="55"/>
      <c r="S196" s="56"/>
      <c r="T196" s="611"/>
      <c r="U196" s="494"/>
      <c r="V196" s="56">
        <v>0</v>
      </c>
      <c r="W196" s="55"/>
      <c r="X196" s="56"/>
      <c r="Y196" s="611"/>
      <c r="Z196" s="494"/>
      <c r="AA196" s="56">
        <v>0</v>
      </c>
      <c r="AB196" s="55"/>
      <c r="AC196" s="56"/>
      <c r="AD196" s="611"/>
      <c r="AE196" s="494"/>
      <c r="AF196" s="56">
        <v>0</v>
      </c>
      <c r="AG196" s="55"/>
      <c r="AH196" s="56"/>
      <c r="AI196" s="611"/>
      <c r="AJ196" s="494"/>
      <c r="AK196" s="56">
        <v>0</v>
      </c>
      <c r="AL196" s="55"/>
      <c r="AM196" s="56"/>
      <c r="AN196" s="611"/>
      <c r="AO196" s="494"/>
      <c r="AP196" s="56">
        <v>0</v>
      </c>
      <c r="AQ196" s="55"/>
      <c r="AR196" s="56"/>
      <c r="AS196" s="611"/>
      <c r="AT196" s="494"/>
      <c r="AU196" s="56">
        <v>0</v>
      </c>
      <c r="AV196" s="55"/>
      <c r="AW196" s="56"/>
      <c r="AX196" s="611"/>
      <c r="AY196" s="494"/>
      <c r="AZ196" s="56">
        <v>0</v>
      </c>
      <c r="BA196" s="55"/>
      <c r="BB196" s="56"/>
      <c r="BC196" s="611"/>
      <c r="BD196" s="494"/>
      <c r="BE196" s="56">
        <v>0</v>
      </c>
      <c r="BF196" s="55"/>
      <c r="BG196" s="56"/>
      <c r="BH196" s="611"/>
      <c r="BI196" s="494"/>
      <c r="BJ196" s="56">
        <v>0</v>
      </c>
      <c r="BK196" s="55"/>
      <c r="BL196" s="56"/>
      <c r="BM196" s="611"/>
      <c r="BN196" s="494"/>
      <c r="BO196" s="56">
        <v>0</v>
      </c>
      <c r="BP196" s="55"/>
      <c r="BQ196" s="56"/>
      <c r="BR196" s="611"/>
      <c r="BS196" s="611"/>
      <c r="BT196" s="56">
        <f>SUM(L196:BO196)</f>
        <v>0</v>
      </c>
      <c r="BU196" s="55"/>
      <c r="BV196" s="56"/>
      <c r="BW196" s="611"/>
      <c r="BX196" s="611"/>
      <c r="BY196" s="56">
        <v>0</v>
      </c>
      <c r="BZ196" s="55"/>
      <c r="CA196" s="56"/>
      <c r="CB196" s="611"/>
      <c r="CC196" s="611"/>
      <c r="CD196" s="56">
        <v>0</v>
      </c>
      <c r="CE196" s="55"/>
      <c r="CF196" s="56"/>
      <c r="CG196" s="611"/>
      <c r="CH196" s="611"/>
      <c r="CI196" s="56">
        <v>0</v>
      </c>
      <c r="CJ196" s="55"/>
      <c r="CK196" s="56"/>
      <c r="CL196" s="611"/>
      <c r="CM196" s="611"/>
      <c r="CN196" s="56">
        <v>0</v>
      </c>
      <c r="CO196" s="55"/>
      <c r="CP196" s="56"/>
      <c r="CQ196" s="611"/>
      <c r="CR196" s="611"/>
      <c r="CS196" s="56">
        <v>0</v>
      </c>
      <c r="CT196" s="55"/>
      <c r="CU196" s="56"/>
      <c r="CV196" s="611"/>
      <c r="CW196" s="611"/>
      <c r="CX196" s="56">
        <v>0</v>
      </c>
      <c r="CY196" s="55"/>
      <c r="CZ196" s="56"/>
      <c r="DA196" s="611"/>
      <c r="DB196" s="611"/>
      <c r="DC196" s="56">
        <v>0</v>
      </c>
      <c r="DD196" s="55"/>
      <c r="DE196" s="56"/>
      <c r="DF196" s="611"/>
      <c r="DG196" s="611"/>
      <c r="DH196" s="56">
        <v>0</v>
      </c>
      <c r="DI196" s="55"/>
      <c r="DJ196" s="56"/>
      <c r="DK196" s="611"/>
      <c r="DL196" s="611"/>
      <c r="DM196" s="56">
        <v>0</v>
      </c>
      <c r="DN196" s="55"/>
      <c r="DO196" s="56"/>
      <c r="DP196" s="611"/>
      <c r="DQ196" s="611"/>
      <c r="DR196" s="56">
        <v>0</v>
      </c>
      <c r="DS196" s="55"/>
      <c r="DT196" s="56"/>
      <c r="DU196" s="611"/>
      <c r="DV196" s="611"/>
      <c r="DW196" s="56">
        <v>0</v>
      </c>
      <c r="DX196" s="55"/>
      <c r="DY196" s="56"/>
      <c r="DZ196" s="611"/>
      <c r="EA196" s="611"/>
      <c r="EB196" s="56">
        <v>0</v>
      </c>
      <c r="EC196" s="55"/>
      <c r="ED196" s="56"/>
      <c r="EE196" s="611"/>
      <c r="EF196" s="611"/>
      <c r="EG196" s="56">
        <v>0</v>
      </c>
      <c r="EH196" s="55"/>
      <c r="EI196" s="56"/>
      <c r="EJ196" s="611"/>
      <c r="EK196" s="611"/>
      <c r="EL196" s="56">
        <f>SUM(CD196:EG196)</f>
        <v>0</v>
      </c>
      <c r="EM196" s="55"/>
      <c r="EN196" s="56"/>
      <c r="EO196" s="144"/>
      <c r="ER196" s="42"/>
      <c r="ES196" s="42"/>
    </row>
    <row r="197" spans="4:149" ht="12.75" hidden="1" customHeight="1" x14ac:dyDescent="0.3">
      <c r="D197" s="144" t="s">
        <v>339</v>
      </c>
      <c r="E197" s="635"/>
      <c r="F197" s="494"/>
      <c r="G197" s="56">
        <v>0</v>
      </c>
      <c r="H197" s="55"/>
      <c r="I197" s="56"/>
      <c r="J197" s="611"/>
      <c r="K197" s="494"/>
      <c r="L197" s="56">
        <v>0</v>
      </c>
      <c r="M197" s="55"/>
      <c r="N197" s="56"/>
      <c r="O197" s="611"/>
      <c r="P197" s="494"/>
      <c r="Q197" s="56">
        <v>0</v>
      </c>
      <c r="R197" s="55"/>
      <c r="S197" s="56"/>
      <c r="T197" s="611"/>
      <c r="U197" s="494"/>
      <c r="V197" s="56">
        <v>0</v>
      </c>
      <c r="W197" s="55"/>
      <c r="X197" s="56"/>
      <c r="Y197" s="611"/>
      <c r="Z197" s="494"/>
      <c r="AA197" s="56">
        <v>0</v>
      </c>
      <c r="AB197" s="55"/>
      <c r="AC197" s="56"/>
      <c r="AD197" s="611"/>
      <c r="AE197" s="494"/>
      <c r="AF197" s="56">
        <v>0</v>
      </c>
      <c r="AG197" s="55"/>
      <c r="AH197" s="56"/>
      <c r="AI197" s="611"/>
      <c r="AJ197" s="494"/>
      <c r="AK197" s="56">
        <v>0</v>
      </c>
      <c r="AL197" s="55"/>
      <c r="AM197" s="56"/>
      <c r="AN197" s="611"/>
      <c r="AO197" s="494"/>
      <c r="AP197" s="56">
        <v>0</v>
      </c>
      <c r="AQ197" s="55"/>
      <c r="AR197" s="56"/>
      <c r="AS197" s="611"/>
      <c r="AT197" s="494"/>
      <c r="AU197" s="56">
        <v>0</v>
      </c>
      <c r="AV197" s="55"/>
      <c r="AW197" s="56"/>
      <c r="AX197" s="611"/>
      <c r="AY197" s="494"/>
      <c r="AZ197" s="56">
        <v>0</v>
      </c>
      <c r="BA197" s="55"/>
      <c r="BB197" s="56"/>
      <c r="BC197" s="611"/>
      <c r="BD197" s="494"/>
      <c r="BE197" s="56">
        <v>0</v>
      </c>
      <c r="BF197" s="55"/>
      <c r="BG197" s="56"/>
      <c r="BH197" s="611"/>
      <c r="BI197" s="494"/>
      <c r="BJ197" s="56">
        <v>0</v>
      </c>
      <c r="BK197" s="55"/>
      <c r="BL197" s="56"/>
      <c r="BM197" s="611"/>
      <c r="BN197" s="494"/>
      <c r="BO197" s="56">
        <v>0</v>
      </c>
      <c r="BP197" s="55"/>
      <c r="BQ197" s="56"/>
      <c r="BR197" s="611"/>
      <c r="BS197" s="611"/>
      <c r="BT197" s="56">
        <f>SUM(L197:BO197)</f>
        <v>0</v>
      </c>
      <c r="BU197" s="55"/>
      <c r="BV197" s="56"/>
      <c r="BW197" s="611"/>
      <c r="BX197" s="611"/>
      <c r="BY197" s="56">
        <v>0</v>
      </c>
      <c r="BZ197" s="55"/>
      <c r="CA197" s="56"/>
      <c r="CB197" s="611"/>
      <c r="CC197" s="611"/>
      <c r="CD197" s="56">
        <v>0</v>
      </c>
      <c r="CE197" s="55"/>
      <c r="CF197" s="56"/>
      <c r="CG197" s="611"/>
      <c r="CH197" s="611"/>
      <c r="CI197" s="56">
        <v>0</v>
      </c>
      <c r="CJ197" s="55"/>
      <c r="CK197" s="56"/>
      <c r="CL197" s="611"/>
      <c r="CM197" s="611"/>
      <c r="CN197" s="56">
        <v>0</v>
      </c>
      <c r="CO197" s="55"/>
      <c r="CP197" s="56"/>
      <c r="CQ197" s="611"/>
      <c r="CR197" s="611"/>
      <c r="CS197" s="56">
        <v>0</v>
      </c>
      <c r="CT197" s="55"/>
      <c r="CU197" s="56"/>
      <c r="CV197" s="611"/>
      <c r="CW197" s="611"/>
      <c r="CX197" s="56">
        <v>0</v>
      </c>
      <c r="CY197" s="55"/>
      <c r="CZ197" s="56"/>
      <c r="DA197" s="611"/>
      <c r="DB197" s="611"/>
      <c r="DC197" s="56">
        <v>0</v>
      </c>
      <c r="DD197" s="55"/>
      <c r="DE197" s="56"/>
      <c r="DF197" s="611"/>
      <c r="DG197" s="611"/>
      <c r="DH197" s="56">
        <v>0</v>
      </c>
      <c r="DI197" s="55"/>
      <c r="DJ197" s="56"/>
      <c r="DK197" s="611"/>
      <c r="DL197" s="611"/>
      <c r="DM197" s="56">
        <v>0</v>
      </c>
      <c r="DN197" s="55"/>
      <c r="DO197" s="56"/>
      <c r="DP197" s="611"/>
      <c r="DQ197" s="611"/>
      <c r="DR197" s="56">
        <v>0</v>
      </c>
      <c r="DS197" s="55"/>
      <c r="DT197" s="56"/>
      <c r="DU197" s="611"/>
      <c r="DV197" s="611"/>
      <c r="DW197" s="56">
        <v>0</v>
      </c>
      <c r="DX197" s="55"/>
      <c r="DY197" s="56"/>
      <c r="DZ197" s="611"/>
      <c r="EA197" s="611"/>
      <c r="EB197" s="56">
        <v>0</v>
      </c>
      <c r="EC197" s="55"/>
      <c r="ED197" s="56"/>
      <c r="EE197" s="611"/>
      <c r="EF197" s="611"/>
      <c r="EG197" s="56">
        <v>0</v>
      </c>
      <c r="EH197" s="55"/>
      <c r="EI197" s="56"/>
      <c r="EJ197" s="611"/>
      <c r="EK197" s="611"/>
      <c r="EL197" s="56">
        <f>SUM(CD197:EG197)</f>
        <v>0</v>
      </c>
      <c r="EM197" s="55"/>
      <c r="EN197" s="56"/>
      <c r="EO197" s="144"/>
      <c r="ER197" s="42"/>
      <c r="ES197" s="42"/>
    </row>
    <row r="198" spans="4:149" ht="12.75" hidden="1" customHeight="1" x14ac:dyDescent="0.3">
      <c r="D198" s="144" t="s">
        <v>340</v>
      </c>
      <c r="E198" s="635"/>
      <c r="F198" s="513"/>
      <c r="G198" s="117">
        <v>0</v>
      </c>
      <c r="H198" s="116"/>
      <c r="I198" s="56"/>
      <c r="J198" s="611"/>
      <c r="K198" s="513"/>
      <c r="L198" s="117">
        <v>0</v>
      </c>
      <c r="M198" s="116"/>
      <c r="N198" s="56"/>
      <c r="O198" s="611"/>
      <c r="P198" s="513"/>
      <c r="Q198" s="117">
        <v>0</v>
      </c>
      <c r="R198" s="116"/>
      <c r="S198" s="56"/>
      <c r="T198" s="611"/>
      <c r="U198" s="513"/>
      <c r="V198" s="117">
        <v>0</v>
      </c>
      <c r="W198" s="116"/>
      <c r="X198" s="56"/>
      <c r="Y198" s="611"/>
      <c r="Z198" s="513"/>
      <c r="AA198" s="117">
        <v>0</v>
      </c>
      <c r="AB198" s="116"/>
      <c r="AC198" s="56"/>
      <c r="AD198" s="611"/>
      <c r="AE198" s="513"/>
      <c r="AF198" s="117">
        <v>0</v>
      </c>
      <c r="AG198" s="116"/>
      <c r="AH198" s="56"/>
      <c r="AI198" s="611"/>
      <c r="AJ198" s="513"/>
      <c r="AK198" s="117">
        <v>0</v>
      </c>
      <c r="AL198" s="116"/>
      <c r="AM198" s="56"/>
      <c r="AN198" s="611"/>
      <c r="AO198" s="513"/>
      <c r="AP198" s="117">
        <v>0</v>
      </c>
      <c r="AQ198" s="116"/>
      <c r="AR198" s="56"/>
      <c r="AS198" s="611"/>
      <c r="AT198" s="513"/>
      <c r="AU198" s="117">
        <v>0</v>
      </c>
      <c r="AV198" s="116"/>
      <c r="AW198" s="56"/>
      <c r="AX198" s="611"/>
      <c r="AY198" s="513"/>
      <c r="AZ198" s="117">
        <v>0</v>
      </c>
      <c r="BA198" s="116"/>
      <c r="BB198" s="56"/>
      <c r="BC198" s="611"/>
      <c r="BD198" s="513"/>
      <c r="BE198" s="117">
        <v>0</v>
      </c>
      <c r="BF198" s="116"/>
      <c r="BG198" s="56"/>
      <c r="BH198" s="611"/>
      <c r="BI198" s="513"/>
      <c r="BJ198" s="117">
        <v>0</v>
      </c>
      <c r="BK198" s="116"/>
      <c r="BL198" s="56"/>
      <c r="BM198" s="611"/>
      <c r="BN198" s="513"/>
      <c r="BO198" s="117">
        <v>0</v>
      </c>
      <c r="BP198" s="116"/>
      <c r="BQ198" s="56"/>
      <c r="BR198" s="611"/>
      <c r="BS198" s="620"/>
      <c r="BT198" s="117">
        <f>SUM(L198:BO198)</f>
        <v>0</v>
      </c>
      <c r="BU198" s="116"/>
      <c r="BV198" s="56"/>
      <c r="BW198" s="611"/>
      <c r="BX198" s="620"/>
      <c r="BY198" s="117">
        <v>0</v>
      </c>
      <c r="BZ198" s="116"/>
      <c r="CA198" s="56"/>
      <c r="CB198" s="611"/>
      <c r="CC198" s="620"/>
      <c r="CD198" s="117">
        <v>0</v>
      </c>
      <c r="CE198" s="116"/>
      <c r="CF198" s="56"/>
      <c r="CG198" s="611"/>
      <c r="CH198" s="620"/>
      <c r="CI198" s="117">
        <v>0</v>
      </c>
      <c r="CJ198" s="116"/>
      <c r="CK198" s="56"/>
      <c r="CL198" s="611"/>
      <c r="CM198" s="620"/>
      <c r="CN198" s="117">
        <v>0</v>
      </c>
      <c r="CO198" s="116"/>
      <c r="CP198" s="56"/>
      <c r="CQ198" s="611"/>
      <c r="CR198" s="620"/>
      <c r="CS198" s="117">
        <v>0</v>
      </c>
      <c r="CT198" s="116"/>
      <c r="CU198" s="56"/>
      <c r="CV198" s="611"/>
      <c r="CW198" s="620"/>
      <c r="CX198" s="117">
        <v>0</v>
      </c>
      <c r="CY198" s="116"/>
      <c r="CZ198" s="56"/>
      <c r="DA198" s="611"/>
      <c r="DB198" s="620"/>
      <c r="DC198" s="117">
        <v>0</v>
      </c>
      <c r="DD198" s="116"/>
      <c r="DE198" s="56"/>
      <c r="DF198" s="611"/>
      <c r="DG198" s="620"/>
      <c r="DH198" s="117">
        <v>0</v>
      </c>
      <c r="DI198" s="116"/>
      <c r="DJ198" s="56"/>
      <c r="DK198" s="611"/>
      <c r="DL198" s="620"/>
      <c r="DM198" s="117">
        <v>0</v>
      </c>
      <c r="DN198" s="116"/>
      <c r="DO198" s="56"/>
      <c r="DP198" s="611"/>
      <c r="DQ198" s="620"/>
      <c r="DR198" s="117">
        <v>0</v>
      </c>
      <c r="DS198" s="116"/>
      <c r="DT198" s="56"/>
      <c r="DU198" s="611"/>
      <c r="DV198" s="620"/>
      <c r="DW198" s="117">
        <v>0</v>
      </c>
      <c r="DX198" s="116"/>
      <c r="DY198" s="56"/>
      <c r="DZ198" s="611"/>
      <c r="EA198" s="620"/>
      <c r="EB198" s="117">
        <v>0</v>
      </c>
      <c r="EC198" s="116"/>
      <c r="ED198" s="56"/>
      <c r="EE198" s="611"/>
      <c r="EF198" s="620"/>
      <c r="EG198" s="117">
        <v>0</v>
      </c>
      <c r="EH198" s="116"/>
      <c r="EI198" s="56"/>
      <c r="EJ198" s="611"/>
      <c r="EK198" s="620"/>
      <c r="EL198" s="117">
        <f>SUM(CD198:EG198)</f>
        <v>0</v>
      </c>
      <c r="EM198" s="116"/>
      <c r="EN198" s="56"/>
      <c r="EO198" s="144"/>
      <c r="ER198" s="42"/>
      <c r="ES198" s="42"/>
    </row>
    <row r="199" spans="4:149" ht="12.75" hidden="1" customHeight="1" x14ac:dyDescent="0.3">
      <c r="D199" s="144"/>
      <c r="E199" s="635"/>
      <c r="F199" s="272"/>
      <c r="G199" s="56"/>
      <c r="H199" s="56"/>
      <c r="I199" s="56"/>
      <c r="J199" s="611"/>
      <c r="K199" s="272"/>
      <c r="L199" s="56"/>
      <c r="M199" s="56"/>
      <c r="N199" s="56"/>
      <c r="O199" s="611"/>
      <c r="P199" s="272"/>
      <c r="Q199" s="56"/>
      <c r="R199" s="56"/>
      <c r="S199" s="56"/>
      <c r="T199" s="611"/>
      <c r="U199" s="272"/>
      <c r="V199" s="56"/>
      <c r="W199" s="56"/>
      <c r="X199" s="56"/>
      <c r="Y199" s="611"/>
      <c r="Z199" s="272"/>
      <c r="AA199" s="56"/>
      <c r="AB199" s="56"/>
      <c r="AC199" s="56"/>
      <c r="AD199" s="611"/>
      <c r="AE199" s="272"/>
      <c r="AF199" s="56"/>
      <c r="AG199" s="56"/>
      <c r="AH199" s="56"/>
      <c r="AI199" s="611"/>
      <c r="AJ199" s="272"/>
      <c r="AK199" s="56"/>
      <c r="AL199" s="56"/>
      <c r="AM199" s="56"/>
      <c r="AN199" s="611"/>
      <c r="AO199" s="272"/>
      <c r="AP199" s="56"/>
      <c r="AQ199" s="56"/>
      <c r="AR199" s="56"/>
      <c r="AS199" s="611"/>
      <c r="AT199" s="272"/>
      <c r="AU199" s="56"/>
      <c r="AV199" s="56"/>
      <c r="AW199" s="56"/>
      <c r="AX199" s="611"/>
      <c r="AY199" s="272"/>
      <c r="AZ199" s="56"/>
      <c r="BA199" s="56"/>
      <c r="BB199" s="56"/>
      <c r="BC199" s="611"/>
      <c r="BD199" s="272"/>
      <c r="BE199" s="56"/>
      <c r="BF199" s="56"/>
      <c r="BG199" s="56"/>
      <c r="BH199" s="611"/>
      <c r="BI199" s="272"/>
      <c r="BJ199" s="56"/>
      <c r="BK199" s="56"/>
      <c r="BL199" s="56"/>
      <c r="BM199" s="611"/>
      <c r="BN199" s="272"/>
      <c r="BO199" s="56"/>
      <c r="BP199" s="56"/>
      <c r="BQ199" s="56"/>
      <c r="BR199" s="611"/>
      <c r="BS199" s="272"/>
      <c r="BT199" s="56"/>
      <c r="BU199" s="56"/>
      <c r="BV199" s="56"/>
      <c r="BW199" s="611"/>
      <c r="BX199" s="272"/>
      <c r="BY199" s="56"/>
      <c r="BZ199" s="56"/>
      <c r="CA199" s="56"/>
      <c r="CB199" s="611"/>
      <c r="CC199" s="272"/>
      <c r="CD199" s="56"/>
      <c r="CE199" s="56"/>
      <c r="CF199" s="56"/>
      <c r="CG199" s="611"/>
      <c r="CH199" s="272"/>
      <c r="CI199" s="56"/>
      <c r="CJ199" s="56"/>
      <c r="CK199" s="56"/>
      <c r="CL199" s="611"/>
      <c r="CM199" s="272"/>
      <c r="CN199" s="56"/>
      <c r="CO199" s="56"/>
      <c r="CP199" s="56"/>
      <c r="CQ199" s="611"/>
      <c r="CR199" s="272"/>
      <c r="CS199" s="56"/>
      <c r="CT199" s="56"/>
      <c r="CU199" s="56"/>
      <c r="CV199" s="611"/>
      <c r="CW199" s="272"/>
      <c r="CX199" s="56"/>
      <c r="CY199" s="56"/>
      <c r="CZ199" s="56"/>
      <c r="DA199" s="611"/>
      <c r="DB199" s="272"/>
      <c r="DC199" s="56"/>
      <c r="DD199" s="56"/>
      <c r="DE199" s="56"/>
      <c r="DF199" s="611"/>
      <c r="DG199" s="272"/>
      <c r="DH199" s="56"/>
      <c r="DI199" s="56"/>
      <c r="DJ199" s="56"/>
      <c r="DK199" s="611"/>
      <c r="DL199" s="272"/>
      <c r="DM199" s="56"/>
      <c r="DN199" s="56"/>
      <c r="DO199" s="56"/>
      <c r="DP199" s="611"/>
      <c r="DQ199" s="272"/>
      <c r="DR199" s="56"/>
      <c r="DS199" s="56"/>
      <c r="DT199" s="56"/>
      <c r="DU199" s="611"/>
      <c r="DV199" s="272"/>
      <c r="DW199" s="56"/>
      <c r="DX199" s="56"/>
      <c r="DY199" s="56"/>
      <c r="DZ199" s="611"/>
      <c r="EA199" s="272"/>
      <c r="EB199" s="56"/>
      <c r="EC199" s="56"/>
      <c r="ED199" s="56"/>
      <c r="EE199" s="611"/>
      <c r="EF199" s="272"/>
      <c r="EG199" s="56"/>
      <c r="EH199" s="56"/>
      <c r="EI199" s="56"/>
      <c r="EJ199" s="611"/>
      <c r="EK199" s="272"/>
      <c r="EL199" s="56"/>
      <c r="EM199" s="56"/>
      <c r="EN199" s="56"/>
      <c r="EO199" s="144"/>
      <c r="ER199" s="42"/>
      <c r="ES199" s="42"/>
    </row>
    <row r="200" spans="4:149" ht="12.75" hidden="1" customHeight="1" x14ac:dyDescent="0.3">
      <c r="D200" s="144" t="s">
        <v>343</v>
      </c>
      <c r="E200" s="635"/>
      <c r="G200" s="56">
        <f>SUM(G201:G204)</f>
        <v>0</v>
      </c>
      <c r="H200" s="56"/>
      <c r="I200" s="56"/>
      <c r="J200" s="611"/>
      <c r="L200" s="56">
        <f>SUM(L201:L204)</f>
        <v>0</v>
      </c>
      <c r="M200" s="56"/>
      <c r="N200" s="56"/>
      <c r="O200" s="611"/>
      <c r="Q200" s="56">
        <f>SUM(Q201:Q204)</f>
        <v>0</v>
      </c>
      <c r="R200" s="56"/>
      <c r="S200" s="56"/>
      <c r="T200" s="611"/>
      <c r="V200" s="56">
        <f>SUM(V201:V204)</f>
        <v>0</v>
      </c>
      <c r="W200" s="56"/>
      <c r="X200" s="56"/>
      <c r="Y200" s="611"/>
      <c r="AA200" s="56">
        <f>SUM(AA201:AA204)</f>
        <v>0</v>
      </c>
      <c r="AB200" s="56"/>
      <c r="AC200" s="56"/>
      <c r="AD200" s="611"/>
      <c r="AF200" s="56">
        <f>SUM(AF201:AF204)</f>
        <v>0</v>
      </c>
      <c r="AG200" s="56"/>
      <c r="AH200" s="56"/>
      <c r="AI200" s="611"/>
      <c r="AK200" s="56">
        <f>SUM(AK201:AK204)</f>
        <v>0</v>
      </c>
      <c r="AL200" s="56"/>
      <c r="AM200" s="56"/>
      <c r="AN200" s="611"/>
      <c r="AP200" s="56">
        <f>SUM(AP201:AP204)</f>
        <v>0</v>
      </c>
      <c r="AQ200" s="56"/>
      <c r="AR200" s="56"/>
      <c r="AS200" s="611"/>
      <c r="AU200" s="56">
        <f>SUM(AU201:AU204)</f>
        <v>0</v>
      </c>
      <c r="AV200" s="56"/>
      <c r="AW200" s="56"/>
      <c r="AX200" s="611"/>
      <c r="AZ200" s="56">
        <f>SUM(AZ201:AZ204)</f>
        <v>0</v>
      </c>
      <c r="BA200" s="56"/>
      <c r="BB200" s="56"/>
      <c r="BC200" s="611"/>
      <c r="BE200" s="56">
        <f>SUM(BE201:BE204)</f>
        <v>0</v>
      </c>
      <c r="BF200" s="56"/>
      <c r="BG200" s="56"/>
      <c r="BH200" s="611"/>
      <c r="BJ200" s="56">
        <f>SUM(BJ201:BJ204)</f>
        <v>0</v>
      </c>
      <c r="BK200" s="56"/>
      <c r="BL200" s="56"/>
      <c r="BM200" s="611"/>
      <c r="BO200" s="56">
        <f>SUM(BO201:BO204)</f>
        <v>0</v>
      </c>
      <c r="BP200" s="56"/>
      <c r="BQ200" s="56"/>
      <c r="BR200" s="611"/>
      <c r="BT200" s="56">
        <f>SUM(BT201:BT204)</f>
        <v>0</v>
      </c>
      <c r="BU200" s="56"/>
      <c r="BV200" s="56"/>
      <c r="BW200" s="611"/>
      <c r="BY200" s="56">
        <f>SUM(BY201:BY204)</f>
        <v>0</v>
      </c>
      <c r="BZ200" s="56"/>
      <c r="CA200" s="56"/>
      <c r="CB200" s="611"/>
      <c r="CD200" s="56">
        <f>SUM(CD201:CD204)</f>
        <v>0</v>
      </c>
      <c r="CE200" s="56"/>
      <c r="CF200" s="56"/>
      <c r="CG200" s="611"/>
      <c r="CI200" s="56">
        <f>SUM(CI201:CI204)</f>
        <v>0</v>
      </c>
      <c r="CJ200" s="56"/>
      <c r="CK200" s="56"/>
      <c r="CL200" s="611"/>
      <c r="CN200" s="56">
        <f>SUM(CN201:CN204)</f>
        <v>0</v>
      </c>
      <c r="CO200" s="56"/>
      <c r="CP200" s="56"/>
      <c r="CQ200" s="611"/>
      <c r="CS200" s="56">
        <f>SUM(CS201:CS204)</f>
        <v>0</v>
      </c>
      <c r="CT200" s="56"/>
      <c r="CU200" s="56"/>
      <c r="CV200" s="611"/>
      <c r="CX200" s="56">
        <f>SUM(CX201:CX204)</f>
        <v>0</v>
      </c>
      <c r="CY200" s="56"/>
      <c r="CZ200" s="56"/>
      <c r="DA200" s="611"/>
      <c r="DC200" s="56">
        <f>SUM(DC201:DC204)</f>
        <v>0</v>
      </c>
      <c r="DD200" s="56"/>
      <c r="DE200" s="56"/>
      <c r="DF200" s="611"/>
      <c r="DH200" s="56">
        <f>SUM(DH201:DH204)</f>
        <v>0</v>
      </c>
      <c r="DI200" s="56"/>
      <c r="DJ200" s="56"/>
      <c r="DK200" s="611"/>
      <c r="DM200" s="56">
        <f>SUM(DM201:DM204)</f>
        <v>0</v>
      </c>
      <c r="DN200" s="56"/>
      <c r="DO200" s="56"/>
      <c r="DP200" s="611"/>
      <c r="DR200" s="56">
        <f>SUM(DR201:DR204)</f>
        <v>0</v>
      </c>
      <c r="DS200" s="56"/>
      <c r="DT200" s="56"/>
      <c r="DU200" s="611"/>
      <c r="DW200" s="56">
        <f>SUM(DW201:DW204)</f>
        <v>0</v>
      </c>
      <c r="DX200" s="56"/>
      <c r="DY200" s="56"/>
      <c r="DZ200" s="611"/>
      <c r="EB200" s="56">
        <f>SUM(EB201:EB204)</f>
        <v>0</v>
      </c>
      <c r="EC200" s="56"/>
      <c r="ED200" s="56"/>
      <c r="EE200" s="611"/>
      <c r="EG200" s="56">
        <f>SUM(EG201:EG204)</f>
        <v>0</v>
      </c>
      <c r="EH200" s="56"/>
      <c r="EI200" s="56"/>
      <c r="EJ200" s="611"/>
      <c r="EL200" s="56">
        <f>SUM(EL201:EL204)</f>
        <v>0</v>
      </c>
      <c r="EM200" s="56"/>
      <c r="EN200" s="56"/>
      <c r="EO200" s="144"/>
      <c r="ER200" s="42"/>
      <c r="ES200" s="42"/>
    </row>
    <row r="201" spans="4:149" ht="12.75" hidden="1" customHeight="1" x14ac:dyDescent="0.3">
      <c r="D201" s="144" t="s">
        <v>335</v>
      </c>
      <c r="E201" s="635"/>
      <c r="F201" s="500"/>
      <c r="G201" s="609">
        <v>0</v>
      </c>
      <c r="H201" s="610"/>
      <c r="I201" s="56"/>
      <c r="J201" s="611"/>
      <c r="K201" s="500"/>
      <c r="L201" s="609">
        <v>0</v>
      </c>
      <c r="M201" s="610"/>
      <c r="N201" s="56"/>
      <c r="O201" s="611"/>
      <c r="P201" s="500"/>
      <c r="Q201" s="609">
        <v>0</v>
      </c>
      <c r="R201" s="610"/>
      <c r="S201" s="56"/>
      <c r="T201" s="611"/>
      <c r="U201" s="500"/>
      <c r="V201" s="609">
        <v>0</v>
      </c>
      <c r="W201" s="610"/>
      <c r="X201" s="56"/>
      <c r="Y201" s="611"/>
      <c r="Z201" s="500"/>
      <c r="AA201" s="609">
        <v>0</v>
      </c>
      <c r="AB201" s="610"/>
      <c r="AC201" s="56"/>
      <c r="AD201" s="611"/>
      <c r="AE201" s="500"/>
      <c r="AF201" s="609">
        <v>0</v>
      </c>
      <c r="AG201" s="610"/>
      <c r="AH201" s="56"/>
      <c r="AI201" s="611"/>
      <c r="AJ201" s="500"/>
      <c r="AK201" s="609">
        <v>0</v>
      </c>
      <c r="AL201" s="610"/>
      <c r="AM201" s="56"/>
      <c r="AN201" s="611"/>
      <c r="AO201" s="500"/>
      <c r="AP201" s="609">
        <v>0</v>
      </c>
      <c r="AQ201" s="610"/>
      <c r="AR201" s="56"/>
      <c r="AS201" s="611"/>
      <c r="AT201" s="500"/>
      <c r="AU201" s="609">
        <v>0</v>
      </c>
      <c r="AV201" s="610"/>
      <c r="AW201" s="56"/>
      <c r="AX201" s="611"/>
      <c r="AY201" s="500"/>
      <c r="AZ201" s="609">
        <v>0</v>
      </c>
      <c r="BA201" s="610"/>
      <c r="BB201" s="56"/>
      <c r="BC201" s="611"/>
      <c r="BD201" s="500"/>
      <c r="BE201" s="609">
        <v>0</v>
      </c>
      <c r="BF201" s="610"/>
      <c r="BG201" s="56"/>
      <c r="BH201" s="611"/>
      <c r="BI201" s="500"/>
      <c r="BJ201" s="609">
        <v>0</v>
      </c>
      <c r="BK201" s="610"/>
      <c r="BL201" s="56"/>
      <c r="BM201" s="611"/>
      <c r="BN201" s="500"/>
      <c r="BO201" s="609">
        <v>0</v>
      </c>
      <c r="BP201" s="610"/>
      <c r="BQ201" s="56"/>
      <c r="BR201" s="611"/>
      <c r="BS201" s="500"/>
      <c r="BT201" s="609">
        <f>SUM(L201:BO201)</f>
        <v>0</v>
      </c>
      <c r="BU201" s="610"/>
      <c r="BV201" s="56"/>
      <c r="BW201" s="611"/>
      <c r="BX201" s="500"/>
      <c r="BY201" s="609">
        <v>0</v>
      </c>
      <c r="BZ201" s="610"/>
      <c r="CA201" s="56"/>
      <c r="CB201" s="611"/>
      <c r="CC201" s="500"/>
      <c r="CD201" s="609">
        <v>0</v>
      </c>
      <c r="CE201" s="610"/>
      <c r="CF201" s="56"/>
      <c r="CG201" s="611"/>
      <c r="CH201" s="500"/>
      <c r="CI201" s="609">
        <v>0</v>
      </c>
      <c r="CJ201" s="610"/>
      <c r="CK201" s="56"/>
      <c r="CL201" s="611"/>
      <c r="CM201" s="500"/>
      <c r="CN201" s="609">
        <v>0</v>
      </c>
      <c r="CO201" s="610"/>
      <c r="CP201" s="56"/>
      <c r="CQ201" s="611"/>
      <c r="CR201" s="500"/>
      <c r="CS201" s="609">
        <v>0</v>
      </c>
      <c r="CT201" s="610"/>
      <c r="CU201" s="56"/>
      <c r="CV201" s="611"/>
      <c r="CW201" s="500"/>
      <c r="CX201" s="609">
        <v>0</v>
      </c>
      <c r="CY201" s="610"/>
      <c r="CZ201" s="56"/>
      <c r="DA201" s="611"/>
      <c r="DB201" s="500"/>
      <c r="DC201" s="609">
        <v>0</v>
      </c>
      <c r="DD201" s="610"/>
      <c r="DE201" s="56"/>
      <c r="DF201" s="611"/>
      <c r="DG201" s="500"/>
      <c r="DH201" s="609">
        <v>0</v>
      </c>
      <c r="DI201" s="610"/>
      <c r="DJ201" s="56"/>
      <c r="DK201" s="611"/>
      <c r="DL201" s="500"/>
      <c r="DM201" s="609">
        <v>0</v>
      </c>
      <c r="DN201" s="610"/>
      <c r="DO201" s="56"/>
      <c r="DP201" s="611"/>
      <c r="DQ201" s="500"/>
      <c r="DR201" s="609">
        <v>0</v>
      </c>
      <c r="DS201" s="610"/>
      <c r="DT201" s="56"/>
      <c r="DU201" s="611"/>
      <c r="DV201" s="500"/>
      <c r="DW201" s="609">
        <v>0</v>
      </c>
      <c r="DX201" s="610"/>
      <c r="DY201" s="56"/>
      <c r="DZ201" s="611"/>
      <c r="EA201" s="500"/>
      <c r="EB201" s="609">
        <v>0</v>
      </c>
      <c r="EC201" s="610"/>
      <c r="ED201" s="56"/>
      <c r="EE201" s="611"/>
      <c r="EF201" s="500"/>
      <c r="EG201" s="609">
        <v>0</v>
      </c>
      <c r="EH201" s="610"/>
      <c r="EI201" s="56"/>
      <c r="EJ201" s="611"/>
      <c r="EK201" s="500"/>
      <c r="EL201" s="609">
        <f>SUM(CD201:EG201)</f>
        <v>0</v>
      </c>
      <c r="EM201" s="610"/>
      <c r="EN201" s="56"/>
      <c r="EO201" s="144"/>
      <c r="ER201" s="42"/>
      <c r="ES201" s="42"/>
    </row>
    <row r="202" spans="4:149" ht="12.75" hidden="1" customHeight="1" x14ac:dyDescent="0.3">
      <c r="D202" s="144" t="s">
        <v>338</v>
      </c>
      <c r="E202" s="635"/>
      <c r="F202" s="494"/>
      <c r="G202" s="56">
        <v>0</v>
      </c>
      <c r="H202" s="55"/>
      <c r="I202" s="56"/>
      <c r="J202" s="611"/>
      <c r="K202" s="494"/>
      <c r="L202" s="56">
        <v>0</v>
      </c>
      <c r="M202" s="55"/>
      <c r="N202" s="56"/>
      <c r="O202" s="611"/>
      <c r="P202" s="494"/>
      <c r="Q202" s="56">
        <v>0</v>
      </c>
      <c r="R202" s="55"/>
      <c r="S202" s="56"/>
      <c r="T202" s="611"/>
      <c r="U202" s="494"/>
      <c r="V202" s="56">
        <v>0</v>
      </c>
      <c r="W202" s="55"/>
      <c r="X202" s="56"/>
      <c r="Y202" s="611"/>
      <c r="Z202" s="494"/>
      <c r="AA202" s="56">
        <v>0</v>
      </c>
      <c r="AB202" s="55"/>
      <c r="AC202" s="56"/>
      <c r="AD202" s="611"/>
      <c r="AE202" s="494"/>
      <c r="AF202" s="56">
        <v>0</v>
      </c>
      <c r="AG202" s="55"/>
      <c r="AH202" s="56"/>
      <c r="AI202" s="611"/>
      <c r="AJ202" s="494"/>
      <c r="AK202" s="56">
        <v>0</v>
      </c>
      <c r="AL202" s="55"/>
      <c r="AM202" s="56"/>
      <c r="AN202" s="611"/>
      <c r="AO202" s="494"/>
      <c r="AP202" s="56">
        <v>0</v>
      </c>
      <c r="AQ202" s="55"/>
      <c r="AR202" s="56"/>
      <c r="AS202" s="611"/>
      <c r="AT202" s="494"/>
      <c r="AU202" s="56">
        <v>0</v>
      </c>
      <c r="AV202" s="55"/>
      <c r="AW202" s="56"/>
      <c r="AX202" s="611"/>
      <c r="AY202" s="494"/>
      <c r="AZ202" s="56">
        <v>0</v>
      </c>
      <c r="BA202" s="55"/>
      <c r="BB202" s="56"/>
      <c r="BC202" s="611"/>
      <c r="BD202" s="494"/>
      <c r="BE202" s="56">
        <v>0</v>
      </c>
      <c r="BF202" s="55"/>
      <c r="BG202" s="56"/>
      <c r="BH202" s="611"/>
      <c r="BI202" s="494"/>
      <c r="BJ202" s="56">
        <v>0</v>
      </c>
      <c r="BK202" s="55"/>
      <c r="BL202" s="56"/>
      <c r="BM202" s="611"/>
      <c r="BN202" s="494"/>
      <c r="BO202" s="56">
        <v>0</v>
      </c>
      <c r="BP202" s="55"/>
      <c r="BQ202" s="56"/>
      <c r="BR202" s="611"/>
      <c r="BS202" s="494"/>
      <c r="BT202" s="56">
        <f>SUM(L202:BO202)</f>
        <v>0</v>
      </c>
      <c r="BU202" s="55"/>
      <c r="BV202" s="56"/>
      <c r="BW202" s="611"/>
      <c r="BX202" s="494"/>
      <c r="BY202" s="56">
        <v>0</v>
      </c>
      <c r="BZ202" s="55"/>
      <c r="CA202" s="56"/>
      <c r="CB202" s="611"/>
      <c r="CC202" s="494"/>
      <c r="CD202" s="56">
        <v>0</v>
      </c>
      <c r="CE202" s="55"/>
      <c r="CF202" s="56"/>
      <c r="CG202" s="611"/>
      <c r="CH202" s="494"/>
      <c r="CI202" s="56">
        <v>0</v>
      </c>
      <c r="CJ202" s="55"/>
      <c r="CK202" s="56"/>
      <c r="CL202" s="611"/>
      <c r="CM202" s="494"/>
      <c r="CN202" s="56">
        <v>0</v>
      </c>
      <c r="CO202" s="55"/>
      <c r="CP202" s="56"/>
      <c r="CQ202" s="611"/>
      <c r="CR202" s="494"/>
      <c r="CS202" s="56">
        <v>0</v>
      </c>
      <c r="CT202" s="55"/>
      <c r="CU202" s="56"/>
      <c r="CV202" s="611"/>
      <c r="CW202" s="494"/>
      <c r="CX202" s="56">
        <v>0</v>
      </c>
      <c r="CY202" s="55"/>
      <c r="CZ202" s="56"/>
      <c r="DA202" s="611"/>
      <c r="DB202" s="494"/>
      <c r="DC202" s="56">
        <v>0</v>
      </c>
      <c r="DD202" s="55"/>
      <c r="DE202" s="56"/>
      <c r="DF202" s="611"/>
      <c r="DG202" s="494"/>
      <c r="DH202" s="56">
        <v>0</v>
      </c>
      <c r="DI202" s="55"/>
      <c r="DJ202" s="56"/>
      <c r="DK202" s="611"/>
      <c r="DL202" s="494"/>
      <c r="DM202" s="56">
        <v>0</v>
      </c>
      <c r="DN202" s="55"/>
      <c r="DO202" s="56"/>
      <c r="DP202" s="611"/>
      <c r="DQ202" s="494"/>
      <c r="DR202" s="56">
        <v>0</v>
      </c>
      <c r="DS202" s="55"/>
      <c r="DT202" s="56"/>
      <c r="DU202" s="611"/>
      <c r="DV202" s="494"/>
      <c r="DW202" s="56">
        <v>0</v>
      </c>
      <c r="DX202" s="55"/>
      <c r="DY202" s="56"/>
      <c r="DZ202" s="611"/>
      <c r="EA202" s="494"/>
      <c r="EB202" s="56">
        <v>0</v>
      </c>
      <c r="EC202" s="55"/>
      <c r="ED202" s="56"/>
      <c r="EE202" s="611"/>
      <c r="EF202" s="494"/>
      <c r="EG202" s="56">
        <v>0</v>
      </c>
      <c r="EH202" s="55"/>
      <c r="EI202" s="56"/>
      <c r="EJ202" s="611"/>
      <c r="EK202" s="494"/>
      <c r="EL202" s="56">
        <f>SUM(CD202:EG202)</f>
        <v>0</v>
      </c>
      <c r="EM202" s="55"/>
      <c r="EN202" s="56"/>
      <c r="EO202" s="144"/>
      <c r="ER202" s="42"/>
      <c r="ES202" s="42"/>
    </row>
    <row r="203" spans="4:149" ht="12.75" hidden="1" customHeight="1" x14ac:dyDescent="0.3">
      <c r="D203" s="144" t="s">
        <v>339</v>
      </c>
      <c r="E203" s="635"/>
      <c r="F203" s="494"/>
      <c r="G203" s="56"/>
      <c r="H203" s="55"/>
      <c r="I203" s="56"/>
      <c r="J203" s="611"/>
      <c r="K203" s="494"/>
      <c r="L203" s="56"/>
      <c r="M203" s="55"/>
      <c r="N203" s="56"/>
      <c r="O203" s="611"/>
      <c r="P203" s="494"/>
      <c r="Q203" s="56"/>
      <c r="R203" s="55"/>
      <c r="S203" s="56"/>
      <c r="T203" s="611"/>
      <c r="U203" s="494"/>
      <c r="V203" s="56"/>
      <c r="W203" s="55"/>
      <c r="X203" s="56"/>
      <c r="Y203" s="611"/>
      <c r="Z203" s="494"/>
      <c r="AA203" s="56"/>
      <c r="AB203" s="55"/>
      <c r="AC203" s="56"/>
      <c r="AD203" s="611"/>
      <c r="AE203" s="494"/>
      <c r="AF203" s="56"/>
      <c r="AG203" s="55"/>
      <c r="AH203" s="56"/>
      <c r="AI203" s="611"/>
      <c r="AJ203" s="494"/>
      <c r="AK203" s="56"/>
      <c r="AL203" s="55"/>
      <c r="AM203" s="56"/>
      <c r="AN203" s="611"/>
      <c r="AO203" s="494"/>
      <c r="AP203" s="56"/>
      <c r="AQ203" s="55"/>
      <c r="AR203" s="56"/>
      <c r="AS203" s="611"/>
      <c r="AT203" s="494"/>
      <c r="AU203" s="56"/>
      <c r="AV203" s="55"/>
      <c r="AW203" s="56"/>
      <c r="AX203" s="611"/>
      <c r="AY203" s="494"/>
      <c r="AZ203" s="56"/>
      <c r="BA203" s="55"/>
      <c r="BB203" s="56"/>
      <c r="BC203" s="611"/>
      <c r="BD203" s="494"/>
      <c r="BE203" s="56"/>
      <c r="BF203" s="55"/>
      <c r="BG203" s="56"/>
      <c r="BH203" s="611"/>
      <c r="BI203" s="494"/>
      <c r="BJ203" s="56"/>
      <c r="BK203" s="55"/>
      <c r="BL203" s="56"/>
      <c r="BM203" s="611"/>
      <c r="BN203" s="494"/>
      <c r="BO203" s="56"/>
      <c r="BP203" s="55"/>
      <c r="BQ203" s="56"/>
      <c r="BR203" s="611"/>
      <c r="BS203" s="494"/>
      <c r="BT203" s="56">
        <f>SUM(L203:BO203)</f>
        <v>0</v>
      </c>
      <c r="BU203" s="55"/>
      <c r="BV203" s="56"/>
      <c r="BW203" s="611"/>
      <c r="BX203" s="494"/>
      <c r="BY203" s="56"/>
      <c r="BZ203" s="55"/>
      <c r="CA203" s="56"/>
      <c r="CB203" s="611"/>
      <c r="CC203" s="494"/>
      <c r="CD203" s="56"/>
      <c r="CE203" s="55"/>
      <c r="CF203" s="56"/>
      <c r="CG203" s="611"/>
      <c r="CH203" s="494"/>
      <c r="CI203" s="56"/>
      <c r="CJ203" s="55"/>
      <c r="CK203" s="56"/>
      <c r="CL203" s="611"/>
      <c r="CM203" s="494"/>
      <c r="CN203" s="56"/>
      <c r="CO203" s="55"/>
      <c r="CP203" s="56"/>
      <c r="CQ203" s="611"/>
      <c r="CR203" s="494"/>
      <c r="CS203" s="56"/>
      <c r="CT203" s="55"/>
      <c r="CU203" s="56"/>
      <c r="CV203" s="611"/>
      <c r="CW203" s="494"/>
      <c r="CX203" s="56"/>
      <c r="CY203" s="55"/>
      <c r="CZ203" s="56"/>
      <c r="DA203" s="611"/>
      <c r="DB203" s="494"/>
      <c r="DC203" s="56"/>
      <c r="DD203" s="55"/>
      <c r="DE203" s="56"/>
      <c r="DF203" s="611"/>
      <c r="DG203" s="494"/>
      <c r="DH203" s="56"/>
      <c r="DI203" s="55"/>
      <c r="DJ203" s="56"/>
      <c r="DK203" s="611"/>
      <c r="DL203" s="494"/>
      <c r="DM203" s="56"/>
      <c r="DN203" s="55"/>
      <c r="DO203" s="56"/>
      <c r="DP203" s="611"/>
      <c r="DQ203" s="494"/>
      <c r="DR203" s="56"/>
      <c r="DS203" s="55"/>
      <c r="DT203" s="56"/>
      <c r="DU203" s="611"/>
      <c r="DV203" s="494"/>
      <c r="DW203" s="56"/>
      <c r="DX203" s="55"/>
      <c r="DY203" s="56"/>
      <c r="DZ203" s="611"/>
      <c r="EA203" s="494"/>
      <c r="EB203" s="56"/>
      <c r="EC203" s="55"/>
      <c r="ED203" s="56"/>
      <c r="EE203" s="611"/>
      <c r="EF203" s="494"/>
      <c r="EG203" s="56"/>
      <c r="EH203" s="55"/>
      <c r="EI203" s="56"/>
      <c r="EJ203" s="611"/>
      <c r="EK203" s="494"/>
      <c r="EL203" s="56">
        <f>SUM(CD203:EG203)</f>
        <v>0</v>
      </c>
      <c r="EM203" s="55"/>
      <c r="EN203" s="56"/>
      <c r="EO203" s="144"/>
      <c r="ER203" s="42"/>
      <c r="ES203" s="42"/>
    </row>
    <row r="204" spans="4:149" ht="12.75" hidden="1" customHeight="1" x14ac:dyDescent="0.3">
      <c r="D204" s="144" t="s">
        <v>340</v>
      </c>
      <c r="E204" s="635"/>
      <c r="F204" s="513"/>
      <c r="G204" s="117">
        <v>0</v>
      </c>
      <c r="H204" s="116"/>
      <c r="I204" s="56"/>
      <c r="J204" s="611"/>
      <c r="K204" s="513"/>
      <c r="L204" s="117">
        <v>0</v>
      </c>
      <c r="M204" s="116"/>
      <c r="N204" s="56"/>
      <c r="O204" s="611"/>
      <c r="P204" s="513"/>
      <c r="Q204" s="117">
        <v>0</v>
      </c>
      <c r="R204" s="116"/>
      <c r="S204" s="56"/>
      <c r="T204" s="611"/>
      <c r="U204" s="513"/>
      <c r="V204" s="117">
        <v>0</v>
      </c>
      <c r="W204" s="116"/>
      <c r="X204" s="56"/>
      <c r="Y204" s="611"/>
      <c r="Z204" s="513"/>
      <c r="AA204" s="117">
        <v>0</v>
      </c>
      <c r="AB204" s="116"/>
      <c r="AC204" s="56"/>
      <c r="AD204" s="611"/>
      <c r="AE204" s="513"/>
      <c r="AF204" s="117">
        <v>0</v>
      </c>
      <c r="AG204" s="116"/>
      <c r="AH204" s="56"/>
      <c r="AI204" s="611"/>
      <c r="AJ204" s="513"/>
      <c r="AK204" s="117">
        <v>0</v>
      </c>
      <c r="AL204" s="116"/>
      <c r="AM204" s="56"/>
      <c r="AN204" s="611"/>
      <c r="AO204" s="513"/>
      <c r="AP204" s="117">
        <v>0</v>
      </c>
      <c r="AQ204" s="116"/>
      <c r="AR204" s="56"/>
      <c r="AS204" s="611"/>
      <c r="AT204" s="513"/>
      <c r="AU204" s="117">
        <v>0</v>
      </c>
      <c r="AV204" s="116"/>
      <c r="AW204" s="56"/>
      <c r="AX204" s="611"/>
      <c r="AY204" s="513"/>
      <c r="AZ204" s="117">
        <v>0</v>
      </c>
      <c r="BA204" s="116"/>
      <c r="BB204" s="56"/>
      <c r="BC204" s="611"/>
      <c r="BD204" s="513"/>
      <c r="BE204" s="117">
        <v>0</v>
      </c>
      <c r="BF204" s="116"/>
      <c r="BG204" s="56"/>
      <c r="BH204" s="611"/>
      <c r="BI204" s="513"/>
      <c r="BJ204" s="117">
        <v>0</v>
      </c>
      <c r="BK204" s="116"/>
      <c r="BL204" s="56"/>
      <c r="BM204" s="611"/>
      <c r="BN204" s="513"/>
      <c r="BO204" s="117">
        <v>0</v>
      </c>
      <c r="BP204" s="116"/>
      <c r="BQ204" s="56"/>
      <c r="BR204" s="611"/>
      <c r="BS204" s="513"/>
      <c r="BT204" s="117">
        <f>SUM(L204:BO204)</f>
        <v>0</v>
      </c>
      <c r="BU204" s="116"/>
      <c r="BV204" s="56"/>
      <c r="BW204" s="611"/>
      <c r="BX204" s="513"/>
      <c r="BY204" s="117">
        <v>0</v>
      </c>
      <c r="BZ204" s="116"/>
      <c r="CA204" s="56"/>
      <c r="CB204" s="611"/>
      <c r="CC204" s="513"/>
      <c r="CD204" s="117">
        <v>0</v>
      </c>
      <c r="CE204" s="116"/>
      <c r="CF204" s="56"/>
      <c r="CG204" s="611"/>
      <c r="CH204" s="513"/>
      <c r="CI204" s="117">
        <v>0</v>
      </c>
      <c r="CJ204" s="116"/>
      <c r="CK204" s="56"/>
      <c r="CL204" s="611"/>
      <c r="CM204" s="513"/>
      <c r="CN204" s="117">
        <v>0</v>
      </c>
      <c r="CO204" s="116"/>
      <c r="CP204" s="56"/>
      <c r="CQ204" s="611"/>
      <c r="CR204" s="513"/>
      <c r="CS204" s="117">
        <v>0</v>
      </c>
      <c r="CT204" s="116"/>
      <c r="CU204" s="56"/>
      <c r="CV204" s="611"/>
      <c r="CW204" s="513"/>
      <c r="CX204" s="117">
        <v>0</v>
      </c>
      <c r="CY204" s="116"/>
      <c r="CZ204" s="56"/>
      <c r="DA204" s="611"/>
      <c r="DB204" s="513"/>
      <c r="DC204" s="117">
        <v>0</v>
      </c>
      <c r="DD204" s="116"/>
      <c r="DE204" s="56"/>
      <c r="DF204" s="611"/>
      <c r="DG204" s="513"/>
      <c r="DH204" s="117">
        <v>0</v>
      </c>
      <c r="DI204" s="116"/>
      <c r="DJ204" s="56"/>
      <c r="DK204" s="611"/>
      <c r="DL204" s="513"/>
      <c r="DM204" s="117">
        <v>0</v>
      </c>
      <c r="DN204" s="116"/>
      <c r="DO204" s="56"/>
      <c r="DP204" s="611"/>
      <c r="DQ204" s="513"/>
      <c r="DR204" s="117">
        <v>0</v>
      </c>
      <c r="DS204" s="116"/>
      <c r="DT204" s="56"/>
      <c r="DU204" s="611"/>
      <c r="DV204" s="513"/>
      <c r="DW204" s="117">
        <v>0</v>
      </c>
      <c r="DX204" s="116"/>
      <c r="DY204" s="56"/>
      <c r="DZ204" s="611"/>
      <c r="EA204" s="513"/>
      <c r="EB204" s="117">
        <v>0</v>
      </c>
      <c r="EC204" s="116"/>
      <c r="ED204" s="56"/>
      <c r="EE204" s="611"/>
      <c r="EF204" s="513"/>
      <c r="EG204" s="117">
        <v>0</v>
      </c>
      <c r="EH204" s="116"/>
      <c r="EI204" s="56"/>
      <c r="EJ204" s="611"/>
      <c r="EK204" s="513"/>
      <c r="EL204" s="117">
        <f>SUM(CD204:EG204)</f>
        <v>0</v>
      </c>
      <c r="EM204" s="116"/>
      <c r="EN204" s="56"/>
      <c r="EO204" s="144"/>
      <c r="ER204" s="42"/>
      <c r="ES204" s="42"/>
    </row>
    <row r="205" spans="4:149" ht="12.75" hidden="1" customHeight="1" x14ac:dyDescent="0.3">
      <c r="D205" s="144"/>
      <c r="E205" s="635"/>
      <c r="G205" s="56"/>
      <c r="H205" s="56"/>
      <c r="I205" s="56"/>
      <c r="J205" s="611"/>
      <c r="L205" s="56"/>
      <c r="M205" s="56"/>
      <c r="N205" s="56"/>
      <c r="O205" s="611"/>
      <c r="Q205" s="56"/>
      <c r="R205" s="56"/>
      <c r="S205" s="56"/>
      <c r="T205" s="611"/>
      <c r="V205" s="56"/>
      <c r="W205" s="56"/>
      <c r="X205" s="56"/>
      <c r="Y205" s="611"/>
      <c r="AA205" s="56"/>
      <c r="AB205" s="56"/>
      <c r="AC205" s="56"/>
      <c r="AD205" s="611"/>
      <c r="AF205" s="56"/>
      <c r="AG205" s="56"/>
      <c r="AH205" s="56"/>
      <c r="AI205" s="611"/>
      <c r="AK205" s="56"/>
      <c r="AL205" s="56"/>
      <c r="AM205" s="56"/>
      <c r="AN205" s="611"/>
      <c r="AP205" s="56"/>
      <c r="AQ205" s="56"/>
      <c r="AR205" s="56"/>
      <c r="AS205" s="611"/>
      <c r="AU205" s="56"/>
      <c r="AV205" s="56"/>
      <c r="AW205" s="56"/>
      <c r="AX205" s="611"/>
      <c r="AZ205" s="56"/>
      <c r="BA205" s="56"/>
      <c r="BB205" s="56"/>
      <c r="BC205" s="611"/>
      <c r="BE205" s="56"/>
      <c r="BF205" s="56"/>
      <c r="BG205" s="56"/>
      <c r="BH205" s="611"/>
      <c r="BJ205" s="56"/>
      <c r="BK205" s="56"/>
      <c r="BL205" s="56"/>
      <c r="BM205" s="611"/>
      <c r="BO205" s="56"/>
      <c r="BP205" s="56"/>
      <c r="BQ205" s="56"/>
      <c r="BR205" s="611"/>
      <c r="BT205" s="56"/>
      <c r="BU205" s="56"/>
      <c r="BV205" s="56"/>
      <c r="BW205" s="611"/>
      <c r="BY205" s="56"/>
      <c r="BZ205" s="56"/>
      <c r="CA205" s="56"/>
      <c r="CB205" s="611"/>
      <c r="CD205" s="56"/>
      <c r="CE205" s="56"/>
      <c r="CF205" s="56"/>
      <c r="CG205" s="611"/>
      <c r="CI205" s="56"/>
      <c r="CJ205" s="56"/>
      <c r="CK205" s="56"/>
      <c r="CL205" s="611"/>
      <c r="CN205" s="56"/>
      <c r="CO205" s="56"/>
      <c r="CP205" s="56"/>
      <c r="CQ205" s="611"/>
      <c r="CS205" s="56"/>
      <c r="CT205" s="56"/>
      <c r="CU205" s="56"/>
      <c r="CV205" s="611"/>
      <c r="CX205" s="56"/>
      <c r="CY205" s="56"/>
      <c r="CZ205" s="56"/>
      <c r="DA205" s="611"/>
      <c r="DC205" s="56"/>
      <c r="DD205" s="56"/>
      <c r="DE205" s="56"/>
      <c r="DF205" s="611"/>
      <c r="DH205" s="56"/>
      <c r="DI205" s="56"/>
      <c r="DJ205" s="56"/>
      <c r="DK205" s="611"/>
      <c r="DM205" s="56"/>
      <c r="DN205" s="56"/>
      <c r="DO205" s="56"/>
      <c r="DP205" s="611"/>
      <c r="DR205" s="56"/>
      <c r="DS205" s="56"/>
      <c r="DT205" s="56"/>
      <c r="DU205" s="611"/>
      <c r="DW205" s="56"/>
      <c r="DX205" s="56"/>
      <c r="DY205" s="56"/>
      <c r="DZ205" s="611"/>
      <c r="EB205" s="56"/>
      <c r="EC205" s="56"/>
      <c r="ED205" s="56"/>
      <c r="EE205" s="611"/>
      <c r="EG205" s="56"/>
      <c r="EH205" s="56"/>
      <c r="EI205" s="56"/>
      <c r="EJ205" s="611"/>
      <c r="EL205" s="56"/>
      <c r="EM205" s="56"/>
      <c r="EN205" s="56"/>
      <c r="EO205" s="144"/>
      <c r="ER205" s="42"/>
      <c r="ES205" s="42"/>
    </row>
    <row r="206" spans="4:149" ht="12.75" hidden="1" customHeight="1" x14ac:dyDescent="0.3">
      <c r="D206" s="144" t="s">
        <v>344</v>
      </c>
      <c r="G206" s="56">
        <f>SUM(G207:G210)</f>
        <v>0</v>
      </c>
      <c r="H206" s="56"/>
      <c r="I206" s="56"/>
      <c r="J206" s="611"/>
      <c r="K206" s="56"/>
      <c r="L206" s="56">
        <f>SUM(L207:L210)</f>
        <v>0</v>
      </c>
      <c r="M206" s="56"/>
      <c r="N206" s="56"/>
      <c r="O206" s="611"/>
      <c r="P206" s="56"/>
      <c r="Q206" s="56">
        <f>SUM(Q207:Q210)</f>
        <v>0</v>
      </c>
      <c r="R206" s="56"/>
      <c r="S206" s="56"/>
      <c r="T206" s="611"/>
      <c r="U206" s="56"/>
      <c r="V206" s="56">
        <f>SUM(V207:V210)</f>
        <v>0</v>
      </c>
      <c r="W206" s="56"/>
      <c r="X206" s="56"/>
      <c r="Y206" s="611"/>
      <c r="Z206" s="56"/>
      <c r="AA206" s="56">
        <f>SUM(AA207:AA210)</f>
        <v>0</v>
      </c>
      <c r="AB206" s="56"/>
      <c r="AC206" s="56"/>
      <c r="AD206" s="611"/>
      <c r="AE206" s="56"/>
      <c r="AF206" s="56">
        <f>SUM(AF207:AF210)</f>
        <v>0</v>
      </c>
      <c r="AG206" s="56"/>
      <c r="AH206" s="56"/>
      <c r="AI206" s="611"/>
      <c r="AJ206" s="56"/>
      <c r="AK206" s="56">
        <f>SUM(AK207:AK210)</f>
        <v>0</v>
      </c>
      <c r="AL206" s="56"/>
      <c r="AM206" s="56"/>
      <c r="AN206" s="611"/>
      <c r="AO206" s="56"/>
      <c r="AP206" s="56">
        <f>SUM(AP207:AP210)</f>
        <v>0</v>
      </c>
      <c r="AQ206" s="56"/>
      <c r="AR206" s="56"/>
      <c r="AS206" s="611"/>
      <c r="AT206" s="56"/>
      <c r="AU206" s="56">
        <f>SUM(AU207:AU210)</f>
        <v>0</v>
      </c>
      <c r="AV206" s="56"/>
      <c r="AW206" s="56"/>
      <c r="AX206" s="611"/>
      <c r="AY206" s="56"/>
      <c r="AZ206" s="56">
        <f>SUM(AZ207:AZ210)</f>
        <v>0</v>
      </c>
      <c r="BA206" s="56"/>
      <c r="BB206" s="56"/>
      <c r="BC206" s="611"/>
      <c r="BD206" s="56"/>
      <c r="BE206" s="56">
        <f>SUM(BE207:BE210)</f>
        <v>0</v>
      </c>
      <c r="BF206" s="56"/>
      <c r="BG206" s="56"/>
      <c r="BH206" s="611"/>
      <c r="BI206" s="56"/>
      <c r="BJ206" s="56">
        <f>SUM(BJ207:BJ210)</f>
        <v>0</v>
      </c>
      <c r="BK206" s="56"/>
      <c r="BL206" s="56"/>
      <c r="BM206" s="611"/>
      <c r="BN206" s="56"/>
      <c r="BO206" s="56">
        <f>SUM(BO207:BO210)</f>
        <v>0</v>
      </c>
      <c r="BP206" s="56"/>
      <c r="BQ206" s="56"/>
      <c r="BR206" s="611"/>
      <c r="BS206" s="56"/>
      <c r="BT206" s="56">
        <f>SUM(BT207:BT210)</f>
        <v>0</v>
      </c>
      <c r="BU206" s="56"/>
      <c r="BV206" s="56"/>
      <c r="BW206" s="611"/>
      <c r="BX206" s="56"/>
      <c r="BY206" s="56">
        <f>SUM(BY207:BY210)</f>
        <v>0</v>
      </c>
      <c r="BZ206" s="56"/>
      <c r="CA206" s="56"/>
      <c r="CB206" s="611"/>
      <c r="CC206" s="56"/>
      <c r="CD206" s="56">
        <f>SUM(CD207:CD210)</f>
        <v>0</v>
      </c>
      <c r="CE206" s="56"/>
      <c r="CF206" s="56"/>
      <c r="CG206" s="611"/>
      <c r="CH206" s="56"/>
      <c r="CI206" s="56">
        <f>SUM(CI207:CI210)</f>
        <v>0</v>
      </c>
      <c r="CJ206" s="56"/>
      <c r="CK206" s="56"/>
      <c r="CL206" s="611"/>
      <c r="CM206" s="56"/>
      <c r="CN206" s="56">
        <f>SUM(CN207:CN210)</f>
        <v>0</v>
      </c>
      <c r="CO206" s="56"/>
      <c r="CP206" s="56"/>
      <c r="CQ206" s="611"/>
      <c r="CR206" s="56"/>
      <c r="CS206" s="56">
        <f>SUM(CS207:CS210)</f>
        <v>0</v>
      </c>
      <c r="CT206" s="56"/>
      <c r="CU206" s="56"/>
      <c r="CV206" s="611"/>
      <c r="CW206" s="56"/>
      <c r="CX206" s="56">
        <f>SUM(CX207:CX210)</f>
        <v>0</v>
      </c>
      <c r="CY206" s="56"/>
      <c r="CZ206" s="56"/>
      <c r="DA206" s="611"/>
      <c r="DB206" s="56"/>
      <c r="DC206" s="56">
        <f>SUM(DC207:DC210)</f>
        <v>0</v>
      </c>
      <c r="DD206" s="56"/>
      <c r="DE206" s="56"/>
      <c r="DF206" s="611"/>
      <c r="DG206" s="56"/>
      <c r="DH206" s="56">
        <f>SUM(DH207:DH210)</f>
        <v>0</v>
      </c>
      <c r="DI206" s="56"/>
      <c r="DJ206" s="56"/>
      <c r="DK206" s="611"/>
      <c r="DL206" s="56"/>
      <c r="DM206" s="56">
        <f>SUM(DM207:DM210)</f>
        <v>0</v>
      </c>
      <c r="DN206" s="56"/>
      <c r="DO206" s="56"/>
      <c r="DP206" s="611"/>
      <c r="DQ206" s="56"/>
      <c r="DR206" s="56">
        <f>SUM(DR207:DR210)</f>
        <v>0</v>
      </c>
      <c r="DS206" s="56"/>
      <c r="DT206" s="56"/>
      <c r="DU206" s="611"/>
      <c r="DV206" s="56"/>
      <c r="DW206" s="56">
        <f>SUM(DW207:DW210)</f>
        <v>0</v>
      </c>
      <c r="DX206" s="56"/>
      <c r="DY206" s="56"/>
      <c r="DZ206" s="611"/>
      <c r="EA206" s="56"/>
      <c r="EB206" s="56">
        <f>SUM(EB207:EB210)</f>
        <v>0</v>
      </c>
      <c r="EC206" s="56"/>
      <c r="ED206" s="56"/>
      <c r="EE206" s="611"/>
      <c r="EF206" s="56"/>
      <c r="EG206" s="56">
        <f>SUM(EG207:EG210)</f>
        <v>0</v>
      </c>
      <c r="EH206" s="56"/>
      <c r="EI206" s="56"/>
      <c r="EJ206" s="611"/>
      <c r="EK206" s="56"/>
      <c r="EL206" s="56">
        <f>SUM(EL207:EL210)</f>
        <v>0</v>
      </c>
      <c r="EM206" s="56"/>
      <c r="EN206" s="56"/>
      <c r="EO206" s="144"/>
      <c r="ER206" s="42"/>
      <c r="ES206" s="42"/>
    </row>
    <row r="207" spans="4:149" ht="12.75" hidden="1" customHeight="1" x14ac:dyDescent="0.3">
      <c r="D207" s="144" t="s">
        <v>335</v>
      </c>
      <c r="F207" s="500"/>
      <c r="G207" s="609">
        <v>0</v>
      </c>
      <c r="H207" s="610"/>
      <c r="I207" s="56"/>
      <c r="J207" s="611"/>
      <c r="K207" s="612"/>
      <c r="L207" s="609">
        <v>0</v>
      </c>
      <c r="M207" s="610"/>
      <c r="N207" s="56"/>
      <c r="O207" s="611"/>
      <c r="P207" s="612"/>
      <c r="Q207" s="609">
        <v>0</v>
      </c>
      <c r="R207" s="610"/>
      <c r="S207" s="56"/>
      <c r="T207" s="611"/>
      <c r="U207" s="612"/>
      <c r="V207" s="609">
        <v>0</v>
      </c>
      <c r="W207" s="610"/>
      <c r="X207" s="56"/>
      <c r="Y207" s="611"/>
      <c r="Z207" s="612"/>
      <c r="AA207" s="609">
        <v>0</v>
      </c>
      <c r="AB207" s="610"/>
      <c r="AC207" s="56"/>
      <c r="AD207" s="611"/>
      <c r="AE207" s="612"/>
      <c r="AF207" s="609">
        <v>0</v>
      </c>
      <c r="AG207" s="610"/>
      <c r="AH207" s="56"/>
      <c r="AI207" s="611"/>
      <c r="AJ207" s="612"/>
      <c r="AK207" s="609">
        <v>0</v>
      </c>
      <c r="AL207" s="610"/>
      <c r="AM207" s="56"/>
      <c r="AN207" s="611"/>
      <c r="AO207" s="612"/>
      <c r="AP207" s="609">
        <v>0</v>
      </c>
      <c r="AQ207" s="610"/>
      <c r="AR207" s="56"/>
      <c r="AS207" s="611"/>
      <c r="AT207" s="612"/>
      <c r="AU207" s="609">
        <v>0</v>
      </c>
      <c r="AV207" s="610"/>
      <c r="AW207" s="56"/>
      <c r="AX207" s="611"/>
      <c r="AY207" s="612"/>
      <c r="AZ207" s="609">
        <v>0</v>
      </c>
      <c r="BA207" s="610"/>
      <c r="BB207" s="56"/>
      <c r="BC207" s="611"/>
      <c r="BD207" s="612"/>
      <c r="BE207" s="609">
        <v>0</v>
      </c>
      <c r="BF207" s="610"/>
      <c r="BG207" s="56"/>
      <c r="BH207" s="611"/>
      <c r="BI207" s="612"/>
      <c r="BJ207" s="609">
        <v>0</v>
      </c>
      <c r="BK207" s="610"/>
      <c r="BL207" s="56"/>
      <c r="BM207" s="611"/>
      <c r="BN207" s="612"/>
      <c r="BO207" s="609">
        <v>0</v>
      </c>
      <c r="BP207" s="610"/>
      <c r="BQ207" s="56"/>
      <c r="BR207" s="611"/>
      <c r="BS207" s="612"/>
      <c r="BT207" s="609">
        <f>SUM(L207:BO207)</f>
        <v>0</v>
      </c>
      <c r="BU207" s="610"/>
      <c r="BV207" s="56"/>
      <c r="BW207" s="611"/>
      <c r="BX207" s="612"/>
      <c r="BY207" s="609">
        <v>0</v>
      </c>
      <c r="BZ207" s="610"/>
      <c r="CA207" s="56"/>
      <c r="CB207" s="611"/>
      <c r="CC207" s="612"/>
      <c r="CD207" s="609">
        <v>0</v>
      </c>
      <c r="CE207" s="610"/>
      <c r="CF207" s="56"/>
      <c r="CG207" s="611"/>
      <c r="CH207" s="612"/>
      <c r="CI207" s="609">
        <v>0</v>
      </c>
      <c r="CJ207" s="610"/>
      <c r="CK207" s="56"/>
      <c r="CL207" s="611"/>
      <c r="CM207" s="612"/>
      <c r="CN207" s="609">
        <v>0</v>
      </c>
      <c r="CO207" s="610"/>
      <c r="CP207" s="56"/>
      <c r="CQ207" s="611"/>
      <c r="CR207" s="612"/>
      <c r="CS207" s="609">
        <v>0</v>
      </c>
      <c r="CT207" s="610"/>
      <c r="CU207" s="56"/>
      <c r="CV207" s="611"/>
      <c r="CW207" s="612"/>
      <c r="CX207" s="609">
        <v>0</v>
      </c>
      <c r="CY207" s="610"/>
      <c r="CZ207" s="56"/>
      <c r="DA207" s="611"/>
      <c r="DB207" s="612"/>
      <c r="DC207" s="609">
        <v>0</v>
      </c>
      <c r="DD207" s="610"/>
      <c r="DE207" s="56"/>
      <c r="DF207" s="611"/>
      <c r="DG207" s="612"/>
      <c r="DH207" s="609">
        <v>0</v>
      </c>
      <c r="DI207" s="610"/>
      <c r="DJ207" s="56"/>
      <c r="DK207" s="611"/>
      <c r="DL207" s="612"/>
      <c r="DM207" s="609">
        <v>0</v>
      </c>
      <c r="DN207" s="610"/>
      <c r="DO207" s="56"/>
      <c r="DP207" s="611"/>
      <c r="DQ207" s="612"/>
      <c r="DR207" s="609">
        <v>0</v>
      </c>
      <c r="DS207" s="610"/>
      <c r="DT207" s="56"/>
      <c r="DU207" s="611"/>
      <c r="DV207" s="612"/>
      <c r="DW207" s="609">
        <v>0</v>
      </c>
      <c r="DX207" s="610"/>
      <c r="DY207" s="56"/>
      <c r="DZ207" s="611"/>
      <c r="EA207" s="612"/>
      <c r="EB207" s="609">
        <v>0</v>
      </c>
      <c r="EC207" s="610"/>
      <c r="ED207" s="56"/>
      <c r="EE207" s="611"/>
      <c r="EF207" s="612"/>
      <c r="EG207" s="609">
        <v>0</v>
      </c>
      <c r="EH207" s="610"/>
      <c r="EI207" s="56"/>
      <c r="EJ207" s="611"/>
      <c r="EK207" s="612"/>
      <c r="EL207" s="609">
        <f>SUM(CD207:EG207)</f>
        <v>0</v>
      </c>
      <c r="EM207" s="610"/>
      <c r="EN207" s="56"/>
      <c r="EO207" s="144"/>
      <c r="ER207" s="42"/>
      <c r="ES207" s="42"/>
    </row>
    <row r="208" spans="4:149" ht="12.75" hidden="1" customHeight="1" x14ac:dyDescent="0.3">
      <c r="D208" s="144" t="s">
        <v>338</v>
      </c>
      <c r="F208" s="494"/>
      <c r="G208" s="56">
        <v>0</v>
      </c>
      <c r="H208" s="55"/>
      <c r="I208" s="56"/>
      <c r="J208" s="611"/>
      <c r="K208" s="611"/>
      <c r="L208" s="56">
        <v>0</v>
      </c>
      <c r="M208" s="55"/>
      <c r="N208" s="56"/>
      <c r="O208" s="611"/>
      <c r="P208" s="611"/>
      <c r="Q208" s="56">
        <v>0</v>
      </c>
      <c r="R208" s="55"/>
      <c r="S208" s="56"/>
      <c r="T208" s="611"/>
      <c r="U208" s="611"/>
      <c r="V208" s="56">
        <v>0</v>
      </c>
      <c r="W208" s="55"/>
      <c r="X208" s="56"/>
      <c r="Y208" s="611"/>
      <c r="Z208" s="611"/>
      <c r="AA208" s="56">
        <v>0</v>
      </c>
      <c r="AB208" s="55"/>
      <c r="AC208" s="56"/>
      <c r="AD208" s="611"/>
      <c r="AE208" s="611"/>
      <c r="AF208" s="56">
        <v>0</v>
      </c>
      <c r="AG208" s="55"/>
      <c r="AH208" s="56"/>
      <c r="AI208" s="611"/>
      <c r="AJ208" s="611"/>
      <c r="AK208" s="56">
        <v>0</v>
      </c>
      <c r="AL208" s="55"/>
      <c r="AM208" s="56"/>
      <c r="AN208" s="611"/>
      <c r="AO208" s="611"/>
      <c r="AP208" s="56">
        <v>0</v>
      </c>
      <c r="AQ208" s="55"/>
      <c r="AR208" s="56"/>
      <c r="AS208" s="611"/>
      <c r="AT208" s="611"/>
      <c r="AU208" s="56">
        <v>0</v>
      </c>
      <c r="AV208" s="55"/>
      <c r="AW208" s="56"/>
      <c r="AX208" s="611"/>
      <c r="AY208" s="611"/>
      <c r="AZ208" s="56">
        <v>0</v>
      </c>
      <c r="BA208" s="55"/>
      <c r="BB208" s="56"/>
      <c r="BC208" s="611"/>
      <c r="BD208" s="611"/>
      <c r="BE208" s="56">
        <v>0</v>
      </c>
      <c r="BF208" s="55"/>
      <c r="BG208" s="56"/>
      <c r="BH208" s="611"/>
      <c r="BI208" s="611"/>
      <c r="BJ208" s="56">
        <v>0</v>
      </c>
      <c r="BK208" s="55"/>
      <c r="BL208" s="56"/>
      <c r="BM208" s="611"/>
      <c r="BN208" s="611"/>
      <c r="BO208" s="56">
        <v>0</v>
      </c>
      <c r="BP208" s="55"/>
      <c r="BQ208" s="56"/>
      <c r="BR208" s="611"/>
      <c r="BS208" s="611"/>
      <c r="BT208" s="56">
        <f>SUM(L208:BO208)</f>
        <v>0</v>
      </c>
      <c r="BU208" s="55"/>
      <c r="BV208" s="56"/>
      <c r="BW208" s="611"/>
      <c r="BX208" s="611"/>
      <c r="BY208" s="56">
        <v>0</v>
      </c>
      <c r="BZ208" s="55"/>
      <c r="CA208" s="56"/>
      <c r="CB208" s="611"/>
      <c r="CC208" s="611"/>
      <c r="CD208" s="56">
        <v>0</v>
      </c>
      <c r="CE208" s="55"/>
      <c r="CF208" s="56"/>
      <c r="CG208" s="611"/>
      <c r="CH208" s="611"/>
      <c r="CI208" s="56">
        <v>0</v>
      </c>
      <c r="CJ208" s="55"/>
      <c r="CK208" s="56"/>
      <c r="CL208" s="611"/>
      <c r="CM208" s="611"/>
      <c r="CN208" s="56">
        <v>0</v>
      </c>
      <c r="CO208" s="55"/>
      <c r="CP208" s="56"/>
      <c r="CQ208" s="611"/>
      <c r="CR208" s="611"/>
      <c r="CS208" s="56">
        <v>0</v>
      </c>
      <c r="CT208" s="55"/>
      <c r="CU208" s="56"/>
      <c r="CV208" s="611"/>
      <c r="CW208" s="611"/>
      <c r="CX208" s="56">
        <v>0</v>
      </c>
      <c r="CY208" s="55"/>
      <c r="CZ208" s="56"/>
      <c r="DA208" s="611"/>
      <c r="DB208" s="611"/>
      <c r="DC208" s="56">
        <v>0</v>
      </c>
      <c r="DD208" s="55"/>
      <c r="DE208" s="56"/>
      <c r="DF208" s="611"/>
      <c r="DG208" s="611"/>
      <c r="DH208" s="56">
        <v>0</v>
      </c>
      <c r="DI208" s="55"/>
      <c r="DJ208" s="56"/>
      <c r="DK208" s="611"/>
      <c r="DL208" s="611"/>
      <c r="DM208" s="56">
        <v>0</v>
      </c>
      <c r="DN208" s="55"/>
      <c r="DO208" s="56"/>
      <c r="DP208" s="611"/>
      <c r="DQ208" s="611"/>
      <c r="DR208" s="56">
        <v>0</v>
      </c>
      <c r="DS208" s="55"/>
      <c r="DT208" s="56"/>
      <c r="DU208" s="611"/>
      <c r="DV208" s="611"/>
      <c r="DW208" s="56">
        <v>0</v>
      </c>
      <c r="DX208" s="55"/>
      <c r="DY208" s="56"/>
      <c r="DZ208" s="611"/>
      <c r="EA208" s="611"/>
      <c r="EB208" s="56">
        <v>0</v>
      </c>
      <c r="EC208" s="55"/>
      <c r="ED208" s="56"/>
      <c r="EE208" s="611"/>
      <c r="EF208" s="611"/>
      <c r="EG208" s="56">
        <v>0</v>
      </c>
      <c r="EH208" s="55"/>
      <c r="EI208" s="56"/>
      <c r="EJ208" s="611"/>
      <c r="EK208" s="611"/>
      <c r="EL208" s="56">
        <f>SUM(CD208:EG208)</f>
        <v>0</v>
      </c>
      <c r="EM208" s="55"/>
      <c r="EN208" s="56"/>
      <c r="EO208" s="144"/>
      <c r="ER208" s="42"/>
      <c r="ES208" s="42"/>
    </row>
    <row r="209" spans="4:149" ht="12.75" hidden="1" customHeight="1" x14ac:dyDescent="0.3">
      <c r="D209" s="144" t="s">
        <v>339</v>
      </c>
      <c r="F209" s="494"/>
      <c r="G209" s="56"/>
      <c r="H209" s="55"/>
      <c r="I209" s="56"/>
      <c r="J209" s="611"/>
      <c r="K209" s="611"/>
      <c r="L209" s="56"/>
      <c r="M209" s="55"/>
      <c r="N209" s="56"/>
      <c r="O209" s="611"/>
      <c r="P209" s="611"/>
      <c r="Q209" s="56"/>
      <c r="R209" s="55"/>
      <c r="S209" s="56"/>
      <c r="T209" s="611"/>
      <c r="U209" s="611"/>
      <c r="V209" s="56"/>
      <c r="W209" s="55"/>
      <c r="X209" s="56"/>
      <c r="Y209" s="611"/>
      <c r="Z209" s="611"/>
      <c r="AA209" s="56"/>
      <c r="AB209" s="55"/>
      <c r="AC209" s="56"/>
      <c r="AD209" s="611"/>
      <c r="AE209" s="611"/>
      <c r="AF209" s="56"/>
      <c r="AG209" s="55"/>
      <c r="AH209" s="56"/>
      <c r="AI209" s="611"/>
      <c r="AJ209" s="611"/>
      <c r="AK209" s="56"/>
      <c r="AL209" s="55"/>
      <c r="AM209" s="56"/>
      <c r="AN209" s="611"/>
      <c r="AO209" s="611"/>
      <c r="AP209" s="56"/>
      <c r="AQ209" s="55"/>
      <c r="AR209" s="56"/>
      <c r="AS209" s="611"/>
      <c r="AT209" s="611"/>
      <c r="AU209" s="56"/>
      <c r="AV209" s="55"/>
      <c r="AW209" s="56"/>
      <c r="AX209" s="611"/>
      <c r="AY209" s="611"/>
      <c r="AZ209" s="56"/>
      <c r="BA209" s="55"/>
      <c r="BB209" s="56"/>
      <c r="BC209" s="611"/>
      <c r="BD209" s="611"/>
      <c r="BE209" s="56"/>
      <c r="BF209" s="55"/>
      <c r="BG209" s="56"/>
      <c r="BH209" s="611"/>
      <c r="BI209" s="611"/>
      <c r="BJ209" s="56"/>
      <c r="BK209" s="55"/>
      <c r="BL209" s="56"/>
      <c r="BM209" s="611"/>
      <c r="BN209" s="611"/>
      <c r="BO209" s="56"/>
      <c r="BP209" s="55"/>
      <c r="BQ209" s="56"/>
      <c r="BR209" s="611"/>
      <c r="BS209" s="611"/>
      <c r="BT209" s="56">
        <f>SUM(L209:BO209)</f>
        <v>0</v>
      </c>
      <c r="BU209" s="55"/>
      <c r="BV209" s="56"/>
      <c r="BW209" s="611"/>
      <c r="BX209" s="611"/>
      <c r="BY209" s="56"/>
      <c r="BZ209" s="55"/>
      <c r="CA209" s="56"/>
      <c r="CB209" s="611"/>
      <c r="CC209" s="611"/>
      <c r="CD209" s="56"/>
      <c r="CE209" s="55"/>
      <c r="CF209" s="56"/>
      <c r="CG209" s="611"/>
      <c r="CH209" s="611"/>
      <c r="CI209" s="56"/>
      <c r="CJ209" s="55"/>
      <c r="CK209" s="56"/>
      <c r="CL209" s="611"/>
      <c r="CM209" s="611"/>
      <c r="CN209" s="56"/>
      <c r="CO209" s="55"/>
      <c r="CP209" s="56"/>
      <c r="CQ209" s="611"/>
      <c r="CR209" s="611"/>
      <c r="CS209" s="56"/>
      <c r="CT209" s="55"/>
      <c r="CU209" s="56"/>
      <c r="CV209" s="611"/>
      <c r="CW209" s="611"/>
      <c r="CX209" s="56"/>
      <c r="CY209" s="55"/>
      <c r="CZ209" s="56"/>
      <c r="DA209" s="611"/>
      <c r="DB209" s="611"/>
      <c r="DC209" s="56"/>
      <c r="DD209" s="55"/>
      <c r="DE209" s="56"/>
      <c r="DF209" s="611"/>
      <c r="DG209" s="611"/>
      <c r="DH209" s="56"/>
      <c r="DI209" s="55"/>
      <c r="DJ209" s="56"/>
      <c r="DK209" s="611"/>
      <c r="DL209" s="611"/>
      <c r="DM209" s="56"/>
      <c r="DN209" s="55"/>
      <c r="DO209" s="56"/>
      <c r="DP209" s="611"/>
      <c r="DQ209" s="611"/>
      <c r="DR209" s="56"/>
      <c r="DS209" s="55"/>
      <c r="DT209" s="56"/>
      <c r="DU209" s="611"/>
      <c r="DV209" s="611"/>
      <c r="DW209" s="56"/>
      <c r="DX209" s="55"/>
      <c r="DY209" s="56"/>
      <c r="DZ209" s="611"/>
      <c r="EA209" s="611"/>
      <c r="EB209" s="56"/>
      <c r="EC209" s="55"/>
      <c r="ED209" s="56"/>
      <c r="EE209" s="611"/>
      <c r="EF209" s="611"/>
      <c r="EG209" s="56"/>
      <c r="EH209" s="55"/>
      <c r="EI209" s="56"/>
      <c r="EJ209" s="611"/>
      <c r="EK209" s="611"/>
      <c r="EL209" s="56">
        <f>SUM(CD209:EG209)</f>
        <v>0</v>
      </c>
      <c r="EM209" s="55"/>
      <c r="EN209" s="56"/>
      <c r="EO209" s="144"/>
      <c r="ER209" s="42"/>
      <c r="ES209" s="42"/>
    </row>
    <row r="210" spans="4:149" ht="12.75" hidden="1" customHeight="1" x14ac:dyDescent="0.3">
      <c r="D210" s="144" t="s">
        <v>340</v>
      </c>
      <c r="F210" s="513"/>
      <c r="G210" s="117">
        <v>0</v>
      </c>
      <c r="H210" s="116"/>
      <c r="I210" s="56"/>
      <c r="J210" s="611"/>
      <c r="K210" s="620"/>
      <c r="L210" s="117">
        <v>0</v>
      </c>
      <c r="M210" s="116"/>
      <c r="N210" s="56"/>
      <c r="O210" s="611"/>
      <c r="P210" s="620"/>
      <c r="Q210" s="117">
        <v>0</v>
      </c>
      <c r="R210" s="116"/>
      <c r="S210" s="56"/>
      <c r="T210" s="611"/>
      <c r="U210" s="620"/>
      <c r="V210" s="117">
        <v>0</v>
      </c>
      <c r="W210" s="116"/>
      <c r="X210" s="56"/>
      <c r="Y210" s="611"/>
      <c r="Z210" s="620"/>
      <c r="AA210" s="117">
        <v>0</v>
      </c>
      <c r="AB210" s="116"/>
      <c r="AC210" s="56"/>
      <c r="AD210" s="611"/>
      <c r="AE210" s="620"/>
      <c r="AF210" s="117">
        <v>0</v>
      </c>
      <c r="AG210" s="116"/>
      <c r="AH210" s="56"/>
      <c r="AI210" s="611"/>
      <c r="AJ210" s="620"/>
      <c r="AK210" s="117">
        <v>0</v>
      </c>
      <c r="AL210" s="116"/>
      <c r="AM210" s="56"/>
      <c r="AN210" s="611"/>
      <c r="AO210" s="620"/>
      <c r="AP210" s="117">
        <v>0</v>
      </c>
      <c r="AQ210" s="116"/>
      <c r="AR210" s="56"/>
      <c r="AS210" s="611"/>
      <c r="AT210" s="620"/>
      <c r="AU210" s="117">
        <v>0</v>
      </c>
      <c r="AV210" s="116"/>
      <c r="AW210" s="56"/>
      <c r="AX210" s="611"/>
      <c r="AY210" s="620"/>
      <c r="AZ210" s="117">
        <v>0</v>
      </c>
      <c r="BA210" s="116"/>
      <c r="BB210" s="56"/>
      <c r="BC210" s="611"/>
      <c r="BD210" s="620"/>
      <c r="BE210" s="117">
        <v>0</v>
      </c>
      <c r="BF210" s="116"/>
      <c r="BG210" s="56"/>
      <c r="BH210" s="611"/>
      <c r="BI210" s="620"/>
      <c r="BJ210" s="117">
        <v>0</v>
      </c>
      <c r="BK210" s="116"/>
      <c r="BL210" s="56"/>
      <c r="BM210" s="611"/>
      <c r="BN210" s="620"/>
      <c r="BO210" s="117">
        <v>0</v>
      </c>
      <c r="BP210" s="116"/>
      <c r="BQ210" s="56"/>
      <c r="BR210" s="611"/>
      <c r="BS210" s="620"/>
      <c r="BT210" s="117">
        <f>SUM(L210:BO210)</f>
        <v>0</v>
      </c>
      <c r="BU210" s="116"/>
      <c r="BV210" s="56"/>
      <c r="BW210" s="611"/>
      <c r="BX210" s="620"/>
      <c r="BY210" s="117">
        <v>0</v>
      </c>
      <c r="BZ210" s="116"/>
      <c r="CA210" s="56"/>
      <c r="CB210" s="611"/>
      <c r="CC210" s="620"/>
      <c r="CD210" s="117">
        <v>0</v>
      </c>
      <c r="CE210" s="116"/>
      <c r="CF210" s="56"/>
      <c r="CG210" s="611"/>
      <c r="CH210" s="620"/>
      <c r="CI210" s="117">
        <v>0</v>
      </c>
      <c r="CJ210" s="116"/>
      <c r="CK210" s="56"/>
      <c r="CL210" s="611"/>
      <c r="CM210" s="620"/>
      <c r="CN210" s="117">
        <v>0</v>
      </c>
      <c r="CO210" s="116"/>
      <c r="CP210" s="56"/>
      <c r="CQ210" s="611"/>
      <c r="CR210" s="620"/>
      <c r="CS210" s="117">
        <v>0</v>
      </c>
      <c r="CT210" s="116"/>
      <c r="CU210" s="56"/>
      <c r="CV210" s="611"/>
      <c r="CW210" s="620"/>
      <c r="CX210" s="117">
        <v>0</v>
      </c>
      <c r="CY210" s="116"/>
      <c r="CZ210" s="56"/>
      <c r="DA210" s="611"/>
      <c r="DB210" s="620"/>
      <c r="DC210" s="117">
        <v>0</v>
      </c>
      <c r="DD210" s="116"/>
      <c r="DE210" s="56"/>
      <c r="DF210" s="611"/>
      <c r="DG210" s="620"/>
      <c r="DH210" s="117">
        <v>0</v>
      </c>
      <c r="DI210" s="116"/>
      <c r="DJ210" s="56"/>
      <c r="DK210" s="611"/>
      <c r="DL210" s="620"/>
      <c r="DM210" s="117">
        <v>0</v>
      </c>
      <c r="DN210" s="116"/>
      <c r="DO210" s="56"/>
      <c r="DP210" s="611"/>
      <c r="DQ210" s="620"/>
      <c r="DR210" s="117">
        <v>0</v>
      </c>
      <c r="DS210" s="116"/>
      <c r="DT210" s="56"/>
      <c r="DU210" s="611"/>
      <c r="DV210" s="620"/>
      <c r="DW210" s="117">
        <v>0</v>
      </c>
      <c r="DX210" s="116"/>
      <c r="DY210" s="56"/>
      <c r="DZ210" s="611"/>
      <c r="EA210" s="620"/>
      <c r="EB210" s="117">
        <v>0</v>
      </c>
      <c r="EC210" s="116"/>
      <c r="ED210" s="56"/>
      <c r="EE210" s="611"/>
      <c r="EF210" s="620"/>
      <c r="EG210" s="117">
        <v>0</v>
      </c>
      <c r="EH210" s="116"/>
      <c r="EI210" s="56"/>
      <c r="EJ210" s="611"/>
      <c r="EK210" s="620"/>
      <c r="EL210" s="117">
        <f>SUM(CD210:EG210)</f>
        <v>0</v>
      </c>
      <c r="EM210" s="116"/>
      <c r="EN210" s="56"/>
      <c r="EO210" s="144"/>
      <c r="ER210" s="42"/>
      <c r="ES210" s="42"/>
    </row>
    <row r="211" spans="4:149" ht="12.75" hidden="1" customHeight="1" x14ac:dyDescent="0.3">
      <c r="D211" s="144"/>
      <c r="E211" s="635"/>
      <c r="G211" s="56"/>
      <c r="H211" s="56"/>
      <c r="I211" s="56"/>
      <c r="J211" s="611"/>
      <c r="L211" s="56"/>
      <c r="M211" s="56"/>
      <c r="N211" s="56"/>
      <c r="O211" s="611"/>
      <c r="Q211" s="56"/>
      <c r="R211" s="56"/>
      <c r="S211" s="56"/>
      <c r="T211" s="611"/>
      <c r="V211" s="56"/>
      <c r="W211" s="56"/>
      <c r="X211" s="56"/>
      <c r="Y211" s="611"/>
      <c r="AA211" s="56"/>
      <c r="AB211" s="56"/>
      <c r="AC211" s="56"/>
      <c r="AD211" s="611"/>
      <c r="AF211" s="56"/>
      <c r="AG211" s="56"/>
      <c r="AH211" s="56"/>
      <c r="AI211" s="611"/>
      <c r="AK211" s="56"/>
      <c r="AL211" s="56"/>
      <c r="AM211" s="56"/>
      <c r="AN211" s="611"/>
      <c r="AP211" s="56"/>
      <c r="AQ211" s="56"/>
      <c r="AR211" s="56"/>
      <c r="AS211" s="611"/>
      <c r="AU211" s="56"/>
      <c r="AV211" s="56"/>
      <c r="AW211" s="56"/>
      <c r="AX211" s="611"/>
      <c r="AZ211" s="56"/>
      <c r="BA211" s="56"/>
      <c r="BB211" s="56"/>
      <c r="BC211" s="611"/>
      <c r="BE211" s="56"/>
      <c r="BF211" s="56"/>
      <c r="BG211" s="56"/>
      <c r="BH211" s="611"/>
      <c r="BJ211" s="56"/>
      <c r="BK211" s="56"/>
      <c r="BL211" s="56"/>
      <c r="BM211" s="611"/>
      <c r="BO211" s="56"/>
      <c r="BP211" s="56"/>
      <c r="BQ211" s="56"/>
      <c r="BR211" s="611"/>
      <c r="BT211" s="56"/>
      <c r="BU211" s="56"/>
      <c r="BV211" s="56"/>
      <c r="BW211" s="611"/>
      <c r="BY211" s="56"/>
      <c r="BZ211" s="56"/>
      <c r="CA211" s="56"/>
      <c r="CB211" s="611"/>
      <c r="CD211" s="56"/>
      <c r="CE211" s="56"/>
      <c r="CF211" s="56"/>
      <c r="CG211" s="611"/>
      <c r="CI211" s="56"/>
      <c r="CJ211" s="56"/>
      <c r="CK211" s="56"/>
      <c r="CL211" s="611"/>
      <c r="CN211" s="56"/>
      <c r="CO211" s="56"/>
      <c r="CP211" s="56"/>
      <c r="CQ211" s="611"/>
      <c r="CS211" s="56"/>
      <c r="CT211" s="56"/>
      <c r="CU211" s="56"/>
      <c r="CV211" s="611"/>
      <c r="CX211" s="56"/>
      <c r="CY211" s="56"/>
      <c r="CZ211" s="56"/>
      <c r="DA211" s="611"/>
      <c r="DC211" s="56"/>
      <c r="DD211" s="56"/>
      <c r="DE211" s="56"/>
      <c r="DF211" s="611"/>
      <c r="DH211" s="56"/>
      <c r="DI211" s="56"/>
      <c r="DJ211" s="56"/>
      <c r="DK211" s="611"/>
      <c r="DM211" s="56"/>
      <c r="DN211" s="56"/>
      <c r="DO211" s="56"/>
      <c r="DP211" s="611"/>
      <c r="DR211" s="56"/>
      <c r="DS211" s="56"/>
      <c r="DT211" s="56"/>
      <c r="DU211" s="611"/>
      <c r="DW211" s="56"/>
      <c r="DX211" s="56"/>
      <c r="DY211" s="56"/>
      <c r="DZ211" s="611"/>
      <c r="EB211" s="56"/>
      <c r="EC211" s="56"/>
      <c r="ED211" s="56"/>
      <c r="EE211" s="611"/>
      <c r="EG211" s="56"/>
      <c r="EH211" s="56"/>
      <c r="EI211" s="56"/>
      <c r="EJ211" s="611"/>
      <c r="EL211" s="56"/>
      <c r="EM211" s="56"/>
      <c r="EN211" s="56"/>
      <c r="EO211" s="144"/>
      <c r="ER211" s="42"/>
      <c r="ES211" s="42"/>
    </row>
    <row r="212" spans="4:149" ht="12.75" hidden="1" customHeight="1" x14ac:dyDescent="0.3">
      <c r="D212" s="144" t="s">
        <v>345</v>
      </c>
      <c r="G212" s="56">
        <f>SUM(G213:G216)</f>
        <v>0</v>
      </c>
      <c r="H212" s="56"/>
      <c r="I212" s="56"/>
      <c r="J212" s="611"/>
      <c r="K212" s="56"/>
      <c r="L212" s="56">
        <f>SUM(L213:L216)</f>
        <v>0</v>
      </c>
      <c r="M212" s="56"/>
      <c r="N212" s="56"/>
      <c r="O212" s="611"/>
      <c r="P212" s="56"/>
      <c r="Q212" s="56">
        <f>SUM(Q213:Q216)</f>
        <v>0</v>
      </c>
      <c r="R212" s="56"/>
      <c r="S212" s="56"/>
      <c r="T212" s="611"/>
      <c r="U212" s="56"/>
      <c r="V212" s="56">
        <f>SUM(V213:V216)</f>
        <v>0</v>
      </c>
      <c r="W212" s="56"/>
      <c r="X212" s="56"/>
      <c r="Y212" s="611"/>
      <c r="Z212" s="56"/>
      <c r="AA212" s="56">
        <f>SUM(AA213:AA216)</f>
        <v>0</v>
      </c>
      <c r="AB212" s="56"/>
      <c r="AC212" s="56"/>
      <c r="AD212" s="611"/>
      <c r="AE212" s="56"/>
      <c r="AF212" s="56">
        <f>SUM(AF213:AF216)</f>
        <v>0</v>
      </c>
      <c r="AG212" s="56"/>
      <c r="AH212" s="56"/>
      <c r="AI212" s="611"/>
      <c r="AJ212" s="56"/>
      <c r="AK212" s="56">
        <f>SUM(AK213:AK216)</f>
        <v>0</v>
      </c>
      <c r="AL212" s="56"/>
      <c r="AM212" s="56"/>
      <c r="AN212" s="611"/>
      <c r="AO212" s="56"/>
      <c r="AP212" s="56">
        <f>SUM(AP213:AP216)</f>
        <v>0</v>
      </c>
      <c r="AQ212" s="56"/>
      <c r="AR212" s="56"/>
      <c r="AS212" s="611"/>
      <c r="AT212" s="56"/>
      <c r="AU212" s="56">
        <f>SUM(AU213:AU216)</f>
        <v>0</v>
      </c>
      <c r="AV212" s="56"/>
      <c r="AW212" s="56"/>
      <c r="AX212" s="611"/>
      <c r="AY212" s="56"/>
      <c r="AZ212" s="56">
        <f>SUM(AZ213:AZ216)</f>
        <v>0</v>
      </c>
      <c r="BA212" s="56"/>
      <c r="BB212" s="56"/>
      <c r="BC212" s="611"/>
      <c r="BD212" s="56"/>
      <c r="BE212" s="56">
        <f>SUM(BE213:BE216)</f>
        <v>0</v>
      </c>
      <c r="BF212" s="56"/>
      <c r="BG212" s="56"/>
      <c r="BH212" s="611"/>
      <c r="BI212" s="56"/>
      <c r="BJ212" s="56">
        <f>SUM(BJ213:BJ216)</f>
        <v>0</v>
      </c>
      <c r="BK212" s="56"/>
      <c r="BL212" s="56"/>
      <c r="BM212" s="611"/>
      <c r="BN212" s="56"/>
      <c r="BO212" s="56">
        <f>SUM(BO213:BO216)</f>
        <v>0</v>
      </c>
      <c r="BP212" s="56"/>
      <c r="BQ212" s="56"/>
      <c r="BR212" s="611"/>
      <c r="BS212" s="56"/>
      <c r="BT212" s="56">
        <f>SUM(BT213:BT216)</f>
        <v>0</v>
      </c>
      <c r="BU212" s="56"/>
      <c r="BV212" s="56"/>
      <c r="BW212" s="611"/>
      <c r="BX212" s="56"/>
      <c r="BY212" s="56">
        <f>SUM(BY213:BY216)</f>
        <v>0</v>
      </c>
      <c r="BZ212" s="56"/>
      <c r="CA212" s="56"/>
      <c r="CB212" s="611"/>
      <c r="CC212" s="56"/>
      <c r="CD212" s="56">
        <f>SUM(CD213:CD216)</f>
        <v>0</v>
      </c>
      <c r="CE212" s="56"/>
      <c r="CF212" s="56"/>
      <c r="CG212" s="611"/>
      <c r="CH212" s="56"/>
      <c r="CI212" s="56">
        <f>SUM(CI213:CI216)</f>
        <v>0</v>
      </c>
      <c r="CJ212" s="56"/>
      <c r="CK212" s="56"/>
      <c r="CL212" s="611"/>
      <c r="CM212" s="56"/>
      <c r="CN212" s="56">
        <f>SUM(CN213:CN216)</f>
        <v>0</v>
      </c>
      <c r="CO212" s="56"/>
      <c r="CP212" s="56"/>
      <c r="CQ212" s="611"/>
      <c r="CR212" s="56"/>
      <c r="CS212" s="56">
        <f>SUM(CS213:CS216)</f>
        <v>0</v>
      </c>
      <c r="CT212" s="56"/>
      <c r="CU212" s="56"/>
      <c r="CV212" s="611"/>
      <c r="CW212" s="56"/>
      <c r="CX212" s="56">
        <f>SUM(CX213:CX216)</f>
        <v>0</v>
      </c>
      <c r="CY212" s="56"/>
      <c r="CZ212" s="56"/>
      <c r="DA212" s="611"/>
      <c r="DB212" s="56"/>
      <c r="DC212" s="56">
        <f>SUM(DC213:DC216)</f>
        <v>0</v>
      </c>
      <c r="DD212" s="56"/>
      <c r="DE212" s="56"/>
      <c r="DF212" s="611"/>
      <c r="DG212" s="56"/>
      <c r="DH212" s="56">
        <f>SUM(DH213:DH216)</f>
        <v>0</v>
      </c>
      <c r="DI212" s="56"/>
      <c r="DJ212" s="56"/>
      <c r="DK212" s="611"/>
      <c r="DL212" s="56"/>
      <c r="DM212" s="56">
        <f>SUM(DM213:DM216)</f>
        <v>0</v>
      </c>
      <c r="DN212" s="56"/>
      <c r="DO212" s="56"/>
      <c r="DP212" s="611"/>
      <c r="DQ212" s="56"/>
      <c r="DR212" s="56">
        <f>SUM(DR213:DR216)</f>
        <v>0</v>
      </c>
      <c r="DS212" s="56"/>
      <c r="DT212" s="56"/>
      <c r="DU212" s="611"/>
      <c r="DV212" s="56"/>
      <c r="DW212" s="56">
        <f>SUM(DW213:DW216)</f>
        <v>0</v>
      </c>
      <c r="DX212" s="56"/>
      <c r="DY212" s="56"/>
      <c r="DZ212" s="611"/>
      <c r="EA212" s="56"/>
      <c r="EB212" s="56">
        <f>SUM(EB213:EB216)</f>
        <v>0</v>
      </c>
      <c r="EC212" s="56"/>
      <c r="ED212" s="56"/>
      <c r="EE212" s="611"/>
      <c r="EF212" s="56"/>
      <c r="EG212" s="56">
        <f>SUM(EG213:EG216)</f>
        <v>0</v>
      </c>
      <c r="EH212" s="56"/>
      <c r="EI212" s="56"/>
      <c r="EJ212" s="611"/>
      <c r="EK212" s="56"/>
      <c r="EL212" s="56">
        <f>SUM(EL213:EL216)</f>
        <v>0</v>
      </c>
      <c r="EM212" s="56"/>
      <c r="EN212" s="56"/>
      <c r="EO212" s="144"/>
      <c r="ER212" s="42"/>
      <c r="ES212" s="42"/>
    </row>
    <row r="213" spans="4:149" ht="12.75" hidden="1" customHeight="1" x14ac:dyDescent="0.3">
      <c r="D213" s="144" t="s">
        <v>335</v>
      </c>
      <c r="F213" s="500"/>
      <c r="G213" s="609">
        <v>0</v>
      </c>
      <c r="H213" s="610"/>
      <c r="I213" s="56"/>
      <c r="J213" s="611"/>
      <c r="K213" s="612"/>
      <c r="L213" s="609">
        <v>0</v>
      </c>
      <c r="M213" s="610"/>
      <c r="N213" s="56"/>
      <c r="O213" s="611"/>
      <c r="P213" s="612"/>
      <c r="Q213" s="609">
        <v>0</v>
      </c>
      <c r="R213" s="610"/>
      <c r="S213" s="56"/>
      <c r="T213" s="611"/>
      <c r="U213" s="612"/>
      <c r="V213" s="609">
        <v>0</v>
      </c>
      <c r="W213" s="610"/>
      <c r="X213" s="56"/>
      <c r="Y213" s="611"/>
      <c r="Z213" s="612"/>
      <c r="AA213" s="609">
        <v>0</v>
      </c>
      <c r="AB213" s="610"/>
      <c r="AC213" s="56"/>
      <c r="AD213" s="611"/>
      <c r="AE213" s="612"/>
      <c r="AF213" s="609">
        <v>0</v>
      </c>
      <c r="AG213" s="610"/>
      <c r="AH213" s="56"/>
      <c r="AI213" s="611"/>
      <c r="AJ213" s="612"/>
      <c r="AK213" s="609">
        <v>0</v>
      </c>
      <c r="AL213" s="610"/>
      <c r="AM213" s="56"/>
      <c r="AN213" s="611"/>
      <c r="AO213" s="612"/>
      <c r="AP213" s="609">
        <v>0</v>
      </c>
      <c r="AQ213" s="610"/>
      <c r="AR213" s="56"/>
      <c r="AS213" s="611"/>
      <c r="AT213" s="612"/>
      <c r="AU213" s="609">
        <v>0</v>
      </c>
      <c r="AV213" s="610"/>
      <c r="AW213" s="56"/>
      <c r="AX213" s="611"/>
      <c r="AY213" s="612"/>
      <c r="AZ213" s="609">
        <v>0</v>
      </c>
      <c r="BA213" s="610"/>
      <c r="BB213" s="56"/>
      <c r="BC213" s="611"/>
      <c r="BD213" s="612"/>
      <c r="BE213" s="609">
        <v>0</v>
      </c>
      <c r="BF213" s="610"/>
      <c r="BG213" s="56"/>
      <c r="BH213" s="611"/>
      <c r="BI213" s="612"/>
      <c r="BJ213" s="609">
        <v>0</v>
      </c>
      <c r="BK213" s="610"/>
      <c r="BL213" s="56"/>
      <c r="BM213" s="611"/>
      <c r="BN213" s="612"/>
      <c r="BO213" s="609">
        <v>0</v>
      </c>
      <c r="BP213" s="610"/>
      <c r="BQ213" s="56"/>
      <c r="BR213" s="611"/>
      <c r="BS213" s="612"/>
      <c r="BT213" s="609">
        <f>SUM(L213:BO213)</f>
        <v>0</v>
      </c>
      <c r="BU213" s="610"/>
      <c r="BV213" s="56"/>
      <c r="BW213" s="611"/>
      <c r="BX213" s="612"/>
      <c r="BY213" s="609">
        <v>0</v>
      </c>
      <c r="BZ213" s="610"/>
      <c r="CA213" s="56"/>
      <c r="CB213" s="611"/>
      <c r="CC213" s="612"/>
      <c r="CD213" s="609">
        <v>0</v>
      </c>
      <c r="CE213" s="610"/>
      <c r="CF213" s="56"/>
      <c r="CG213" s="611"/>
      <c r="CH213" s="612"/>
      <c r="CI213" s="609">
        <v>0</v>
      </c>
      <c r="CJ213" s="610"/>
      <c r="CK213" s="56"/>
      <c r="CL213" s="611"/>
      <c r="CM213" s="612"/>
      <c r="CN213" s="609">
        <v>0</v>
      </c>
      <c r="CO213" s="610"/>
      <c r="CP213" s="56"/>
      <c r="CQ213" s="611"/>
      <c r="CR213" s="612"/>
      <c r="CS213" s="609">
        <v>0</v>
      </c>
      <c r="CT213" s="610"/>
      <c r="CU213" s="56"/>
      <c r="CV213" s="611"/>
      <c r="CW213" s="612"/>
      <c r="CX213" s="609">
        <v>0</v>
      </c>
      <c r="CY213" s="610"/>
      <c r="CZ213" s="56"/>
      <c r="DA213" s="611"/>
      <c r="DB213" s="612"/>
      <c r="DC213" s="609">
        <v>0</v>
      </c>
      <c r="DD213" s="610"/>
      <c r="DE213" s="56"/>
      <c r="DF213" s="611"/>
      <c r="DG213" s="612"/>
      <c r="DH213" s="609">
        <v>0</v>
      </c>
      <c r="DI213" s="610"/>
      <c r="DJ213" s="56"/>
      <c r="DK213" s="611"/>
      <c r="DL213" s="612"/>
      <c r="DM213" s="609">
        <v>0</v>
      </c>
      <c r="DN213" s="610"/>
      <c r="DO213" s="56"/>
      <c r="DP213" s="611"/>
      <c r="DQ213" s="612"/>
      <c r="DR213" s="609">
        <v>0</v>
      </c>
      <c r="DS213" s="610"/>
      <c r="DT213" s="56"/>
      <c r="DU213" s="611"/>
      <c r="DV213" s="612"/>
      <c r="DW213" s="609">
        <v>0</v>
      </c>
      <c r="DX213" s="610"/>
      <c r="DY213" s="56"/>
      <c r="DZ213" s="611"/>
      <c r="EA213" s="612"/>
      <c r="EB213" s="609">
        <v>0</v>
      </c>
      <c r="EC213" s="610"/>
      <c r="ED213" s="56"/>
      <c r="EE213" s="611"/>
      <c r="EF213" s="612"/>
      <c r="EG213" s="609">
        <v>0</v>
      </c>
      <c r="EH213" s="610"/>
      <c r="EI213" s="56"/>
      <c r="EJ213" s="611"/>
      <c r="EK213" s="612"/>
      <c r="EL213" s="609">
        <f>SUM(CD213:EG213)</f>
        <v>0</v>
      </c>
      <c r="EM213" s="610"/>
      <c r="EN213" s="56"/>
      <c r="EO213" s="144"/>
      <c r="ER213" s="42"/>
      <c r="ES213" s="42"/>
    </row>
    <row r="214" spans="4:149" ht="12.75" hidden="1" customHeight="1" x14ac:dyDescent="0.3">
      <c r="D214" s="144" t="s">
        <v>338</v>
      </c>
      <c r="F214" s="494"/>
      <c r="G214" s="56">
        <v>0</v>
      </c>
      <c r="H214" s="55"/>
      <c r="I214" s="56"/>
      <c r="J214" s="611"/>
      <c r="K214" s="611"/>
      <c r="L214" s="56">
        <v>0</v>
      </c>
      <c r="M214" s="55"/>
      <c r="N214" s="56"/>
      <c r="O214" s="611"/>
      <c r="P214" s="611"/>
      <c r="Q214" s="56">
        <v>0</v>
      </c>
      <c r="R214" s="55"/>
      <c r="S214" s="56"/>
      <c r="T214" s="611"/>
      <c r="U214" s="611"/>
      <c r="V214" s="56">
        <v>0</v>
      </c>
      <c r="W214" s="55"/>
      <c r="X214" s="56"/>
      <c r="Y214" s="611"/>
      <c r="Z214" s="611"/>
      <c r="AA214" s="56">
        <v>0</v>
      </c>
      <c r="AB214" s="55"/>
      <c r="AC214" s="56"/>
      <c r="AD214" s="611"/>
      <c r="AE214" s="611"/>
      <c r="AF214" s="56">
        <v>0</v>
      </c>
      <c r="AG214" s="55"/>
      <c r="AH214" s="56"/>
      <c r="AI214" s="611"/>
      <c r="AJ214" s="611"/>
      <c r="AK214" s="56">
        <v>0</v>
      </c>
      <c r="AL214" s="55"/>
      <c r="AM214" s="56"/>
      <c r="AN214" s="611"/>
      <c r="AO214" s="611"/>
      <c r="AP214" s="56">
        <v>0</v>
      </c>
      <c r="AQ214" s="55"/>
      <c r="AR214" s="56"/>
      <c r="AS214" s="611"/>
      <c r="AT214" s="611"/>
      <c r="AU214" s="56">
        <v>0</v>
      </c>
      <c r="AV214" s="55"/>
      <c r="AW214" s="56"/>
      <c r="AX214" s="611"/>
      <c r="AY214" s="611"/>
      <c r="AZ214" s="56">
        <v>0</v>
      </c>
      <c r="BA214" s="55"/>
      <c r="BB214" s="56"/>
      <c r="BC214" s="611"/>
      <c r="BD214" s="611"/>
      <c r="BE214" s="56">
        <v>0</v>
      </c>
      <c r="BF214" s="55"/>
      <c r="BG214" s="56"/>
      <c r="BH214" s="611"/>
      <c r="BI214" s="611"/>
      <c r="BJ214" s="56">
        <v>0</v>
      </c>
      <c r="BK214" s="55"/>
      <c r="BL214" s="56"/>
      <c r="BM214" s="611"/>
      <c r="BN214" s="611"/>
      <c r="BO214" s="56">
        <v>0</v>
      </c>
      <c r="BP214" s="55"/>
      <c r="BQ214" s="56"/>
      <c r="BR214" s="611"/>
      <c r="BS214" s="611"/>
      <c r="BT214" s="56">
        <f>SUM(L214:BO214)</f>
        <v>0</v>
      </c>
      <c r="BU214" s="55"/>
      <c r="BV214" s="56"/>
      <c r="BW214" s="611"/>
      <c r="BX214" s="611"/>
      <c r="BY214" s="56">
        <v>0</v>
      </c>
      <c r="BZ214" s="55"/>
      <c r="CA214" s="56"/>
      <c r="CB214" s="611"/>
      <c r="CC214" s="611"/>
      <c r="CD214" s="56">
        <v>0</v>
      </c>
      <c r="CE214" s="55"/>
      <c r="CF214" s="56"/>
      <c r="CG214" s="611"/>
      <c r="CH214" s="611"/>
      <c r="CI214" s="56">
        <v>0</v>
      </c>
      <c r="CJ214" s="55"/>
      <c r="CK214" s="56"/>
      <c r="CL214" s="611"/>
      <c r="CM214" s="611"/>
      <c r="CN214" s="56">
        <v>0</v>
      </c>
      <c r="CO214" s="55"/>
      <c r="CP214" s="56"/>
      <c r="CQ214" s="611"/>
      <c r="CR214" s="611"/>
      <c r="CS214" s="56">
        <v>0</v>
      </c>
      <c r="CT214" s="55"/>
      <c r="CU214" s="56"/>
      <c r="CV214" s="611"/>
      <c r="CW214" s="611"/>
      <c r="CX214" s="56">
        <v>0</v>
      </c>
      <c r="CY214" s="55"/>
      <c r="CZ214" s="56"/>
      <c r="DA214" s="611"/>
      <c r="DB214" s="611"/>
      <c r="DC214" s="56">
        <v>0</v>
      </c>
      <c r="DD214" s="55"/>
      <c r="DE214" s="56"/>
      <c r="DF214" s="611"/>
      <c r="DG214" s="611"/>
      <c r="DH214" s="56">
        <v>0</v>
      </c>
      <c r="DI214" s="55"/>
      <c r="DJ214" s="56"/>
      <c r="DK214" s="611"/>
      <c r="DL214" s="611"/>
      <c r="DM214" s="56">
        <v>0</v>
      </c>
      <c r="DN214" s="55"/>
      <c r="DO214" s="56"/>
      <c r="DP214" s="611"/>
      <c r="DQ214" s="611"/>
      <c r="DR214" s="56">
        <v>0</v>
      </c>
      <c r="DS214" s="55"/>
      <c r="DT214" s="56"/>
      <c r="DU214" s="611"/>
      <c r="DV214" s="611"/>
      <c r="DW214" s="56">
        <v>0</v>
      </c>
      <c r="DX214" s="55"/>
      <c r="DY214" s="56"/>
      <c r="DZ214" s="611"/>
      <c r="EA214" s="611"/>
      <c r="EB214" s="56">
        <v>0</v>
      </c>
      <c r="EC214" s="55"/>
      <c r="ED214" s="56"/>
      <c r="EE214" s="611"/>
      <c r="EF214" s="611"/>
      <c r="EG214" s="56">
        <v>0</v>
      </c>
      <c r="EH214" s="55"/>
      <c r="EI214" s="56"/>
      <c r="EJ214" s="611"/>
      <c r="EK214" s="611"/>
      <c r="EL214" s="56">
        <f>SUM(CD214:EG214)</f>
        <v>0</v>
      </c>
      <c r="EM214" s="55"/>
      <c r="EN214" s="56"/>
      <c r="EO214" s="144"/>
      <c r="ER214" s="42"/>
      <c r="ES214" s="42"/>
    </row>
    <row r="215" spans="4:149" ht="12.75" hidden="1" customHeight="1" x14ac:dyDescent="0.3">
      <c r="D215" s="144" t="s">
        <v>339</v>
      </c>
      <c r="F215" s="494"/>
      <c r="G215" s="56"/>
      <c r="H215" s="55"/>
      <c r="I215" s="56"/>
      <c r="J215" s="611"/>
      <c r="K215" s="611"/>
      <c r="L215" s="56"/>
      <c r="M215" s="55"/>
      <c r="N215" s="56"/>
      <c r="O215" s="611"/>
      <c r="P215" s="611"/>
      <c r="Q215" s="56"/>
      <c r="R215" s="55"/>
      <c r="S215" s="56"/>
      <c r="T215" s="611"/>
      <c r="U215" s="611"/>
      <c r="V215" s="56"/>
      <c r="W215" s="55"/>
      <c r="X215" s="56"/>
      <c r="Y215" s="611"/>
      <c r="Z215" s="611"/>
      <c r="AA215" s="56"/>
      <c r="AB215" s="55"/>
      <c r="AC215" s="56"/>
      <c r="AD215" s="611"/>
      <c r="AE215" s="611"/>
      <c r="AF215" s="56"/>
      <c r="AG215" s="55"/>
      <c r="AH215" s="56"/>
      <c r="AI215" s="611"/>
      <c r="AJ215" s="611"/>
      <c r="AK215" s="56"/>
      <c r="AL215" s="55"/>
      <c r="AM215" s="56"/>
      <c r="AN215" s="611"/>
      <c r="AO215" s="611"/>
      <c r="AP215" s="56"/>
      <c r="AQ215" s="55"/>
      <c r="AR215" s="56"/>
      <c r="AS215" s="611"/>
      <c r="AT215" s="611"/>
      <c r="AU215" s="56"/>
      <c r="AV215" s="55"/>
      <c r="AW215" s="56"/>
      <c r="AX215" s="611"/>
      <c r="AY215" s="611"/>
      <c r="AZ215" s="56"/>
      <c r="BA215" s="55"/>
      <c r="BB215" s="56"/>
      <c r="BC215" s="611"/>
      <c r="BD215" s="611"/>
      <c r="BE215" s="56"/>
      <c r="BF215" s="55"/>
      <c r="BG215" s="56"/>
      <c r="BH215" s="611"/>
      <c r="BI215" s="611"/>
      <c r="BJ215" s="56"/>
      <c r="BK215" s="55"/>
      <c r="BL215" s="56"/>
      <c r="BM215" s="611"/>
      <c r="BN215" s="611"/>
      <c r="BO215" s="56"/>
      <c r="BP215" s="55"/>
      <c r="BQ215" s="56"/>
      <c r="BR215" s="611"/>
      <c r="BS215" s="611"/>
      <c r="BT215" s="56">
        <f>SUM(L215:BO215)</f>
        <v>0</v>
      </c>
      <c r="BU215" s="55"/>
      <c r="BV215" s="56"/>
      <c r="BW215" s="611"/>
      <c r="BX215" s="611"/>
      <c r="BY215" s="56"/>
      <c r="BZ215" s="55"/>
      <c r="CA215" s="56"/>
      <c r="CB215" s="611"/>
      <c r="CC215" s="611"/>
      <c r="CD215" s="56"/>
      <c r="CE215" s="55"/>
      <c r="CF215" s="56"/>
      <c r="CG215" s="611"/>
      <c r="CH215" s="611"/>
      <c r="CI215" s="56"/>
      <c r="CJ215" s="55"/>
      <c r="CK215" s="56"/>
      <c r="CL215" s="611"/>
      <c r="CM215" s="611"/>
      <c r="CN215" s="56"/>
      <c r="CO215" s="55"/>
      <c r="CP215" s="56"/>
      <c r="CQ215" s="611"/>
      <c r="CR215" s="611"/>
      <c r="CS215" s="56"/>
      <c r="CT215" s="55"/>
      <c r="CU215" s="56"/>
      <c r="CV215" s="611"/>
      <c r="CW215" s="611"/>
      <c r="CX215" s="56"/>
      <c r="CY215" s="55"/>
      <c r="CZ215" s="56"/>
      <c r="DA215" s="611"/>
      <c r="DB215" s="611"/>
      <c r="DC215" s="56"/>
      <c r="DD215" s="55"/>
      <c r="DE215" s="56"/>
      <c r="DF215" s="611"/>
      <c r="DG215" s="611"/>
      <c r="DH215" s="56"/>
      <c r="DI215" s="55"/>
      <c r="DJ215" s="56"/>
      <c r="DK215" s="611"/>
      <c r="DL215" s="611"/>
      <c r="DM215" s="56"/>
      <c r="DN215" s="55"/>
      <c r="DO215" s="56"/>
      <c r="DP215" s="611"/>
      <c r="DQ215" s="611"/>
      <c r="DR215" s="56"/>
      <c r="DS215" s="55"/>
      <c r="DT215" s="56"/>
      <c r="DU215" s="611"/>
      <c r="DV215" s="611"/>
      <c r="DW215" s="56"/>
      <c r="DX215" s="55"/>
      <c r="DY215" s="56"/>
      <c r="DZ215" s="611"/>
      <c r="EA215" s="611"/>
      <c r="EB215" s="56"/>
      <c r="EC215" s="55"/>
      <c r="ED215" s="56"/>
      <c r="EE215" s="611"/>
      <c r="EF215" s="611"/>
      <c r="EG215" s="56"/>
      <c r="EH215" s="55"/>
      <c r="EI215" s="56"/>
      <c r="EJ215" s="611"/>
      <c r="EK215" s="611"/>
      <c r="EL215" s="56">
        <f>SUM(CD215:EG215)</f>
        <v>0</v>
      </c>
      <c r="EM215" s="55"/>
      <c r="EN215" s="56"/>
      <c r="EO215" s="144"/>
      <c r="ER215" s="42"/>
      <c r="ES215" s="42"/>
    </row>
    <row r="216" spans="4:149" ht="12.75" hidden="1" customHeight="1" x14ac:dyDescent="0.3">
      <c r="D216" s="144" t="s">
        <v>340</v>
      </c>
      <c r="F216" s="513"/>
      <c r="G216" s="117">
        <v>0</v>
      </c>
      <c r="H216" s="116"/>
      <c r="I216" s="56"/>
      <c r="J216" s="611"/>
      <c r="K216" s="620"/>
      <c r="L216" s="117">
        <v>0</v>
      </c>
      <c r="M216" s="116"/>
      <c r="N216" s="56"/>
      <c r="O216" s="611"/>
      <c r="P216" s="620"/>
      <c r="Q216" s="117">
        <v>0</v>
      </c>
      <c r="R216" s="116"/>
      <c r="S216" s="56"/>
      <c r="T216" s="611"/>
      <c r="U216" s="620"/>
      <c r="V216" s="117">
        <v>0</v>
      </c>
      <c r="W216" s="116"/>
      <c r="X216" s="56"/>
      <c r="Y216" s="611"/>
      <c r="Z216" s="620"/>
      <c r="AA216" s="117">
        <v>0</v>
      </c>
      <c r="AB216" s="116"/>
      <c r="AC216" s="56"/>
      <c r="AD216" s="611"/>
      <c r="AE216" s="620"/>
      <c r="AF216" s="117">
        <v>0</v>
      </c>
      <c r="AG216" s="116"/>
      <c r="AH216" s="56"/>
      <c r="AI216" s="611"/>
      <c r="AJ216" s="620"/>
      <c r="AK216" s="117">
        <v>0</v>
      </c>
      <c r="AL216" s="116"/>
      <c r="AM216" s="56"/>
      <c r="AN216" s="611"/>
      <c r="AO216" s="620"/>
      <c r="AP216" s="117">
        <v>0</v>
      </c>
      <c r="AQ216" s="116"/>
      <c r="AR216" s="56"/>
      <c r="AS216" s="611"/>
      <c r="AT216" s="620"/>
      <c r="AU216" s="117">
        <v>0</v>
      </c>
      <c r="AV216" s="116"/>
      <c r="AW216" s="56"/>
      <c r="AX216" s="611"/>
      <c r="AY216" s="620"/>
      <c r="AZ216" s="117">
        <v>0</v>
      </c>
      <c r="BA216" s="116"/>
      <c r="BB216" s="56"/>
      <c r="BC216" s="611"/>
      <c r="BD216" s="620"/>
      <c r="BE216" s="117">
        <v>0</v>
      </c>
      <c r="BF216" s="116"/>
      <c r="BG216" s="56"/>
      <c r="BH216" s="611"/>
      <c r="BI216" s="620"/>
      <c r="BJ216" s="117">
        <v>0</v>
      </c>
      <c r="BK216" s="116"/>
      <c r="BL216" s="56"/>
      <c r="BM216" s="611"/>
      <c r="BN216" s="620"/>
      <c r="BO216" s="117">
        <v>0</v>
      </c>
      <c r="BP216" s="116"/>
      <c r="BQ216" s="56"/>
      <c r="BR216" s="611"/>
      <c r="BS216" s="620"/>
      <c r="BT216" s="117">
        <f>SUM(L216:BO216)</f>
        <v>0</v>
      </c>
      <c r="BU216" s="116"/>
      <c r="BV216" s="56"/>
      <c r="BW216" s="611"/>
      <c r="BX216" s="620"/>
      <c r="BY216" s="117">
        <v>0</v>
      </c>
      <c r="BZ216" s="116"/>
      <c r="CA216" s="56"/>
      <c r="CB216" s="611"/>
      <c r="CC216" s="620"/>
      <c r="CD216" s="117">
        <v>0</v>
      </c>
      <c r="CE216" s="116"/>
      <c r="CF216" s="56"/>
      <c r="CG216" s="611"/>
      <c r="CH216" s="620"/>
      <c r="CI216" s="117">
        <v>0</v>
      </c>
      <c r="CJ216" s="116"/>
      <c r="CK216" s="56"/>
      <c r="CL216" s="611"/>
      <c r="CM216" s="620"/>
      <c r="CN216" s="117">
        <v>0</v>
      </c>
      <c r="CO216" s="116"/>
      <c r="CP216" s="56"/>
      <c r="CQ216" s="611"/>
      <c r="CR216" s="620"/>
      <c r="CS216" s="117">
        <v>0</v>
      </c>
      <c r="CT216" s="116"/>
      <c r="CU216" s="56"/>
      <c r="CV216" s="611"/>
      <c r="CW216" s="620"/>
      <c r="CX216" s="117">
        <v>0</v>
      </c>
      <c r="CY216" s="116"/>
      <c r="CZ216" s="56"/>
      <c r="DA216" s="611"/>
      <c r="DB216" s="620"/>
      <c r="DC216" s="117">
        <v>0</v>
      </c>
      <c r="DD216" s="116"/>
      <c r="DE216" s="56"/>
      <c r="DF216" s="611"/>
      <c r="DG216" s="620"/>
      <c r="DH216" s="117">
        <v>0</v>
      </c>
      <c r="DI216" s="116"/>
      <c r="DJ216" s="56"/>
      <c r="DK216" s="611"/>
      <c r="DL216" s="620"/>
      <c r="DM216" s="117">
        <v>0</v>
      </c>
      <c r="DN216" s="116"/>
      <c r="DO216" s="56"/>
      <c r="DP216" s="611"/>
      <c r="DQ216" s="620"/>
      <c r="DR216" s="117">
        <v>0</v>
      </c>
      <c r="DS216" s="116"/>
      <c r="DT216" s="56"/>
      <c r="DU216" s="611"/>
      <c r="DV216" s="620"/>
      <c r="DW216" s="117">
        <v>0</v>
      </c>
      <c r="DX216" s="116"/>
      <c r="DY216" s="56"/>
      <c r="DZ216" s="611"/>
      <c r="EA216" s="620"/>
      <c r="EB216" s="117">
        <v>0</v>
      </c>
      <c r="EC216" s="116"/>
      <c r="ED216" s="56"/>
      <c r="EE216" s="611"/>
      <c r="EF216" s="620"/>
      <c r="EG216" s="117">
        <v>0</v>
      </c>
      <c r="EH216" s="116"/>
      <c r="EI216" s="56"/>
      <c r="EJ216" s="611"/>
      <c r="EK216" s="620"/>
      <c r="EL216" s="117">
        <f>SUM(CD216:EG216)</f>
        <v>0</v>
      </c>
      <c r="EM216" s="116"/>
      <c r="EN216" s="56"/>
      <c r="EO216" s="144"/>
      <c r="ER216" s="42"/>
      <c r="ES216" s="42"/>
    </row>
    <row r="217" spans="4:149" ht="12.75" hidden="1" customHeight="1" x14ac:dyDescent="0.3">
      <c r="D217" s="144"/>
      <c r="E217" s="635"/>
      <c r="F217" s="272"/>
      <c r="G217" s="56"/>
      <c r="H217" s="56"/>
      <c r="I217" s="56"/>
      <c r="J217" s="611"/>
      <c r="K217" s="272"/>
      <c r="L217" s="56"/>
      <c r="M217" s="56"/>
      <c r="N217" s="56"/>
      <c r="O217" s="611"/>
      <c r="P217" s="272"/>
      <c r="Q217" s="56"/>
      <c r="R217" s="56"/>
      <c r="S217" s="56"/>
      <c r="T217" s="611"/>
      <c r="U217" s="272"/>
      <c r="V217" s="56"/>
      <c r="W217" s="56"/>
      <c r="X217" s="56"/>
      <c r="Y217" s="611"/>
      <c r="Z217" s="272"/>
      <c r="AA217" s="56"/>
      <c r="AB217" s="56"/>
      <c r="AC217" s="56"/>
      <c r="AD217" s="611"/>
      <c r="AE217" s="272"/>
      <c r="AF217" s="56"/>
      <c r="AG217" s="56"/>
      <c r="AH217" s="56"/>
      <c r="AI217" s="611"/>
      <c r="AJ217" s="272"/>
      <c r="AK217" s="56"/>
      <c r="AL217" s="56"/>
      <c r="AM217" s="56"/>
      <c r="AN217" s="611"/>
      <c r="AO217" s="272"/>
      <c r="AP217" s="56"/>
      <c r="AQ217" s="56"/>
      <c r="AR217" s="56"/>
      <c r="AS217" s="611"/>
      <c r="AT217" s="272"/>
      <c r="AU217" s="56"/>
      <c r="AV217" s="56"/>
      <c r="AW217" s="56"/>
      <c r="AX217" s="611"/>
      <c r="AY217" s="272"/>
      <c r="AZ217" s="56"/>
      <c r="BA217" s="56"/>
      <c r="BB217" s="56"/>
      <c r="BC217" s="611"/>
      <c r="BD217" s="272"/>
      <c r="BE217" s="56"/>
      <c r="BF217" s="56"/>
      <c r="BG217" s="56"/>
      <c r="BH217" s="611"/>
      <c r="BI217" s="272"/>
      <c r="BJ217" s="56"/>
      <c r="BK217" s="56"/>
      <c r="BL217" s="56"/>
      <c r="BM217" s="611"/>
      <c r="BN217" s="272"/>
      <c r="BO217" s="56"/>
      <c r="BP217" s="56"/>
      <c r="BQ217" s="56"/>
      <c r="BR217" s="611"/>
      <c r="BS217" s="272"/>
      <c r="BT217" s="56"/>
      <c r="BU217" s="56"/>
      <c r="BV217" s="56"/>
      <c r="BW217" s="611"/>
      <c r="BX217" s="272"/>
      <c r="BY217" s="56"/>
      <c r="BZ217" s="56"/>
      <c r="CA217" s="56"/>
      <c r="CB217" s="611"/>
      <c r="CC217" s="272"/>
      <c r="CD217" s="56"/>
      <c r="CE217" s="56"/>
      <c r="CF217" s="56"/>
      <c r="CG217" s="611"/>
      <c r="CH217" s="272"/>
      <c r="CI217" s="56"/>
      <c r="CJ217" s="56"/>
      <c r="CK217" s="56"/>
      <c r="CL217" s="611"/>
      <c r="CM217" s="272"/>
      <c r="CN217" s="56"/>
      <c r="CO217" s="56"/>
      <c r="CP217" s="56"/>
      <c r="CQ217" s="611"/>
      <c r="CR217" s="272"/>
      <c r="CS217" s="56"/>
      <c r="CT217" s="56"/>
      <c r="CU217" s="56"/>
      <c r="CV217" s="611"/>
      <c r="CW217" s="272"/>
      <c r="CX217" s="56"/>
      <c r="CY217" s="56"/>
      <c r="CZ217" s="56"/>
      <c r="DA217" s="611"/>
      <c r="DB217" s="272"/>
      <c r="DC217" s="56"/>
      <c r="DD217" s="56"/>
      <c r="DE217" s="56"/>
      <c r="DF217" s="611"/>
      <c r="DG217" s="272"/>
      <c r="DH217" s="56"/>
      <c r="DI217" s="56"/>
      <c r="DJ217" s="56"/>
      <c r="DK217" s="611"/>
      <c r="DL217" s="272"/>
      <c r="DM217" s="56"/>
      <c r="DN217" s="56"/>
      <c r="DO217" s="56"/>
      <c r="DP217" s="611"/>
      <c r="DQ217" s="272"/>
      <c r="DR217" s="56"/>
      <c r="DS217" s="56"/>
      <c r="DT217" s="56"/>
      <c r="DU217" s="611"/>
      <c r="DV217" s="272"/>
      <c r="DW217" s="56"/>
      <c r="DX217" s="56"/>
      <c r="DY217" s="56"/>
      <c r="DZ217" s="611"/>
      <c r="EA217" s="272"/>
      <c r="EB217" s="56"/>
      <c r="EC217" s="56"/>
      <c r="ED217" s="56"/>
      <c r="EE217" s="611"/>
      <c r="EF217" s="272"/>
      <c r="EG217" s="56"/>
      <c r="EH217" s="56"/>
      <c r="EI217" s="56"/>
      <c r="EJ217" s="611"/>
      <c r="EK217" s="272"/>
      <c r="EL217" s="56"/>
      <c r="EM217" s="56"/>
      <c r="EN217" s="56"/>
      <c r="EO217" s="144"/>
      <c r="ER217" s="42"/>
      <c r="ES217" s="42"/>
    </row>
    <row r="218" spans="4:149" ht="12.75" hidden="1" customHeight="1" x14ac:dyDescent="0.3">
      <c r="D218" s="144" t="s">
        <v>346</v>
      </c>
      <c r="E218" s="635"/>
      <c r="F218" s="272"/>
      <c r="G218" s="56">
        <v>0</v>
      </c>
      <c r="H218" s="56"/>
      <c r="I218" s="56"/>
      <c r="J218" s="611"/>
      <c r="K218" s="272"/>
      <c r="L218" s="56">
        <v>0</v>
      </c>
      <c r="M218" s="56"/>
      <c r="N218" s="56"/>
      <c r="O218" s="611"/>
      <c r="P218" s="272"/>
      <c r="Q218" s="56">
        <v>0</v>
      </c>
      <c r="R218" s="56"/>
      <c r="S218" s="56"/>
      <c r="T218" s="611"/>
      <c r="U218" s="272"/>
      <c r="V218" s="56">
        <v>0</v>
      </c>
      <c r="W218" s="56"/>
      <c r="X218" s="56"/>
      <c r="Y218" s="611"/>
      <c r="Z218" s="272"/>
      <c r="AA218" s="56">
        <v>0</v>
      </c>
      <c r="AB218" s="56"/>
      <c r="AC218" s="56"/>
      <c r="AD218" s="611"/>
      <c r="AE218" s="272"/>
      <c r="AF218" s="56">
        <v>0</v>
      </c>
      <c r="AG218" s="56"/>
      <c r="AH218" s="56"/>
      <c r="AI218" s="611"/>
      <c r="AJ218" s="272"/>
      <c r="AK218" s="56">
        <v>0</v>
      </c>
      <c r="AL218" s="56"/>
      <c r="AM218" s="56"/>
      <c r="AN218" s="611"/>
      <c r="AO218" s="272"/>
      <c r="AP218" s="56">
        <v>0</v>
      </c>
      <c r="AQ218" s="56"/>
      <c r="AR218" s="56"/>
      <c r="AS218" s="611"/>
      <c r="AT218" s="272"/>
      <c r="AU218" s="56">
        <v>0</v>
      </c>
      <c r="AV218" s="56"/>
      <c r="AW218" s="56"/>
      <c r="AX218" s="611"/>
      <c r="AY218" s="272"/>
      <c r="AZ218" s="56">
        <v>0</v>
      </c>
      <c r="BA218" s="56"/>
      <c r="BB218" s="56"/>
      <c r="BC218" s="611"/>
      <c r="BD218" s="272"/>
      <c r="BE218" s="56">
        <v>0</v>
      </c>
      <c r="BF218" s="56"/>
      <c r="BG218" s="56"/>
      <c r="BH218" s="611"/>
      <c r="BI218" s="272"/>
      <c r="BJ218" s="56">
        <v>0</v>
      </c>
      <c r="BK218" s="56"/>
      <c r="BL218" s="56"/>
      <c r="BM218" s="611"/>
      <c r="BN218" s="272"/>
      <c r="BO218" s="56">
        <v>0</v>
      </c>
      <c r="BP218" s="56"/>
      <c r="BQ218" s="56"/>
      <c r="BR218" s="611"/>
      <c r="BS218" s="272"/>
      <c r="BT218" s="56">
        <f>SUM(BT219:BT222)</f>
        <v>0</v>
      </c>
      <c r="BU218" s="56"/>
      <c r="BV218" s="56"/>
      <c r="BW218" s="611"/>
      <c r="BX218" s="272"/>
      <c r="BY218" s="56">
        <v>0</v>
      </c>
      <c r="BZ218" s="56"/>
      <c r="CA218" s="56"/>
      <c r="CB218" s="611"/>
      <c r="CC218" s="272"/>
      <c r="CD218" s="56">
        <v>0</v>
      </c>
      <c r="CE218" s="56"/>
      <c r="CF218" s="56"/>
      <c r="CG218" s="611"/>
      <c r="CH218" s="272"/>
      <c r="CI218" s="56">
        <v>0</v>
      </c>
      <c r="CJ218" s="56"/>
      <c r="CK218" s="56"/>
      <c r="CL218" s="611"/>
      <c r="CM218" s="272"/>
      <c r="CN218" s="56">
        <v>0</v>
      </c>
      <c r="CO218" s="56"/>
      <c r="CP218" s="56"/>
      <c r="CQ218" s="611"/>
      <c r="CR218" s="272"/>
      <c r="CS218" s="56">
        <v>0</v>
      </c>
      <c r="CT218" s="56"/>
      <c r="CU218" s="56"/>
      <c r="CV218" s="611"/>
      <c r="CW218" s="272"/>
      <c r="CX218" s="56">
        <v>0</v>
      </c>
      <c r="CY218" s="56"/>
      <c r="CZ218" s="56"/>
      <c r="DA218" s="611"/>
      <c r="DB218" s="272"/>
      <c r="DC218" s="56">
        <v>0</v>
      </c>
      <c r="DD218" s="56"/>
      <c r="DE218" s="56"/>
      <c r="DF218" s="611"/>
      <c r="DG218" s="272"/>
      <c r="DH218" s="56">
        <v>0</v>
      </c>
      <c r="DI218" s="56"/>
      <c r="DJ218" s="56"/>
      <c r="DK218" s="611"/>
      <c r="DL218" s="272"/>
      <c r="DM218" s="56">
        <v>0</v>
      </c>
      <c r="DN218" s="56"/>
      <c r="DO218" s="56"/>
      <c r="DP218" s="611"/>
      <c r="DQ218" s="272"/>
      <c r="DR218" s="56">
        <v>0</v>
      </c>
      <c r="DS218" s="56"/>
      <c r="DT218" s="56"/>
      <c r="DU218" s="611"/>
      <c r="DV218" s="272"/>
      <c r="DW218" s="56">
        <v>0</v>
      </c>
      <c r="DX218" s="56"/>
      <c r="DY218" s="56"/>
      <c r="DZ218" s="611"/>
      <c r="EA218" s="272"/>
      <c r="EB218" s="56">
        <v>0</v>
      </c>
      <c r="EC218" s="56"/>
      <c r="ED218" s="56"/>
      <c r="EE218" s="611"/>
      <c r="EF218" s="272"/>
      <c r="EG218" s="56">
        <v>0</v>
      </c>
      <c r="EH218" s="56"/>
      <c r="EI218" s="56"/>
      <c r="EJ218" s="611"/>
      <c r="EK218" s="272"/>
      <c r="EL218" s="56">
        <f>SUM(EL219:EL222)</f>
        <v>0</v>
      </c>
      <c r="EM218" s="56"/>
      <c r="EN218" s="56"/>
      <c r="EO218" s="144"/>
      <c r="ER218" s="42"/>
      <c r="ES218" s="42"/>
    </row>
    <row r="219" spans="4:149" ht="12.75" hidden="1" customHeight="1" x14ac:dyDescent="0.3">
      <c r="D219" s="144" t="s">
        <v>335</v>
      </c>
      <c r="E219" s="635"/>
      <c r="F219" s="636"/>
      <c r="G219" s="609">
        <v>0</v>
      </c>
      <c r="H219" s="610"/>
      <c r="I219" s="56"/>
      <c r="J219" s="611"/>
      <c r="K219" s="636"/>
      <c r="L219" s="609">
        <v>0</v>
      </c>
      <c r="M219" s="610"/>
      <c r="N219" s="56"/>
      <c r="O219" s="611"/>
      <c r="P219" s="636"/>
      <c r="Q219" s="609">
        <v>0</v>
      </c>
      <c r="R219" s="610"/>
      <c r="S219" s="56"/>
      <c r="T219" s="611"/>
      <c r="U219" s="636"/>
      <c r="V219" s="609">
        <v>0</v>
      </c>
      <c r="W219" s="610"/>
      <c r="X219" s="56"/>
      <c r="Y219" s="611"/>
      <c r="Z219" s="636"/>
      <c r="AA219" s="609">
        <v>0</v>
      </c>
      <c r="AB219" s="610"/>
      <c r="AC219" s="56"/>
      <c r="AD219" s="611"/>
      <c r="AE219" s="636"/>
      <c r="AF219" s="609">
        <v>0</v>
      </c>
      <c r="AG219" s="610"/>
      <c r="AH219" s="56"/>
      <c r="AI219" s="611"/>
      <c r="AJ219" s="636"/>
      <c r="AK219" s="609">
        <v>0</v>
      </c>
      <c r="AL219" s="610"/>
      <c r="AM219" s="56"/>
      <c r="AN219" s="611"/>
      <c r="AO219" s="636"/>
      <c r="AP219" s="609">
        <v>0</v>
      </c>
      <c r="AQ219" s="610"/>
      <c r="AR219" s="56"/>
      <c r="AS219" s="611"/>
      <c r="AT219" s="636"/>
      <c r="AU219" s="609">
        <v>0</v>
      </c>
      <c r="AV219" s="610"/>
      <c r="AW219" s="56"/>
      <c r="AX219" s="611"/>
      <c r="AY219" s="636"/>
      <c r="AZ219" s="609">
        <v>0</v>
      </c>
      <c r="BA219" s="610"/>
      <c r="BB219" s="56"/>
      <c r="BC219" s="611"/>
      <c r="BD219" s="636"/>
      <c r="BE219" s="609">
        <v>0</v>
      </c>
      <c r="BF219" s="610"/>
      <c r="BG219" s="56"/>
      <c r="BH219" s="611"/>
      <c r="BI219" s="636"/>
      <c r="BJ219" s="609">
        <v>0</v>
      </c>
      <c r="BK219" s="610"/>
      <c r="BL219" s="56"/>
      <c r="BM219" s="611"/>
      <c r="BN219" s="636"/>
      <c r="BO219" s="609">
        <v>0</v>
      </c>
      <c r="BP219" s="610"/>
      <c r="BQ219" s="56"/>
      <c r="BR219" s="611"/>
      <c r="BS219" s="636"/>
      <c r="BT219" s="609">
        <f>SUM(L219:BO219)</f>
        <v>0</v>
      </c>
      <c r="BU219" s="610"/>
      <c r="BV219" s="56"/>
      <c r="BW219" s="611"/>
      <c r="BX219" s="636"/>
      <c r="BY219" s="609">
        <v>0</v>
      </c>
      <c r="BZ219" s="610"/>
      <c r="CA219" s="56"/>
      <c r="CB219" s="611"/>
      <c r="CC219" s="636"/>
      <c r="CD219" s="609">
        <v>0</v>
      </c>
      <c r="CE219" s="610"/>
      <c r="CF219" s="56"/>
      <c r="CG219" s="611"/>
      <c r="CH219" s="636"/>
      <c r="CI219" s="609">
        <v>0</v>
      </c>
      <c r="CJ219" s="610"/>
      <c r="CK219" s="56"/>
      <c r="CL219" s="611"/>
      <c r="CM219" s="636"/>
      <c r="CN219" s="609">
        <v>0</v>
      </c>
      <c r="CO219" s="610"/>
      <c r="CP219" s="56"/>
      <c r="CQ219" s="611"/>
      <c r="CR219" s="636"/>
      <c r="CS219" s="609">
        <v>0</v>
      </c>
      <c r="CT219" s="610"/>
      <c r="CU219" s="56"/>
      <c r="CV219" s="611"/>
      <c r="CW219" s="636"/>
      <c r="CX219" s="609">
        <v>0</v>
      </c>
      <c r="CY219" s="610"/>
      <c r="CZ219" s="56"/>
      <c r="DA219" s="611"/>
      <c r="DB219" s="636"/>
      <c r="DC219" s="609">
        <v>0</v>
      </c>
      <c r="DD219" s="610"/>
      <c r="DE219" s="56"/>
      <c r="DF219" s="611"/>
      <c r="DG219" s="636"/>
      <c r="DH219" s="609">
        <v>0</v>
      </c>
      <c r="DI219" s="610"/>
      <c r="DJ219" s="56"/>
      <c r="DK219" s="611"/>
      <c r="DL219" s="636"/>
      <c r="DM219" s="609">
        <v>0</v>
      </c>
      <c r="DN219" s="610"/>
      <c r="DO219" s="56"/>
      <c r="DP219" s="611"/>
      <c r="DQ219" s="636"/>
      <c r="DR219" s="609">
        <v>0</v>
      </c>
      <c r="DS219" s="610"/>
      <c r="DT219" s="56"/>
      <c r="DU219" s="611"/>
      <c r="DV219" s="636"/>
      <c r="DW219" s="609">
        <v>0</v>
      </c>
      <c r="DX219" s="610"/>
      <c r="DY219" s="56"/>
      <c r="DZ219" s="611"/>
      <c r="EA219" s="636"/>
      <c r="EB219" s="609">
        <v>0</v>
      </c>
      <c r="EC219" s="610"/>
      <c r="ED219" s="56"/>
      <c r="EE219" s="611"/>
      <c r="EF219" s="636"/>
      <c r="EG219" s="609">
        <v>0</v>
      </c>
      <c r="EH219" s="610"/>
      <c r="EI219" s="56"/>
      <c r="EJ219" s="611"/>
      <c r="EK219" s="636"/>
      <c r="EL219" s="609">
        <f>SUM(CD219:EG219)</f>
        <v>0</v>
      </c>
      <c r="EM219" s="610"/>
      <c r="EN219" s="56"/>
      <c r="EO219" s="144"/>
      <c r="ER219" s="42"/>
      <c r="ES219" s="42"/>
    </row>
    <row r="220" spans="4:149" ht="12.75" hidden="1" customHeight="1" x14ac:dyDescent="0.3">
      <c r="D220" s="144" t="s">
        <v>338</v>
      </c>
      <c r="E220" s="635"/>
      <c r="F220" s="638"/>
      <c r="G220" s="56">
        <v>0</v>
      </c>
      <c r="H220" s="55"/>
      <c r="I220" s="56"/>
      <c r="J220" s="611"/>
      <c r="K220" s="638"/>
      <c r="L220" s="56">
        <v>0</v>
      </c>
      <c r="M220" s="55"/>
      <c r="N220" s="56"/>
      <c r="O220" s="611"/>
      <c r="P220" s="638"/>
      <c r="Q220" s="56">
        <v>0</v>
      </c>
      <c r="R220" s="55"/>
      <c r="S220" s="56"/>
      <c r="T220" s="611"/>
      <c r="U220" s="638"/>
      <c r="V220" s="56">
        <v>0</v>
      </c>
      <c r="W220" s="55"/>
      <c r="X220" s="56"/>
      <c r="Y220" s="611"/>
      <c r="Z220" s="638"/>
      <c r="AA220" s="56">
        <v>0</v>
      </c>
      <c r="AB220" s="55"/>
      <c r="AC220" s="56"/>
      <c r="AD220" s="611"/>
      <c r="AE220" s="638"/>
      <c r="AF220" s="56">
        <v>0</v>
      </c>
      <c r="AG220" s="55"/>
      <c r="AH220" s="56"/>
      <c r="AI220" s="611"/>
      <c r="AJ220" s="638"/>
      <c r="AK220" s="56">
        <v>0</v>
      </c>
      <c r="AL220" s="55"/>
      <c r="AM220" s="56"/>
      <c r="AN220" s="611"/>
      <c r="AO220" s="638"/>
      <c r="AP220" s="56">
        <v>0</v>
      </c>
      <c r="AQ220" s="55"/>
      <c r="AR220" s="56"/>
      <c r="AS220" s="611"/>
      <c r="AT220" s="638"/>
      <c r="AU220" s="56">
        <v>0</v>
      </c>
      <c r="AV220" s="55"/>
      <c r="AW220" s="56"/>
      <c r="AX220" s="611"/>
      <c r="AY220" s="638"/>
      <c r="AZ220" s="56">
        <v>0</v>
      </c>
      <c r="BA220" s="55"/>
      <c r="BB220" s="56"/>
      <c r="BC220" s="611"/>
      <c r="BD220" s="638"/>
      <c r="BE220" s="56">
        <v>0</v>
      </c>
      <c r="BF220" s="55"/>
      <c r="BG220" s="56"/>
      <c r="BH220" s="611"/>
      <c r="BI220" s="638"/>
      <c r="BJ220" s="56">
        <v>0</v>
      </c>
      <c r="BK220" s="55"/>
      <c r="BL220" s="56"/>
      <c r="BM220" s="611"/>
      <c r="BN220" s="638"/>
      <c r="BO220" s="56">
        <v>0</v>
      </c>
      <c r="BP220" s="55"/>
      <c r="BQ220" s="56"/>
      <c r="BR220" s="611"/>
      <c r="BS220" s="638"/>
      <c r="BT220" s="56">
        <f>SUM(L220:BO220)</f>
        <v>0</v>
      </c>
      <c r="BU220" s="55"/>
      <c r="BV220" s="56"/>
      <c r="BW220" s="611"/>
      <c r="BX220" s="638"/>
      <c r="BY220" s="56">
        <v>0</v>
      </c>
      <c r="BZ220" s="55"/>
      <c r="CA220" s="56"/>
      <c r="CB220" s="611"/>
      <c r="CC220" s="638"/>
      <c r="CD220" s="56">
        <v>0</v>
      </c>
      <c r="CE220" s="55"/>
      <c r="CF220" s="56"/>
      <c r="CG220" s="611"/>
      <c r="CH220" s="638"/>
      <c r="CI220" s="56">
        <v>0</v>
      </c>
      <c r="CJ220" s="55"/>
      <c r="CK220" s="56"/>
      <c r="CL220" s="611"/>
      <c r="CM220" s="638"/>
      <c r="CN220" s="56">
        <v>0</v>
      </c>
      <c r="CO220" s="55"/>
      <c r="CP220" s="56"/>
      <c r="CQ220" s="611"/>
      <c r="CR220" s="638"/>
      <c r="CS220" s="56">
        <v>0</v>
      </c>
      <c r="CT220" s="55"/>
      <c r="CU220" s="56"/>
      <c r="CV220" s="611"/>
      <c r="CW220" s="638"/>
      <c r="CX220" s="56">
        <v>0</v>
      </c>
      <c r="CY220" s="55"/>
      <c r="CZ220" s="56"/>
      <c r="DA220" s="611"/>
      <c r="DB220" s="638"/>
      <c r="DC220" s="56">
        <v>0</v>
      </c>
      <c r="DD220" s="55"/>
      <c r="DE220" s="56"/>
      <c r="DF220" s="611"/>
      <c r="DG220" s="638"/>
      <c r="DH220" s="56">
        <v>0</v>
      </c>
      <c r="DI220" s="55"/>
      <c r="DJ220" s="56"/>
      <c r="DK220" s="611"/>
      <c r="DL220" s="638"/>
      <c r="DM220" s="56">
        <v>0</v>
      </c>
      <c r="DN220" s="55"/>
      <c r="DO220" s="56"/>
      <c r="DP220" s="611"/>
      <c r="DQ220" s="638"/>
      <c r="DR220" s="56">
        <v>0</v>
      </c>
      <c r="DS220" s="55"/>
      <c r="DT220" s="56"/>
      <c r="DU220" s="611"/>
      <c r="DV220" s="638"/>
      <c r="DW220" s="56">
        <v>0</v>
      </c>
      <c r="DX220" s="55"/>
      <c r="DY220" s="56"/>
      <c r="DZ220" s="611"/>
      <c r="EA220" s="638"/>
      <c r="EB220" s="56">
        <v>0</v>
      </c>
      <c r="EC220" s="55"/>
      <c r="ED220" s="56"/>
      <c r="EE220" s="611"/>
      <c r="EF220" s="638"/>
      <c r="EG220" s="56">
        <v>0</v>
      </c>
      <c r="EH220" s="55"/>
      <c r="EI220" s="56"/>
      <c r="EJ220" s="611"/>
      <c r="EK220" s="638"/>
      <c r="EL220" s="56">
        <f>SUM(CD220:EG220)</f>
        <v>0</v>
      </c>
      <c r="EM220" s="55"/>
      <c r="EN220" s="56"/>
      <c r="EO220" s="144"/>
      <c r="ER220" s="42"/>
      <c r="ES220" s="42"/>
    </row>
    <row r="221" spans="4:149" ht="12.75" hidden="1" customHeight="1" x14ac:dyDescent="0.3">
      <c r="D221" s="144" t="s">
        <v>339</v>
      </c>
      <c r="E221" s="635"/>
      <c r="F221" s="638"/>
      <c r="G221" s="56">
        <v>0</v>
      </c>
      <c r="H221" s="55"/>
      <c r="I221" s="56"/>
      <c r="J221" s="611"/>
      <c r="K221" s="638"/>
      <c r="L221" s="56">
        <v>0</v>
      </c>
      <c r="M221" s="55"/>
      <c r="N221" s="56"/>
      <c r="O221" s="611"/>
      <c r="P221" s="638"/>
      <c r="Q221" s="56">
        <v>0</v>
      </c>
      <c r="R221" s="55"/>
      <c r="S221" s="56"/>
      <c r="T221" s="611"/>
      <c r="U221" s="638"/>
      <c r="V221" s="56">
        <v>0</v>
      </c>
      <c r="W221" s="55"/>
      <c r="X221" s="56"/>
      <c r="Y221" s="611"/>
      <c r="Z221" s="638"/>
      <c r="AA221" s="56">
        <v>0</v>
      </c>
      <c r="AB221" s="55"/>
      <c r="AC221" s="56"/>
      <c r="AD221" s="611"/>
      <c r="AE221" s="638"/>
      <c r="AF221" s="56">
        <v>0</v>
      </c>
      <c r="AG221" s="55"/>
      <c r="AH221" s="56"/>
      <c r="AI221" s="611"/>
      <c r="AJ221" s="638"/>
      <c r="AK221" s="56">
        <v>0</v>
      </c>
      <c r="AL221" s="55"/>
      <c r="AM221" s="56"/>
      <c r="AN221" s="611"/>
      <c r="AO221" s="638"/>
      <c r="AP221" s="56">
        <v>0</v>
      </c>
      <c r="AQ221" s="55"/>
      <c r="AR221" s="56"/>
      <c r="AS221" s="611"/>
      <c r="AT221" s="638"/>
      <c r="AU221" s="56">
        <v>0</v>
      </c>
      <c r="AV221" s="55"/>
      <c r="AW221" s="56"/>
      <c r="AX221" s="611"/>
      <c r="AY221" s="638"/>
      <c r="AZ221" s="56">
        <v>0</v>
      </c>
      <c r="BA221" s="55"/>
      <c r="BB221" s="56"/>
      <c r="BC221" s="611"/>
      <c r="BD221" s="638"/>
      <c r="BE221" s="56">
        <v>0</v>
      </c>
      <c r="BF221" s="55"/>
      <c r="BG221" s="56"/>
      <c r="BH221" s="611"/>
      <c r="BI221" s="638"/>
      <c r="BJ221" s="56">
        <v>0</v>
      </c>
      <c r="BK221" s="55"/>
      <c r="BL221" s="56"/>
      <c r="BM221" s="611"/>
      <c r="BN221" s="638"/>
      <c r="BO221" s="56">
        <v>0</v>
      </c>
      <c r="BP221" s="55"/>
      <c r="BQ221" s="56"/>
      <c r="BR221" s="611"/>
      <c r="BS221" s="638"/>
      <c r="BT221" s="56">
        <f>SUM(L221:BO221)</f>
        <v>0</v>
      </c>
      <c r="BU221" s="55"/>
      <c r="BV221" s="56"/>
      <c r="BW221" s="611"/>
      <c r="BX221" s="638"/>
      <c r="BY221" s="56">
        <v>0</v>
      </c>
      <c r="BZ221" s="55"/>
      <c r="CA221" s="56"/>
      <c r="CB221" s="611"/>
      <c r="CC221" s="638"/>
      <c r="CD221" s="56">
        <v>0</v>
      </c>
      <c r="CE221" s="55"/>
      <c r="CF221" s="56"/>
      <c r="CG221" s="611"/>
      <c r="CH221" s="638"/>
      <c r="CI221" s="56">
        <v>0</v>
      </c>
      <c r="CJ221" s="55"/>
      <c r="CK221" s="56"/>
      <c r="CL221" s="611"/>
      <c r="CM221" s="638"/>
      <c r="CN221" s="56">
        <v>0</v>
      </c>
      <c r="CO221" s="55"/>
      <c r="CP221" s="56"/>
      <c r="CQ221" s="611"/>
      <c r="CR221" s="638"/>
      <c r="CS221" s="56">
        <v>0</v>
      </c>
      <c r="CT221" s="55"/>
      <c r="CU221" s="56"/>
      <c r="CV221" s="611"/>
      <c r="CW221" s="638"/>
      <c r="CX221" s="56">
        <v>0</v>
      </c>
      <c r="CY221" s="55"/>
      <c r="CZ221" s="56"/>
      <c r="DA221" s="611"/>
      <c r="DB221" s="638"/>
      <c r="DC221" s="56">
        <v>0</v>
      </c>
      <c r="DD221" s="55"/>
      <c r="DE221" s="56"/>
      <c r="DF221" s="611"/>
      <c r="DG221" s="638"/>
      <c r="DH221" s="56">
        <v>0</v>
      </c>
      <c r="DI221" s="55"/>
      <c r="DJ221" s="56"/>
      <c r="DK221" s="611"/>
      <c r="DL221" s="638"/>
      <c r="DM221" s="56">
        <v>0</v>
      </c>
      <c r="DN221" s="55"/>
      <c r="DO221" s="56"/>
      <c r="DP221" s="611"/>
      <c r="DQ221" s="638"/>
      <c r="DR221" s="56">
        <v>0</v>
      </c>
      <c r="DS221" s="55"/>
      <c r="DT221" s="56"/>
      <c r="DU221" s="611"/>
      <c r="DV221" s="638"/>
      <c r="DW221" s="56">
        <v>0</v>
      </c>
      <c r="DX221" s="55"/>
      <c r="DY221" s="56"/>
      <c r="DZ221" s="611"/>
      <c r="EA221" s="638"/>
      <c r="EB221" s="56">
        <v>0</v>
      </c>
      <c r="EC221" s="55"/>
      <c r="ED221" s="56"/>
      <c r="EE221" s="611"/>
      <c r="EF221" s="638"/>
      <c r="EG221" s="56">
        <v>0</v>
      </c>
      <c r="EH221" s="55"/>
      <c r="EI221" s="56"/>
      <c r="EJ221" s="611"/>
      <c r="EK221" s="638"/>
      <c r="EL221" s="56">
        <f>SUM(CD221:EG221)</f>
        <v>0</v>
      </c>
      <c r="EM221" s="55"/>
      <c r="EN221" s="56"/>
      <c r="EO221" s="144"/>
      <c r="ER221" s="42"/>
      <c r="ES221" s="42"/>
    </row>
    <row r="222" spans="4:149" ht="12.75" hidden="1" customHeight="1" x14ac:dyDescent="0.3">
      <c r="D222" s="144" t="s">
        <v>340</v>
      </c>
      <c r="E222" s="635"/>
      <c r="F222" s="640"/>
      <c r="G222" s="117">
        <v>0</v>
      </c>
      <c r="H222" s="116"/>
      <c r="I222" s="56"/>
      <c r="J222" s="611"/>
      <c r="K222" s="513"/>
      <c r="L222" s="117">
        <v>0</v>
      </c>
      <c r="M222" s="116"/>
      <c r="N222" s="56"/>
      <c r="O222" s="611"/>
      <c r="P222" s="513"/>
      <c r="Q222" s="117">
        <v>0</v>
      </c>
      <c r="R222" s="116"/>
      <c r="S222" s="56"/>
      <c r="T222" s="611"/>
      <c r="U222" s="513"/>
      <c r="V222" s="117">
        <v>0</v>
      </c>
      <c r="W222" s="116"/>
      <c r="X222" s="56"/>
      <c r="Y222" s="611"/>
      <c r="Z222" s="513"/>
      <c r="AA222" s="117">
        <v>0</v>
      </c>
      <c r="AB222" s="116"/>
      <c r="AC222" s="56"/>
      <c r="AD222" s="611"/>
      <c r="AE222" s="513"/>
      <c r="AF222" s="117">
        <v>0</v>
      </c>
      <c r="AG222" s="116"/>
      <c r="AH222" s="56"/>
      <c r="AI222" s="611"/>
      <c r="AJ222" s="513"/>
      <c r="AK222" s="117">
        <v>0</v>
      </c>
      <c r="AL222" s="116"/>
      <c r="AM222" s="56"/>
      <c r="AN222" s="611"/>
      <c r="AO222" s="513"/>
      <c r="AP222" s="117">
        <v>0</v>
      </c>
      <c r="AQ222" s="116"/>
      <c r="AR222" s="56"/>
      <c r="AS222" s="611"/>
      <c r="AT222" s="620"/>
      <c r="AU222" s="117">
        <v>0</v>
      </c>
      <c r="AV222" s="116"/>
      <c r="AW222" s="56"/>
      <c r="AX222" s="611"/>
      <c r="AY222" s="620"/>
      <c r="AZ222" s="117">
        <v>0</v>
      </c>
      <c r="BA222" s="116"/>
      <c r="BB222" s="56"/>
      <c r="BC222" s="611"/>
      <c r="BD222" s="620"/>
      <c r="BE222" s="117">
        <v>0</v>
      </c>
      <c r="BF222" s="116"/>
      <c r="BG222" s="56"/>
      <c r="BH222" s="611"/>
      <c r="BI222" s="620"/>
      <c r="BJ222" s="117">
        <v>0</v>
      </c>
      <c r="BK222" s="116"/>
      <c r="BL222" s="56"/>
      <c r="BM222" s="611"/>
      <c r="BN222" s="620"/>
      <c r="BO222" s="117">
        <v>0</v>
      </c>
      <c r="BP222" s="116"/>
      <c r="BQ222" s="56"/>
      <c r="BR222" s="611"/>
      <c r="BS222" s="620"/>
      <c r="BT222" s="117">
        <f>SUM(L222:BO222)</f>
        <v>0</v>
      </c>
      <c r="BU222" s="116"/>
      <c r="BV222" s="56"/>
      <c r="BW222" s="611"/>
      <c r="BX222" s="620"/>
      <c r="BY222" s="117">
        <v>0</v>
      </c>
      <c r="BZ222" s="116"/>
      <c r="CA222" s="56"/>
      <c r="CB222" s="611"/>
      <c r="CC222" s="513"/>
      <c r="CD222" s="117">
        <v>0</v>
      </c>
      <c r="CE222" s="116"/>
      <c r="CF222" s="56"/>
      <c r="CG222" s="611"/>
      <c r="CH222" s="513"/>
      <c r="CI222" s="117">
        <v>0</v>
      </c>
      <c r="CJ222" s="116"/>
      <c r="CK222" s="56"/>
      <c r="CL222" s="611"/>
      <c r="CM222" s="513"/>
      <c r="CN222" s="117">
        <v>0</v>
      </c>
      <c r="CO222" s="116"/>
      <c r="CP222" s="56"/>
      <c r="CQ222" s="611"/>
      <c r="CR222" s="513"/>
      <c r="CS222" s="117">
        <v>0</v>
      </c>
      <c r="CT222" s="116"/>
      <c r="CU222" s="56"/>
      <c r="CV222" s="611"/>
      <c r="CW222" s="513"/>
      <c r="CX222" s="117">
        <v>0</v>
      </c>
      <c r="CY222" s="116"/>
      <c r="CZ222" s="56"/>
      <c r="DA222" s="611"/>
      <c r="DB222" s="513"/>
      <c r="DC222" s="117">
        <v>0</v>
      </c>
      <c r="DD222" s="116"/>
      <c r="DE222" s="56"/>
      <c r="DF222" s="611"/>
      <c r="DG222" s="513"/>
      <c r="DH222" s="117">
        <v>0</v>
      </c>
      <c r="DI222" s="116"/>
      <c r="DJ222" s="56"/>
      <c r="DK222" s="611"/>
      <c r="DL222" s="620"/>
      <c r="DM222" s="117">
        <v>0</v>
      </c>
      <c r="DN222" s="116"/>
      <c r="DO222" s="56"/>
      <c r="DP222" s="611"/>
      <c r="DQ222" s="620"/>
      <c r="DR222" s="117">
        <v>0</v>
      </c>
      <c r="DS222" s="116"/>
      <c r="DT222" s="56"/>
      <c r="DU222" s="611"/>
      <c r="DV222" s="620"/>
      <c r="DW222" s="117">
        <v>0</v>
      </c>
      <c r="DX222" s="116"/>
      <c r="DY222" s="56"/>
      <c r="DZ222" s="611"/>
      <c r="EA222" s="620"/>
      <c r="EB222" s="117">
        <v>0</v>
      </c>
      <c r="EC222" s="116"/>
      <c r="ED222" s="56"/>
      <c r="EE222" s="611"/>
      <c r="EF222" s="620"/>
      <c r="EG222" s="117">
        <v>0</v>
      </c>
      <c r="EH222" s="116"/>
      <c r="EI222" s="56"/>
      <c r="EJ222" s="611"/>
      <c r="EK222" s="620"/>
      <c r="EL222" s="117">
        <f>SUM(CD222:EG222)</f>
        <v>0</v>
      </c>
      <c r="EM222" s="116"/>
      <c r="EN222" s="56"/>
      <c r="EO222" s="144"/>
      <c r="ER222" s="42"/>
      <c r="ES222" s="42"/>
    </row>
    <row r="223" spans="4:149" ht="12.75" hidden="1" customHeight="1" x14ac:dyDescent="0.3">
      <c r="D223" s="144"/>
      <c r="E223" s="635"/>
      <c r="F223" s="272"/>
      <c r="G223" s="56"/>
      <c r="H223" s="56"/>
      <c r="I223" s="56"/>
      <c r="J223" s="611"/>
      <c r="K223" s="272"/>
      <c r="L223" s="56"/>
      <c r="M223" s="56"/>
      <c r="N223" s="56"/>
      <c r="O223" s="611"/>
      <c r="P223" s="272"/>
      <c r="Q223" s="56"/>
      <c r="R223" s="56"/>
      <c r="S223" s="56"/>
      <c r="T223" s="611"/>
      <c r="U223" s="272"/>
      <c r="V223" s="56"/>
      <c r="W223" s="56"/>
      <c r="X223" s="56"/>
      <c r="Y223" s="611"/>
      <c r="Z223" s="272"/>
      <c r="AA223" s="56"/>
      <c r="AB223" s="56"/>
      <c r="AC223" s="56"/>
      <c r="AD223" s="611"/>
      <c r="AE223" s="272"/>
      <c r="AF223" s="56"/>
      <c r="AG223" s="56"/>
      <c r="AH223" s="56"/>
      <c r="AI223" s="611"/>
      <c r="AJ223" s="272"/>
      <c r="AK223" s="56"/>
      <c r="AL223" s="56"/>
      <c r="AM223" s="56"/>
      <c r="AN223" s="611"/>
      <c r="AO223" s="272"/>
      <c r="AP223" s="56"/>
      <c r="AQ223" s="56"/>
      <c r="AR223" s="56"/>
      <c r="AS223" s="611"/>
      <c r="AT223" s="272"/>
      <c r="AU223" s="56"/>
      <c r="AV223" s="56"/>
      <c r="AW223" s="56"/>
      <c r="AX223" s="611"/>
      <c r="AY223" s="272"/>
      <c r="AZ223" s="56"/>
      <c r="BA223" s="56"/>
      <c r="BB223" s="56"/>
      <c r="BC223" s="611"/>
      <c r="BD223" s="272"/>
      <c r="BE223" s="56"/>
      <c r="BF223" s="56"/>
      <c r="BG223" s="56"/>
      <c r="BH223" s="611"/>
      <c r="BI223" s="272"/>
      <c r="BJ223" s="56"/>
      <c r="BK223" s="56"/>
      <c r="BL223" s="56"/>
      <c r="BM223" s="611"/>
      <c r="BN223" s="272"/>
      <c r="BO223" s="56"/>
      <c r="BP223" s="56"/>
      <c r="BQ223" s="56"/>
      <c r="BR223" s="611"/>
      <c r="BS223" s="272"/>
      <c r="BT223" s="56"/>
      <c r="BU223" s="56"/>
      <c r="BV223" s="56"/>
      <c r="BW223" s="611"/>
      <c r="BX223" s="272"/>
      <c r="BY223" s="56"/>
      <c r="BZ223" s="56"/>
      <c r="CA223" s="56"/>
      <c r="CB223" s="611"/>
      <c r="CC223" s="272"/>
      <c r="CD223" s="56"/>
      <c r="CE223" s="56"/>
      <c r="CF223" s="56"/>
      <c r="CG223" s="611"/>
      <c r="CH223" s="272"/>
      <c r="CI223" s="56"/>
      <c r="CJ223" s="56"/>
      <c r="CK223" s="56"/>
      <c r="CL223" s="611"/>
      <c r="CM223" s="272"/>
      <c r="CN223" s="56"/>
      <c r="CO223" s="56"/>
      <c r="CP223" s="56"/>
      <c r="CQ223" s="611"/>
      <c r="CR223" s="272"/>
      <c r="CS223" s="56"/>
      <c r="CT223" s="56"/>
      <c r="CU223" s="56"/>
      <c r="CV223" s="611"/>
      <c r="CW223" s="272"/>
      <c r="CX223" s="56"/>
      <c r="CY223" s="56"/>
      <c r="CZ223" s="56"/>
      <c r="DA223" s="611"/>
      <c r="DB223" s="272"/>
      <c r="DC223" s="56"/>
      <c r="DD223" s="56"/>
      <c r="DE223" s="56"/>
      <c r="DF223" s="611"/>
      <c r="DG223" s="272"/>
      <c r="DH223" s="56"/>
      <c r="DI223" s="56"/>
      <c r="DJ223" s="56"/>
      <c r="DK223" s="611"/>
      <c r="DL223" s="272"/>
      <c r="DM223" s="56"/>
      <c r="DN223" s="56"/>
      <c r="DO223" s="56"/>
      <c r="DP223" s="611"/>
      <c r="DQ223" s="272"/>
      <c r="DR223" s="56"/>
      <c r="DS223" s="56"/>
      <c r="DT223" s="56"/>
      <c r="DU223" s="611"/>
      <c r="DV223" s="272"/>
      <c r="DW223" s="56"/>
      <c r="DX223" s="56"/>
      <c r="DY223" s="56"/>
      <c r="DZ223" s="611"/>
      <c r="EA223" s="272"/>
      <c r="EB223" s="56"/>
      <c r="EC223" s="56"/>
      <c r="ED223" s="56"/>
      <c r="EE223" s="611"/>
      <c r="EF223" s="272"/>
      <c r="EG223" s="56"/>
      <c r="EH223" s="56"/>
      <c r="EI223" s="56"/>
      <c r="EJ223" s="611"/>
      <c r="EK223" s="272"/>
      <c r="EL223" s="56"/>
      <c r="EM223" s="56"/>
      <c r="EN223" s="56"/>
      <c r="EO223" s="144"/>
      <c r="ER223" s="42"/>
      <c r="ES223" s="42"/>
    </row>
    <row r="224" spans="4:149" ht="12.75" hidden="1" customHeight="1" x14ac:dyDescent="0.3">
      <c r="D224" s="144" t="s">
        <v>347</v>
      </c>
      <c r="E224" s="635"/>
      <c r="F224" s="272"/>
      <c r="G224" s="56">
        <f>SUM(G225:G228)</f>
        <v>0</v>
      </c>
      <c r="H224" s="56"/>
      <c r="I224" s="56"/>
      <c r="J224" s="611"/>
      <c r="K224" s="272"/>
      <c r="L224" s="56">
        <f>SUM(L225:L228)</f>
        <v>0</v>
      </c>
      <c r="M224" s="56"/>
      <c r="N224" s="56"/>
      <c r="O224" s="611"/>
      <c r="P224" s="272"/>
      <c r="Q224" s="56">
        <f>SUM(Q225:Q228)</f>
        <v>0</v>
      </c>
      <c r="R224" s="56"/>
      <c r="S224" s="56"/>
      <c r="T224" s="611"/>
      <c r="U224" s="272"/>
      <c r="V224" s="56">
        <f>SUM(V225:V228)</f>
        <v>0</v>
      </c>
      <c r="W224" s="56"/>
      <c r="X224" s="56"/>
      <c r="Y224" s="611"/>
      <c r="Z224" s="272"/>
      <c r="AA224" s="56">
        <f>SUM(AA225:AA228)</f>
        <v>0</v>
      </c>
      <c r="AB224" s="56"/>
      <c r="AC224" s="56"/>
      <c r="AD224" s="611"/>
      <c r="AE224" s="272"/>
      <c r="AF224" s="56">
        <f>SUM(AF225:AF228)</f>
        <v>0</v>
      </c>
      <c r="AG224" s="56"/>
      <c r="AH224" s="56"/>
      <c r="AI224" s="611"/>
      <c r="AJ224" s="272"/>
      <c r="AK224" s="56">
        <f>SUM(AK225:AK228)</f>
        <v>0</v>
      </c>
      <c r="AL224" s="56"/>
      <c r="AM224" s="56"/>
      <c r="AN224" s="611"/>
      <c r="AO224" s="272"/>
      <c r="AP224" s="56">
        <f>SUM(AP225:AP228)</f>
        <v>0</v>
      </c>
      <c r="AQ224" s="56"/>
      <c r="AR224" s="56"/>
      <c r="AS224" s="611"/>
      <c r="AT224" s="272"/>
      <c r="AU224" s="56">
        <f>SUM(AU225:AU228)</f>
        <v>0</v>
      </c>
      <c r="AV224" s="56"/>
      <c r="AW224" s="56"/>
      <c r="AX224" s="611"/>
      <c r="AY224" s="272"/>
      <c r="AZ224" s="56">
        <f>SUM(AZ225:AZ228)</f>
        <v>0</v>
      </c>
      <c r="BA224" s="56"/>
      <c r="BB224" s="56"/>
      <c r="BC224" s="611"/>
      <c r="BD224" s="272"/>
      <c r="BE224" s="56">
        <f>SUM(BE225:BE228)</f>
        <v>0</v>
      </c>
      <c r="BF224" s="56"/>
      <c r="BG224" s="56"/>
      <c r="BH224" s="611"/>
      <c r="BI224" s="272"/>
      <c r="BJ224" s="56">
        <f>SUM(BJ225:BJ228)</f>
        <v>0</v>
      </c>
      <c r="BK224" s="56"/>
      <c r="BL224" s="56"/>
      <c r="BM224" s="611"/>
      <c r="BN224" s="272"/>
      <c r="BO224" s="56">
        <f>SUM(BO225:BO228)</f>
        <v>0</v>
      </c>
      <c r="BP224" s="56"/>
      <c r="BQ224" s="56"/>
      <c r="BR224" s="611"/>
      <c r="BS224" s="272"/>
      <c r="BT224" s="56">
        <f>SUM(BT225:BT228)</f>
        <v>0</v>
      </c>
      <c r="BU224" s="56"/>
      <c r="BV224" s="56"/>
      <c r="BW224" s="611"/>
      <c r="BX224" s="272"/>
      <c r="BY224" s="56">
        <f>SUM(BY225:BY228)</f>
        <v>0</v>
      </c>
      <c r="BZ224" s="56"/>
      <c r="CA224" s="56"/>
      <c r="CB224" s="611"/>
      <c r="CC224" s="272"/>
      <c r="CD224" s="56">
        <f>SUM(CD225:CD228)</f>
        <v>0</v>
      </c>
      <c r="CE224" s="56"/>
      <c r="CF224" s="56"/>
      <c r="CG224" s="611"/>
      <c r="CH224" s="272"/>
      <c r="CI224" s="56">
        <f>SUM(CI225:CI228)</f>
        <v>0</v>
      </c>
      <c r="CJ224" s="56"/>
      <c r="CK224" s="56"/>
      <c r="CL224" s="611"/>
      <c r="CM224" s="272"/>
      <c r="CN224" s="56">
        <f>SUM(CN225:CN228)</f>
        <v>0</v>
      </c>
      <c r="CO224" s="56"/>
      <c r="CP224" s="56"/>
      <c r="CQ224" s="611"/>
      <c r="CR224" s="272"/>
      <c r="CS224" s="56">
        <f>SUM(CS225:CS228)</f>
        <v>0</v>
      </c>
      <c r="CT224" s="56"/>
      <c r="CU224" s="56"/>
      <c r="CV224" s="611"/>
      <c r="CW224" s="272"/>
      <c r="CX224" s="56">
        <f>SUM(CX225:CX228)</f>
        <v>0</v>
      </c>
      <c r="CY224" s="56"/>
      <c r="CZ224" s="56"/>
      <c r="DA224" s="611"/>
      <c r="DB224" s="272"/>
      <c r="DC224" s="56">
        <f>SUM(DC225:DC228)</f>
        <v>0</v>
      </c>
      <c r="DD224" s="56"/>
      <c r="DE224" s="56"/>
      <c r="DF224" s="611"/>
      <c r="DG224" s="272"/>
      <c r="DH224" s="56">
        <f>SUM(DH225:DH228)</f>
        <v>0</v>
      </c>
      <c r="DI224" s="56"/>
      <c r="DJ224" s="56"/>
      <c r="DK224" s="611"/>
      <c r="DL224" s="272"/>
      <c r="DM224" s="56">
        <f>SUM(DM225:DM228)</f>
        <v>0</v>
      </c>
      <c r="DN224" s="56"/>
      <c r="DO224" s="56"/>
      <c r="DP224" s="611"/>
      <c r="DQ224" s="272"/>
      <c r="DR224" s="56">
        <f>SUM(DR225:DR228)</f>
        <v>0</v>
      </c>
      <c r="DS224" s="56"/>
      <c r="DT224" s="56"/>
      <c r="DU224" s="611"/>
      <c r="DV224" s="272"/>
      <c r="DW224" s="56">
        <f>SUM(DW225:DW228)</f>
        <v>0</v>
      </c>
      <c r="DX224" s="56"/>
      <c r="DY224" s="56"/>
      <c r="DZ224" s="611"/>
      <c r="EA224" s="272"/>
      <c r="EB224" s="56">
        <f>SUM(EB225:EB228)</f>
        <v>0</v>
      </c>
      <c r="EC224" s="56"/>
      <c r="ED224" s="56"/>
      <c r="EE224" s="611"/>
      <c r="EF224" s="272"/>
      <c r="EG224" s="56">
        <f>SUM(EG225:EG228)</f>
        <v>0</v>
      </c>
      <c r="EH224" s="56"/>
      <c r="EI224" s="56"/>
      <c r="EJ224" s="611"/>
      <c r="EK224" s="272"/>
      <c r="EL224" s="56">
        <f>SUM(EL225:EL228)</f>
        <v>0</v>
      </c>
      <c r="EM224" s="56"/>
      <c r="EN224" s="56"/>
      <c r="EO224" s="144"/>
      <c r="ER224" s="42"/>
      <c r="ES224" s="42"/>
    </row>
    <row r="225" spans="4:149" ht="12.75" hidden="1" customHeight="1" x14ac:dyDescent="0.3">
      <c r="D225" s="144" t="s">
        <v>335</v>
      </c>
      <c r="E225" s="635"/>
      <c r="F225" s="636"/>
      <c r="G225" s="609">
        <v>0</v>
      </c>
      <c r="H225" s="610"/>
      <c r="I225" s="56"/>
      <c r="J225" s="611"/>
      <c r="K225" s="636"/>
      <c r="L225" s="609">
        <v>0</v>
      </c>
      <c r="M225" s="610"/>
      <c r="N225" s="56"/>
      <c r="O225" s="611"/>
      <c r="P225" s="636"/>
      <c r="Q225" s="609">
        <v>0</v>
      </c>
      <c r="R225" s="610"/>
      <c r="S225" s="56"/>
      <c r="T225" s="611"/>
      <c r="U225" s="636"/>
      <c r="V225" s="609">
        <v>0</v>
      </c>
      <c r="W225" s="610"/>
      <c r="X225" s="56"/>
      <c r="Y225" s="611"/>
      <c r="Z225" s="636"/>
      <c r="AA225" s="609">
        <v>0</v>
      </c>
      <c r="AB225" s="610"/>
      <c r="AC225" s="56"/>
      <c r="AD225" s="611"/>
      <c r="AE225" s="636"/>
      <c r="AF225" s="609">
        <v>0</v>
      </c>
      <c r="AG225" s="610"/>
      <c r="AH225" s="56"/>
      <c r="AI225" s="611"/>
      <c r="AJ225" s="636"/>
      <c r="AK225" s="609">
        <v>0</v>
      </c>
      <c r="AL225" s="610"/>
      <c r="AM225" s="56"/>
      <c r="AN225" s="611"/>
      <c r="AO225" s="636"/>
      <c r="AP225" s="609">
        <v>0</v>
      </c>
      <c r="AQ225" s="610"/>
      <c r="AR225" s="56"/>
      <c r="AS225" s="611"/>
      <c r="AT225" s="636"/>
      <c r="AU225" s="609">
        <v>0</v>
      </c>
      <c r="AV225" s="610"/>
      <c r="AW225" s="56"/>
      <c r="AX225" s="611"/>
      <c r="AY225" s="636"/>
      <c r="AZ225" s="609">
        <v>0</v>
      </c>
      <c r="BA225" s="610"/>
      <c r="BB225" s="56"/>
      <c r="BC225" s="611"/>
      <c r="BD225" s="636"/>
      <c r="BE225" s="609">
        <v>0</v>
      </c>
      <c r="BF225" s="610"/>
      <c r="BG225" s="56"/>
      <c r="BH225" s="611"/>
      <c r="BI225" s="636"/>
      <c r="BJ225" s="609">
        <v>0</v>
      </c>
      <c r="BK225" s="610"/>
      <c r="BL225" s="56"/>
      <c r="BM225" s="611"/>
      <c r="BN225" s="636"/>
      <c r="BO225" s="609">
        <v>0</v>
      </c>
      <c r="BP225" s="610"/>
      <c r="BQ225" s="56"/>
      <c r="BR225" s="611"/>
      <c r="BS225" s="636"/>
      <c r="BT225" s="609">
        <f>SUM(L225:BO225)</f>
        <v>0</v>
      </c>
      <c r="BU225" s="610"/>
      <c r="BV225" s="56"/>
      <c r="BW225" s="611"/>
      <c r="BX225" s="636"/>
      <c r="BY225" s="609">
        <v>0</v>
      </c>
      <c r="BZ225" s="610"/>
      <c r="CA225" s="56"/>
      <c r="CB225" s="611"/>
      <c r="CC225" s="636"/>
      <c r="CD225" s="609">
        <v>0</v>
      </c>
      <c r="CE225" s="610"/>
      <c r="CF225" s="56"/>
      <c r="CG225" s="611"/>
      <c r="CH225" s="636"/>
      <c r="CI225" s="609">
        <v>0</v>
      </c>
      <c r="CJ225" s="610"/>
      <c r="CK225" s="56"/>
      <c r="CL225" s="611"/>
      <c r="CM225" s="636"/>
      <c r="CN225" s="609">
        <v>0</v>
      </c>
      <c r="CO225" s="610"/>
      <c r="CP225" s="56"/>
      <c r="CQ225" s="611"/>
      <c r="CR225" s="636"/>
      <c r="CS225" s="609">
        <v>0</v>
      </c>
      <c r="CT225" s="610"/>
      <c r="CU225" s="56"/>
      <c r="CV225" s="611"/>
      <c r="CW225" s="636"/>
      <c r="CX225" s="609">
        <v>0</v>
      </c>
      <c r="CY225" s="610"/>
      <c r="CZ225" s="56"/>
      <c r="DA225" s="611"/>
      <c r="DB225" s="636"/>
      <c r="DC225" s="609">
        <v>0</v>
      </c>
      <c r="DD225" s="610"/>
      <c r="DE225" s="56"/>
      <c r="DF225" s="611"/>
      <c r="DG225" s="636"/>
      <c r="DH225" s="609">
        <v>0</v>
      </c>
      <c r="DI225" s="610"/>
      <c r="DJ225" s="56"/>
      <c r="DK225" s="611"/>
      <c r="DL225" s="636"/>
      <c r="DM225" s="609">
        <v>0</v>
      </c>
      <c r="DN225" s="610"/>
      <c r="DO225" s="56"/>
      <c r="DP225" s="611"/>
      <c r="DQ225" s="636"/>
      <c r="DR225" s="609">
        <v>0</v>
      </c>
      <c r="DS225" s="610"/>
      <c r="DT225" s="56"/>
      <c r="DU225" s="611"/>
      <c r="DV225" s="636"/>
      <c r="DW225" s="609">
        <v>0</v>
      </c>
      <c r="DX225" s="610"/>
      <c r="DY225" s="56"/>
      <c r="DZ225" s="611"/>
      <c r="EA225" s="636"/>
      <c r="EB225" s="609">
        <v>0</v>
      </c>
      <c r="EC225" s="610"/>
      <c r="ED225" s="56"/>
      <c r="EE225" s="611"/>
      <c r="EF225" s="636"/>
      <c r="EG225" s="609">
        <v>0</v>
      </c>
      <c r="EH225" s="610"/>
      <c r="EI225" s="56"/>
      <c r="EJ225" s="611"/>
      <c r="EK225" s="636"/>
      <c r="EL225" s="609">
        <f>SUM(CD225:EG225)</f>
        <v>0</v>
      </c>
      <c r="EM225" s="610"/>
      <c r="EN225" s="56"/>
      <c r="EO225" s="144"/>
      <c r="ER225" s="42"/>
      <c r="ES225" s="42"/>
    </row>
    <row r="226" spans="4:149" ht="12.75" hidden="1" customHeight="1" x14ac:dyDescent="0.3">
      <c r="D226" s="144" t="s">
        <v>338</v>
      </c>
      <c r="E226" s="635"/>
      <c r="F226" s="638"/>
      <c r="G226" s="56">
        <v>0</v>
      </c>
      <c r="H226" s="55"/>
      <c r="I226" s="56"/>
      <c r="J226" s="611"/>
      <c r="K226" s="638"/>
      <c r="L226" s="56">
        <v>0</v>
      </c>
      <c r="M226" s="55"/>
      <c r="N226" s="56"/>
      <c r="O226" s="611"/>
      <c r="P226" s="638"/>
      <c r="Q226" s="56">
        <v>0</v>
      </c>
      <c r="R226" s="55"/>
      <c r="S226" s="56"/>
      <c r="T226" s="611"/>
      <c r="U226" s="638"/>
      <c r="V226" s="56">
        <v>0</v>
      </c>
      <c r="W226" s="55"/>
      <c r="X226" s="56"/>
      <c r="Y226" s="611"/>
      <c r="Z226" s="638"/>
      <c r="AA226" s="56">
        <v>0</v>
      </c>
      <c r="AB226" s="55"/>
      <c r="AC226" s="56"/>
      <c r="AD226" s="611"/>
      <c r="AE226" s="638"/>
      <c r="AF226" s="56">
        <v>0</v>
      </c>
      <c r="AG226" s="55"/>
      <c r="AH226" s="56"/>
      <c r="AI226" s="611"/>
      <c r="AJ226" s="638"/>
      <c r="AK226" s="56">
        <v>0</v>
      </c>
      <c r="AL226" s="55"/>
      <c r="AM226" s="56"/>
      <c r="AN226" s="611"/>
      <c r="AO226" s="638"/>
      <c r="AP226" s="56">
        <v>0</v>
      </c>
      <c r="AQ226" s="55"/>
      <c r="AR226" s="56"/>
      <c r="AS226" s="611"/>
      <c r="AT226" s="638"/>
      <c r="AU226" s="56">
        <v>0</v>
      </c>
      <c r="AV226" s="55"/>
      <c r="AW226" s="56"/>
      <c r="AX226" s="611"/>
      <c r="AY226" s="638"/>
      <c r="AZ226" s="56">
        <v>0</v>
      </c>
      <c r="BA226" s="55"/>
      <c r="BB226" s="56"/>
      <c r="BC226" s="611"/>
      <c r="BD226" s="638"/>
      <c r="BE226" s="56">
        <v>0</v>
      </c>
      <c r="BF226" s="55"/>
      <c r="BG226" s="56"/>
      <c r="BH226" s="611"/>
      <c r="BI226" s="638"/>
      <c r="BJ226" s="56">
        <v>0</v>
      </c>
      <c r="BK226" s="55"/>
      <c r="BL226" s="56"/>
      <c r="BM226" s="611"/>
      <c r="BN226" s="638"/>
      <c r="BO226" s="56">
        <v>0</v>
      </c>
      <c r="BP226" s="55"/>
      <c r="BQ226" s="56"/>
      <c r="BR226" s="611"/>
      <c r="BS226" s="638"/>
      <c r="BT226" s="56">
        <f>SUM(L226:BO226)</f>
        <v>0</v>
      </c>
      <c r="BU226" s="55"/>
      <c r="BV226" s="56"/>
      <c r="BW226" s="611"/>
      <c r="BX226" s="638"/>
      <c r="BY226" s="56">
        <v>0</v>
      </c>
      <c r="BZ226" s="55"/>
      <c r="CA226" s="56"/>
      <c r="CB226" s="611"/>
      <c r="CC226" s="638"/>
      <c r="CD226" s="56">
        <v>0</v>
      </c>
      <c r="CE226" s="55"/>
      <c r="CF226" s="56"/>
      <c r="CG226" s="611"/>
      <c r="CH226" s="638"/>
      <c r="CI226" s="56">
        <v>0</v>
      </c>
      <c r="CJ226" s="55"/>
      <c r="CK226" s="56"/>
      <c r="CL226" s="611"/>
      <c r="CM226" s="638"/>
      <c r="CN226" s="56">
        <v>0</v>
      </c>
      <c r="CO226" s="55"/>
      <c r="CP226" s="56"/>
      <c r="CQ226" s="611"/>
      <c r="CR226" s="638"/>
      <c r="CS226" s="56">
        <v>0</v>
      </c>
      <c r="CT226" s="55"/>
      <c r="CU226" s="56"/>
      <c r="CV226" s="611"/>
      <c r="CW226" s="638"/>
      <c r="CX226" s="56">
        <v>0</v>
      </c>
      <c r="CY226" s="55"/>
      <c r="CZ226" s="56"/>
      <c r="DA226" s="611"/>
      <c r="DB226" s="638"/>
      <c r="DC226" s="56">
        <v>0</v>
      </c>
      <c r="DD226" s="55"/>
      <c r="DE226" s="56"/>
      <c r="DF226" s="611"/>
      <c r="DG226" s="638"/>
      <c r="DH226" s="56">
        <v>0</v>
      </c>
      <c r="DI226" s="55"/>
      <c r="DJ226" s="56"/>
      <c r="DK226" s="611"/>
      <c r="DL226" s="638"/>
      <c r="DM226" s="56">
        <v>0</v>
      </c>
      <c r="DN226" s="55"/>
      <c r="DO226" s="56"/>
      <c r="DP226" s="611"/>
      <c r="DQ226" s="638"/>
      <c r="DR226" s="56">
        <v>0</v>
      </c>
      <c r="DS226" s="55"/>
      <c r="DT226" s="56"/>
      <c r="DU226" s="611"/>
      <c r="DV226" s="638"/>
      <c r="DW226" s="56">
        <v>0</v>
      </c>
      <c r="DX226" s="55"/>
      <c r="DY226" s="56"/>
      <c r="DZ226" s="611"/>
      <c r="EA226" s="638"/>
      <c r="EB226" s="56">
        <v>0</v>
      </c>
      <c r="EC226" s="55"/>
      <c r="ED226" s="56"/>
      <c r="EE226" s="611"/>
      <c r="EF226" s="638"/>
      <c r="EG226" s="56">
        <v>0</v>
      </c>
      <c r="EH226" s="55"/>
      <c r="EI226" s="56"/>
      <c r="EJ226" s="611"/>
      <c r="EK226" s="638"/>
      <c r="EL226" s="56">
        <f>SUM(CD226:EG226)</f>
        <v>0</v>
      </c>
      <c r="EM226" s="55"/>
      <c r="EN226" s="56"/>
      <c r="EO226" s="144"/>
      <c r="ER226" s="42"/>
      <c r="ES226" s="42"/>
    </row>
    <row r="227" spans="4:149" ht="12.75" hidden="1" customHeight="1" x14ac:dyDescent="0.3">
      <c r="D227" s="144" t="s">
        <v>339</v>
      </c>
      <c r="E227" s="635"/>
      <c r="F227" s="638"/>
      <c r="G227" s="56">
        <v>0</v>
      </c>
      <c r="H227" s="55"/>
      <c r="I227" s="56"/>
      <c r="J227" s="611"/>
      <c r="K227" s="638"/>
      <c r="L227" s="56">
        <v>0</v>
      </c>
      <c r="M227" s="55"/>
      <c r="N227" s="56"/>
      <c r="O227" s="611"/>
      <c r="P227" s="638"/>
      <c r="Q227" s="56">
        <v>0</v>
      </c>
      <c r="R227" s="55"/>
      <c r="S227" s="56"/>
      <c r="T227" s="611"/>
      <c r="U227" s="638"/>
      <c r="V227" s="56">
        <v>0</v>
      </c>
      <c r="W227" s="55"/>
      <c r="X227" s="56"/>
      <c r="Y227" s="611"/>
      <c r="Z227" s="638"/>
      <c r="AA227" s="56">
        <v>0</v>
      </c>
      <c r="AB227" s="55"/>
      <c r="AC227" s="56"/>
      <c r="AD227" s="611"/>
      <c r="AE227" s="638"/>
      <c r="AF227" s="56">
        <v>0</v>
      </c>
      <c r="AG227" s="55"/>
      <c r="AH227" s="56"/>
      <c r="AI227" s="611"/>
      <c r="AJ227" s="638"/>
      <c r="AK227" s="56">
        <v>0</v>
      </c>
      <c r="AL227" s="55"/>
      <c r="AM227" s="56"/>
      <c r="AN227" s="611"/>
      <c r="AO227" s="638"/>
      <c r="AP227" s="56">
        <v>0</v>
      </c>
      <c r="AQ227" s="55"/>
      <c r="AR227" s="56"/>
      <c r="AS227" s="611"/>
      <c r="AT227" s="638"/>
      <c r="AU227" s="56">
        <v>0</v>
      </c>
      <c r="AV227" s="55"/>
      <c r="AW227" s="56"/>
      <c r="AX227" s="611"/>
      <c r="AY227" s="638"/>
      <c r="AZ227" s="56">
        <v>0</v>
      </c>
      <c r="BA227" s="55"/>
      <c r="BB227" s="56"/>
      <c r="BC227" s="611"/>
      <c r="BD227" s="638"/>
      <c r="BE227" s="56">
        <v>0</v>
      </c>
      <c r="BF227" s="55"/>
      <c r="BG227" s="56"/>
      <c r="BH227" s="611"/>
      <c r="BI227" s="638"/>
      <c r="BJ227" s="56">
        <v>0</v>
      </c>
      <c r="BK227" s="55"/>
      <c r="BL227" s="56"/>
      <c r="BM227" s="611"/>
      <c r="BN227" s="638"/>
      <c r="BO227" s="56">
        <v>0</v>
      </c>
      <c r="BP227" s="55"/>
      <c r="BQ227" s="56"/>
      <c r="BR227" s="611"/>
      <c r="BS227" s="638"/>
      <c r="BT227" s="56">
        <f>SUM(L227:BO227)</f>
        <v>0</v>
      </c>
      <c r="BU227" s="55"/>
      <c r="BV227" s="56"/>
      <c r="BW227" s="611"/>
      <c r="BX227" s="638"/>
      <c r="BY227" s="56">
        <v>0</v>
      </c>
      <c r="BZ227" s="55"/>
      <c r="CA227" s="56"/>
      <c r="CB227" s="611"/>
      <c r="CC227" s="638"/>
      <c r="CD227" s="56">
        <v>0</v>
      </c>
      <c r="CE227" s="55"/>
      <c r="CF227" s="56"/>
      <c r="CG227" s="611"/>
      <c r="CH227" s="638"/>
      <c r="CI227" s="56">
        <v>0</v>
      </c>
      <c r="CJ227" s="55"/>
      <c r="CK227" s="56"/>
      <c r="CL227" s="611"/>
      <c r="CM227" s="638"/>
      <c r="CN227" s="56">
        <v>0</v>
      </c>
      <c r="CO227" s="55"/>
      <c r="CP227" s="56"/>
      <c r="CQ227" s="611"/>
      <c r="CR227" s="638"/>
      <c r="CS227" s="56">
        <v>0</v>
      </c>
      <c r="CT227" s="55"/>
      <c r="CU227" s="56"/>
      <c r="CV227" s="611"/>
      <c r="CW227" s="638"/>
      <c r="CX227" s="56">
        <v>0</v>
      </c>
      <c r="CY227" s="55"/>
      <c r="CZ227" s="56"/>
      <c r="DA227" s="611"/>
      <c r="DB227" s="638"/>
      <c r="DC227" s="56">
        <v>0</v>
      </c>
      <c r="DD227" s="55"/>
      <c r="DE227" s="56"/>
      <c r="DF227" s="611"/>
      <c r="DG227" s="638"/>
      <c r="DH227" s="56">
        <v>0</v>
      </c>
      <c r="DI227" s="55"/>
      <c r="DJ227" s="56"/>
      <c r="DK227" s="611"/>
      <c r="DL227" s="638"/>
      <c r="DM227" s="56">
        <v>0</v>
      </c>
      <c r="DN227" s="55"/>
      <c r="DO227" s="56"/>
      <c r="DP227" s="611"/>
      <c r="DQ227" s="638"/>
      <c r="DR227" s="56">
        <v>0</v>
      </c>
      <c r="DS227" s="55"/>
      <c r="DT227" s="56"/>
      <c r="DU227" s="611"/>
      <c r="DV227" s="638"/>
      <c r="DW227" s="56">
        <v>0</v>
      </c>
      <c r="DX227" s="55"/>
      <c r="DY227" s="56"/>
      <c r="DZ227" s="611"/>
      <c r="EA227" s="638"/>
      <c r="EB227" s="56">
        <v>0</v>
      </c>
      <c r="EC227" s="55"/>
      <c r="ED227" s="56"/>
      <c r="EE227" s="611"/>
      <c r="EF227" s="638"/>
      <c r="EG227" s="56">
        <v>0</v>
      </c>
      <c r="EH227" s="55"/>
      <c r="EI227" s="56"/>
      <c r="EJ227" s="611"/>
      <c r="EK227" s="638"/>
      <c r="EL227" s="56">
        <f>SUM(CD227:EG227)</f>
        <v>0</v>
      </c>
      <c r="EM227" s="55"/>
      <c r="EN227" s="56"/>
      <c r="EO227" s="144"/>
      <c r="ER227" s="42"/>
      <c r="ES227" s="42"/>
    </row>
    <row r="228" spans="4:149" ht="12.75" hidden="1" customHeight="1" x14ac:dyDescent="0.3">
      <c r="D228" s="144" t="s">
        <v>340</v>
      </c>
      <c r="E228" s="635"/>
      <c r="F228" s="513"/>
      <c r="G228" s="117">
        <v>0</v>
      </c>
      <c r="H228" s="116"/>
      <c r="I228" s="56"/>
      <c r="J228" s="611"/>
      <c r="K228" s="513"/>
      <c r="L228" s="117">
        <v>0</v>
      </c>
      <c r="M228" s="116"/>
      <c r="N228" s="56"/>
      <c r="O228" s="611"/>
      <c r="P228" s="513"/>
      <c r="Q228" s="117">
        <v>0</v>
      </c>
      <c r="R228" s="116"/>
      <c r="S228" s="56"/>
      <c r="T228" s="611"/>
      <c r="U228" s="513"/>
      <c r="V228" s="117">
        <v>0</v>
      </c>
      <c r="W228" s="116"/>
      <c r="X228" s="56"/>
      <c r="Y228" s="611"/>
      <c r="Z228" s="513"/>
      <c r="AA228" s="117">
        <v>0</v>
      </c>
      <c r="AB228" s="116"/>
      <c r="AC228" s="56"/>
      <c r="AD228" s="611"/>
      <c r="AE228" s="513"/>
      <c r="AF228" s="117">
        <v>0</v>
      </c>
      <c r="AG228" s="116"/>
      <c r="AH228" s="56"/>
      <c r="AI228" s="611"/>
      <c r="AJ228" s="513"/>
      <c r="AK228" s="117">
        <v>0</v>
      </c>
      <c r="AL228" s="116"/>
      <c r="AM228" s="56"/>
      <c r="AN228" s="611"/>
      <c r="AO228" s="513"/>
      <c r="AP228" s="117">
        <v>0</v>
      </c>
      <c r="AQ228" s="116"/>
      <c r="AR228" s="56"/>
      <c r="AS228" s="611"/>
      <c r="AT228" s="620"/>
      <c r="AU228" s="117">
        <v>0</v>
      </c>
      <c r="AV228" s="116"/>
      <c r="AW228" s="56"/>
      <c r="AX228" s="611"/>
      <c r="AY228" s="620"/>
      <c r="AZ228" s="117">
        <v>0</v>
      </c>
      <c r="BA228" s="116"/>
      <c r="BB228" s="56"/>
      <c r="BC228" s="611"/>
      <c r="BD228" s="620"/>
      <c r="BE228" s="117">
        <v>0</v>
      </c>
      <c r="BF228" s="116"/>
      <c r="BG228" s="56"/>
      <c r="BH228" s="611"/>
      <c r="BI228" s="620"/>
      <c r="BJ228" s="117">
        <v>0</v>
      </c>
      <c r="BK228" s="116"/>
      <c r="BL228" s="56"/>
      <c r="BM228" s="611"/>
      <c r="BN228" s="620"/>
      <c r="BO228" s="117">
        <v>0</v>
      </c>
      <c r="BP228" s="116"/>
      <c r="BQ228" s="56"/>
      <c r="BR228" s="611"/>
      <c r="BS228" s="620"/>
      <c r="BT228" s="117">
        <f>SUM(L228:BO228)</f>
        <v>0</v>
      </c>
      <c r="BU228" s="116"/>
      <c r="BV228" s="56"/>
      <c r="BW228" s="611"/>
      <c r="BX228" s="620"/>
      <c r="BY228" s="117">
        <v>0</v>
      </c>
      <c r="BZ228" s="116"/>
      <c r="CA228" s="56"/>
      <c r="CB228" s="611"/>
      <c r="CC228" s="513"/>
      <c r="CD228" s="117">
        <v>0</v>
      </c>
      <c r="CE228" s="116"/>
      <c r="CF228" s="56"/>
      <c r="CG228" s="611"/>
      <c r="CH228" s="513"/>
      <c r="CI228" s="117">
        <v>0</v>
      </c>
      <c r="CJ228" s="116"/>
      <c r="CK228" s="56"/>
      <c r="CL228" s="611"/>
      <c r="CM228" s="513"/>
      <c r="CN228" s="117">
        <v>0</v>
      </c>
      <c r="CO228" s="116"/>
      <c r="CP228" s="56"/>
      <c r="CQ228" s="611"/>
      <c r="CR228" s="513"/>
      <c r="CS228" s="117">
        <v>0</v>
      </c>
      <c r="CT228" s="116"/>
      <c r="CU228" s="56"/>
      <c r="CV228" s="611"/>
      <c r="CW228" s="513"/>
      <c r="CX228" s="117">
        <v>0</v>
      </c>
      <c r="CY228" s="116"/>
      <c r="CZ228" s="56"/>
      <c r="DA228" s="611"/>
      <c r="DB228" s="513"/>
      <c r="DC228" s="117">
        <v>0</v>
      </c>
      <c r="DD228" s="116"/>
      <c r="DE228" s="56"/>
      <c r="DF228" s="611"/>
      <c r="DG228" s="513"/>
      <c r="DH228" s="117">
        <v>0</v>
      </c>
      <c r="DI228" s="116"/>
      <c r="DJ228" s="56"/>
      <c r="DK228" s="611"/>
      <c r="DL228" s="620"/>
      <c r="DM228" s="117">
        <v>0</v>
      </c>
      <c r="DN228" s="116"/>
      <c r="DO228" s="56"/>
      <c r="DP228" s="611"/>
      <c r="DQ228" s="620"/>
      <c r="DR228" s="117">
        <v>0</v>
      </c>
      <c r="DS228" s="116"/>
      <c r="DT228" s="56"/>
      <c r="DU228" s="611"/>
      <c r="DV228" s="620"/>
      <c r="DW228" s="117">
        <v>0</v>
      </c>
      <c r="DX228" s="116"/>
      <c r="DY228" s="56"/>
      <c r="DZ228" s="611"/>
      <c r="EA228" s="620"/>
      <c r="EB228" s="117">
        <v>0</v>
      </c>
      <c r="EC228" s="116"/>
      <c r="ED228" s="56"/>
      <c r="EE228" s="611"/>
      <c r="EF228" s="620"/>
      <c r="EG228" s="117">
        <v>0</v>
      </c>
      <c r="EH228" s="116"/>
      <c r="EI228" s="56"/>
      <c r="EJ228" s="611"/>
      <c r="EK228" s="620"/>
      <c r="EL228" s="117">
        <f>SUM(CD228:EG228)</f>
        <v>0</v>
      </c>
      <c r="EM228" s="116"/>
      <c r="EN228" s="56"/>
      <c r="EO228" s="144"/>
      <c r="ER228" s="42"/>
      <c r="ES228" s="42"/>
    </row>
    <row r="229" spans="4:149" ht="12.75" hidden="1" customHeight="1" x14ac:dyDescent="0.3">
      <c r="D229" s="144"/>
      <c r="E229" s="635"/>
      <c r="F229" s="272"/>
      <c r="G229" s="56"/>
      <c r="H229" s="56"/>
      <c r="I229" s="56"/>
      <c r="J229" s="611"/>
      <c r="K229" s="272"/>
      <c r="L229" s="56"/>
      <c r="M229" s="56"/>
      <c r="N229" s="56"/>
      <c r="O229" s="611"/>
      <c r="P229" s="272"/>
      <c r="Q229" s="56"/>
      <c r="R229" s="56"/>
      <c r="S229" s="56"/>
      <c r="T229" s="611"/>
      <c r="U229" s="272"/>
      <c r="V229" s="56"/>
      <c r="W229" s="56"/>
      <c r="X229" s="56"/>
      <c r="Y229" s="611"/>
      <c r="Z229" s="272"/>
      <c r="AA229" s="56"/>
      <c r="AB229" s="56"/>
      <c r="AC229" s="56"/>
      <c r="AD229" s="611"/>
      <c r="AE229" s="272"/>
      <c r="AF229" s="56"/>
      <c r="AG229" s="56"/>
      <c r="AH229" s="56"/>
      <c r="AI229" s="611"/>
      <c r="AJ229" s="272"/>
      <c r="AK229" s="56"/>
      <c r="AL229" s="56"/>
      <c r="AM229" s="56"/>
      <c r="AN229" s="611"/>
      <c r="AO229" s="272"/>
      <c r="AP229" s="56"/>
      <c r="AQ229" s="56"/>
      <c r="AR229" s="56"/>
      <c r="AS229" s="611"/>
      <c r="AT229" s="272"/>
      <c r="AU229" s="56"/>
      <c r="AV229" s="56"/>
      <c r="AW229" s="56"/>
      <c r="AX229" s="611"/>
      <c r="AY229" s="272"/>
      <c r="AZ229" s="56"/>
      <c r="BA229" s="56"/>
      <c r="BB229" s="56"/>
      <c r="BC229" s="611"/>
      <c r="BD229" s="272"/>
      <c r="BE229" s="56"/>
      <c r="BF229" s="56"/>
      <c r="BG229" s="56"/>
      <c r="BH229" s="611"/>
      <c r="BI229" s="272"/>
      <c r="BJ229" s="56"/>
      <c r="BK229" s="56"/>
      <c r="BL229" s="56"/>
      <c r="BM229" s="611"/>
      <c r="BN229" s="272"/>
      <c r="BO229" s="56"/>
      <c r="BP229" s="56"/>
      <c r="BQ229" s="56"/>
      <c r="BR229" s="611"/>
      <c r="BS229" s="272"/>
      <c r="BT229" s="56"/>
      <c r="BU229" s="56"/>
      <c r="BV229" s="56"/>
      <c r="BW229" s="611"/>
      <c r="BX229" s="272"/>
      <c r="BY229" s="56"/>
      <c r="BZ229" s="56"/>
      <c r="CA229" s="56"/>
      <c r="CB229" s="611"/>
      <c r="CC229" s="272"/>
      <c r="CD229" s="56"/>
      <c r="CE229" s="56"/>
      <c r="CF229" s="56"/>
      <c r="CG229" s="611"/>
      <c r="CH229" s="272"/>
      <c r="CI229" s="56"/>
      <c r="CJ229" s="56"/>
      <c r="CK229" s="56"/>
      <c r="CL229" s="611"/>
      <c r="CM229" s="272"/>
      <c r="CN229" s="56"/>
      <c r="CO229" s="56"/>
      <c r="CP229" s="56"/>
      <c r="CQ229" s="611"/>
      <c r="CR229" s="272"/>
      <c r="CS229" s="56"/>
      <c r="CT229" s="56"/>
      <c r="CU229" s="56"/>
      <c r="CV229" s="611"/>
      <c r="CW229" s="272"/>
      <c r="CX229" s="56"/>
      <c r="CY229" s="56"/>
      <c r="CZ229" s="56"/>
      <c r="DA229" s="611"/>
      <c r="DB229" s="272"/>
      <c r="DC229" s="56"/>
      <c r="DD229" s="56"/>
      <c r="DE229" s="56"/>
      <c r="DF229" s="611"/>
      <c r="DG229" s="272"/>
      <c r="DH229" s="56"/>
      <c r="DI229" s="56"/>
      <c r="DJ229" s="56"/>
      <c r="DK229" s="611"/>
      <c r="DL229" s="272"/>
      <c r="DM229" s="56"/>
      <c r="DN229" s="56"/>
      <c r="DO229" s="56"/>
      <c r="DP229" s="611"/>
      <c r="DQ229" s="272"/>
      <c r="DR229" s="56"/>
      <c r="DS229" s="56"/>
      <c r="DT229" s="56"/>
      <c r="DU229" s="611"/>
      <c r="DV229" s="272"/>
      <c r="DW229" s="56"/>
      <c r="DX229" s="56"/>
      <c r="DY229" s="56"/>
      <c r="DZ229" s="611"/>
      <c r="EA229" s="272"/>
      <c r="EB229" s="56"/>
      <c r="EC229" s="56"/>
      <c r="ED229" s="56"/>
      <c r="EE229" s="611"/>
      <c r="EF229" s="272"/>
      <c r="EG229" s="56"/>
      <c r="EH229" s="56"/>
      <c r="EI229" s="56"/>
      <c r="EJ229" s="611"/>
      <c r="EK229" s="272"/>
      <c r="EL229" s="56"/>
      <c r="EM229" s="56"/>
      <c r="EN229" s="56"/>
      <c r="EO229" s="144"/>
      <c r="ER229" s="42"/>
      <c r="ES229" s="42"/>
    </row>
    <row r="230" spans="4:149" ht="12.75" hidden="1" customHeight="1" x14ac:dyDescent="0.3">
      <c r="D230" s="144" t="s">
        <v>348</v>
      </c>
      <c r="E230" s="635"/>
      <c r="F230" s="272"/>
      <c r="G230" s="56">
        <f>SUM(G231:G234)</f>
        <v>0</v>
      </c>
      <c r="H230" s="56"/>
      <c r="I230" s="56"/>
      <c r="J230" s="611"/>
      <c r="K230" s="272"/>
      <c r="L230" s="56">
        <f>SUM(L231:L234)</f>
        <v>0</v>
      </c>
      <c r="M230" s="56"/>
      <c r="N230" s="56"/>
      <c r="O230" s="611"/>
      <c r="P230" s="272"/>
      <c r="Q230" s="56">
        <f>SUM(Q231:Q234)</f>
        <v>0</v>
      </c>
      <c r="R230" s="56"/>
      <c r="S230" s="56"/>
      <c r="T230" s="611"/>
      <c r="U230" s="272"/>
      <c r="V230" s="56">
        <f>SUM(V231:V234)</f>
        <v>0</v>
      </c>
      <c r="W230" s="56"/>
      <c r="X230" s="56"/>
      <c r="Y230" s="611"/>
      <c r="Z230" s="272"/>
      <c r="AA230" s="56">
        <f>SUM(AA231:AA234)</f>
        <v>0</v>
      </c>
      <c r="AB230" s="56"/>
      <c r="AC230" s="56"/>
      <c r="AD230" s="611"/>
      <c r="AE230" s="272"/>
      <c r="AF230" s="56">
        <f>SUM(AF231:AF234)</f>
        <v>0</v>
      </c>
      <c r="AG230" s="56"/>
      <c r="AH230" s="56"/>
      <c r="AI230" s="611"/>
      <c r="AJ230" s="272"/>
      <c r="AK230" s="56">
        <f>SUM(AK231:AK234)</f>
        <v>0</v>
      </c>
      <c r="AL230" s="56"/>
      <c r="AM230" s="56"/>
      <c r="AN230" s="611"/>
      <c r="AO230" s="272"/>
      <c r="AP230" s="56">
        <f>SUM(AP231:AP234)</f>
        <v>0</v>
      </c>
      <c r="AQ230" s="56"/>
      <c r="AR230" s="56"/>
      <c r="AS230" s="611"/>
      <c r="AT230" s="272"/>
      <c r="AU230" s="56">
        <f>SUM(AU231:AU234)</f>
        <v>0</v>
      </c>
      <c r="AV230" s="56"/>
      <c r="AW230" s="56"/>
      <c r="AX230" s="611"/>
      <c r="AY230" s="272"/>
      <c r="AZ230" s="56">
        <f>SUM(AZ231:AZ234)</f>
        <v>0</v>
      </c>
      <c r="BA230" s="56"/>
      <c r="BB230" s="56"/>
      <c r="BC230" s="611"/>
      <c r="BD230" s="272"/>
      <c r="BE230" s="56">
        <f>SUM(BE231:BE234)</f>
        <v>0</v>
      </c>
      <c r="BF230" s="56"/>
      <c r="BG230" s="56"/>
      <c r="BH230" s="611"/>
      <c r="BI230" s="272"/>
      <c r="BJ230" s="56">
        <f>SUM(BJ231:BJ234)</f>
        <v>0</v>
      </c>
      <c r="BK230" s="56"/>
      <c r="BL230" s="56"/>
      <c r="BM230" s="611"/>
      <c r="BN230" s="272"/>
      <c r="BO230" s="56">
        <f>SUM(BO231:BO234)</f>
        <v>0</v>
      </c>
      <c r="BP230" s="56"/>
      <c r="BQ230" s="56"/>
      <c r="BR230" s="611"/>
      <c r="BS230" s="272"/>
      <c r="BT230" s="56">
        <f>SUM(BT231:BT234)</f>
        <v>0</v>
      </c>
      <c r="BU230" s="56"/>
      <c r="BV230" s="56"/>
      <c r="BW230" s="611"/>
      <c r="BX230" s="272"/>
      <c r="BY230" s="56">
        <f>SUM(BY231:BY234)</f>
        <v>0</v>
      </c>
      <c r="BZ230" s="56"/>
      <c r="CA230" s="56"/>
      <c r="CB230" s="611"/>
      <c r="CC230" s="272"/>
      <c r="CD230" s="56">
        <f>SUM(CD231:CD234)</f>
        <v>0</v>
      </c>
      <c r="CE230" s="56"/>
      <c r="CF230" s="56"/>
      <c r="CG230" s="611"/>
      <c r="CH230" s="272"/>
      <c r="CI230" s="56">
        <f>SUM(CI231:CI234)</f>
        <v>0</v>
      </c>
      <c r="CJ230" s="56"/>
      <c r="CK230" s="56"/>
      <c r="CL230" s="611"/>
      <c r="CM230" s="272"/>
      <c r="CN230" s="56">
        <f>SUM(CN231:CN234)</f>
        <v>0</v>
      </c>
      <c r="CO230" s="56"/>
      <c r="CP230" s="56"/>
      <c r="CQ230" s="611"/>
      <c r="CR230" s="272"/>
      <c r="CS230" s="56">
        <f>SUM(CS231:CS234)</f>
        <v>0</v>
      </c>
      <c r="CT230" s="56"/>
      <c r="CU230" s="56"/>
      <c r="CV230" s="611"/>
      <c r="CW230" s="272"/>
      <c r="CX230" s="56">
        <f>SUM(CX231:CX234)</f>
        <v>0</v>
      </c>
      <c r="CY230" s="56"/>
      <c r="CZ230" s="56"/>
      <c r="DA230" s="611"/>
      <c r="DB230" s="272"/>
      <c r="DC230" s="56">
        <f>SUM(DC231:DC234)</f>
        <v>0</v>
      </c>
      <c r="DD230" s="56"/>
      <c r="DE230" s="56"/>
      <c r="DF230" s="611"/>
      <c r="DG230" s="272"/>
      <c r="DH230" s="56">
        <f>SUM(DH231:DH234)</f>
        <v>0</v>
      </c>
      <c r="DI230" s="56"/>
      <c r="DJ230" s="56"/>
      <c r="DK230" s="611"/>
      <c r="DL230" s="272"/>
      <c r="DM230" s="56">
        <f>SUM(DM231:DM234)</f>
        <v>0</v>
      </c>
      <c r="DN230" s="56"/>
      <c r="DO230" s="56"/>
      <c r="DP230" s="611"/>
      <c r="DQ230" s="272"/>
      <c r="DR230" s="56">
        <f>SUM(DR231:DR234)</f>
        <v>0</v>
      </c>
      <c r="DS230" s="56"/>
      <c r="DT230" s="56"/>
      <c r="DU230" s="611"/>
      <c r="DV230" s="272"/>
      <c r="DW230" s="56">
        <f>SUM(DW231:DW234)</f>
        <v>0</v>
      </c>
      <c r="DX230" s="56"/>
      <c r="DY230" s="56"/>
      <c r="DZ230" s="611"/>
      <c r="EA230" s="272"/>
      <c r="EB230" s="56">
        <f>SUM(EB231:EB234)</f>
        <v>0</v>
      </c>
      <c r="EC230" s="56"/>
      <c r="ED230" s="56"/>
      <c r="EE230" s="611"/>
      <c r="EF230" s="272"/>
      <c r="EG230" s="56">
        <f>SUM(EG231:EG234)</f>
        <v>0</v>
      </c>
      <c r="EH230" s="56"/>
      <c r="EI230" s="56"/>
      <c r="EJ230" s="611"/>
      <c r="EK230" s="272"/>
      <c r="EL230" s="56">
        <f>SUM(EL231:EL234)</f>
        <v>0</v>
      </c>
      <c r="EM230" s="56"/>
      <c r="EN230" s="56"/>
      <c r="EO230" s="144"/>
      <c r="ER230" s="42"/>
      <c r="ES230" s="42"/>
    </row>
    <row r="231" spans="4:149" ht="12.75" hidden="1" customHeight="1" x14ac:dyDescent="0.3">
      <c r="D231" s="144" t="s">
        <v>335</v>
      </c>
      <c r="E231" s="635"/>
      <c r="F231" s="636"/>
      <c r="G231" s="609">
        <v>0</v>
      </c>
      <c r="H231" s="610"/>
      <c r="I231" s="56"/>
      <c r="J231" s="611"/>
      <c r="K231" s="636"/>
      <c r="L231" s="609">
        <v>0</v>
      </c>
      <c r="M231" s="610"/>
      <c r="N231" s="56"/>
      <c r="O231" s="611"/>
      <c r="P231" s="636"/>
      <c r="Q231" s="609">
        <v>0</v>
      </c>
      <c r="R231" s="610"/>
      <c r="S231" s="56"/>
      <c r="T231" s="611"/>
      <c r="U231" s="636"/>
      <c r="V231" s="609">
        <v>0</v>
      </c>
      <c r="W231" s="610"/>
      <c r="X231" s="56"/>
      <c r="Y231" s="611"/>
      <c r="Z231" s="636"/>
      <c r="AA231" s="609">
        <v>0</v>
      </c>
      <c r="AB231" s="610"/>
      <c r="AC231" s="56"/>
      <c r="AD231" s="611"/>
      <c r="AE231" s="636"/>
      <c r="AF231" s="609">
        <v>0</v>
      </c>
      <c r="AG231" s="610"/>
      <c r="AH231" s="56"/>
      <c r="AI231" s="611"/>
      <c r="AJ231" s="636"/>
      <c r="AK231" s="609">
        <v>0</v>
      </c>
      <c r="AL231" s="610"/>
      <c r="AM231" s="56"/>
      <c r="AN231" s="611"/>
      <c r="AO231" s="636"/>
      <c r="AP231" s="609">
        <v>0</v>
      </c>
      <c r="AQ231" s="610"/>
      <c r="AR231" s="56"/>
      <c r="AS231" s="611"/>
      <c r="AT231" s="636"/>
      <c r="AU231" s="609">
        <v>0</v>
      </c>
      <c r="AV231" s="610"/>
      <c r="AW231" s="56"/>
      <c r="AX231" s="611"/>
      <c r="AY231" s="636"/>
      <c r="AZ231" s="609">
        <v>0</v>
      </c>
      <c r="BA231" s="610"/>
      <c r="BB231" s="56"/>
      <c r="BC231" s="611"/>
      <c r="BD231" s="636"/>
      <c r="BE231" s="609">
        <v>0</v>
      </c>
      <c r="BF231" s="610"/>
      <c r="BG231" s="56"/>
      <c r="BH231" s="611"/>
      <c r="BI231" s="636"/>
      <c r="BJ231" s="609">
        <v>0</v>
      </c>
      <c r="BK231" s="610"/>
      <c r="BL231" s="56"/>
      <c r="BM231" s="611"/>
      <c r="BN231" s="636"/>
      <c r="BO231" s="609">
        <v>0</v>
      </c>
      <c r="BP231" s="610"/>
      <c r="BQ231" s="56"/>
      <c r="BR231" s="611"/>
      <c r="BS231" s="636"/>
      <c r="BT231" s="609">
        <f>SUM(L231:BO231)</f>
        <v>0</v>
      </c>
      <c r="BU231" s="610"/>
      <c r="BV231" s="56"/>
      <c r="BW231" s="611"/>
      <c r="BX231" s="636"/>
      <c r="BY231" s="609">
        <v>0</v>
      </c>
      <c r="BZ231" s="610"/>
      <c r="CA231" s="56"/>
      <c r="CB231" s="611"/>
      <c r="CC231" s="636"/>
      <c r="CD231" s="609">
        <v>0</v>
      </c>
      <c r="CE231" s="610"/>
      <c r="CF231" s="56"/>
      <c r="CG231" s="611"/>
      <c r="CH231" s="636"/>
      <c r="CI231" s="609">
        <v>0</v>
      </c>
      <c r="CJ231" s="610"/>
      <c r="CK231" s="56"/>
      <c r="CL231" s="611"/>
      <c r="CM231" s="636"/>
      <c r="CN231" s="609">
        <v>0</v>
      </c>
      <c r="CO231" s="610"/>
      <c r="CP231" s="56"/>
      <c r="CQ231" s="611"/>
      <c r="CR231" s="636"/>
      <c r="CS231" s="609">
        <v>0</v>
      </c>
      <c r="CT231" s="610"/>
      <c r="CU231" s="56"/>
      <c r="CV231" s="611"/>
      <c r="CW231" s="636"/>
      <c r="CX231" s="609">
        <v>0</v>
      </c>
      <c r="CY231" s="610"/>
      <c r="CZ231" s="56"/>
      <c r="DA231" s="611"/>
      <c r="DB231" s="636"/>
      <c r="DC231" s="609">
        <v>0</v>
      </c>
      <c r="DD231" s="610"/>
      <c r="DE231" s="56"/>
      <c r="DF231" s="611"/>
      <c r="DG231" s="636"/>
      <c r="DH231" s="609">
        <v>0</v>
      </c>
      <c r="DI231" s="610"/>
      <c r="DJ231" s="56"/>
      <c r="DK231" s="611"/>
      <c r="DL231" s="636"/>
      <c r="DM231" s="609">
        <v>0</v>
      </c>
      <c r="DN231" s="610"/>
      <c r="DO231" s="56"/>
      <c r="DP231" s="611"/>
      <c r="DQ231" s="636"/>
      <c r="DR231" s="609">
        <v>0</v>
      </c>
      <c r="DS231" s="610"/>
      <c r="DT231" s="56"/>
      <c r="DU231" s="611"/>
      <c r="DV231" s="636"/>
      <c r="DW231" s="609">
        <v>0</v>
      </c>
      <c r="DX231" s="610"/>
      <c r="DY231" s="56"/>
      <c r="DZ231" s="611"/>
      <c r="EA231" s="636"/>
      <c r="EB231" s="609">
        <v>0</v>
      </c>
      <c r="EC231" s="610"/>
      <c r="ED231" s="56"/>
      <c r="EE231" s="611"/>
      <c r="EF231" s="636"/>
      <c r="EG231" s="609">
        <v>0</v>
      </c>
      <c r="EH231" s="610"/>
      <c r="EI231" s="56"/>
      <c r="EJ231" s="611"/>
      <c r="EK231" s="636"/>
      <c r="EL231" s="609">
        <f>SUM(CD231:EG231)</f>
        <v>0</v>
      </c>
      <c r="EM231" s="610"/>
      <c r="EN231" s="56"/>
      <c r="EO231" s="144"/>
      <c r="ER231" s="42"/>
      <c r="ES231" s="42"/>
    </row>
    <row r="232" spans="4:149" ht="12.75" hidden="1" customHeight="1" x14ac:dyDescent="0.3">
      <c r="D232" s="144" t="s">
        <v>338</v>
      </c>
      <c r="E232" s="635"/>
      <c r="F232" s="638"/>
      <c r="G232" s="56">
        <v>0</v>
      </c>
      <c r="H232" s="55"/>
      <c r="I232" s="56"/>
      <c r="J232" s="611"/>
      <c r="K232" s="638"/>
      <c r="L232" s="56">
        <v>0</v>
      </c>
      <c r="M232" s="55"/>
      <c r="N232" s="56"/>
      <c r="O232" s="611"/>
      <c r="P232" s="638"/>
      <c r="Q232" s="56">
        <v>0</v>
      </c>
      <c r="R232" s="55"/>
      <c r="S232" s="56"/>
      <c r="T232" s="611"/>
      <c r="U232" s="638"/>
      <c r="V232" s="56">
        <v>0</v>
      </c>
      <c r="W232" s="55"/>
      <c r="X232" s="56"/>
      <c r="Y232" s="611"/>
      <c r="Z232" s="638"/>
      <c r="AA232" s="56">
        <v>0</v>
      </c>
      <c r="AB232" s="55"/>
      <c r="AC232" s="56"/>
      <c r="AD232" s="611"/>
      <c r="AE232" s="638"/>
      <c r="AF232" s="56">
        <v>0</v>
      </c>
      <c r="AG232" s="55"/>
      <c r="AH232" s="56"/>
      <c r="AI232" s="611"/>
      <c r="AJ232" s="638"/>
      <c r="AK232" s="56">
        <v>0</v>
      </c>
      <c r="AL232" s="55"/>
      <c r="AM232" s="56"/>
      <c r="AN232" s="611"/>
      <c r="AO232" s="638"/>
      <c r="AP232" s="56">
        <v>0</v>
      </c>
      <c r="AQ232" s="55"/>
      <c r="AR232" s="56"/>
      <c r="AS232" s="611"/>
      <c r="AT232" s="638"/>
      <c r="AU232" s="56">
        <v>0</v>
      </c>
      <c r="AV232" s="55"/>
      <c r="AW232" s="56"/>
      <c r="AX232" s="611"/>
      <c r="AY232" s="638"/>
      <c r="AZ232" s="56">
        <v>0</v>
      </c>
      <c r="BA232" s="55"/>
      <c r="BB232" s="56"/>
      <c r="BC232" s="611"/>
      <c r="BD232" s="638"/>
      <c r="BE232" s="56">
        <v>0</v>
      </c>
      <c r="BF232" s="55"/>
      <c r="BG232" s="56"/>
      <c r="BH232" s="611"/>
      <c r="BI232" s="638"/>
      <c r="BJ232" s="56">
        <v>0</v>
      </c>
      <c r="BK232" s="55"/>
      <c r="BL232" s="56"/>
      <c r="BM232" s="611"/>
      <c r="BN232" s="638"/>
      <c r="BO232" s="56">
        <v>0</v>
      </c>
      <c r="BP232" s="55"/>
      <c r="BQ232" s="56"/>
      <c r="BR232" s="611"/>
      <c r="BS232" s="638"/>
      <c r="BT232" s="56">
        <f>SUM(L232:BO232)</f>
        <v>0</v>
      </c>
      <c r="BU232" s="55"/>
      <c r="BV232" s="56"/>
      <c r="BW232" s="611"/>
      <c r="BX232" s="638"/>
      <c r="BY232" s="56">
        <v>0</v>
      </c>
      <c r="BZ232" s="55"/>
      <c r="CA232" s="56"/>
      <c r="CB232" s="611"/>
      <c r="CC232" s="638"/>
      <c r="CD232" s="56">
        <v>0</v>
      </c>
      <c r="CE232" s="55"/>
      <c r="CF232" s="56"/>
      <c r="CG232" s="611"/>
      <c r="CH232" s="638"/>
      <c r="CI232" s="56">
        <v>0</v>
      </c>
      <c r="CJ232" s="55"/>
      <c r="CK232" s="56"/>
      <c r="CL232" s="611"/>
      <c r="CM232" s="638"/>
      <c r="CN232" s="56">
        <v>0</v>
      </c>
      <c r="CO232" s="55"/>
      <c r="CP232" s="56"/>
      <c r="CQ232" s="611"/>
      <c r="CR232" s="638"/>
      <c r="CS232" s="56">
        <v>0</v>
      </c>
      <c r="CT232" s="55"/>
      <c r="CU232" s="56"/>
      <c r="CV232" s="611"/>
      <c r="CW232" s="638"/>
      <c r="CX232" s="56">
        <v>0</v>
      </c>
      <c r="CY232" s="55"/>
      <c r="CZ232" s="56"/>
      <c r="DA232" s="611"/>
      <c r="DB232" s="638"/>
      <c r="DC232" s="56">
        <v>0</v>
      </c>
      <c r="DD232" s="55"/>
      <c r="DE232" s="56"/>
      <c r="DF232" s="611"/>
      <c r="DG232" s="638"/>
      <c r="DH232" s="56">
        <v>0</v>
      </c>
      <c r="DI232" s="55"/>
      <c r="DJ232" s="56"/>
      <c r="DK232" s="611"/>
      <c r="DL232" s="638"/>
      <c r="DM232" s="56">
        <v>0</v>
      </c>
      <c r="DN232" s="55"/>
      <c r="DO232" s="56"/>
      <c r="DP232" s="611"/>
      <c r="DQ232" s="638"/>
      <c r="DR232" s="56">
        <v>0</v>
      </c>
      <c r="DS232" s="55"/>
      <c r="DT232" s="56"/>
      <c r="DU232" s="611"/>
      <c r="DV232" s="638"/>
      <c r="DW232" s="56">
        <v>0</v>
      </c>
      <c r="DX232" s="55"/>
      <c r="DY232" s="56"/>
      <c r="DZ232" s="611"/>
      <c r="EA232" s="638"/>
      <c r="EB232" s="56">
        <v>0</v>
      </c>
      <c r="EC232" s="55"/>
      <c r="ED232" s="56"/>
      <c r="EE232" s="611"/>
      <c r="EF232" s="638"/>
      <c r="EG232" s="56">
        <v>0</v>
      </c>
      <c r="EH232" s="55"/>
      <c r="EI232" s="56"/>
      <c r="EJ232" s="611"/>
      <c r="EK232" s="638"/>
      <c r="EL232" s="56">
        <f>SUM(CD232:EG232)</f>
        <v>0</v>
      </c>
      <c r="EM232" s="55"/>
      <c r="EN232" s="56"/>
      <c r="EO232" s="144"/>
      <c r="ER232" s="42"/>
      <c r="ES232" s="42"/>
    </row>
    <row r="233" spans="4:149" ht="12.75" hidden="1" customHeight="1" x14ac:dyDescent="0.3">
      <c r="D233" s="144" t="s">
        <v>339</v>
      </c>
      <c r="E233" s="635"/>
      <c r="F233" s="638"/>
      <c r="G233" s="56"/>
      <c r="H233" s="55"/>
      <c r="I233" s="56"/>
      <c r="J233" s="611"/>
      <c r="K233" s="638"/>
      <c r="L233" s="56"/>
      <c r="M233" s="55"/>
      <c r="N233" s="56"/>
      <c r="O233" s="611"/>
      <c r="P233" s="638"/>
      <c r="Q233" s="56"/>
      <c r="R233" s="55"/>
      <c r="S233" s="56"/>
      <c r="T233" s="611"/>
      <c r="U233" s="638"/>
      <c r="V233" s="56"/>
      <c r="W233" s="55"/>
      <c r="X233" s="56"/>
      <c r="Y233" s="611"/>
      <c r="Z233" s="638"/>
      <c r="AA233" s="56"/>
      <c r="AB233" s="55"/>
      <c r="AC233" s="56"/>
      <c r="AD233" s="611"/>
      <c r="AE233" s="638"/>
      <c r="AF233" s="56"/>
      <c r="AG233" s="55"/>
      <c r="AH233" s="56"/>
      <c r="AI233" s="611"/>
      <c r="AJ233" s="638"/>
      <c r="AK233" s="56"/>
      <c r="AL233" s="55"/>
      <c r="AM233" s="56"/>
      <c r="AN233" s="611"/>
      <c r="AO233" s="638"/>
      <c r="AP233" s="56"/>
      <c r="AQ233" s="55"/>
      <c r="AR233" s="56"/>
      <c r="AS233" s="611"/>
      <c r="AT233" s="638"/>
      <c r="AU233" s="56"/>
      <c r="AV233" s="55"/>
      <c r="AW233" s="56"/>
      <c r="AX233" s="611"/>
      <c r="AY233" s="638"/>
      <c r="AZ233" s="56"/>
      <c r="BA233" s="55"/>
      <c r="BB233" s="56"/>
      <c r="BC233" s="611"/>
      <c r="BD233" s="638"/>
      <c r="BE233" s="56"/>
      <c r="BF233" s="55"/>
      <c r="BG233" s="56"/>
      <c r="BH233" s="611"/>
      <c r="BI233" s="638"/>
      <c r="BJ233" s="56"/>
      <c r="BK233" s="55"/>
      <c r="BL233" s="56"/>
      <c r="BM233" s="611"/>
      <c r="BN233" s="638"/>
      <c r="BO233" s="56"/>
      <c r="BP233" s="55"/>
      <c r="BQ233" s="56"/>
      <c r="BR233" s="611"/>
      <c r="BS233" s="638"/>
      <c r="BT233" s="56">
        <f>SUM(L233:BO233)</f>
        <v>0</v>
      </c>
      <c r="BU233" s="55"/>
      <c r="BV233" s="56"/>
      <c r="BW233" s="611"/>
      <c r="BX233" s="638"/>
      <c r="BY233" s="56"/>
      <c r="BZ233" s="55"/>
      <c r="CA233" s="56"/>
      <c r="CB233" s="611"/>
      <c r="CC233" s="638"/>
      <c r="CD233" s="56"/>
      <c r="CE233" s="55"/>
      <c r="CF233" s="56"/>
      <c r="CG233" s="611"/>
      <c r="CH233" s="638"/>
      <c r="CI233" s="56"/>
      <c r="CJ233" s="55"/>
      <c r="CK233" s="56"/>
      <c r="CL233" s="611"/>
      <c r="CM233" s="638"/>
      <c r="CN233" s="56"/>
      <c r="CO233" s="55"/>
      <c r="CP233" s="56"/>
      <c r="CQ233" s="611"/>
      <c r="CR233" s="638"/>
      <c r="CS233" s="56"/>
      <c r="CT233" s="55"/>
      <c r="CU233" s="56"/>
      <c r="CV233" s="611"/>
      <c r="CW233" s="638"/>
      <c r="CX233" s="56"/>
      <c r="CY233" s="55"/>
      <c r="CZ233" s="56"/>
      <c r="DA233" s="611"/>
      <c r="DB233" s="638"/>
      <c r="DC233" s="56"/>
      <c r="DD233" s="55"/>
      <c r="DE233" s="56"/>
      <c r="DF233" s="611"/>
      <c r="DG233" s="638"/>
      <c r="DH233" s="56"/>
      <c r="DI233" s="55"/>
      <c r="DJ233" s="56"/>
      <c r="DK233" s="611"/>
      <c r="DL233" s="638"/>
      <c r="DM233" s="56"/>
      <c r="DN233" s="55"/>
      <c r="DO233" s="56"/>
      <c r="DP233" s="611"/>
      <c r="DQ233" s="638"/>
      <c r="DR233" s="56"/>
      <c r="DS233" s="55"/>
      <c r="DT233" s="56"/>
      <c r="DU233" s="611"/>
      <c r="DV233" s="638"/>
      <c r="DW233" s="56"/>
      <c r="DX233" s="55"/>
      <c r="DY233" s="56"/>
      <c r="DZ233" s="611"/>
      <c r="EA233" s="638"/>
      <c r="EB233" s="56"/>
      <c r="EC233" s="55"/>
      <c r="ED233" s="56"/>
      <c r="EE233" s="611"/>
      <c r="EF233" s="638"/>
      <c r="EG233" s="56"/>
      <c r="EH233" s="55"/>
      <c r="EI233" s="56"/>
      <c r="EJ233" s="611"/>
      <c r="EK233" s="638"/>
      <c r="EL233" s="56">
        <f>SUM(CD233:EG233)</f>
        <v>0</v>
      </c>
      <c r="EM233" s="55"/>
      <c r="EN233" s="56"/>
      <c r="EO233" s="144"/>
      <c r="ER233" s="42"/>
      <c r="ES233" s="42"/>
    </row>
    <row r="234" spans="4:149" ht="12.75" hidden="1" customHeight="1" x14ac:dyDescent="0.3">
      <c r="D234" s="144" t="s">
        <v>340</v>
      </c>
      <c r="E234" s="635"/>
      <c r="F234" s="513"/>
      <c r="G234" s="117">
        <v>0</v>
      </c>
      <c r="H234" s="116"/>
      <c r="I234" s="56"/>
      <c r="J234" s="611"/>
      <c r="K234" s="513"/>
      <c r="L234" s="117">
        <v>0</v>
      </c>
      <c r="M234" s="116"/>
      <c r="N234" s="56"/>
      <c r="O234" s="611"/>
      <c r="P234" s="513"/>
      <c r="Q234" s="117">
        <v>0</v>
      </c>
      <c r="R234" s="116"/>
      <c r="S234" s="56"/>
      <c r="T234" s="611"/>
      <c r="U234" s="513"/>
      <c r="V234" s="117">
        <v>0</v>
      </c>
      <c r="W234" s="116"/>
      <c r="X234" s="56"/>
      <c r="Y234" s="611"/>
      <c r="Z234" s="513"/>
      <c r="AA234" s="117">
        <v>0</v>
      </c>
      <c r="AB234" s="116"/>
      <c r="AC234" s="56"/>
      <c r="AD234" s="611"/>
      <c r="AE234" s="513"/>
      <c r="AF234" s="117">
        <v>0</v>
      </c>
      <c r="AG234" s="116"/>
      <c r="AH234" s="56"/>
      <c r="AI234" s="611"/>
      <c r="AJ234" s="513"/>
      <c r="AK234" s="117">
        <v>0</v>
      </c>
      <c r="AL234" s="116"/>
      <c r="AM234" s="56"/>
      <c r="AN234" s="611"/>
      <c r="AO234" s="513"/>
      <c r="AP234" s="117">
        <v>0</v>
      </c>
      <c r="AQ234" s="116"/>
      <c r="AR234" s="56"/>
      <c r="AS234" s="611"/>
      <c r="AT234" s="620"/>
      <c r="AU234" s="117">
        <v>0</v>
      </c>
      <c r="AV234" s="116"/>
      <c r="AW234" s="56"/>
      <c r="AX234" s="611"/>
      <c r="AY234" s="620"/>
      <c r="AZ234" s="117">
        <v>0</v>
      </c>
      <c r="BA234" s="116"/>
      <c r="BB234" s="56"/>
      <c r="BC234" s="611"/>
      <c r="BD234" s="620"/>
      <c r="BE234" s="117">
        <v>0</v>
      </c>
      <c r="BF234" s="116"/>
      <c r="BG234" s="56"/>
      <c r="BH234" s="611"/>
      <c r="BI234" s="620"/>
      <c r="BJ234" s="117">
        <v>0</v>
      </c>
      <c r="BK234" s="116"/>
      <c r="BL234" s="56"/>
      <c r="BM234" s="611"/>
      <c r="BN234" s="620"/>
      <c r="BO234" s="117">
        <v>0</v>
      </c>
      <c r="BP234" s="116"/>
      <c r="BQ234" s="56"/>
      <c r="BR234" s="611"/>
      <c r="BS234" s="620"/>
      <c r="BT234" s="117">
        <f>SUM(L234:BO234)</f>
        <v>0</v>
      </c>
      <c r="BU234" s="116"/>
      <c r="BV234" s="56"/>
      <c r="BW234" s="611"/>
      <c r="BX234" s="620"/>
      <c r="BY234" s="117">
        <v>0</v>
      </c>
      <c r="BZ234" s="116"/>
      <c r="CA234" s="56"/>
      <c r="CB234" s="611"/>
      <c r="CC234" s="513"/>
      <c r="CD234" s="117">
        <v>0</v>
      </c>
      <c r="CE234" s="116"/>
      <c r="CF234" s="56"/>
      <c r="CG234" s="611"/>
      <c r="CH234" s="513"/>
      <c r="CI234" s="117">
        <v>0</v>
      </c>
      <c r="CJ234" s="116"/>
      <c r="CK234" s="56"/>
      <c r="CL234" s="611"/>
      <c r="CM234" s="513"/>
      <c r="CN234" s="117">
        <v>0</v>
      </c>
      <c r="CO234" s="116"/>
      <c r="CP234" s="56"/>
      <c r="CQ234" s="611"/>
      <c r="CR234" s="513"/>
      <c r="CS234" s="117">
        <v>0</v>
      </c>
      <c r="CT234" s="116"/>
      <c r="CU234" s="56"/>
      <c r="CV234" s="611"/>
      <c r="CW234" s="513"/>
      <c r="CX234" s="117">
        <v>0</v>
      </c>
      <c r="CY234" s="116"/>
      <c r="CZ234" s="56"/>
      <c r="DA234" s="611"/>
      <c r="DB234" s="513"/>
      <c r="DC234" s="117">
        <v>0</v>
      </c>
      <c r="DD234" s="116"/>
      <c r="DE234" s="56"/>
      <c r="DF234" s="611"/>
      <c r="DG234" s="513"/>
      <c r="DH234" s="117">
        <v>0</v>
      </c>
      <c r="DI234" s="116"/>
      <c r="DJ234" s="56"/>
      <c r="DK234" s="611"/>
      <c r="DL234" s="620"/>
      <c r="DM234" s="117">
        <v>0</v>
      </c>
      <c r="DN234" s="116"/>
      <c r="DO234" s="56"/>
      <c r="DP234" s="611"/>
      <c r="DQ234" s="620"/>
      <c r="DR234" s="117">
        <v>0</v>
      </c>
      <c r="DS234" s="116"/>
      <c r="DT234" s="56"/>
      <c r="DU234" s="611"/>
      <c r="DV234" s="620"/>
      <c r="DW234" s="117">
        <v>0</v>
      </c>
      <c r="DX234" s="116"/>
      <c r="DY234" s="56"/>
      <c r="DZ234" s="611"/>
      <c r="EA234" s="620"/>
      <c r="EB234" s="117">
        <v>0</v>
      </c>
      <c r="EC234" s="116"/>
      <c r="ED234" s="56"/>
      <c r="EE234" s="611"/>
      <c r="EF234" s="620"/>
      <c r="EG234" s="117">
        <v>0</v>
      </c>
      <c r="EH234" s="116"/>
      <c r="EI234" s="56"/>
      <c r="EJ234" s="611"/>
      <c r="EK234" s="620"/>
      <c r="EL234" s="117">
        <f>SUM(CD234:EG234)</f>
        <v>0</v>
      </c>
      <c r="EM234" s="116"/>
      <c r="EN234" s="56"/>
      <c r="EO234" s="144"/>
      <c r="ER234" s="42"/>
      <c r="ES234" s="42"/>
    </row>
    <row r="235" spans="4:149" ht="12.75" hidden="1" customHeight="1" x14ac:dyDescent="0.3">
      <c r="D235" s="144"/>
      <c r="E235" s="635"/>
      <c r="F235" s="272"/>
      <c r="G235" s="56"/>
      <c r="H235" s="56"/>
      <c r="I235" s="56"/>
      <c r="J235" s="611"/>
      <c r="K235" s="272"/>
      <c r="L235" s="56"/>
      <c r="M235" s="56"/>
      <c r="N235" s="56"/>
      <c r="O235" s="611"/>
      <c r="P235" s="272"/>
      <c r="Q235" s="56"/>
      <c r="R235" s="56"/>
      <c r="S235" s="56"/>
      <c r="T235" s="611"/>
      <c r="U235" s="272"/>
      <c r="V235" s="56"/>
      <c r="W235" s="56"/>
      <c r="X235" s="56"/>
      <c r="Y235" s="611"/>
      <c r="Z235" s="272"/>
      <c r="AA235" s="56"/>
      <c r="AB235" s="56"/>
      <c r="AC235" s="56"/>
      <c r="AD235" s="611"/>
      <c r="AE235" s="272"/>
      <c r="AF235" s="56"/>
      <c r="AG235" s="56"/>
      <c r="AH235" s="56"/>
      <c r="AI235" s="611"/>
      <c r="AJ235" s="272"/>
      <c r="AK235" s="56"/>
      <c r="AL235" s="56"/>
      <c r="AM235" s="56"/>
      <c r="AN235" s="611"/>
      <c r="AO235" s="272"/>
      <c r="AP235" s="56"/>
      <c r="AQ235" s="56"/>
      <c r="AR235" s="56"/>
      <c r="AS235" s="611"/>
      <c r="AT235" s="272"/>
      <c r="AU235" s="56"/>
      <c r="AV235" s="56"/>
      <c r="AW235" s="56"/>
      <c r="AX235" s="611"/>
      <c r="AY235" s="272"/>
      <c r="AZ235" s="56"/>
      <c r="BA235" s="56"/>
      <c r="BB235" s="56"/>
      <c r="BC235" s="611"/>
      <c r="BD235" s="272"/>
      <c r="BE235" s="56"/>
      <c r="BF235" s="56"/>
      <c r="BG235" s="56"/>
      <c r="BH235" s="611"/>
      <c r="BI235" s="272"/>
      <c r="BJ235" s="56"/>
      <c r="BK235" s="56"/>
      <c r="BL235" s="56"/>
      <c r="BM235" s="611"/>
      <c r="BN235" s="272"/>
      <c r="BO235" s="56"/>
      <c r="BP235" s="56"/>
      <c r="BQ235" s="56"/>
      <c r="BR235" s="611"/>
      <c r="BS235" s="272"/>
      <c r="BT235" s="56"/>
      <c r="BU235" s="56"/>
      <c r="BV235" s="56"/>
      <c r="BW235" s="611"/>
      <c r="BX235" s="272"/>
      <c r="BY235" s="56"/>
      <c r="BZ235" s="56"/>
      <c r="CA235" s="56"/>
      <c r="CB235" s="611"/>
      <c r="CC235" s="272"/>
      <c r="CD235" s="56"/>
      <c r="CE235" s="56"/>
      <c r="CF235" s="56"/>
      <c r="CG235" s="611"/>
      <c r="CH235" s="272"/>
      <c r="CI235" s="56"/>
      <c r="CJ235" s="56"/>
      <c r="CK235" s="56"/>
      <c r="CL235" s="611"/>
      <c r="CM235" s="272"/>
      <c r="CN235" s="56"/>
      <c r="CO235" s="56"/>
      <c r="CP235" s="56"/>
      <c r="CQ235" s="611"/>
      <c r="CR235" s="272"/>
      <c r="CS235" s="56"/>
      <c r="CT235" s="56"/>
      <c r="CU235" s="56"/>
      <c r="CV235" s="611"/>
      <c r="CW235" s="272"/>
      <c r="CX235" s="56"/>
      <c r="CY235" s="56"/>
      <c r="CZ235" s="56"/>
      <c r="DA235" s="611"/>
      <c r="DB235" s="272"/>
      <c r="DC235" s="56"/>
      <c r="DD235" s="56"/>
      <c r="DE235" s="56"/>
      <c r="DF235" s="611"/>
      <c r="DG235" s="272"/>
      <c r="DH235" s="56"/>
      <c r="DI235" s="56"/>
      <c r="DJ235" s="56"/>
      <c r="DK235" s="611"/>
      <c r="DL235" s="272"/>
      <c r="DM235" s="56"/>
      <c r="DN235" s="56"/>
      <c r="DO235" s="56"/>
      <c r="DP235" s="611"/>
      <c r="DQ235" s="272"/>
      <c r="DR235" s="56"/>
      <c r="DS235" s="56"/>
      <c r="DT235" s="56"/>
      <c r="DU235" s="611"/>
      <c r="DV235" s="272"/>
      <c r="DW235" s="56"/>
      <c r="DX235" s="56"/>
      <c r="DY235" s="56"/>
      <c r="DZ235" s="611"/>
      <c r="EA235" s="272"/>
      <c r="EB235" s="56"/>
      <c r="EC235" s="56"/>
      <c r="ED235" s="56"/>
      <c r="EE235" s="611"/>
      <c r="EF235" s="272"/>
      <c r="EG235" s="56"/>
      <c r="EH235" s="56"/>
      <c r="EI235" s="56"/>
      <c r="EJ235" s="611"/>
      <c r="EK235" s="272"/>
      <c r="EL235" s="56"/>
      <c r="EM235" s="56"/>
      <c r="EN235" s="56"/>
      <c r="EO235" s="144"/>
      <c r="ER235" s="42"/>
      <c r="ES235" s="42"/>
    </row>
    <row r="236" spans="4:149" ht="12.75" hidden="1" customHeight="1" x14ac:dyDescent="0.3">
      <c r="D236" s="144" t="s">
        <v>377</v>
      </c>
      <c r="G236" s="56">
        <f>SUM(G237:G240)</f>
        <v>0</v>
      </c>
      <c r="H236" s="56"/>
      <c r="I236" s="56"/>
      <c r="J236" s="611"/>
      <c r="K236" s="56"/>
      <c r="L236" s="56">
        <f>SUM(L237:L240)</f>
        <v>0</v>
      </c>
      <c r="M236" s="56"/>
      <c r="N236" s="56"/>
      <c r="O236" s="611"/>
      <c r="P236" s="56"/>
      <c r="Q236" s="56">
        <f>SUM(Q237:Q240)</f>
        <v>0</v>
      </c>
      <c r="R236" s="56"/>
      <c r="S236" s="56"/>
      <c r="T236" s="611"/>
      <c r="U236" s="56"/>
      <c r="V236" s="56">
        <f>SUM(V237:V240)</f>
        <v>0</v>
      </c>
      <c r="W236" s="56"/>
      <c r="X236" s="56"/>
      <c r="Y236" s="611"/>
      <c r="Z236" s="56"/>
      <c r="AA236" s="56">
        <f>SUM(AA237:AA240)</f>
        <v>0</v>
      </c>
      <c r="AB236" s="56"/>
      <c r="AC236" s="56"/>
      <c r="AD236" s="611"/>
      <c r="AE236" s="56"/>
      <c r="AF236" s="56">
        <f>SUM(AF237:AF240)</f>
        <v>0</v>
      </c>
      <c r="AG236" s="56"/>
      <c r="AH236" s="56"/>
      <c r="AI236" s="611"/>
      <c r="AJ236" s="56"/>
      <c r="AK236" s="56">
        <f>SUM(AK237:AK240)</f>
        <v>0</v>
      </c>
      <c r="AL236" s="56"/>
      <c r="AM236" s="56"/>
      <c r="AN236" s="611"/>
      <c r="AO236" s="56"/>
      <c r="AP236" s="56">
        <f>SUM(AP237:AP240)</f>
        <v>0</v>
      </c>
      <c r="AQ236" s="56"/>
      <c r="AR236" s="56"/>
      <c r="AS236" s="611"/>
      <c r="AT236" s="56"/>
      <c r="AU236" s="56">
        <f>SUM(AU237:AU240)</f>
        <v>0</v>
      </c>
      <c r="AV236" s="56"/>
      <c r="AW236" s="56"/>
      <c r="AX236" s="611"/>
      <c r="AY236" s="56"/>
      <c r="AZ236" s="56">
        <f>SUM(AZ237:AZ240)</f>
        <v>0</v>
      </c>
      <c r="BA236" s="56"/>
      <c r="BB236" s="56"/>
      <c r="BC236" s="611"/>
      <c r="BD236" s="56"/>
      <c r="BE236" s="56">
        <f>SUM(BE237:BE240)</f>
        <v>0</v>
      </c>
      <c r="BF236" s="56"/>
      <c r="BG236" s="56"/>
      <c r="BH236" s="611"/>
      <c r="BI236" s="56"/>
      <c r="BJ236" s="56">
        <f>SUM(BJ237:BJ240)</f>
        <v>0</v>
      </c>
      <c r="BK236" s="56"/>
      <c r="BL236" s="56"/>
      <c r="BM236" s="611"/>
      <c r="BN236" s="56"/>
      <c r="BO236" s="56">
        <f>SUM(BO237:BO240)</f>
        <v>0</v>
      </c>
      <c r="BP236" s="56"/>
      <c r="BQ236" s="56"/>
      <c r="BR236" s="611"/>
      <c r="BS236" s="56"/>
      <c r="BT236" s="56">
        <f>SUM(BT237:BT240)</f>
        <v>0</v>
      </c>
      <c r="BU236" s="56"/>
      <c r="BV236" s="56"/>
      <c r="BW236" s="611"/>
      <c r="BX236" s="56"/>
      <c r="BY236" s="56">
        <f>SUM(BY237:BY240)</f>
        <v>0</v>
      </c>
      <c r="BZ236" s="56"/>
      <c r="CA236" s="56"/>
      <c r="CB236" s="611"/>
      <c r="CC236" s="56"/>
      <c r="CD236" s="56">
        <f>SUM(CD237:CD240)</f>
        <v>0</v>
      </c>
      <c r="CE236" s="56"/>
      <c r="CF236" s="56"/>
      <c r="CG236" s="611"/>
      <c r="CH236" s="56"/>
      <c r="CI236" s="56">
        <f>SUM(CI237:CI240)</f>
        <v>0</v>
      </c>
      <c r="CJ236" s="56"/>
      <c r="CK236" s="56"/>
      <c r="CL236" s="611"/>
      <c r="CM236" s="56"/>
      <c r="CN236" s="56">
        <f>SUM(CN237:CN240)</f>
        <v>0</v>
      </c>
      <c r="CO236" s="56"/>
      <c r="CP236" s="56"/>
      <c r="CQ236" s="611"/>
      <c r="CR236" s="56"/>
      <c r="CS236" s="56">
        <f>SUM(CS237:CS240)</f>
        <v>0</v>
      </c>
      <c r="CT236" s="56"/>
      <c r="CU236" s="56"/>
      <c r="CV236" s="611"/>
      <c r="CW236" s="56"/>
      <c r="CX236" s="56">
        <f>SUM(CX237:CX240)</f>
        <v>0</v>
      </c>
      <c r="CY236" s="56"/>
      <c r="CZ236" s="56"/>
      <c r="DA236" s="611"/>
      <c r="DB236" s="56"/>
      <c r="DC236" s="56">
        <f>SUM(DC237:DC240)</f>
        <v>0</v>
      </c>
      <c r="DD236" s="56"/>
      <c r="DE236" s="56"/>
      <c r="DF236" s="611"/>
      <c r="DG236" s="56"/>
      <c r="DH236" s="56">
        <f>SUM(DH237:DH240)</f>
        <v>0</v>
      </c>
      <c r="DI236" s="56"/>
      <c r="DJ236" s="56"/>
      <c r="DK236" s="611"/>
      <c r="DL236" s="56"/>
      <c r="DM236" s="56">
        <f>SUM(DM237:DM240)</f>
        <v>0</v>
      </c>
      <c r="DN236" s="56"/>
      <c r="DO236" s="56"/>
      <c r="DP236" s="611"/>
      <c r="DQ236" s="56"/>
      <c r="DR236" s="56">
        <f>SUM(DR237:DR240)</f>
        <v>0</v>
      </c>
      <c r="DS236" s="56"/>
      <c r="DT236" s="56"/>
      <c r="DU236" s="611"/>
      <c r="DV236" s="56"/>
      <c r="DW236" s="56">
        <f>SUM(DW237:DW240)</f>
        <v>0</v>
      </c>
      <c r="DX236" s="56"/>
      <c r="DY236" s="56"/>
      <c r="DZ236" s="611"/>
      <c r="EA236" s="56"/>
      <c r="EB236" s="56">
        <f>SUM(EB237:EB240)</f>
        <v>0</v>
      </c>
      <c r="EC236" s="56"/>
      <c r="ED236" s="56"/>
      <c r="EE236" s="611"/>
      <c r="EF236" s="56"/>
      <c r="EG236" s="56">
        <f>SUM(EG237:EG240)</f>
        <v>0</v>
      </c>
      <c r="EH236" s="56"/>
      <c r="EI236" s="56"/>
      <c r="EJ236" s="611"/>
      <c r="EK236" s="56"/>
      <c r="EL236" s="56">
        <f>SUM(EL237:EL240)</f>
        <v>0</v>
      </c>
      <c r="EM236" s="56"/>
      <c r="EN236" s="56"/>
      <c r="EO236" s="144"/>
      <c r="ER236" s="42"/>
      <c r="ES236" s="42"/>
    </row>
    <row r="237" spans="4:149" ht="12.75" hidden="1" customHeight="1" x14ac:dyDescent="0.3">
      <c r="D237" s="144" t="s">
        <v>335</v>
      </c>
      <c r="F237" s="500"/>
      <c r="G237" s="609">
        <v>0</v>
      </c>
      <c r="H237" s="610"/>
      <c r="I237" s="56"/>
      <c r="J237" s="611"/>
      <c r="K237" s="500"/>
      <c r="L237" s="609">
        <v>0</v>
      </c>
      <c r="M237" s="610"/>
      <c r="N237" s="56"/>
      <c r="O237" s="611"/>
      <c r="P237" s="500"/>
      <c r="Q237" s="609">
        <v>0</v>
      </c>
      <c r="R237" s="610"/>
      <c r="S237" s="56"/>
      <c r="T237" s="611"/>
      <c r="U237" s="500"/>
      <c r="V237" s="609">
        <v>0</v>
      </c>
      <c r="W237" s="610"/>
      <c r="X237" s="56"/>
      <c r="Y237" s="611"/>
      <c r="Z237" s="500"/>
      <c r="AA237" s="609">
        <v>0</v>
      </c>
      <c r="AB237" s="610"/>
      <c r="AC237" s="56"/>
      <c r="AD237" s="611"/>
      <c r="AE237" s="500"/>
      <c r="AF237" s="609">
        <v>0</v>
      </c>
      <c r="AG237" s="610"/>
      <c r="AH237" s="56"/>
      <c r="AI237" s="611"/>
      <c r="AJ237" s="500"/>
      <c r="AK237" s="609">
        <v>0</v>
      </c>
      <c r="AL237" s="610"/>
      <c r="AM237" s="56"/>
      <c r="AN237" s="611"/>
      <c r="AO237" s="500"/>
      <c r="AP237" s="609">
        <v>0</v>
      </c>
      <c r="AQ237" s="610"/>
      <c r="AR237" s="56"/>
      <c r="AS237" s="611"/>
      <c r="AT237" s="612"/>
      <c r="AU237" s="609">
        <v>0</v>
      </c>
      <c r="AV237" s="610"/>
      <c r="AW237" s="56"/>
      <c r="AX237" s="611"/>
      <c r="AY237" s="612"/>
      <c r="AZ237" s="609">
        <v>0</v>
      </c>
      <c r="BA237" s="610"/>
      <c r="BB237" s="56"/>
      <c r="BC237" s="611"/>
      <c r="BD237" s="612"/>
      <c r="BE237" s="609">
        <v>0</v>
      </c>
      <c r="BF237" s="610"/>
      <c r="BG237" s="56"/>
      <c r="BH237" s="611"/>
      <c r="BI237" s="612"/>
      <c r="BJ237" s="609">
        <v>0</v>
      </c>
      <c r="BK237" s="610"/>
      <c r="BL237" s="56"/>
      <c r="BM237" s="611"/>
      <c r="BN237" s="612"/>
      <c r="BO237" s="609">
        <v>0</v>
      </c>
      <c r="BP237" s="610"/>
      <c r="BQ237" s="56"/>
      <c r="BR237" s="611"/>
      <c r="BS237" s="612"/>
      <c r="BT237" s="609">
        <f>SUM(L237:BO237)</f>
        <v>0</v>
      </c>
      <c r="BU237" s="610"/>
      <c r="BV237" s="56"/>
      <c r="BW237" s="611"/>
      <c r="BX237" s="612"/>
      <c r="BY237" s="609">
        <v>0</v>
      </c>
      <c r="BZ237" s="610"/>
      <c r="CA237" s="56"/>
      <c r="CB237" s="611"/>
      <c r="CC237" s="500"/>
      <c r="CD237" s="609">
        <v>0</v>
      </c>
      <c r="CE237" s="610"/>
      <c r="CF237" s="56"/>
      <c r="CG237" s="611"/>
      <c r="CH237" s="500"/>
      <c r="CI237" s="609">
        <v>0</v>
      </c>
      <c r="CJ237" s="610"/>
      <c r="CK237" s="56"/>
      <c r="CL237" s="611"/>
      <c r="CM237" s="500"/>
      <c r="CN237" s="609">
        <v>0</v>
      </c>
      <c r="CO237" s="610"/>
      <c r="CP237" s="56"/>
      <c r="CQ237" s="611"/>
      <c r="CR237" s="500"/>
      <c r="CS237" s="609">
        <v>0</v>
      </c>
      <c r="CT237" s="610"/>
      <c r="CU237" s="56"/>
      <c r="CV237" s="611"/>
      <c r="CW237" s="500"/>
      <c r="CX237" s="609">
        <v>0</v>
      </c>
      <c r="CY237" s="610"/>
      <c r="CZ237" s="56"/>
      <c r="DA237" s="611"/>
      <c r="DB237" s="500"/>
      <c r="DC237" s="609">
        <v>0</v>
      </c>
      <c r="DD237" s="610"/>
      <c r="DE237" s="56"/>
      <c r="DF237" s="611"/>
      <c r="DG237" s="500"/>
      <c r="DH237" s="609">
        <v>0</v>
      </c>
      <c r="DI237" s="610"/>
      <c r="DJ237" s="56"/>
      <c r="DK237" s="611"/>
      <c r="DL237" s="612"/>
      <c r="DM237" s="609">
        <v>0</v>
      </c>
      <c r="DN237" s="610"/>
      <c r="DO237" s="56"/>
      <c r="DP237" s="611"/>
      <c r="DQ237" s="612"/>
      <c r="DR237" s="609">
        <v>0</v>
      </c>
      <c r="DS237" s="610"/>
      <c r="DT237" s="56"/>
      <c r="DU237" s="611"/>
      <c r="DV237" s="612"/>
      <c r="DW237" s="609">
        <v>0</v>
      </c>
      <c r="DX237" s="610"/>
      <c r="DY237" s="56"/>
      <c r="DZ237" s="611"/>
      <c r="EA237" s="612"/>
      <c r="EB237" s="609">
        <v>0</v>
      </c>
      <c r="EC237" s="610"/>
      <c r="ED237" s="56"/>
      <c r="EE237" s="611"/>
      <c r="EF237" s="612"/>
      <c r="EG237" s="609">
        <v>0</v>
      </c>
      <c r="EH237" s="610"/>
      <c r="EI237" s="56"/>
      <c r="EJ237" s="611"/>
      <c r="EK237" s="612"/>
      <c r="EL237" s="609">
        <f>SUM(CD237:EG237)</f>
        <v>0</v>
      </c>
      <c r="EM237" s="610"/>
      <c r="EN237" s="56"/>
      <c r="EO237" s="144"/>
      <c r="ER237" s="42"/>
      <c r="ES237" s="42"/>
    </row>
    <row r="238" spans="4:149" ht="12.75" hidden="1" customHeight="1" x14ac:dyDescent="0.3">
      <c r="D238" s="144" t="s">
        <v>338</v>
      </c>
      <c r="F238" s="494"/>
      <c r="G238" s="56">
        <v>0</v>
      </c>
      <c r="H238" s="55"/>
      <c r="I238" s="56"/>
      <c r="J238" s="611"/>
      <c r="K238" s="494"/>
      <c r="L238" s="56">
        <v>0</v>
      </c>
      <c r="M238" s="55"/>
      <c r="N238" s="56"/>
      <c r="O238" s="611"/>
      <c r="P238" s="494"/>
      <c r="Q238" s="56">
        <v>0</v>
      </c>
      <c r="R238" s="55"/>
      <c r="S238" s="56"/>
      <c r="T238" s="611"/>
      <c r="U238" s="494"/>
      <c r="V238" s="56">
        <v>0</v>
      </c>
      <c r="W238" s="55"/>
      <c r="X238" s="56"/>
      <c r="Y238" s="611"/>
      <c r="Z238" s="494"/>
      <c r="AA238" s="56">
        <v>0</v>
      </c>
      <c r="AB238" s="55"/>
      <c r="AC238" s="56"/>
      <c r="AD238" s="611"/>
      <c r="AE238" s="494"/>
      <c r="AF238" s="56">
        <v>0</v>
      </c>
      <c r="AG238" s="55"/>
      <c r="AH238" s="56"/>
      <c r="AI238" s="611"/>
      <c r="AJ238" s="494"/>
      <c r="AK238" s="56">
        <v>0</v>
      </c>
      <c r="AL238" s="55"/>
      <c r="AM238" s="56"/>
      <c r="AN238" s="611"/>
      <c r="AO238" s="494"/>
      <c r="AP238" s="56">
        <v>0</v>
      </c>
      <c r="AQ238" s="55"/>
      <c r="AR238" s="56"/>
      <c r="AS238" s="611"/>
      <c r="AT238" s="611"/>
      <c r="AU238" s="56">
        <v>0</v>
      </c>
      <c r="AV238" s="55"/>
      <c r="AW238" s="56"/>
      <c r="AX238" s="611"/>
      <c r="AY238" s="611"/>
      <c r="AZ238" s="56">
        <v>0</v>
      </c>
      <c r="BA238" s="55"/>
      <c r="BB238" s="56"/>
      <c r="BC238" s="611"/>
      <c r="BD238" s="611"/>
      <c r="BE238" s="56">
        <v>0</v>
      </c>
      <c r="BF238" s="55"/>
      <c r="BG238" s="56"/>
      <c r="BH238" s="611"/>
      <c r="BI238" s="611"/>
      <c r="BJ238" s="56">
        <v>0</v>
      </c>
      <c r="BK238" s="55"/>
      <c r="BL238" s="56"/>
      <c r="BM238" s="611"/>
      <c r="BN238" s="611"/>
      <c r="BO238" s="56">
        <v>0</v>
      </c>
      <c r="BP238" s="55"/>
      <c r="BQ238" s="56"/>
      <c r="BR238" s="611"/>
      <c r="BS238" s="611"/>
      <c r="BT238" s="56">
        <f>SUM(L238:BO238)</f>
        <v>0</v>
      </c>
      <c r="BU238" s="55"/>
      <c r="BV238" s="56"/>
      <c r="BW238" s="611"/>
      <c r="BX238" s="611"/>
      <c r="BY238" s="56">
        <v>0</v>
      </c>
      <c r="BZ238" s="55"/>
      <c r="CA238" s="56"/>
      <c r="CB238" s="611"/>
      <c r="CC238" s="494"/>
      <c r="CD238" s="56">
        <v>0</v>
      </c>
      <c r="CE238" s="55"/>
      <c r="CF238" s="56"/>
      <c r="CG238" s="611"/>
      <c r="CH238" s="494"/>
      <c r="CI238" s="56">
        <v>0</v>
      </c>
      <c r="CJ238" s="55"/>
      <c r="CK238" s="56"/>
      <c r="CL238" s="611"/>
      <c r="CM238" s="494"/>
      <c r="CN238" s="56">
        <v>0</v>
      </c>
      <c r="CO238" s="55"/>
      <c r="CP238" s="56"/>
      <c r="CQ238" s="611"/>
      <c r="CR238" s="494"/>
      <c r="CS238" s="56">
        <v>0</v>
      </c>
      <c r="CT238" s="55"/>
      <c r="CU238" s="56"/>
      <c r="CV238" s="611"/>
      <c r="CW238" s="494"/>
      <c r="CX238" s="56">
        <v>0</v>
      </c>
      <c r="CY238" s="55"/>
      <c r="CZ238" s="56"/>
      <c r="DA238" s="611"/>
      <c r="DB238" s="494"/>
      <c r="DC238" s="56">
        <v>0</v>
      </c>
      <c r="DD238" s="55"/>
      <c r="DE238" s="56"/>
      <c r="DF238" s="611"/>
      <c r="DG238" s="494"/>
      <c r="DH238" s="56">
        <v>0</v>
      </c>
      <c r="DI238" s="55"/>
      <c r="DJ238" s="56"/>
      <c r="DK238" s="611"/>
      <c r="DL238" s="611"/>
      <c r="DM238" s="56">
        <v>0</v>
      </c>
      <c r="DN238" s="55"/>
      <c r="DO238" s="56"/>
      <c r="DP238" s="611"/>
      <c r="DQ238" s="611"/>
      <c r="DR238" s="56">
        <v>0</v>
      </c>
      <c r="DS238" s="55"/>
      <c r="DT238" s="56"/>
      <c r="DU238" s="611"/>
      <c r="DV238" s="611"/>
      <c r="DW238" s="56">
        <v>0</v>
      </c>
      <c r="DX238" s="55"/>
      <c r="DY238" s="56"/>
      <c r="DZ238" s="611"/>
      <c r="EA238" s="611"/>
      <c r="EB238" s="56">
        <v>0</v>
      </c>
      <c r="EC238" s="55"/>
      <c r="ED238" s="56"/>
      <c r="EE238" s="611"/>
      <c r="EF238" s="611"/>
      <c r="EG238" s="56">
        <v>0</v>
      </c>
      <c r="EH238" s="55"/>
      <c r="EI238" s="56"/>
      <c r="EJ238" s="611"/>
      <c r="EK238" s="611"/>
      <c r="EL238" s="56">
        <f>SUM(CD238:EG238)</f>
        <v>0</v>
      </c>
      <c r="EM238" s="55"/>
      <c r="EN238" s="56"/>
      <c r="EO238" s="144"/>
      <c r="ER238" s="42"/>
      <c r="ES238" s="42"/>
    </row>
    <row r="239" spans="4:149" ht="12.75" hidden="1" customHeight="1" x14ac:dyDescent="0.3">
      <c r="D239" s="144" t="s">
        <v>352</v>
      </c>
      <c r="F239" s="494"/>
      <c r="G239" s="56">
        <v>0</v>
      </c>
      <c r="H239" s="55"/>
      <c r="I239" s="56"/>
      <c r="J239" s="611"/>
      <c r="K239" s="494"/>
      <c r="L239" s="56">
        <v>0</v>
      </c>
      <c r="M239" s="55"/>
      <c r="N239" s="56"/>
      <c r="O239" s="611"/>
      <c r="P239" s="494"/>
      <c r="Q239" s="56">
        <v>0</v>
      </c>
      <c r="R239" s="55"/>
      <c r="S239" s="56"/>
      <c r="T239" s="611"/>
      <c r="U239" s="494"/>
      <c r="V239" s="56">
        <v>0</v>
      </c>
      <c r="W239" s="55"/>
      <c r="X239" s="56"/>
      <c r="Y239" s="611"/>
      <c r="Z239" s="494"/>
      <c r="AA239" s="56">
        <v>0</v>
      </c>
      <c r="AB239" s="55"/>
      <c r="AC239" s="56"/>
      <c r="AD239" s="611"/>
      <c r="AE239" s="494"/>
      <c r="AF239" s="56">
        <v>0</v>
      </c>
      <c r="AG239" s="55"/>
      <c r="AH239" s="56"/>
      <c r="AI239" s="611"/>
      <c r="AJ239" s="494"/>
      <c r="AK239" s="56">
        <v>0</v>
      </c>
      <c r="AL239" s="55"/>
      <c r="AM239" s="56"/>
      <c r="AN239" s="611"/>
      <c r="AO239" s="494"/>
      <c r="AP239" s="56">
        <v>0</v>
      </c>
      <c r="AQ239" s="55"/>
      <c r="AR239" s="56"/>
      <c r="AS239" s="611"/>
      <c r="AT239" s="611"/>
      <c r="AU239" s="56">
        <v>0</v>
      </c>
      <c r="AV239" s="55"/>
      <c r="AW239" s="56"/>
      <c r="AX239" s="611"/>
      <c r="AY239" s="611"/>
      <c r="AZ239" s="56">
        <v>0</v>
      </c>
      <c r="BA239" s="55"/>
      <c r="BB239" s="56"/>
      <c r="BC239" s="611"/>
      <c r="BD239" s="611"/>
      <c r="BE239" s="56">
        <v>0</v>
      </c>
      <c r="BF239" s="55"/>
      <c r="BG239" s="56"/>
      <c r="BH239" s="611"/>
      <c r="BI239" s="611"/>
      <c r="BJ239" s="56">
        <v>0</v>
      </c>
      <c r="BK239" s="55"/>
      <c r="BL239" s="56"/>
      <c r="BM239" s="611"/>
      <c r="BN239" s="611"/>
      <c r="BO239" s="56">
        <v>0</v>
      </c>
      <c r="BP239" s="55"/>
      <c r="BQ239" s="56"/>
      <c r="BR239" s="611"/>
      <c r="BS239" s="611"/>
      <c r="BT239" s="56">
        <f>SUM(L239:BO239)</f>
        <v>0</v>
      </c>
      <c r="BU239" s="55"/>
      <c r="BV239" s="56"/>
      <c r="BW239" s="611"/>
      <c r="BX239" s="611"/>
      <c r="BY239" s="56">
        <v>0</v>
      </c>
      <c r="BZ239" s="55"/>
      <c r="CA239" s="56"/>
      <c r="CB239" s="611"/>
      <c r="CC239" s="494"/>
      <c r="CD239" s="56">
        <v>0</v>
      </c>
      <c r="CE239" s="55"/>
      <c r="CF239" s="56"/>
      <c r="CG239" s="611"/>
      <c r="CH239" s="494"/>
      <c r="CI239" s="56">
        <v>0</v>
      </c>
      <c r="CJ239" s="55"/>
      <c r="CK239" s="56"/>
      <c r="CL239" s="611"/>
      <c r="CM239" s="494"/>
      <c r="CN239" s="56">
        <v>0</v>
      </c>
      <c r="CO239" s="55"/>
      <c r="CP239" s="56"/>
      <c r="CQ239" s="611"/>
      <c r="CR239" s="494"/>
      <c r="CS239" s="56">
        <v>0</v>
      </c>
      <c r="CT239" s="55"/>
      <c r="CU239" s="56"/>
      <c r="CV239" s="611"/>
      <c r="CW239" s="494"/>
      <c r="CX239" s="56">
        <v>0</v>
      </c>
      <c r="CY239" s="55"/>
      <c r="CZ239" s="56"/>
      <c r="DA239" s="611"/>
      <c r="DB239" s="494"/>
      <c r="DC239" s="56">
        <v>0</v>
      </c>
      <c r="DD239" s="55"/>
      <c r="DE239" s="56"/>
      <c r="DF239" s="611"/>
      <c r="DG239" s="494"/>
      <c r="DH239" s="56">
        <v>0</v>
      </c>
      <c r="DI239" s="55"/>
      <c r="DJ239" s="56"/>
      <c r="DK239" s="611"/>
      <c r="DL239" s="611"/>
      <c r="DM239" s="56">
        <v>0</v>
      </c>
      <c r="DN239" s="55"/>
      <c r="DO239" s="56"/>
      <c r="DP239" s="611"/>
      <c r="DQ239" s="611"/>
      <c r="DR239" s="56">
        <v>0</v>
      </c>
      <c r="DS239" s="55"/>
      <c r="DT239" s="56"/>
      <c r="DU239" s="611"/>
      <c r="DV239" s="611"/>
      <c r="DW239" s="56">
        <v>0</v>
      </c>
      <c r="DX239" s="55"/>
      <c r="DY239" s="56"/>
      <c r="DZ239" s="611"/>
      <c r="EA239" s="611"/>
      <c r="EB239" s="56">
        <v>0</v>
      </c>
      <c r="EC239" s="55"/>
      <c r="ED239" s="56"/>
      <c r="EE239" s="611"/>
      <c r="EF239" s="611"/>
      <c r="EG239" s="56">
        <v>0</v>
      </c>
      <c r="EH239" s="55"/>
      <c r="EI239" s="56"/>
      <c r="EJ239" s="611"/>
      <c r="EK239" s="611"/>
      <c r="EL239" s="56">
        <f>SUM(CD239:EG239)</f>
        <v>0</v>
      </c>
      <c r="EM239" s="55"/>
      <c r="EN239" s="56"/>
      <c r="EO239" s="144"/>
      <c r="ER239" s="42"/>
      <c r="ES239" s="42"/>
    </row>
    <row r="240" spans="4:149" ht="12.75" hidden="1" customHeight="1" x14ac:dyDescent="0.3">
      <c r="D240" s="144" t="s">
        <v>340</v>
      </c>
      <c r="F240" s="513"/>
      <c r="G240" s="117">
        <v>0</v>
      </c>
      <c r="H240" s="116"/>
      <c r="I240" s="56"/>
      <c r="J240" s="611"/>
      <c r="K240" s="513"/>
      <c r="L240" s="117">
        <v>0</v>
      </c>
      <c r="M240" s="116"/>
      <c r="N240" s="56"/>
      <c r="O240" s="611"/>
      <c r="P240" s="513"/>
      <c r="Q240" s="117">
        <v>0</v>
      </c>
      <c r="R240" s="116"/>
      <c r="S240" s="56"/>
      <c r="T240" s="611"/>
      <c r="U240" s="513"/>
      <c r="V240" s="117">
        <v>0</v>
      </c>
      <c r="W240" s="116"/>
      <c r="X240" s="56"/>
      <c r="Y240" s="611"/>
      <c r="Z240" s="513"/>
      <c r="AA240" s="117">
        <v>0</v>
      </c>
      <c r="AB240" s="116"/>
      <c r="AC240" s="56"/>
      <c r="AD240" s="611"/>
      <c r="AE240" s="513"/>
      <c r="AF240" s="117">
        <v>0</v>
      </c>
      <c r="AG240" s="116"/>
      <c r="AH240" s="56"/>
      <c r="AI240" s="611"/>
      <c r="AJ240" s="513"/>
      <c r="AK240" s="117">
        <v>0</v>
      </c>
      <c r="AL240" s="116"/>
      <c r="AM240" s="56"/>
      <c r="AN240" s="611"/>
      <c r="AO240" s="513"/>
      <c r="AP240" s="117">
        <v>0</v>
      </c>
      <c r="AQ240" s="116"/>
      <c r="AR240" s="56"/>
      <c r="AS240" s="611"/>
      <c r="AT240" s="620"/>
      <c r="AU240" s="117">
        <v>0</v>
      </c>
      <c r="AV240" s="116"/>
      <c r="AW240" s="56"/>
      <c r="AX240" s="611"/>
      <c r="AY240" s="620"/>
      <c r="AZ240" s="117">
        <v>0</v>
      </c>
      <c r="BA240" s="116"/>
      <c r="BB240" s="56"/>
      <c r="BC240" s="611"/>
      <c r="BD240" s="620"/>
      <c r="BE240" s="117">
        <v>0</v>
      </c>
      <c r="BF240" s="116"/>
      <c r="BG240" s="56"/>
      <c r="BH240" s="611"/>
      <c r="BI240" s="620"/>
      <c r="BJ240" s="117">
        <v>0</v>
      </c>
      <c r="BK240" s="116"/>
      <c r="BL240" s="56"/>
      <c r="BM240" s="611"/>
      <c r="BN240" s="620"/>
      <c r="BO240" s="117">
        <v>0</v>
      </c>
      <c r="BP240" s="116"/>
      <c r="BQ240" s="56"/>
      <c r="BR240" s="611"/>
      <c r="BS240" s="620"/>
      <c r="BT240" s="117">
        <f>SUM(L240:BO240)</f>
        <v>0</v>
      </c>
      <c r="BU240" s="116"/>
      <c r="BV240" s="56"/>
      <c r="BW240" s="611"/>
      <c r="BX240" s="620"/>
      <c r="BY240" s="117">
        <v>0</v>
      </c>
      <c r="BZ240" s="116"/>
      <c r="CA240" s="56"/>
      <c r="CB240" s="611"/>
      <c r="CC240" s="513"/>
      <c r="CD240" s="117">
        <v>0</v>
      </c>
      <c r="CE240" s="116"/>
      <c r="CF240" s="56"/>
      <c r="CG240" s="611"/>
      <c r="CH240" s="513"/>
      <c r="CI240" s="117">
        <v>0</v>
      </c>
      <c r="CJ240" s="116"/>
      <c r="CK240" s="56"/>
      <c r="CL240" s="611"/>
      <c r="CM240" s="513"/>
      <c r="CN240" s="117">
        <v>0</v>
      </c>
      <c r="CO240" s="116"/>
      <c r="CP240" s="56"/>
      <c r="CQ240" s="611"/>
      <c r="CR240" s="513"/>
      <c r="CS240" s="117">
        <v>0</v>
      </c>
      <c r="CT240" s="116"/>
      <c r="CU240" s="56"/>
      <c r="CV240" s="611"/>
      <c r="CW240" s="513"/>
      <c r="CX240" s="117">
        <v>0</v>
      </c>
      <c r="CY240" s="116"/>
      <c r="CZ240" s="56"/>
      <c r="DA240" s="611"/>
      <c r="DB240" s="513"/>
      <c r="DC240" s="117">
        <v>0</v>
      </c>
      <c r="DD240" s="116"/>
      <c r="DE240" s="56"/>
      <c r="DF240" s="611"/>
      <c r="DG240" s="513"/>
      <c r="DH240" s="117">
        <v>0</v>
      </c>
      <c r="DI240" s="116"/>
      <c r="DJ240" s="56"/>
      <c r="DK240" s="611"/>
      <c r="DL240" s="620"/>
      <c r="DM240" s="117">
        <v>0</v>
      </c>
      <c r="DN240" s="116"/>
      <c r="DO240" s="56"/>
      <c r="DP240" s="611"/>
      <c r="DQ240" s="620"/>
      <c r="DR240" s="117">
        <v>0</v>
      </c>
      <c r="DS240" s="116"/>
      <c r="DT240" s="56"/>
      <c r="DU240" s="611"/>
      <c r="DV240" s="620"/>
      <c r="DW240" s="117">
        <v>0</v>
      </c>
      <c r="DX240" s="116"/>
      <c r="DY240" s="56"/>
      <c r="DZ240" s="611"/>
      <c r="EA240" s="620"/>
      <c r="EB240" s="117">
        <v>0</v>
      </c>
      <c r="EC240" s="116"/>
      <c r="ED240" s="56"/>
      <c r="EE240" s="611"/>
      <c r="EF240" s="620"/>
      <c r="EG240" s="117">
        <v>0</v>
      </c>
      <c r="EH240" s="116"/>
      <c r="EI240" s="56"/>
      <c r="EJ240" s="611"/>
      <c r="EK240" s="620"/>
      <c r="EL240" s="117">
        <f>SUM(CD240:EG240)</f>
        <v>0</v>
      </c>
      <c r="EM240" s="116"/>
      <c r="EN240" s="56"/>
      <c r="EO240" s="144"/>
      <c r="ER240" s="42"/>
      <c r="ES240" s="42"/>
    </row>
    <row r="241" spans="4:149" ht="12.75" hidden="1" customHeight="1" x14ac:dyDescent="0.3">
      <c r="D241" s="144"/>
      <c r="G241" s="56"/>
      <c r="H241" s="56"/>
      <c r="I241" s="56"/>
      <c r="J241" s="611"/>
      <c r="L241" s="56"/>
      <c r="M241" s="56"/>
      <c r="N241" s="56"/>
      <c r="O241" s="611"/>
      <c r="Q241" s="56"/>
      <c r="R241" s="56"/>
      <c r="S241" s="56"/>
      <c r="T241" s="611"/>
      <c r="V241" s="56"/>
      <c r="W241" s="56"/>
      <c r="X241" s="56"/>
      <c r="Y241" s="611"/>
      <c r="AA241" s="56"/>
      <c r="AB241" s="56"/>
      <c r="AC241" s="56"/>
      <c r="AD241" s="611"/>
      <c r="AF241" s="56"/>
      <c r="AG241" s="56"/>
      <c r="AH241" s="56"/>
      <c r="AI241" s="611"/>
      <c r="AK241" s="56"/>
      <c r="AL241" s="56"/>
      <c r="AM241" s="56"/>
      <c r="AN241" s="611"/>
      <c r="AP241" s="56"/>
      <c r="AQ241" s="56"/>
      <c r="AR241" s="56"/>
      <c r="AS241" s="611"/>
      <c r="AT241" s="56"/>
      <c r="AU241" s="56"/>
      <c r="AV241" s="56"/>
      <c r="AW241" s="56"/>
      <c r="AX241" s="611"/>
      <c r="AY241" s="56"/>
      <c r="AZ241" s="56"/>
      <c r="BA241" s="56"/>
      <c r="BB241" s="56"/>
      <c r="BC241" s="611"/>
      <c r="BD241" s="56"/>
      <c r="BE241" s="56"/>
      <c r="BF241" s="56"/>
      <c r="BG241" s="56"/>
      <c r="BH241" s="611"/>
      <c r="BI241" s="56"/>
      <c r="BJ241" s="56"/>
      <c r="BK241" s="56"/>
      <c r="BL241" s="56"/>
      <c r="BM241" s="611"/>
      <c r="BN241" s="56"/>
      <c r="BO241" s="56"/>
      <c r="BP241" s="56"/>
      <c r="BQ241" s="56"/>
      <c r="BR241" s="611"/>
      <c r="BS241" s="56"/>
      <c r="BT241" s="56"/>
      <c r="BU241" s="56"/>
      <c r="BV241" s="56"/>
      <c r="BW241" s="611"/>
      <c r="BX241" s="56"/>
      <c r="BY241" s="56"/>
      <c r="BZ241" s="56"/>
      <c r="CA241" s="56"/>
      <c r="CB241" s="611"/>
      <c r="CD241" s="56"/>
      <c r="CE241" s="56"/>
      <c r="CF241" s="56"/>
      <c r="CG241" s="611"/>
      <c r="CI241" s="56"/>
      <c r="CJ241" s="56"/>
      <c r="CK241" s="56"/>
      <c r="CL241" s="611"/>
      <c r="CN241" s="56"/>
      <c r="CO241" s="56"/>
      <c r="CP241" s="56"/>
      <c r="CQ241" s="611"/>
      <c r="CS241" s="56"/>
      <c r="CT241" s="56"/>
      <c r="CU241" s="56"/>
      <c r="CV241" s="611"/>
      <c r="CX241" s="56"/>
      <c r="CY241" s="56"/>
      <c r="CZ241" s="56"/>
      <c r="DA241" s="611"/>
      <c r="DC241" s="56"/>
      <c r="DD241" s="56"/>
      <c r="DE241" s="56"/>
      <c r="DF241" s="611"/>
      <c r="DH241" s="56"/>
      <c r="DI241" s="56"/>
      <c r="DJ241" s="56"/>
      <c r="DK241" s="611"/>
      <c r="DL241" s="56"/>
      <c r="DM241" s="56"/>
      <c r="DN241" s="56"/>
      <c r="DO241" s="56"/>
      <c r="DP241" s="611"/>
      <c r="DQ241" s="56"/>
      <c r="DR241" s="56"/>
      <c r="DS241" s="56"/>
      <c r="DT241" s="56"/>
      <c r="DU241" s="611"/>
      <c r="DV241" s="56"/>
      <c r="DW241" s="56"/>
      <c r="DX241" s="56"/>
      <c r="DY241" s="56"/>
      <c r="DZ241" s="611"/>
      <c r="EA241" s="56"/>
      <c r="EB241" s="56"/>
      <c r="EC241" s="56"/>
      <c r="ED241" s="56"/>
      <c r="EE241" s="611"/>
      <c r="EF241" s="56"/>
      <c r="EG241" s="56"/>
      <c r="EH241" s="56"/>
      <c r="EI241" s="56"/>
      <c r="EJ241" s="611"/>
      <c r="EK241" s="56"/>
      <c r="EL241" s="56"/>
      <c r="EM241" s="56"/>
      <c r="EN241" s="56"/>
      <c r="EO241" s="144"/>
      <c r="ER241" s="42"/>
      <c r="ES241" s="42"/>
    </row>
    <row r="242" spans="4:149" ht="12.75" hidden="1" customHeight="1" x14ac:dyDescent="0.3">
      <c r="D242" s="144" t="s">
        <v>377</v>
      </c>
      <c r="G242" s="56">
        <f>SUM(G243:G246)</f>
        <v>0</v>
      </c>
      <c r="H242" s="56"/>
      <c r="I242" s="56"/>
      <c r="J242" s="611"/>
      <c r="K242" s="56"/>
      <c r="L242" s="56">
        <f>SUM(L243:L246)</f>
        <v>0</v>
      </c>
      <c r="M242" s="56"/>
      <c r="N242" s="56"/>
      <c r="O242" s="611"/>
      <c r="P242" s="56"/>
      <c r="Q242" s="56">
        <f>SUM(Q243:Q246)</f>
        <v>0</v>
      </c>
      <c r="R242" s="56"/>
      <c r="S242" s="56"/>
      <c r="T242" s="611"/>
      <c r="U242" s="56"/>
      <c r="V242" s="56">
        <f>SUM(V243:V246)</f>
        <v>0</v>
      </c>
      <c r="W242" s="56"/>
      <c r="X242" s="56"/>
      <c r="Y242" s="611"/>
      <c r="Z242" s="56"/>
      <c r="AA242" s="56">
        <f>SUM(AA243:AA246)</f>
        <v>0</v>
      </c>
      <c r="AB242" s="56"/>
      <c r="AC242" s="56"/>
      <c r="AD242" s="611"/>
      <c r="AE242" s="56"/>
      <c r="AF242" s="56">
        <f>SUM(AF243:AF246)</f>
        <v>0</v>
      </c>
      <c r="AG242" s="56"/>
      <c r="AH242" s="56"/>
      <c r="AI242" s="611"/>
      <c r="AJ242" s="56"/>
      <c r="AK242" s="56">
        <f>SUM(AK243:AK246)</f>
        <v>0</v>
      </c>
      <c r="AL242" s="56"/>
      <c r="AM242" s="56"/>
      <c r="AN242" s="611"/>
      <c r="AO242" s="56"/>
      <c r="AP242" s="56">
        <f>SUM(AP243:AP246)</f>
        <v>0</v>
      </c>
      <c r="AQ242" s="56"/>
      <c r="AR242" s="56"/>
      <c r="AS242" s="611"/>
      <c r="AT242" s="56"/>
      <c r="AU242" s="56">
        <f>SUM(AU243:AU246)</f>
        <v>0</v>
      </c>
      <c r="AV242" s="56"/>
      <c r="AW242" s="56"/>
      <c r="AX242" s="611"/>
      <c r="AY242" s="56"/>
      <c r="AZ242" s="56">
        <f>SUM(AZ243:AZ246)</f>
        <v>0</v>
      </c>
      <c r="BA242" s="56"/>
      <c r="BB242" s="56"/>
      <c r="BC242" s="611"/>
      <c r="BD242" s="56"/>
      <c r="BE242" s="56">
        <f>SUM(BE243:BE246)</f>
        <v>0</v>
      </c>
      <c r="BF242" s="56"/>
      <c r="BG242" s="56"/>
      <c r="BH242" s="611"/>
      <c r="BI242" s="56"/>
      <c r="BJ242" s="56">
        <f>SUM(BJ243:BJ246)</f>
        <v>0</v>
      </c>
      <c r="BK242" s="56"/>
      <c r="BL242" s="56"/>
      <c r="BM242" s="611"/>
      <c r="BN242" s="56"/>
      <c r="BO242" s="56">
        <f>SUM(BO243:BO246)</f>
        <v>0</v>
      </c>
      <c r="BP242" s="56"/>
      <c r="BQ242" s="56"/>
      <c r="BR242" s="611"/>
      <c r="BS242" s="56"/>
      <c r="BT242" s="56">
        <f>SUM(BT243:BT246)</f>
        <v>0</v>
      </c>
      <c r="BU242" s="56"/>
      <c r="BV242" s="56"/>
      <c r="BW242" s="611"/>
      <c r="BX242" s="56"/>
      <c r="BY242" s="56">
        <f>SUM(BY243:BY246)</f>
        <v>0</v>
      </c>
      <c r="BZ242" s="56"/>
      <c r="CA242" s="56"/>
      <c r="CB242" s="611"/>
      <c r="CC242" s="56"/>
      <c r="CD242" s="56">
        <f>SUM(CD243:CD246)</f>
        <v>0</v>
      </c>
      <c r="CE242" s="56"/>
      <c r="CF242" s="56"/>
      <c r="CG242" s="611"/>
      <c r="CH242" s="56"/>
      <c r="CI242" s="56">
        <f>SUM(CI243:CI246)</f>
        <v>0</v>
      </c>
      <c r="CJ242" s="56"/>
      <c r="CK242" s="56"/>
      <c r="CL242" s="611"/>
      <c r="CM242" s="56"/>
      <c r="CN242" s="56">
        <f>SUM(CN243:CN246)</f>
        <v>0</v>
      </c>
      <c r="CO242" s="56"/>
      <c r="CP242" s="56"/>
      <c r="CQ242" s="611"/>
      <c r="CR242" s="56"/>
      <c r="CS242" s="56">
        <f>SUM(CS243:CS246)</f>
        <v>0</v>
      </c>
      <c r="CT242" s="56"/>
      <c r="CU242" s="56"/>
      <c r="CV242" s="611"/>
      <c r="CW242" s="56"/>
      <c r="CX242" s="56">
        <f>SUM(CX243:CX246)</f>
        <v>0</v>
      </c>
      <c r="CY242" s="56"/>
      <c r="CZ242" s="56"/>
      <c r="DA242" s="611"/>
      <c r="DB242" s="56"/>
      <c r="DC242" s="56">
        <f>SUM(DC243:DC246)</f>
        <v>0</v>
      </c>
      <c r="DD242" s="56"/>
      <c r="DE242" s="56"/>
      <c r="DF242" s="611"/>
      <c r="DG242" s="56"/>
      <c r="DH242" s="56">
        <f>SUM(DH243:DH246)</f>
        <v>0</v>
      </c>
      <c r="DI242" s="56"/>
      <c r="DJ242" s="56"/>
      <c r="DK242" s="611"/>
      <c r="DL242" s="56"/>
      <c r="DM242" s="56">
        <f>SUM(DM243:DM246)</f>
        <v>0</v>
      </c>
      <c r="DN242" s="56"/>
      <c r="DO242" s="56"/>
      <c r="DP242" s="611"/>
      <c r="DQ242" s="56"/>
      <c r="DR242" s="56">
        <f>SUM(DR243:DR246)</f>
        <v>0</v>
      </c>
      <c r="DS242" s="56"/>
      <c r="DT242" s="56"/>
      <c r="DU242" s="611"/>
      <c r="DV242" s="56"/>
      <c r="DW242" s="56">
        <f>SUM(DW243:DW246)</f>
        <v>0</v>
      </c>
      <c r="DX242" s="56"/>
      <c r="DY242" s="56"/>
      <c r="DZ242" s="611"/>
      <c r="EA242" s="56"/>
      <c r="EB242" s="56">
        <f>SUM(EB243:EB246)</f>
        <v>0</v>
      </c>
      <c r="EC242" s="56"/>
      <c r="ED242" s="56"/>
      <c r="EE242" s="611"/>
      <c r="EF242" s="56"/>
      <c r="EG242" s="56">
        <f>SUM(EG243:EG246)</f>
        <v>0</v>
      </c>
      <c r="EH242" s="56"/>
      <c r="EI242" s="56"/>
      <c r="EJ242" s="611"/>
      <c r="EK242" s="56"/>
      <c r="EL242" s="56">
        <f>SUM(EL243:EL246)</f>
        <v>0</v>
      </c>
      <c r="EM242" s="56"/>
      <c r="EN242" s="56"/>
      <c r="EO242" s="144"/>
      <c r="ER242" s="42"/>
      <c r="ES242" s="42"/>
    </row>
    <row r="243" spans="4:149" ht="12.75" hidden="1" customHeight="1" x14ac:dyDescent="0.3">
      <c r="D243" s="144" t="s">
        <v>335</v>
      </c>
      <c r="F243" s="500"/>
      <c r="G243" s="609">
        <v>0</v>
      </c>
      <c r="H243" s="610"/>
      <c r="I243" s="56"/>
      <c r="J243" s="611"/>
      <c r="K243" s="500"/>
      <c r="L243" s="609">
        <v>0</v>
      </c>
      <c r="M243" s="610"/>
      <c r="N243" s="56"/>
      <c r="O243" s="611"/>
      <c r="P243" s="500"/>
      <c r="Q243" s="609">
        <v>0</v>
      </c>
      <c r="R243" s="610"/>
      <c r="S243" s="56"/>
      <c r="T243" s="611"/>
      <c r="U243" s="500"/>
      <c r="V243" s="609">
        <v>0</v>
      </c>
      <c r="W243" s="610"/>
      <c r="X243" s="56"/>
      <c r="Y243" s="611"/>
      <c r="Z243" s="500"/>
      <c r="AA243" s="609">
        <v>0</v>
      </c>
      <c r="AB243" s="610"/>
      <c r="AC243" s="56"/>
      <c r="AD243" s="611"/>
      <c r="AE243" s="500"/>
      <c r="AF243" s="609">
        <v>0</v>
      </c>
      <c r="AG243" s="610"/>
      <c r="AH243" s="56"/>
      <c r="AI243" s="611"/>
      <c r="AJ243" s="500"/>
      <c r="AK243" s="609">
        <v>0</v>
      </c>
      <c r="AL243" s="610"/>
      <c r="AM243" s="56"/>
      <c r="AN243" s="611"/>
      <c r="AO243" s="500"/>
      <c r="AP243" s="609">
        <v>0</v>
      </c>
      <c r="AQ243" s="610"/>
      <c r="AR243" s="56"/>
      <c r="AS243" s="611"/>
      <c r="AT243" s="612"/>
      <c r="AU243" s="609">
        <v>0</v>
      </c>
      <c r="AV243" s="610"/>
      <c r="AW243" s="56"/>
      <c r="AX243" s="611"/>
      <c r="AY243" s="612"/>
      <c r="AZ243" s="609">
        <v>0</v>
      </c>
      <c r="BA243" s="610"/>
      <c r="BB243" s="56"/>
      <c r="BC243" s="611"/>
      <c r="BD243" s="612"/>
      <c r="BE243" s="609">
        <v>0</v>
      </c>
      <c r="BF243" s="610"/>
      <c r="BG243" s="56"/>
      <c r="BH243" s="611"/>
      <c r="BI243" s="612"/>
      <c r="BJ243" s="609">
        <v>0</v>
      </c>
      <c r="BK243" s="610"/>
      <c r="BL243" s="56"/>
      <c r="BM243" s="611"/>
      <c r="BN243" s="612"/>
      <c r="BO243" s="609">
        <v>0</v>
      </c>
      <c r="BP243" s="610"/>
      <c r="BQ243" s="56"/>
      <c r="BR243" s="611"/>
      <c r="BS243" s="612"/>
      <c r="BT243" s="609">
        <f>SUM(L243:BO243)</f>
        <v>0</v>
      </c>
      <c r="BU243" s="610"/>
      <c r="BV243" s="56"/>
      <c r="BW243" s="611"/>
      <c r="BX243" s="612"/>
      <c r="BY243" s="609">
        <v>0</v>
      </c>
      <c r="BZ243" s="610"/>
      <c r="CA243" s="56"/>
      <c r="CB243" s="611"/>
      <c r="CC243" s="500"/>
      <c r="CD243" s="609">
        <v>0</v>
      </c>
      <c r="CE243" s="610"/>
      <c r="CF243" s="56"/>
      <c r="CG243" s="611"/>
      <c r="CH243" s="500"/>
      <c r="CI243" s="609">
        <v>0</v>
      </c>
      <c r="CJ243" s="610"/>
      <c r="CK243" s="56"/>
      <c r="CL243" s="611"/>
      <c r="CM243" s="500"/>
      <c r="CN243" s="609">
        <v>0</v>
      </c>
      <c r="CO243" s="610"/>
      <c r="CP243" s="56"/>
      <c r="CQ243" s="611"/>
      <c r="CR243" s="500"/>
      <c r="CS243" s="609">
        <v>0</v>
      </c>
      <c r="CT243" s="610"/>
      <c r="CU243" s="56"/>
      <c r="CV243" s="611"/>
      <c r="CW243" s="500"/>
      <c r="CX243" s="609">
        <v>0</v>
      </c>
      <c r="CY243" s="610"/>
      <c r="CZ243" s="56"/>
      <c r="DA243" s="611"/>
      <c r="DB243" s="500"/>
      <c r="DC243" s="609">
        <v>0</v>
      </c>
      <c r="DD243" s="610"/>
      <c r="DE243" s="56"/>
      <c r="DF243" s="611"/>
      <c r="DG243" s="500"/>
      <c r="DH243" s="609">
        <v>0</v>
      </c>
      <c r="DI243" s="610"/>
      <c r="DJ243" s="56"/>
      <c r="DK243" s="611"/>
      <c r="DL243" s="612"/>
      <c r="DM243" s="609">
        <v>0</v>
      </c>
      <c r="DN243" s="610"/>
      <c r="DO243" s="56"/>
      <c r="DP243" s="611"/>
      <c r="DQ243" s="612"/>
      <c r="DR243" s="609">
        <v>0</v>
      </c>
      <c r="DS243" s="610"/>
      <c r="DT243" s="56"/>
      <c r="DU243" s="611"/>
      <c r="DV243" s="612"/>
      <c r="DW243" s="609">
        <v>0</v>
      </c>
      <c r="DX243" s="610"/>
      <c r="DY243" s="56"/>
      <c r="DZ243" s="611"/>
      <c r="EA243" s="612"/>
      <c r="EB243" s="609">
        <v>0</v>
      </c>
      <c r="EC243" s="610"/>
      <c r="ED243" s="56"/>
      <c r="EE243" s="611"/>
      <c r="EF243" s="612"/>
      <c r="EG243" s="609">
        <v>0</v>
      </c>
      <c r="EH243" s="610"/>
      <c r="EI243" s="56"/>
      <c r="EJ243" s="611"/>
      <c r="EK243" s="612"/>
      <c r="EL243" s="609">
        <f>SUM(CD243:EG243)</f>
        <v>0</v>
      </c>
      <c r="EM243" s="610"/>
      <c r="EN243" s="56"/>
      <c r="EO243" s="144"/>
      <c r="ER243" s="42"/>
      <c r="ES243" s="42"/>
    </row>
    <row r="244" spans="4:149" ht="12.75" hidden="1" customHeight="1" x14ac:dyDescent="0.3">
      <c r="D244" s="144" t="s">
        <v>338</v>
      </c>
      <c r="F244" s="494"/>
      <c r="G244" s="56">
        <v>0</v>
      </c>
      <c r="H244" s="55"/>
      <c r="I244" s="56"/>
      <c r="J244" s="611"/>
      <c r="K244" s="494"/>
      <c r="L244" s="56">
        <v>0</v>
      </c>
      <c r="M244" s="55"/>
      <c r="N244" s="56"/>
      <c r="O244" s="611"/>
      <c r="P244" s="494"/>
      <c r="Q244" s="56">
        <v>0</v>
      </c>
      <c r="R244" s="55"/>
      <c r="S244" s="56"/>
      <c r="T244" s="611"/>
      <c r="U244" s="494"/>
      <c r="V244" s="56">
        <v>0</v>
      </c>
      <c r="W244" s="55"/>
      <c r="X244" s="56"/>
      <c r="Y244" s="611"/>
      <c r="Z244" s="494"/>
      <c r="AA244" s="56">
        <v>0</v>
      </c>
      <c r="AB244" s="55"/>
      <c r="AC244" s="56"/>
      <c r="AD244" s="611"/>
      <c r="AE244" s="494"/>
      <c r="AF244" s="56">
        <v>0</v>
      </c>
      <c r="AG244" s="55"/>
      <c r="AH244" s="56"/>
      <c r="AI244" s="611"/>
      <c r="AJ244" s="494"/>
      <c r="AK244" s="56">
        <v>0</v>
      </c>
      <c r="AL244" s="55"/>
      <c r="AM244" s="56"/>
      <c r="AN244" s="611"/>
      <c r="AO244" s="494"/>
      <c r="AP244" s="56">
        <v>0</v>
      </c>
      <c r="AQ244" s="55"/>
      <c r="AR244" s="56"/>
      <c r="AS244" s="611"/>
      <c r="AT244" s="611"/>
      <c r="AU244" s="56">
        <v>0</v>
      </c>
      <c r="AV244" s="55"/>
      <c r="AW244" s="56"/>
      <c r="AX244" s="611"/>
      <c r="AY244" s="611"/>
      <c r="AZ244" s="56">
        <v>0</v>
      </c>
      <c r="BA244" s="55"/>
      <c r="BB244" s="56"/>
      <c r="BC244" s="611"/>
      <c r="BD244" s="611"/>
      <c r="BE244" s="56">
        <v>0</v>
      </c>
      <c r="BF244" s="55"/>
      <c r="BG244" s="56"/>
      <c r="BH244" s="611"/>
      <c r="BI244" s="611"/>
      <c r="BJ244" s="56">
        <v>0</v>
      </c>
      <c r="BK244" s="55"/>
      <c r="BL244" s="56"/>
      <c r="BM244" s="611"/>
      <c r="BN244" s="611"/>
      <c r="BO244" s="56">
        <v>0</v>
      </c>
      <c r="BP244" s="55"/>
      <c r="BQ244" s="56"/>
      <c r="BR244" s="611"/>
      <c r="BS244" s="611"/>
      <c r="BT244" s="56">
        <f>SUM(L244:BO244)</f>
        <v>0</v>
      </c>
      <c r="BU244" s="55"/>
      <c r="BV244" s="56"/>
      <c r="BW244" s="611"/>
      <c r="BX244" s="611"/>
      <c r="BY244" s="56">
        <v>0</v>
      </c>
      <c r="BZ244" s="55"/>
      <c r="CA244" s="56"/>
      <c r="CB244" s="611"/>
      <c r="CC244" s="494"/>
      <c r="CD244" s="56">
        <v>0</v>
      </c>
      <c r="CE244" s="55"/>
      <c r="CF244" s="56"/>
      <c r="CG244" s="611"/>
      <c r="CH244" s="494"/>
      <c r="CI244" s="56">
        <v>0</v>
      </c>
      <c r="CJ244" s="55"/>
      <c r="CK244" s="56"/>
      <c r="CL244" s="611"/>
      <c r="CM244" s="494"/>
      <c r="CN244" s="56">
        <v>0</v>
      </c>
      <c r="CO244" s="55"/>
      <c r="CP244" s="56"/>
      <c r="CQ244" s="611"/>
      <c r="CR244" s="494"/>
      <c r="CS244" s="56">
        <v>0</v>
      </c>
      <c r="CT244" s="55"/>
      <c r="CU244" s="56"/>
      <c r="CV244" s="611"/>
      <c r="CW244" s="494"/>
      <c r="CX244" s="56">
        <v>0</v>
      </c>
      <c r="CY244" s="55"/>
      <c r="CZ244" s="56"/>
      <c r="DA244" s="611"/>
      <c r="DB244" s="494"/>
      <c r="DC244" s="56">
        <v>0</v>
      </c>
      <c r="DD244" s="55"/>
      <c r="DE244" s="56"/>
      <c r="DF244" s="611"/>
      <c r="DG244" s="494"/>
      <c r="DH244" s="56">
        <v>0</v>
      </c>
      <c r="DI244" s="55"/>
      <c r="DJ244" s="56"/>
      <c r="DK244" s="611"/>
      <c r="DL244" s="611"/>
      <c r="DM244" s="56">
        <v>0</v>
      </c>
      <c r="DN244" s="55"/>
      <c r="DO244" s="56"/>
      <c r="DP244" s="611"/>
      <c r="DQ244" s="611"/>
      <c r="DR244" s="56">
        <v>0</v>
      </c>
      <c r="DS244" s="55"/>
      <c r="DT244" s="56"/>
      <c r="DU244" s="611"/>
      <c r="DV244" s="611"/>
      <c r="DW244" s="56">
        <v>0</v>
      </c>
      <c r="DX244" s="55"/>
      <c r="DY244" s="56"/>
      <c r="DZ244" s="611"/>
      <c r="EA244" s="611"/>
      <c r="EB244" s="56">
        <v>0</v>
      </c>
      <c r="EC244" s="55"/>
      <c r="ED244" s="56"/>
      <c r="EE244" s="611"/>
      <c r="EF244" s="611"/>
      <c r="EG244" s="56">
        <v>0</v>
      </c>
      <c r="EH244" s="55"/>
      <c r="EI244" s="56"/>
      <c r="EJ244" s="611"/>
      <c r="EK244" s="611"/>
      <c r="EL244" s="56">
        <f>SUM(CD244:EG244)</f>
        <v>0</v>
      </c>
      <c r="EM244" s="55"/>
      <c r="EN244" s="56"/>
      <c r="EO244" s="144"/>
      <c r="ER244" s="42"/>
      <c r="ES244" s="42"/>
    </row>
    <row r="245" spans="4:149" ht="12.75" hidden="1" customHeight="1" x14ac:dyDescent="0.3">
      <c r="D245" s="144" t="s">
        <v>352</v>
      </c>
      <c r="F245" s="494"/>
      <c r="G245" s="56">
        <v>0</v>
      </c>
      <c r="H245" s="55"/>
      <c r="I245" s="56"/>
      <c r="J245" s="611"/>
      <c r="K245" s="494"/>
      <c r="L245" s="56">
        <v>0</v>
      </c>
      <c r="M245" s="55"/>
      <c r="N245" s="56"/>
      <c r="O245" s="611"/>
      <c r="P245" s="494"/>
      <c r="Q245" s="56">
        <v>0</v>
      </c>
      <c r="R245" s="55"/>
      <c r="S245" s="56"/>
      <c r="T245" s="611"/>
      <c r="U245" s="494"/>
      <c r="V245" s="56">
        <v>0</v>
      </c>
      <c r="W245" s="55"/>
      <c r="X245" s="56"/>
      <c r="Y245" s="611"/>
      <c r="Z245" s="494"/>
      <c r="AA245" s="56">
        <v>0</v>
      </c>
      <c r="AB245" s="55"/>
      <c r="AC245" s="56"/>
      <c r="AD245" s="611"/>
      <c r="AE245" s="494"/>
      <c r="AF245" s="56">
        <v>0</v>
      </c>
      <c r="AG245" s="55"/>
      <c r="AH245" s="56"/>
      <c r="AI245" s="611"/>
      <c r="AJ245" s="494"/>
      <c r="AK245" s="56">
        <v>0</v>
      </c>
      <c r="AL245" s="55"/>
      <c r="AM245" s="56"/>
      <c r="AN245" s="611"/>
      <c r="AO245" s="494"/>
      <c r="AP245" s="56">
        <v>0</v>
      </c>
      <c r="AQ245" s="55"/>
      <c r="AR245" s="56"/>
      <c r="AS245" s="611"/>
      <c r="AT245" s="611"/>
      <c r="AU245" s="56">
        <v>0</v>
      </c>
      <c r="AV245" s="55"/>
      <c r="AW245" s="56"/>
      <c r="AX245" s="611"/>
      <c r="AY245" s="611"/>
      <c r="AZ245" s="56">
        <v>0</v>
      </c>
      <c r="BA245" s="55"/>
      <c r="BB245" s="56"/>
      <c r="BC245" s="611"/>
      <c r="BD245" s="611"/>
      <c r="BE245" s="56">
        <v>0</v>
      </c>
      <c r="BF245" s="55"/>
      <c r="BG245" s="56"/>
      <c r="BH245" s="611"/>
      <c r="BI245" s="611"/>
      <c r="BJ245" s="56">
        <v>0</v>
      </c>
      <c r="BK245" s="55"/>
      <c r="BL245" s="56"/>
      <c r="BM245" s="611"/>
      <c r="BN245" s="611"/>
      <c r="BO245" s="56">
        <v>0</v>
      </c>
      <c r="BP245" s="55"/>
      <c r="BQ245" s="56"/>
      <c r="BR245" s="611"/>
      <c r="BS245" s="611"/>
      <c r="BT245" s="56">
        <f>SUM(L245:BO245)</f>
        <v>0</v>
      </c>
      <c r="BU245" s="55"/>
      <c r="BV245" s="56"/>
      <c r="BW245" s="611"/>
      <c r="BX245" s="611"/>
      <c r="BY245" s="56">
        <v>0</v>
      </c>
      <c r="BZ245" s="55"/>
      <c r="CA245" s="56"/>
      <c r="CB245" s="611"/>
      <c r="CC245" s="494"/>
      <c r="CD245" s="56">
        <v>0</v>
      </c>
      <c r="CE245" s="55"/>
      <c r="CF245" s="56"/>
      <c r="CG245" s="611"/>
      <c r="CH245" s="494"/>
      <c r="CI245" s="56">
        <v>0</v>
      </c>
      <c r="CJ245" s="55"/>
      <c r="CK245" s="56"/>
      <c r="CL245" s="611"/>
      <c r="CM245" s="494"/>
      <c r="CN245" s="56">
        <v>0</v>
      </c>
      <c r="CO245" s="55"/>
      <c r="CP245" s="56"/>
      <c r="CQ245" s="611"/>
      <c r="CR245" s="494"/>
      <c r="CS245" s="56">
        <v>0</v>
      </c>
      <c r="CT245" s="55"/>
      <c r="CU245" s="56"/>
      <c r="CV245" s="611"/>
      <c r="CW245" s="494"/>
      <c r="CX245" s="56">
        <v>0</v>
      </c>
      <c r="CY245" s="55"/>
      <c r="CZ245" s="56"/>
      <c r="DA245" s="611"/>
      <c r="DB245" s="494"/>
      <c r="DC245" s="56">
        <v>0</v>
      </c>
      <c r="DD245" s="55"/>
      <c r="DE245" s="56"/>
      <c r="DF245" s="611"/>
      <c r="DG245" s="494"/>
      <c r="DH245" s="56">
        <v>0</v>
      </c>
      <c r="DI245" s="55"/>
      <c r="DJ245" s="56"/>
      <c r="DK245" s="611"/>
      <c r="DL245" s="611"/>
      <c r="DM245" s="56">
        <v>0</v>
      </c>
      <c r="DN245" s="55"/>
      <c r="DO245" s="56"/>
      <c r="DP245" s="611"/>
      <c r="DQ245" s="611"/>
      <c r="DR245" s="56">
        <v>0</v>
      </c>
      <c r="DS245" s="55"/>
      <c r="DT245" s="56"/>
      <c r="DU245" s="611"/>
      <c r="DV245" s="611"/>
      <c r="DW245" s="56">
        <v>0</v>
      </c>
      <c r="DX245" s="55"/>
      <c r="DY245" s="56"/>
      <c r="DZ245" s="611"/>
      <c r="EA245" s="611"/>
      <c r="EB245" s="56">
        <v>0</v>
      </c>
      <c r="EC245" s="55"/>
      <c r="ED245" s="56"/>
      <c r="EE245" s="611"/>
      <c r="EF245" s="611"/>
      <c r="EG245" s="56">
        <v>0</v>
      </c>
      <c r="EH245" s="55"/>
      <c r="EI245" s="56"/>
      <c r="EJ245" s="611"/>
      <c r="EK245" s="611"/>
      <c r="EL245" s="56">
        <f>SUM(CD245:EG245)</f>
        <v>0</v>
      </c>
      <c r="EM245" s="55"/>
      <c r="EN245" s="56"/>
      <c r="EO245" s="144"/>
      <c r="ER245" s="42"/>
      <c r="ES245" s="42"/>
    </row>
    <row r="246" spans="4:149" ht="12.75" hidden="1" customHeight="1" x14ac:dyDescent="0.3">
      <c r="D246" s="144" t="s">
        <v>340</v>
      </c>
      <c r="F246" s="513"/>
      <c r="G246" s="117">
        <v>0</v>
      </c>
      <c r="H246" s="116"/>
      <c r="I246" s="56"/>
      <c r="J246" s="611"/>
      <c r="K246" s="513"/>
      <c r="L246" s="117">
        <v>0</v>
      </c>
      <c r="M246" s="116"/>
      <c r="N246" s="56"/>
      <c r="O246" s="611"/>
      <c r="P246" s="513"/>
      <c r="Q246" s="117">
        <v>0</v>
      </c>
      <c r="R246" s="116"/>
      <c r="S246" s="56"/>
      <c r="T246" s="611"/>
      <c r="U246" s="513"/>
      <c r="V246" s="117">
        <v>0</v>
      </c>
      <c r="W246" s="116"/>
      <c r="X246" s="56"/>
      <c r="Y246" s="611"/>
      <c r="Z246" s="513"/>
      <c r="AA246" s="117">
        <v>0</v>
      </c>
      <c r="AB246" s="116"/>
      <c r="AC246" s="56"/>
      <c r="AD246" s="611"/>
      <c r="AE246" s="513"/>
      <c r="AF246" s="117">
        <v>0</v>
      </c>
      <c r="AG246" s="116"/>
      <c r="AH246" s="56"/>
      <c r="AI246" s="611"/>
      <c r="AJ246" s="513"/>
      <c r="AK246" s="117">
        <v>0</v>
      </c>
      <c r="AL246" s="116"/>
      <c r="AM246" s="56"/>
      <c r="AN246" s="611"/>
      <c r="AO246" s="513"/>
      <c r="AP246" s="117">
        <v>0</v>
      </c>
      <c r="AQ246" s="116"/>
      <c r="AR246" s="56"/>
      <c r="AS246" s="611"/>
      <c r="AT246" s="620"/>
      <c r="AU246" s="117">
        <v>0</v>
      </c>
      <c r="AV246" s="116"/>
      <c r="AW246" s="56"/>
      <c r="AX246" s="611"/>
      <c r="AY246" s="620"/>
      <c r="AZ246" s="117">
        <v>0</v>
      </c>
      <c r="BA246" s="116"/>
      <c r="BB246" s="56"/>
      <c r="BC246" s="611"/>
      <c r="BD246" s="620"/>
      <c r="BE246" s="117">
        <v>0</v>
      </c>
      <c r="BF246" s="116"/>
      <c r="BG246" s="56"/>
      <c r="BH246" s="611"/>
      <c r="BI246" s="620"/>
      <c r="BJ246" s="117">
        <v>0</v>
      </c>
      <c r="BK246" s="116"/>
      <c r="BL246" s="56"/>
      <c r="BM246" s="611"/>
      <c r="BN246" s="620"/>
      <c r="BO246" s="117">
        <v>0</v>
      </c>
      <c r="BP246" s="116"/>
      <c r="BQ246" s="56"/>
      <c r="BR246" s="611"/>
      <c r="BS246" s="620"/>
      <c r="BT246" s="117">
        <f>SUM(L246:BO246)</f>
        <v>0</v>
      </c>
      <c r="BU246" s="116"/>
      <c r="BV246" s="56"/>
      <c r="BW246" s="611"/>
      <c r="BX246" s="620"/>
      <c r="BY246" s="117">
        <v>0</v>
      </c>
      <c r="BZ246" s="116"/>
      <c r="CA246" s="56"/>
      <c r="CB246" s="611"/>
      <c r="CC246" s="513"/>
      <c r="CD246" s="117">
        <v>0</v>
      </c>
      <c r="CE246" s="116"/>
      <c r="CF246" s="56"/>
      <c r="CG246" s="611"/>
      <c r="CH246" s="513"/>
      <c r="CI246" s="117">
        <v>0</v>
      </c>
      <c r="CJ246" s="116"/>
      <c r="CK246" s="56"/>
      <c r="CL246" s="611"/>
      <c r="CM246" s="513"/>
      <c r="CN246" s="117">
        <v>0</v>
      </c>
      <c r="CO246" s="116"/>
      <c r="CP246" s="56"/>
      <c r="CQ246" s="611"/>
      <c r="CR246" s="513"/>
      <c r="CS246" s="117">
        <v>0</v>
      </c>
      <c r="CT246" s="116"/>
      <c r="CU246" s="56"/>
      <c r="CV246" s="611"/>
      <c r="CW246" s="513"/>
      <c r="CX246" s="117">
        <v>0</v>
      </c>
      <c r="CY246" s="116"/>
      <c r="CZ246" s="56"/>
      <c r="DA246" s="611"/>
      <c r="DB246" s="513"/>
      <c r="DC246" s="117">
        <v>0</v>
      </c>
      <c r="DD246" s="116"/>
      <c r="DE246" s="56"/>
      <c r="DF246" s="611"/>
      <c r="DG246" s="513"/>
      <c r="DH246" s="117">
        <v>0</v>
      </c>
      <c r="DI246" s="116"/>
      <c r="DJ246" s="56"/>
      <c r="DK246" s="611"/>
      <c r="DL246" s="620"/>
      <c r="DM246" s="117">
        <v>0</v>
      </c>
      <c r="DN246" s="116"/>
      <c r="DO246" s="56"/>
      <c r="DP246" s="611"/>
      <c r="DQ246" s="620"/>
      <c r="DR246" s="117">
        <v>0</v>
      </c>
      <c r="DS246" s="116"/>
      <c r="DT246" s="56"/>
      <c r="DU246" s="611"/>
      <c r="DV246" s="620"/>
      <c r="DW246" s="117">
        <v>0</v>
      </c>
      <c r="DX246" s="116"/>
      <c r="DY246" s="56"/>
      <c r="DZ246" s="611"/>
      <c r="EA246" s="620"/>
      <c r="EB246" s="117">
        <v>0</v>
      </c>
      <c r="EC246" s="116"/>
      <c r="ED246" s="56"/>
      <c r="EE246" s="611"/>
      <c r="EF246" s="620"/>
      <c r="EG246" s="117">
        <v>0</v>
      </c>
      <c r="EH246" s="116"/>
      <c r="EI246" s="56"/>
      <c r="EJ246" s="611"/>
      <c r="EK246" s="620"/>
      <c r="EL246" s="117">
        <f>SUM(CD246:EG246)</f>
        <v>0</v>
      </c>
      <c r="EM246" s="116"/>
      <c r="EN246" s="56"/>
      <c r="EO246" s="144"/>
      <c r="ER246" s="42"/>
      <c r="ES246" s="42"/>
    </row>
    <row r="247" spans="4:149" ht="12.75" hidden="1" customHeight="1" x14ac:dyDescent="0.3">
      <c r="D247" s="144"/>
      <c r="G247" s="56"/>
      <c r="H247" s="56"/>
      <c r="I247" s="56"/>
      <c r="J247" s="611"/>
      <c r="L247" s="56"/>
      <c r="M247" s="56"/>
      <c r="N247" s="56"/>
      <c r="O247" s="611"/>
      <c r="Q247" s="56"/>
      <c r="R247" s="56"/>
      <c r="S247" s="56"/>
      <c r="T247" s="611"/>
      <c r="V247" s="56"/>
      <c r="W247" s="56"/>
      <c r="X247" s="56"/>
      <c r="Y247" s="611"/>
      <c r="AA247" s="56"/>
      <c r="AB247" s="56"/>
      <c r="AC247" s="56"/>
      <c r="AD247" s="611"/>
      <c r="AF247" s="56"/>
      <c r="AG247" s="56"/>
      <c r="AH247" s="56"/>
      <c r="AI247" s="611"/>
      <c r="AK247" s="56"/>
      <c r="AL247" s="56"/>
      <c r="AM247" s="56"/>
      <c r="AN247" s="611"/>
      <c r="AP247" s="56"/>
      <c r="AQ247" s="56"/>
      <c r="AR247" s="56"/>
      <c r="AS247" s="611"/>
      <c r="AT247" s="56"/>
      <c r="AU247" s="56"/>
      <c r="AV247" s="56"/>
      <c r="AW247" s="56"/>
      <c r="AX247" s="611"/>
      <c r="AY247" s="56"/>
      <c r="AZ247" s="56"/>
      <c r="BA247" s="56"/>
      <c r="BB247" s="56"/>
      <c r="BC247" s="611"/>
      <c r="BD247" s="56"/>
      <c r="BE247" s="56"/>
      <c r="BF247" s="56"/>
      <c r="BG247" s="56"/>
      <c r="BH247" s="611"/>
      <c r="BI247" s="56"/>
      <c r="BJ247" s="56"/>
      <c r="BK247" s="56"/>
      <c r="BL247" s="56"/>
      <c r="BM247" s="611"/>
      <c r="BN247" s="56"/>
      <c r="BO247" s="56"/>
      <c r="BP247" s="56"/>
      <c r="BQ247" s="56"/>
      <c r="BR247" s="611"/>
      <c r="BS247" s="56"/>
      <c r="BT247" s="56"/>
      <c r="BU247" s="56"/>
      <c r="BV247" s="56"/>
      <c r="BW247" s="611"/>
      <c r="BX247" s="56"/>
      <c r="BY247" s="56"/>
      <c r="BZ247" s="56"/>
      <c r="CA247" s="56"/>
      <c r="CB247" s="611"/>
      <c r="CD247" s="56"/>
      <c r="CE247" s="56"/>
      <c r="CF247" s="56"/>
      <c r="CG247" s="611"/>
      <c r="CI247" s="56"/>
      <c r="CJ247" s="56"/>
      <c r="CK247" s="56"/>
      <c r="CL247" s="611"/>
      <c r="CN247" s="56"/>
      <c r="CO247" s="56"/>
      <c r="CP247" s="56"/>
      <c r="CQ247" s="611"/>
      <c r="CS247" s="56"/>
      <c r="CT247" s="56"/>
      <c r="CU247" s="56"/>
      <c r="CV247" s="611"/>
      <c r="CX247" s="56"/>
      <c r="CY247" s="56"/>
      <c r="CZ247" s="56"/>
      <c r="DA247" s="611"/>
      <c r="DC247" s="56"/>
      <c r="DD247" s="56"/>
      <c r="DE247" s="56"/>
      <c r="DF247" s="611"/>
      <c r="DH247" s="56"/>
      <c r="DI247" s="56"/>
      <c r="DJ247" s="56"/>
      <c r="DK247" s="611"/>
      <c r="DL247" s="56"/>
      <c r="DM247" s="56"/>
      <c r="DN247" s="56"/>
      <c r="DO247" s="56"/>
      <c r="DP247" s="611"/>
      <c r="DQ247" s="56"/>
      <c r="DR247" s="56"/>
      <c r="DS247" s="56"/>
      <c r="DT247" s="56"/>
      <c r="DU247" s="611"/>
      <c r="DV247" s="56"/>
      <c r="DW247" s="56"/>
      <c r="DX247" s="56"/>
      <c r="DY247" s="56"/>
      <c r="DZ247" s="611"/>
      <c r="EA247" s="56"/>
      <c r="EB247" s="56"/>
      <c r="EC247" s="56"/>
      <c r="ED247" s="56"/>
      <c r="EE247" s="611"/>
      <c r="EF247" s="56"/>
      <c r="EG247" s="56"/>
      <c r="EH247" s="56"/>
      <c r="EI247" s="56"/>
      <c r="EJ247" s="611"/>
      <c r="EK247" s="56"/>
      <c r="EL247" s="56"/>
      <c r="EM247" s="56"/>
      <c r="EN247" s="56"/>
      <c r="EO247" s="144"/>
      <c r="ER247" s="42"/>
      <c r="ES247" s="42"/>
    </row>
    <row r="248" spans="4:149" ht="12.75" customHeight="1" x14ac:dyDescent="0.3">
      <c r="D248" s="144" t="s">
        <v>351</v>
      </c>
      <c r="E248" s="635"/>
      <c r="G248" s="56">
        <f>SUM(G249:G251)</f>
        <v>0</v>
      </c>
      <c r="H248" s="56"/>
      <c r="I248" s="56"/>
      <c r="J248" s="611"/>
      <c r="L248" s="56">
        <f>SUM(L249:L251)</f>
        <v>0</v>
      </c>
      <c r="M248" s="56"/>
      <c r="N248" s="56"/>
      <c r="O248" s="611"/>
      <c r="Q248" s="56">
        <f>SUM(Q249:Q251)</f>
        <v>0</v>
      </c>
      <c r="R248" s="56"/>
      <c r="S248" s="56"/>
      <c r="T248" s="611"/>
      <c r="V248" s="56">
        <f>SUM(V249:V251)</f>
        <v>0</v>
      </c>
      <c r="W248" s="56"/>
      <c r="X248" s="56"/>
      <c r="Y248" s="611"/>
      <c r="AA248" s="56">
        <f>SUM(AA249:AA251)</f>
        <v>0</v>
      </c>
      <c r="AB248" s="56"/>
      <c r="AC248" s="56"/>
      <c r="AD248" s="611"/>
      <c r="AF248" s="56">
        <f>SUM(AF249:AF251)</f>
        <v>0</v>
      </c>
      <c r="AG248" s="56"/>
      <c r="AH248" s="56"/>
      <c r="AI248" s="611"/>
      <c r="AK248" s="56">
        <f>SUM(AK249:AK251)</f>
        <v>0</v>
      </c>
      <c r="AL248" s="56"/>
      <c r="AM248" s="56"/>
      <c r="AN248" s="611"/>
      <c r="AP248" s="56">
        <f>SUM(AP249:AP251)</f>
        <v>0</v>
      </c>
      <c r="AQ248" s="56"/>
      <c r="AR248" s="56"/>
      <c r="AS248" s="611"/>
      <c r="AU248" s="56">
        <f>SUM(AU249:AU251)</f>
        <v>0</v>
      </c>
      <c r="AV248" s="56"/>
      <c r="AW248" s="56"/>
      <c r="AX248" s="611"/>
      <c r="AZ248" s="56">
        <f>SUM(AZ249:AZ251)</f>
        <v>0</v>
      </c>
      <c r="BA248" s="56"/>
      <c r="BB248" s="56"/>
      <c r="BC248" s="611"/>
      <c r="BE248" s="56">
        <f>SUM(BE249:BE251)</f>
        <v>0</v>
      </c>
      <c r="BF248" s="56"/>
      <c r="BG248" s="56"/>
      <c r="BH248" s="611"/>
      <c r="BJ248" s="56">
        <f>SUM(BJ249:BJ251)</f>
        <v>0</v>
      </c>
      <c r="BK248" s="56"/>
      <c r="BL248" s="56"/>
      <c r="BM248" s="611"/>
      <c r="BO248" s="56">
        <f>SUM(BO249:BO251)</f>
        <v>0</v>
      </c>
      <c r="BP248" s="56"/>
      <c r="BQ248" s="56"/>
      <c r="BR248" s="611"/>
      <c r="BT248" s="56">
        <f>SUM(BT249:BT251)</f>
        <v>0</v>
      </c>
      <c r="BU248" s="56"/>
      <c r="BV248" s="56"/>
      <c r="BW248" s="611"/>
      <c r="BY248" s="56">
        <f>SUM(BY249:BY251)</f>
        <v>10134767</v>
      </c>
      <c r="BZ248" s="56"/>
      <c r="CA248" s="56"/>
      <c r="CB248" s="611"/>
      <c r="CD248" s="56">
        <f>SUM(CD249:CD251)</f>
        <v>2013939</v>
      </c>
      <c r="CE248" s="56"/>
      <c r="CF248" s="56"/>
      <c r="CG248" s="611"/>
      <c r="CI248" s="56">
        <f>SUM(CI249:CI251)</f>
        <v>468022</v>
      </c>
      <c r="CJ248" s="56"/>
      <c r="CK248" s="56"/>
      <c r="CL248" s="611"/>
      <c r="CN248" s="56">
        <f>SUM(CN249:CN251)</f>
        <v>1476097</v>
      </c>
      <c r="CO248" s="56"/>
      <c r="CP248" s="56"/>
      <c r="CQ248" s="611"/>
      <c r="CS248" s="56">
        <f>SUM(CS249:CS251)</f>
        <v>866869</v>
      </c>
      <c r="CT248" s="56"/>
      <c r="CU248" s="56"/>
      <c r="CV248" s="611"/>
      <c r="CX248" s="56">
        <f>SUM(CX249:CX251)</f>
        <v>839811</v>
      </c>
      <c r="CY248" s="56"/>
      <c r="CZ248" s="56"/>
      <c r="DA248" s="611"/>
      <c r="DC248" s="56">
        <f>SUM(DC249:DC251)</f>
        <v>1526908</v>
      </c>
      <c r="DD248" s="56"/>
      <c r="DE248" s="56"/>
      <c r="DF248" s="611"/>
      <c r="DH248" s="56">
        <f>SUM(DH249:DH251)</f>
        <v>181902</v>
      </c>
      <c r="DI248" s="56"/>
      <c r="DJ248" s="56"/>
      <c r="DK248" s="611"/>
      <c r="DM248" s="56">
        <f>SUM(DM249:DM251)</f>
        <v>229813</v>
      </c>
      <c r="DN248" s="56"/>
      <c r="DO248" s="56"/>
      <c r="DP248" s="611"/>
      <c r="DR248" s="56">
        <f>SUM(DR249:DR251)</f>
        <v>779474</v>
      </c>
      <c r="DS248" s="56"/>
      <c r="DT248" s="56"/>
      <c r="DU248" s="611"/>
      <c r="DW248" s="56">
        <f>SUM(DW249:DW251)</f>
        <v>284285</v>
      </c>
      <c r="DX248" s="56"/>
      <c r="DY248" s="56"/>
      <c r="DZ248" s="611"/>
      <c r="EB248" s="56">
        <f>SUM(EB249:EB251)</f>
        <v>187248</v>
      </c>
      <c r="EC248" s="56"/>
      <c r="ED248" s="56"/>
      <c r="EE248" s="611"/>
      <c r="EG248" s="56">
        <f>SUM(EG249:EG251)</f>
        <v>1280399</v>
      </c>
      <c r="EH248" s="56"/>
      <c r="EI248" s="56"/>
      <c r="EJ248" s="611"/>
      <c r="EL248" s="56">
        <f>SUM(EL249:EL251)</f>
        <v>8667120</v>
      </c>
      <c r="EM248" s="56"/>
      <c r="EN248" s="56"/>
      <c r="EO248" s="144"/>
      <c r="ER248" s="42"/>
      <c r="ES248" s="42"/>
    </row>
    <row r="249" spans="4:149" ht="12.75" customHeight="1" x14ac:dyDescent="0.3">
      <c r="D249" s="144" t="s">
        <v>335</v>
      </c>
      <c r="E249" s="635"/>
      <c r="F249" s="500"/>
      <c r="G249" s="609">
        <v>0</v>
      </c>
      <c r="H249" s="610"/>
      <c r="I249" s="56"/>
      <c r="J249" s="611"/>
      <c r="K249" s="500"/>
      <c r="L249" s="609">
        <v>0</v>
      </c>
      <c r="M249" s="610"/>
      <c r="N249" s="56"/>
      <c r="O249" s="611"/>
      <c r="P249" s="500"/>
      <c r="Q249" s="609">
        <v>0</v>
      </c>
      <c r="R249" s="610"/>
      <c r="S249" s="56"/>
      <c r="T249" s="611"/>
      <c r="U249" s="500"/>
      <c r="V249" s="609">
        <v>0</v>
      </c>
      <c r="W249" s="610"/>
      <c r="X249" s="56"/>
      <c r="Y249" s="611"/>
      <c r="Z249" s="500"/>
      <c r="AA249" s="609">
        <v>0</v>
      </c>
      <c r="AB249" s="610"/>
      <c r="AC249" s="56"/>
      <c r="AD249" s="611"/>
      <c r="AE249" s="500"/>
      <c r="AF249" s="609">
        <v>0</v>
      </c>
      <c r="AG249" s="610"/>
      <c r="AH249" s="56"/>
      <c r="AI249" s="611"/>
      <c r="AJ249" s="500"/>
      <c r="AK249" s="609">
        <v>0</v>
      </c>
      <c r="AL249" s="610"/>
      <c r="AM249" s="56"/>
      <c r="AN249" s="611"/>
      <c r="AO249" s="500"/>
      <c r="AP249" s="609">
        <v>0</v>
      </c>
      <c r="AQ249" s="610"/>
      <c r="AR249" s="56"/>
      <c r="AS249" s="611"/>
      <c r="AT249" s="500"/>
      <c r="AU249" s="609">
        <v>0</v>
      </c>
      <c r="AV249" s="610"/>
      <c r="AW249" s="56"/>
      <c r="AX249" s="611"/>
      <c r="AY249" s="500"/>
      <c r="AZ249" s="609">
        <v>0</v>
      </c>
      <c r="BA249" s="610"/>
      <c r="BB249" s="56"/>
      <c r="BC249" s="611"/>
      <c r="BD249" s="500"/>
      <c r="BE249" s="609">
        <v>0</v>
      </c>
      <c r="BF249" s="610"/>
      <c r="BG249" s="56"/>
      <c r="BH249" s="611"/>
      <c r="BI249" s="500"/>
      <c r="BJ249" s="609">
        <v>0</v>
      </c>
      <c r="BK249" s="610"/>
      <c r="BL249" s="56"/>
      <c r="BM249" s="611"/>
      <c r="BN249" s="500"/>
      <c r="BO249" s="609">
        <v>0</v>
      </c>
      <c r="BP249" s="610"/>
      <c r="BQ249" s="56"/>
      <c r="BR249" s="611"/>
      <c r="BS249" s="500"/>
      <c r="BT249" s="609">
        <f>SUM(L249:BO249)</f>
        <v>0</v>
      </c>
      <c r="BU249" s="610"/>
      <c r="BV249" s="56"/>
      <c r="BW249" s="611"/>
      <c r="BX249" s="500"/>
      <c r="BY249" s="609">
        <v>11448027</v>
      </c>
      <c r="BZ249" s="610"/>
      <c r="CA249" s="56"/>
      <c r="CB249" s="611"/>
      <c r="CC249" s="500"/>
      <c r="CD249" s="609">
        <f>2013939+290916</f>
        <v>2304855</v>
      </c>
      <c r="CE249" s="610"/>
      <c r="CF249" s="56"/>
      <c r="CG249" s="611"/>
      <c r="CH249" s="500"/>
      <c r="CI249" s="609">
        <f>468022+68408</f>
        <v>536430</v>
      </c>
      <c r="CJ249" s="610"/>
      <c r="CK249" s="56"/>
      <c r="CL249" s="611"/>
      <c r="CM249" s="500"/>
      <c r="CN249" s="609">
        <f>1476097+213164</f>
        <v>1689261</v>
      </c>
      <c r="CO249" s="610"/>
      <c r="CP249" s="56"/>
      <c r="CQ249" s="611"/>
      <c r="CR249" s="500"/>
      <c r="CS249" s="609">
        <f>866869+115520</f>
        <v>982389</v>
      </c>
      <c r="CT249" s="610"/>
      <c r="CU249" s="56"/>
      <c r="CV249" s="611"/>
      <c r="CW249" s="500"/>
      <c r="CX249" s="609">
        <f>839811+115691</f>
        <v>955502</v>
      </c>
      <c r="CY249" s="610"/>
      <c r="CZ249" s="56"/>
      <c r="DA249" s="611"/>
      <c r="DB249" s="500"/>
      <c r="DC249" s="609">
        <f>1526908+210728</f>
        <v>1737636</v>
      </c>
      <c r="DD249" s="610"/>
      <c r="DE249" s="56"/>
      <c r="DF249" s="611"/>
      <c r="DG249" s="500"/>
      <c r="DH249" s="609">
        <f>181902+20827</f>
        <v>202729</v>
      </c>
      <c r="DI249" s="610"/>
      <c r="DJ249" s="56"/>
      <c r="DK249" s="611"/>
      <c r="DL249" s="500"/>
      <c r="DM249" s="609">
        <f>229813+21707</f>
        <v>251520</v>
      </c>
      <c r="DN249" s="610"/>
      <c r="DO249" s="56"/>
      <c r="DP249" s="611"/>
      <c r="DQ249" s="500"/>
      <c r="DR249" s="609">
        <f>779474+78516</f>
        <v>857990</v>
      </c>
      <c r="DS249" s="610"/>
      <c r="DT249" s="56"/>
      <c r="DU249" s="611"/>
      <c r="DV249" s="500"/>
      <c r="DW249" s="609">
        <f>284285+30857</f>
        <v>315142</v>
      </c>
      <c r="DX249" s="610"/>
      <c r="DY249" s="56"/>
      <c r="DZ249" s="611"/>
      <c r="EA249" s="500"/>
      <c r="EB249" s="609">
        <f>187248+21878</f>
        <v>209126</v>
      </c>
      <c r="EC249" s="610"/>
      <c r="ED249" s="56"/>
      <c r="EE249" s="611"/>
      <c r="EF249" s="500"/>
      <c r="EG249" s="609">
        <f>1280399+125048</f>
        <v>1405447</v>
      </c>
      <c r="EH249" s="610"/>
      <c r="EI249" s="56"/>
      <c r="EJ249" s="611"/>
      <c r="EK249" s="500"/>
      <c r="EL249" s="609">
        <f t="shared" ref="EL249:EL251" si="19">SUM(CD249:DW249)</f>
        <v>9833454</v>
      </c>
      <c r="EM249" s="610"/>
      <c r="EN249" s="56"/>
      <c r="EO249" s="144"/>
      <c r="ER249" s="42"/>
      <c r="ES249" s="42"/>
    </row>
    <row r="250" spans="4:149" ht="12.75" customHeight="1" x14ac:dyDescent="0.3">
      <c r="D250" s="144" t="s">
        <v>338</v>
      </c>
      <c r="E250" s="635"/>
      <c r="F250" s="494"/>
      <c r="G250" s="56">
        <v>0</v>
      </c>
      <c r="H250" s="55"/>
      <c r="I250" s="56"/>
      <c r="J250" s="611"/>
      <c r="K250" s="494"/>
      <c r="L250" s="56">
        <v>0</v>
      </c>
      <c r="M250" s="55"/>
      <c r="N250" s="56"/>
      <c r="O250" s="611"/>
      <c r="P250" s="494"/>
      <c r="Q250" s="56">
        <v>0</v>
      </c>
      <c r="R250" s="55"/>
      <c r="S250" s="56"/>
      <c r="T250" s="611"/>
      <c r="U250" s="494"/>
      <c r="V250" s="56">
        <v>0</v>
      </c>
      <c r="W250" s="55"/>
      <c r="X250" s="56"/>
      <c r="Y250" s="611"/>
      <c r="Z250" s="494"/>
      <c r="AA250" s="56">
        <v>0</v>
      </c>
      <c r="AB250" s="55"/>
      <c r="AC250" s="56"/>
      <c r="AD250" s="611"/>
      <c r="AE250" s="494"/>
      <c r="AF250" s="56">
        <v>0</v>
      </c>
      <c r="AG250" s="55"/>
      <c r="AH250" s="56"/>
      <c r="AI250" s="611"/>
      <c r="AJ250" s="494"/>
      <c r="AK250" s="56">
        <v>0</v>
      </c>
      <c r="AL250" s="55"/>
      <c r="AM250" s="56"/>
      <c r="AN250" s="611"/>
      <c r="AO250" s="494"/>
      <c r="AP250" s="56">
        <v>0</v>
      </c>
      <c r="AQ250" s="55"/>
      <c r="AR250" s="56"/>
      <c r="AS250" s="611"/>
      <c r="AT250" s="494"/>
      <c r="AU250" s="56">
        <v>0</v>
      </c>
      <c r="AV250" s="55"/>
      <c r="AW250" s="56"/>
      <c r="AX250" s="611"/>
      <c r="AY250" s="494"/>
      <c r="AZ250" s="56">
        <v>0</v>
      </c>
      <c r="BA250" s="55"/>
      <c r="BB250" s="56"/>
      <c r="BC250" s="611"/>
      <c r="BD250" s="494"/>
      <c r="BE250" s="56">
        <v>0</v>
      </c>
      <c r="BF250" s="55"/>
      <c r="BG250" s="56"/>
      <c r="BH250" s="611"/>
      <c r="BI250" s="494"/>
      <c r="BJ250" s="56">
        <v>0</v>
      </c>
      <c r="BK250" s="55"/>
      <c r="BL250" s="56"/>
      <c r="BM250" s="611"/>
      <c r="BN250" s="494"/>
      <c r="BO250" s="56">
        <v>0</v>
      </c>
      <c r="BP250" s="55"/>
      <c r="BQ250" s="56"/>
      <c r="BR250" s="611"/>
      <c r="BS250" s="494"/>
      <c r="BT250" s="56">
        <f>SUM(L250:BO250)</f>
        <v>0</v>
      </c>
      <c r="BU250" s="55"/>
      <c r="BV250" s="56"/>
      <c r="BW250" s="611"/>
      <c r="BX250" s="494"/>
      <c r="BY250" s="56">
        <v>0</v>
      </c>
      <c r="BZ250" s="55"/>
      <c r="CA250" s="56"/>
      <c r="CB250" s="611"/>
      <c r="CC250" s="494"/>
      <c r="CD250" s="56">
        <v>0</v>
      </c>
      <c r="CE250" s="55"/>
      <c r="CF250" s="56"/>
      <c r="CG250" s="611"/>
      <c r="CH250" s="494"/>
      <c r="CI250" s="56">
        <v>0</v>
      </c>
      <c r="CJ250" s="55"/>
      <c r="CK250" s="56"/>
      <c r="CL250" s="611"/>
      <c r="CM250" s="494"/>
      <c r="CN250" s="56">
        <v>0</v>
      </c>
      <c r="CO250" s="55"/>
      <c r="CP250" s="56"/>
      <c r="CQ250" s="611"/>
      <c r="CR250" s="494"/>
      <c r="CS250" s="56">
        <v>0</v>
      </c>
      <c r="CT250" s="55"/>
      <c r="CU250" s="56"/>
      <c r="CV250" s="611"/>
      <c r="CW250" s="494"/>
      <c r="CX250" s="56">
        <v>0</v>
      </c>
      <c r="CY250" s="55"/>
      <c r="CZ250" s="56"/>
      <c r="DA250" s="611"/>
      <c r="DB250" s="494"/>
      <c r="DC250" s="56">
        <v>0</v>
      </c>
      <c r="DD250" s="55"/>
      <c r="DE250" s="56"/>
      <c r="DF250" s="611"/>
      <c r="DG250" s="494"/>
      <c r="DH250" s="56">
        <v>0</v>
      </c>
      <c r="DI250" s="55"/>
      <c r="DJ250" s="56"/>
      <c r="DK250" s="611"/>
      <c r="DL250" s="494"/>
      <c r="DM250" s="56">
        <v>0</v>
      </c>
      <c r="DN250" s="55"/>
      <c r="DO250" s="56"/>
      <c r="DP250" s="611"/>
      <c r="DQ250" s="494"/>
      <c r="DR250" s="56">
        <v>0</v>
      </c>
      <c r="DS250" s="55"/>
      <c r="DT250" s="56"/>
      <c r="DU250" s="611"/>
      <c r="DV250" s="494"/>
      <c r="DW250" s="56">
        <v>0</v>
      </c>
      <c r="DX250" s="55"/>
      <c r="DY250" s="56"/>
      <c r="DZ250" s="611"/>
      <c r="EA250" s="494"/>
      <c r="EB250" s="56">
        <v>0</v>
      </c>
      <c r="EC250" s="55"/>
      <c r="ED250" s="56"/>
      <c r="EE250" s="611"/>
      <c r="EF250" s="494"/>
      <c r="EG250" s="56">
        <v>0</v>
      </c>
      <c r="EH250" s="55"/>
      <c r="EI250" s="56"/>
      <c r="EJ250" s="611"/>
      <c r="EK250" s="494"/>
      <c r="EL250" s="56">
        <f t="shared" si="19"/>
        <v>0</v>
      </c>
      <c r="EM250" s="55"/>
      <c r="EN250" s="56"/>
      <c r="EO250" s="144"/>
      <c r="ER250" s="42"/>
      <c r="ES250" s="42"/>
    </row>
    <row r="251" spans="4:149" ht="12.75" customHeight="1" x14ac:dyDescent="0.3">
      <c r="D251" s="144" t="s">
        <v>352</v>
      </c>
      <c r="E251" s="635"/>
      <c r="F251" s="513"/>
      <c r="G251" s="117">
        <v>0</v>
      </c>
      <c r="H251" s="116"/>
      <c r="I251" s="56"/>
      <c r="J251" s="611"/>
      <c r="K251" s="513"/>
      <c r="L251" s="117">
        <v>0</v>
      </c>
      <c r="M251" s="116"/>
      <c r="N251" s="56"/>
      <c r="O251" s="611"/>
      <c r="P251" s="513"/>
      <c r="Q251" s="117">
        <v>0</v>
      </c>
      <c r="R251" s="116"/>
      <c r="S251" s="56"/>
      <c r="T251" s="611"/>
      <c r="U251" s="513"/>
      <c r="V251" s="117">
        <v>0</v>
      </c>
      <c r="W251" s="116"/>
      <c r="X251" s="56"/>
      <c r="Y251" s="611"/>
      <c r="Z251" s="513"/>
      <c r="AA251" s="117">
        <v>0</v>
      </c>
      <c r="AB251" s="116"/>
      <c r="AC251" s="56"/>
      <c r="AD251" s="611"/>
      <c r="AE251" s="513"/>
      <c r="AF251" s="117">
        <v>0</v>
      </c>
      <c r="AG251" s="116"/>
      <c r="AH251" s="56"/>
      <c r="AI251" s="611"/>
      <c r="AJ251" s="513"/>
      <c r="AK251" s="117">
        <v>0</v>
      </c>
      <c r="AL251" s="116"/>
      <c r="AM251" s="56"/>
      <c r="AN251" s="611"/>
      <c r="AO251" s="513"/>
      <c r="AP251" s="117">
        <v>0</v>
      </c>
      <c r="AQ251" s="116"/>
      <c r="AR251" s="56"/>
      <c r="AS251" s="611"/>
      <c r="AT251" s="513"/>
      <c r="AU251" s="117">
        <v>0</v>
      </c>
      <c r="AV251" s="116"/>
      <c r="AW251" s="56"/>
      <c r="AX251" s="611"/>
      <c r="AY251" s="513"/>
      <c r="AZ251" s="117">
        <v>0</v>
      </c>
      <c r="BA251" s="116"/>
      <c r="BB251" s="56"/>
      <c r="BC251" s="611"/>
      <c r="BD251" s="513"/>
      <c r="BE251" s="117">
        <v>0</v>
      </c>
      <c r="BF251" s="116"/>
      <c r="BG251" s="56"/>
      <c r="BH251" s="611"/>
      <c r="BI251" s="513"/>
      <c r="BJ251" s="117">
        <v>0</v>
      </c>
      <c r="BK251" s="116"/>
      <c r="BL251" s="56"/>
      <c r="BM251" s="611"/>
      <c r="BN251" s="513"/>
      <c r="BO251" s="117">
        <v>0</v>
      </c>
      <c r="BP251" s="116"/>
      <c r="BQ251" s="56"/>
      <c r="BR251" s="611"/>
      <c r="BS251" s="513"/>
      <c r="BT251" s="117">
        <f>SUM(L251:BO251)</f>
        <v>0</v>
      </c>
      <c r="BU251" s="116"/>
      <c r="BV251" s="56"/>
      <c r="BW251" s="611"/>
      <c r="BX251" s="513"/>
      <c r="BY251" s="117">
        <v>-1313260</v>
      </c>
      <c r="BZ251" s="116"/>
      <c r="CA251" s="56"/>
      <c r="CB251" s="611"/>
      <c r="CC251" s="513"/>
      <c r="CD251" s="117">
        <v>-290916</v>
      </c>
      <c r="CE251" s="116"/>
      <c r="CF251" s="56"/>
      <c r="CG251" s="611"/>
      <c r="CH251" s="513"/>
      <c r="CI251" s="117">
        <v>-68408</v>
      </c>
      <c r="CJ251" s="116"/>
      <c r="CK251" s="56"/>
      <c r="CL251" s="611"/>
      <c r="CM251" s="513"/>
      <c r="CN251" s="117">
        <v>-213164</v>
      </c>
      <c r="CO251" s="116"/>
      <c r="CP251" s="56"/>
      <c r="CQ251" s="611"/>
      <c r="CR251" s="513"/>
      <c r="CS251" s="117">
        <v>-115520</v>
      </c>
      <c r="CT251" s="116"/>
      <c r="CU251" s="56"/>
      <c r="CV251" s="611"/>
      <c r="CW251" s="513"/>
      <c r="CX251" s="117">
        <v>-115691</v>
      </c>
      <c r="CY251" s="116"/>
      <c r="CZ251" s="56"/>
      <c r="DA251" s="611"/>
      <c r="DB251" s="513"/>
      <c r="DC251" s="117">
        <v>-210728</v>
      </c>
      <c r="DD251" s="116"/>
      <c r="DE251" s="56"/>
      <c r="DF251" s="611"/>
      <c r="DG251" s="513"/>
      <c r="DH251" s="117">
        <v>-20827</v>
      </c>
      <c r="DI251" s="116"/>
      <c r="DJ251" s="56"/>
      <c r="DK251" s="611"/>
      <c r="DL251" s="513"/>
      <c r="DM251" s="117">
        <v>-21707</v>
      </c>
      <c r="DN251" s="116"/>
      <c r="DO251" s="56"/>
      <c r="DP251" s="611"/>
      <c r="DQ251" s="513"/>
      <c r="DR251" s="117">
        <v>-78516</v>
      </c>
      <c r="DS251" s="116"/>
      <c r="DT251" s="56"/>
      <c r="DU251" s="611"/>
      <c r="DV251" s="513"/>
      <c r="DW251" s="117">
        <v>-30857</v>
      </c>
      <c r="DX251" s="116"/>
      <c r="DY251" s="56"/>
      <c r="DZ251" s="611"/>
      <c r="EA251" s="513"/>
      <c r="EB251" s="117">
        <v>-21878</v>
      </c>
      <c r="EC251" s="116"/>
      <c r="ED251" s="56"/>
      <c r="EE251" s="611"/>
      <c r="EF251" s="513"/>
      <c r="EG251" s="117">
        <v>-125048</v>
      </c>
      <c r="EH251" s="116"/>
      <c r="EI251" s="56"/>
      <c r="EJ251" s="611"/>
      <c r="EK251" s="513"/>
      <c r="EL251" s="117">
        <f t="shared" si="19"/>
        <v>-1166334</v>
      </c>
      <c r="EM251" s="116"/>
      <c r="EN251" s="56"/>
      <c r="EO251" s="144"/>
      <c r="ER251" s="42"/>
      <c r="ES251" s="42"/>
    </row>
    <row r="252" spans="4:149" ht="12.75" customHeight="1" x14ac:dyDescent="0.3">
      <c r="D252" s="144"/>
      <c r="E252" s="635"/>
      <c r="G252" s="56"/>
      <c r="H252" s="56"/>
      <c r="I252" s="56"/>
      <c r="J252" s="611"/>
      <c r="L252" s="56"/>
      <c r="M252" s="56"/>
      <c r="N252" s="56"/>
      <c r="O252" s="611"/>
      <c r="Q252" s="56"/>
      <c r="R252" s="56"/>
      <c r="S252" s="56"/>
      <c r="T252" s="611"/>
      <c r="V252" s="56"/>
      <c r="W252" s="56"/>
      <c r="X252" s="56"/>
      <c r="Y252" s="611"/>
      <c r="AA252" s="56"/>
      <c r="AB252" s="56"/>
      <c r="AC252" s="56"/>
      <c r="AD252" s="611"/>
      <c r="AF252" s="56"/>
      <c r="AG252" s="56"/>
      <c r="AH252" s="56"/>
      <c r="AI252" s="611"/>
      <c r="AK252" s="56"/>
      <c r="AL252" s="56"/>
      <c r="AM252" s="56"/>
      <c r="AN252" s="611"/>
      <c r="AP252" s="56"/>
      <c r="AQ252" s="56"/>
      <c r="AR252" s="56"/>
      <c r="AS252" s="611"/>
      <c r="AU252" s="56"/>
      <c r="AV252" s="56"/>
      <c r="AW252" s="56"/>
      <c r="AX252" s="611"/>
      <c r="AZ252" s="56"/>
      <c r="BA252" s="56"/>
      <c r="BB252" s="56"/>
      <c r="BC252" s="611"/>
      <c r="BE252" s="56"/>
      <c r="BF252" s="56"/>
      <c r="BG252" s="56"/>
      <c r="BH252" s="611"/>
      <c r="BJ252" s="56"/>
      <c r="BK252" s="56"/>
      <c r="BL252" s="56"/>
      <c r="BM252" s="611"/>
      <c r="BO252" s="56"/>
      <c r="BP252" s="56"/>
      <c r="BQ252" s="56"/>
      <c r="BR252" s="611"/>
      <c r="BT252" s="56"/>
      <c r="BU252" s="56"/>
      <c r="BV252" s="56"/>
      <c r="BW252" s="611"/>
      <c r="BY252" s="56"/>
      <c r="BZ252" s="56"/>
      <c r="CA252" s="56"/>
      <c r="CB252" s="611"/>
      <c r="CD252" s="56"/>
      <c r="CE252" s="56"/>
      <c r="CF252" s="56"/>
      <c r="CG252" s="611"/>
      <c r="CI252" s="56"/>
      <c r="CJ252" s="56"/>
      <c r="CK252" s="56"/>
      <c r="CL252" s="611"/>
      <c r="CN252" s="56"/>
      <c r="CO252" s="56"/>
      <c r="CP252" s="56"/>
      <c r="CQ252" s="611"/>
      <c r="CS252" s="56"/>
      <c r="CT252" s="56"/>
      <c r="CU252" s="56"/>
      <c r="CV252" s="611"/>
      <c r="CX252" s="56"/>
      <c r="CY252" s="56"/>
      <c r="CZ252" s="56"/>
      <c r="DA252" s="611"/>
      <c r="DC252" s="56"/>
      <c r="DD252" s="56"/>
      <c r="DE252" s="56"/>
      <c r="DF252" s="611"/>
      <c r="DH252" s="56"/>
      <c r="DI252" s="56"/>
      <c r="DJ252" s="56"/>
      <c r="DK252" s="611"/>
      <c r="DM252" s="56"/>
      <c r="DN252" s="56"/>
      <c r="DO252" s="56"/>
      <c r="DP252" s="611"/>
      <c r="DR252" s="56"/>
      <c r="DS252" s="56"/>
      <c r="DT252" s="56"/>
      <c r="DU252" s="611"/>
      <c r="DW252" s="56"/>
      <c r="DX252" s="56"/>
      <c r="DY252" s="56"/>
      <c r="DZ252" s="611"/>
      <c r="EB252" s="56"/>
      <c r="EC252" s="56"/>
      <c r="ED252" s="56"/>
      <c r="EE252" s="611"/>
      <c r="EG252" s="56"/>
      <c r="EH252" s="56"/>
      <c r="EI252" s="56"/>
      <c r="EJ252" s="611"/>
      <c r="EL252" s="56"/>
      <c r="EM252" s="56"/>
      <c r="EN252" s="56"/>
      <c r="EO252" s="144"/>
      <c r="ER252" s="42"/>
      <c r="ES252" s="42"/>
    </row>
    <row r="253" spans="4:149" ht="12.75" customHeight="1" x14ac:dyDescent="0.3">
      <c r="D253" s="144" t="s">
        <v>353</v>
      </c>
      <c r="G253" s="56">
        <f>SUM(G254:G256)</f>
        <v>3310802</v>
      </c>
      <c r="H253" s="56"/>
      <c r="I253" s="56"/>
      <c r="J253" s="611"/>
      <c r="K253" s="56"/>
      <c r="L253" s="56">
        <f>SUM(L254:L256)</f>
        <v>2306360</v>
      </c>
      <c r="M253" s="56"/>
      <c r="N253" s="56"/>
      <c r="O253" s="611"/>
      <c r="P253" s="56"/>
      <c r="Q253" s="56">
        <f>SUM(Q254:Q256)</f>
        <v>0</v>
      </c>
      <c r="R253" s="56"/>
      <c r="S253" s="56"/>
      <c r="T253" s="611"/>
      <c r="U253" s="56"/>
      <c r="V253" s="56">
        <f>SUM(V254:V256)</f>
        <v>1004442</v>
      </c>
      <c r="W253" s="56"/>
      <c r="X253" s="56"/>
      <c r="Y253" s="611"/>
      <c r="Z253" s="56"/>
      <c r="AA253" s="56">
        <f>SUM(AA254:AA256)</f>
        <v>0</v>
      </c>
      <c r="AB253" s="56"/>
      <c r="AC253" s="56"/>
      <c r="AD253" s="611"/>
      <c r="AE253" s="56"/>
      <c r="AF253" s="56">
        <f>SUM(AF254:AF256)</f>
        <v>0</v>
      </c>
      <c r="AG253" s="56"/>
      <c r="AH253" s="56"/>
      <c r="AI253" s="611"/>
      <c r="AJ253" s="56"/>
      <c r="AK253" s="56">
        <f>SUM(AK254:AK256)</f>
        <v>0</v>
      </c>
      <c r="AL253" s="56"/>
      <c r="AM253" s="56"/>
      <c r="AN253" s="611"/>
      <c r="AO253" s="56"/>
      <c r="AP253" s="56">
        <f>SUM(AP254:AP256)</f>
        <v>0</v>
      </c>
      <c r="AQ253" s="56"/>
      <c r="AR253" s="56"/>
      <c r="AS253" s="611"/>
      <c r="AT253" s="56"/>
      <c r="AU253" s="56">
        <f>SUM(AU254:AU256)</f>
        <v>0</v>
      </c>
      <c r="AV253" s="56"/>
      <c r="AW253" s="56"/>
      <c r="AX253" s="611"/>
      <c r="AY253" s="56"/>
      <c r="AZ253" s="56">
        <f>SUM(AZ254:AZ256)</f>
        <v>0</v>
      </c>
      <c r="BA253" s="56"/>
      <c r="BB253" s="56"/>
      <c r="BC253" s="611"/>
      <c r="BD253" s="56"/>
      <c r="BE253" s="56">
        <f>SUM(BE254:BE256)</f>
        <v>0</v>
      </c>
      <c r="BF253" s="56"/>
      <c r="BG253" s="56"/>
      <c r="BH253" s="611"/>
      <c r="BI253" s="56"/>
      <c r="BJ253" s="56">
        <f>SUM(BJ254:BJ256)</f>
        <v>0</v>
      </c>
      <c r="BK253" s="56"/>
      <c r="BL253" s="56"/>
      <c r="BM253" s="611"/>
      <c r="BN253" s="56"/>
      <c r="BO253" s="56">
        <f>SUM(BO254:BO256)</f>
        <v>0</v>
      </c>
      <c r="BP253" s="56"/>
      <c r="BQ253" s="56"/>
      <c r="BR253" s="611"/>
      <c r="BS253" s="56"/>
      <c r="BT253" s="56">
        <f>SUM(BT254:BT256)</f>
        <v>3310802</v>
      </c>
      <c r="BU253" s="56"/>
      <c r="BV253" s="56"/>
      <c r="BW253" s="611"/>
      <c r="BX253" s="56"/>
      <c r="BY253" s="56">
        <f>SUM(BY254:BY256)</f>
        <v>8535562</v>
      </c>
      <c r="BZ253" s="56"/>
      <c r="CA253" s="56"/>
      <c r="CB253" s="611"/>
      <c r="CC253" s="56"/>
      <c r="CD253" s="56">
        <f>SUM(CD254:CD256)</f>
        <v>2361985</v>
      </c>
      <c r="CE253" s="56"/>
      <c r="CF253" s="56"/>
      <c r="CG253" s="611"/>
      <c r="CH253" s="56"/>
      <c r="CI253" s="56">
        <f>SUM(CI254:CI256)</f>
        <v>0</v>
      </c>
      <c r="CJ253" s="56"/>
      <c r="CK253" s="56"/>
      <c r="CL253" s="611"/>
      <c r="CM253" s="56"/>
      <c r="CN253" s="56">
        <f>SUM(CN254:CN256)</f>
        <v>937347</v>
      </c>
      <c r="CO253" s="56"/>
      <c r="CP253" s="56"/>
      <c r="CQ253" s="611"/>
      <c r="CR253" s="56"/>
      <c r="CS253" s="56">
        <f>SUM(CS254:CS256)</f>
        <v>0</v>
      </c>
      <c r="CT253" s="56"/>
      <c r="CU253" s="56"/>
      <c r="CV253" s="611"/>
      <c r="CW253" s="56"/>
      <c r="CX253" s="56">
        <f>SUM(CX254:CX256)</f>
        <v>1604249</v>
      </c>
      <c r="CY253" s="56"/>
      <c r="CZ253" s="56"/>
      <c r="DA253" s="611"/>
      <c r="DB253" s="56"/>
      <c r="DC253" s="56">
        <f>SUM(DC254:DC256)</f>
        <v>0</v>
      </c>
      <c r="DD253" s="56"/>
      <c r="DE253" s="56"/>
      <c r="DF253" s="611"/>
      <c r="DG253" s="56"/>
      <c r="DH253" s="56">
        <f>SUM(DH254:DH256)</f>
        <v>1060430</v>
      </c>
      <c r="DI253" s="56"/>
      <c r="DJ253" s="56"/>
      <c r="DK253" s="611"/>
      <c r="DL253" s="56"/>
      <c r="DM253" s="56">
        <f>SUM(DM254:DM256)</f>
        <v>756410</v>
      </c>
      <c r="DN253" s="56"/>
      <c r="DO253" s="56"/>
      <c r="DP253" s="611"/>
      <c r="DQ253" s="56"/>
      <c r="DR253" s="56">
        <f>SUM(DR254:DR256)</f>
        <v>0</v>
      </c>
      <c r="DS253" s="56"/>
      <c r="DT253" s="56"/>
      <c r="DU253" s="611"/>
      <c r="DV253" s="56"/>
      <c r="DW253" s="56">
        <f>SUM(DW254:DW256)</f>
        <v>684561</v>
      </c>
      <c r="DX253" s="56"/>
      <c r="DY253" s="56"/>
      <c r="DZ253" s="611"/>
      <c r="EA253" s="56"/>
      <c r="EB253" s="56">
        <f>SUM(EB254:EB256)</f>
        <v>1130580</v>
      </c>
      <c r="EC253" s="56"/>
      <c r="ED253" s="56"/>
      <c r="EE253" s="611"/>
      <c r="EF253" s="56"/>
      <c r="EG253" s="56">
        <f>SUM(EG254:EG256)</f>
        <v>0</v>
      </c>
      <c r="EH253" s="56"/>
      <c r="EI253" s="56"/>
      <c r="EJ253" s="611"/>
      <c r="EK253" s="56"/>
      <c r="EL253" s="56">
        <f>SUM(EL254:EL256)</f>
        <v>7404982</v>
      </c>
      <c r="EM253" s="56"/>
      <c r="EN253" s="56"/>
      <c r="EO253" s="144"/>
      <c r="ER253" s="42"/>
      <c r="ES253" s="42"/>
    </row>
    <row r="254" spans="4:149" ht="12.75" customHeight="1" x14ac:dyDescent="0.3">
      <c r="D254" s="144" t="s">
        <v>335</v>
      </c>
      <c r="F254" s="500"/>
      <c r="G254" s="609">
        <v>3018492</v>
      </c>
      <c r="H254" s="610"/>
      <c r="I254" s="56"/>
      <c r="J254" s="611"/>
      <c r="K254" s="612"/>
      <c r="L254" s="609">
        <f>2306360-192613</f>
        <v>2113747</v>
      </c>
      <c r="M254" s="610"/>
      <c r="N254" s="56"/>
      <c r="O254" s="611"/>
      <c r="P254" s="612"/>
      <c r="Q254" s="609">
        <v>0</v>
      </c>
      <c r="R254" s="610"/>
      <c r="S254" s="56"/>
      <c r="T254" s="611"/>
      <c r="U254" s="612"/>
      <c r="V254" s="609">
        <f>1004442-99697</f>
        <v>904745</v>
      </c>
      <c r="W254" s="610"/>
      <c r="X254" s="56"/>
      <c r="Y254" s="611"/>
      <c r="Z254" s="612"/>
      <c r="AA254" s="609">
        <v>0</v>
      </c>
      <c r="AB254" s="610"/>
      <c r="AC254" s="56"/>
      <c r="AD254" s="611"/>
      <c r="AE254" s="612"/>
      <c r="AF254" s="609">
        <v>0</v>
      </c>
      <c r="AG254" s="610"/>
      <c r="AH254" s="56"/>
      <c r="AI254" s="611"/>
      <c r="AJ254" s="612"/>
      <c r="AK254" s="609">
        <v>0</v>
      </c>
      <c r="AL254" s="610"/>
      <c r="AM254" s="56"/>
      <c r="AN254" s="611"/>
      <c r="AO254" s="612"/>
      <c r="AP254" s="609">
        <v>0</v>
      </c>
      <c r="AQ254" s="610"/>
      <c r="AR254" s="56"/>
      <c r="AS254" s="611"/>
      <c r="AT254" s="612"/>
      <c r="AU254" s="609">
        <v>0</v>
      </c>
      <c r="AV254" s="610"/>
      <c r="AW254" s="56"/>
      <c r="AX254" s="611"/>
      <c r="AY254" s="612"/>
      <c r="AZ254" s="609">
        <v>0</v>
      </c>
      <c r="BA254" s="610"/>
      <c r="BB254" s="56"/>
      <c r="BC254" s="611"/>
      <c r="BD254" s="612"/>
      <c r="BE254" s="609">
        <v>0</v>
      </c>
      <c r="BF254" s="610"/>
      <c r="BG254" s="56"/>
      <c r="BH254" s="611"/>
      <c r="BI254" s="612"/>
      <c r="BJ254" s="609">
        <v>0</v>
      </c>
      <c r="BK254" s="610"/>
      <c r="BL254" s="56"/>
      <c r="BM254" s="611"/>
      <c r="BN254" s="612"/>
      <c r="BO254" s="609">
        <v>0</v>
      </c>
      <c r="BP254" s="610"/>
      <c r="BQ254" s="56"/>
      <c r="BR254" s="611"/>
      <c r="BS254" s="612"/>
      <c r="BT254" s="609">
        <f>SUM(L254:BO254)</f>
        <v>3018492</v>
      </c>
      <c r="BU254" s="610"/>
      <c r="BV254" s="56"/>
      <c r="BW254" s="611"/>
      <c r="BX254" s="612"/>
      <c r="BY254" s="609">
        <v>7911696</v>
      </c>
      <c r="BZ254" s="610"/>
      <c r="CA254" s="56"/>
      <c r="CB254" s="611"/>
      <c r="CC254" s="612"/>
      <c r="CD254" s="609">
        <f>2361985-213832</f>
        <v>2148153</v>
      </c>
      <c r="CE254" s="610"/>
      <c r="CF254" s="56"/>
      <c r="CG254" s="611"/>
      <c r="CH254" s="612"/>
      <c r="CI254" s="609">
        <v>0</v>
      </c>
      <c r="CJ254" s="610"/>
      <c r="CK254" s="56"/>
      <c r="CL254" s="611"/>
      <c r="CM254" s="612"/>
      <c r="CN254" s="609">
        <f>937347-45777</f>
        <v>891570</v>
      </c>
      <c r="CO254" s="610"/>
      <c r="CP254" s="56"/>
      <c r="CQ254" s="611"/>
      <c r="CR254" s="612"/>
      <c r="CS254" s="609">
        <v>0</v>
      </c>
      <c r="CT254" s="610"/>
      <c r="CU254" s="56"/>
      <c r="CV254" s="611"/>
      <c r="CW254" s="612"/>
      <c r="CX254" s="609">
        <f>1604249-81107</f>
        <v>1523142</v>
      </c>
      <c r="CY254" s="610"/>
      <c r="CZ254" s="56"/>
      <c r="DA254" s="611"/>
      <c r="DB254" s="612"/>
      <c r="DC254" s="609">
        <v>0</v>
      </c>
      <c r="DD254" s="610"/>
      <c r="DE254" s="56"/>
      <c r="DF254" s="611"/>
      <c r="DG254" s="612"/>
      <c r="DH254" s="609">
        <f>1060430-86346</f>
        <v>974084</v>
      </c>
      <c r="DI254" s="610"/>
      <c r="DJ254" s="56"/>
      <c r="DK254" s="611"/>
      <c r="DL254" s="612"/>
      <c r="DM254" s="609">
        <f>756410-68882</f>
        <v>687528</v>
      </c>
      <c r="DN254" s="610"/>
      <c r="DO254" s="56"/>
      <c r="DP254" s="611"/>
      <c r="DQ254" s="612"/>
      <c r="DR254" s="609">
        <v>0</v>
      </c>
      <c r="DS254" s="610"/>
      <c r="DT254" s="56"/>
      <c r="DU254" s="611"/>
      <c r="DV254" s="612"/>
      <c r="DW254" s="609">
        <f>684561-54191</f>
        <v>630370</v>
      </c>
      <c r="DX254" s="610"/>
      <c r="DY254" s="56"/>
      <c r="DZ254" s="611"/>
      <c r="EA254" s="612"/>
      <c r="EB254" s="609">
        <f>1130580-73731</f>
        <v>1056849</v>
      </c>
      <c r="EC254" s="610"/>
      <c r="ED254" s="56"/>
      <c r="EE254" s="611"/>
      <c r="EF254" s="612"/>
      <c r="EG254" s="609">
        <v>0</v>
      </c>
      <c r="EH254" s="610"/>
      <c r="EI254" s="56"/>
      <c r="EJ254" s="611"/>
      <c r="EK254" s="612"/>
      <c r="EL254" s="609">
        <f t="shared" ref="EL254:EL256" si="20">SUM(CD254:DW254)</f>
        <v>6854847</v>
      </c>
      <c r="EM254" s="610"/>
      <c r="EN254" s="56"/>
      <c r="EO254" s="144"/>
      <c r="ER254" s="42"/>
      <c r="ES254" s="42"/>
    </row>
    <row r="255" spans="4:149" ht="12.75" customHeight="1" x14ac:dyDescent="0.3">
      <c r="D255" s="144" t="s">
        <v>338</v>
      </c>
      <c r="F255" s="494"/>
      <c r="G255" s="56">
        <v>292310</v>
      </c>
      <c r="H255" s="55"/>
      <c r="I255" s="56"/>
      <c r="J255" s="611"/>
      <c r="K255" s="611"/>
      <c r="L255" s="56">
        <v>192613</v>
      </c>
      <c r="M255" s="55"/>
      <c r="N255" s="56"/>
      <c r="O255" s="611"/>
      <c r="P255" s="611"/>
      <c r="Q255" s="56">
        <v>0</v>
      </c>
      <c r="R255" s="55"/>
      <c r="S255" s="56"/>
      <c r="T255" s="611"/>
      <c r="U255" s="611"/>
      <c r="V255" s="56">
        <v>99697</v>
      </c>
      <c r="W255" s="55"/>
      <c r="X255" s="56"/>
      <c r="Y255" s="611"/>
      <c r="Z255" s="611"/>
      <c r="AA255" s="56">
        <v>0</v>
      </c>
      <c r="AB255" s="55"/>
      <c r="AC255" s="56"/>
      <c r="AD255" s="611"/>
      <c r="AE255" s="611"/>
      <c r="AF255" s="56">
        <v>0</v>
      </c>
      <c r="AG255" s="55"/>
      <c r="AH255" s="56"/>
      <c r="AI255" s="611"/>
      <c r="AJ255" s="611"/>
      <c r="AK255" s="56">
        <v>0</v>
      </c>
      <c r="AL255" s="55"/>
      <c r="AM255" s="56"/>
      <c r="AN255" s="611"/>
      <c r="AO255" s="611"/>
      <c r="AP255" s="56">
        <v>0</v>
      </c>
      <c r="AQ255" s="55"/>
      <c r="AR255" s="56"/>
      <c r="AS255" s="611"/>
      <c r="AT255" s="611"/>
      <c r="AU255" s="56">
        <v>0</v>
      </c>
      <c r="AV255" s="55"/>
      <c r="AW255" s="56"/>
      <c r="AX255" s="611"/>
      <c r="AY255" s="611"/>
      <c r="AZ255" s="56">
        <v>0</v>
      </c>
      <c r="BA255" s="55"/>
      <c r="BB255" s="56"/>
      <c r="BC255" s="611"/>
      <c r="BD255" s="611"/>
      <c r="BE255" s="56">
        <v>0</v>
      </c>
      <c r="BF255" s="55"/>
      <c r="BG255" s="56"/>
      <c r="BH255" s="611"/>
      <c r="BI255" s="611"/>
      <c r="BJ255" s="56">
        <v>0</v>
      </c>
      <c r="BK255" s="55"/>
      <c r="BL255" s="56"/>
      <c r="BM255" s="611"/>
      <c r="BN255" s="611"/>
      <c r="BO255" s="56">
        <v>0</v>
      </c>
      <c r="BP255" s="55"/>
      <c r="BQ255" s="56"/>
      <c r="BR255" s="611"/>
      <c r="BS255" s="611"/>
      <c r="BT255" s="56">
        <f>SUM(L255:BO255)</f>
        <v>292310</v>
      </c>
      <c r="BU255" s="55"/>
      <c r="BV255" s="56"/>
      <c r="BW255" s="611"/>
      <c r="BX255" s="611"/>
      <c r="BY255" s="56">
        <v>623866</v>
      </c>
      <c r="BZ255" s="55"/>
      <c r="CA255" s="56"/>
      <c r="CB255" s="611"/>
      <c r="CC255" s="611"/>
      <c r="CD255" s="56">
        <v>213832</v>
      </c>
      <c r="CE255" s="55"/>
      <c r="CF255" s="56"/>
      <c r="CG255" s="611"/>
      <c r="CH255" s="611"/>
      <c r="CI255" s="56">
        <v>0</v>
      </c>
      <c r="CJ255" s="55"/>
      <c r="CK255" s="56"/>
      <c r="CL255" s="611"/>
      <c r="CM255" s="611"/>
      <c r="CN255" s="56">
        <v>45777</v>
      </c>
      <c r="CO255" s="55"/>
      <c r="CP255" s="56"/>
      <c r="CQ255" s="611"/>
      <c r="CR255" s="611"/>
      <c r="CS255" s="56">
        <v>0</v>
      </c>
      <c r="CT255" s="55"/>
      <c r="CU255" s="56"/>
      <c r="CV255" s="611"/>
      <c r="CW255" s="611"/>
      <c r="CX255" s="56">
        <v>81107</v>
      </c>
      <c r="CY255" s="55"/>
      <c r="CZ255" s="56"/>
      <c r="DA255" s="611"/>
      <c r="DB255" s="611"/>
      <c r="DC255" s="56">
        <v>0</v>
      </c>
      <c r="DD255" s="55"/>
      <c r="DE255" s="56"/>
      <c r="DF255" s="611"/>
      <c r="DG255" s="611"/>
      <c r="DH255" s="56">
        <v>86346</v>
      </c>
      <c r="DI255" s="55"/>
      <c r="DJ255" s="56"/>
      <c r="DK255" s="611"/>
      <c r="DL255" s="611"/>
      <c r="DM255" s="56">
        <v>68882</v>
      </c>
      <c r="DN255" s="55"/>
      <c r="DO255" s="56"/>
      <c r="DP255" s="611"/>
      <c r="DQ255" s="611"/>
      <c r="DR255" s="56">
        <v>0</v>
      </c>
      <c r="DS255" s="55"/>
      <c r="DT255" s="56"/>
      <c r="DU255" s="611"/>
      <c r="DV255" s="611"/>
      <c r="DW255" s="56">
        <v>54191</v>
      </c>
      <c r="DX255" s="55"/>
      <c r="DY255" s="56"/>
      <c r="DZ255" s="611"/>
      <c r="EA255" s="611"/>
      <c r="EB255" s="56">
        <v>73731</v>
      </c>
      <c r="EC255" s="55"/>
      <c r="ED255" s="56"/>
      <c r="EE255" s="611"/>
      <c r="EF255" s="611"/>
      <c r="EG255" s="56">
        <v>0</v>
      </c>
      <c r="EH255" s="55"/>
      <c r="EI255" s="56"/>
      <c r="EJ255" s="611"/>
      <c r="EK255" s="611"/>
      <c r="EL255" s="56">
        <f t="shared" si="20"/>
        <v>550135</v>
      </c>
      <c r="EM255" s="55"/>
      <c r="EN255" s="56"/>
      <c r="EO255" s="144"/>
      <c r="ER255" s="42"/>
      <c r="ES255" s="42"/>
    </row>
    <row r="256" spans="4:149" ht="12.75" customHeight="1" x14ac:dyDescent="0.3">
      <c r="D256" s="144" t="s">
        <v>352</v>
      </c>
      <c r="F256" s="513"/>
      <c r="G256" s="117">
        <v>0</v>
      </c>
      <c r="H256" s="116"/>
      <c r="I256" s="56"/>
      <c r="J256" s="611"/>
      <c r="K256" s="620"/>
      <c r="L256" s="117">
        <v>0</v>
      </c>
      <c r="M256" s="116"/>
      <c r="N256" s="56"/>
      <c r="O256" s="611"/>
      <c r="P256" s="620"/>
      <c r="Q256" s="117">
        <v>0</v>
      </c>
      <c r="R256" s="116"/>
      <c r="S256" s="56"/>
      <c r="T256" s="611"/>
      <c r="U256" s="620"/>
      <c r="V256" s="117">
        <v>0</v>
      </c>
      <c r="W256" s="116"/>
      <c r="X256" s="56"/>
      <c r="Y256" s="611"/>
      <c r="Z256" s="620"/>
      <c r="AA256" s="117">
        <v>0</v>
      </c>
      <c r="AB256" s="116"/>
      <c r="AC256" s="56"/>
      <c r="AD256" s="611"/>
      <c r="AE256" s="620"/>
      <c r="AF256" s="117">
        <v>0</v>
      </c>
      <c r="AG256" s="116"/>
      <c r="AH256" s="56"/>
      <c r="AI256" s="611"/>
      <c r="AJ256" s="620"/>
      <c r="AK256" s="117">
        <v>0</v>
      </c>
      <c r="AL256" s="116"/>
      <c r="AM256" s="56"/>
      <c r="AN256" s="611"/>
      <c r="AO256" s="620"/>
      <c r="AP256" s="117">
        <v>0</v>
      </c>
      <c r="AQ256" s="116"/>
      <c r="AR256" s="56"/>
      <c r="AS256" s="611"/>
      <c r="AT256" s="620"/>
      <c r="AU256" s="117">
        <v>0</v>
      </c>
      <c r="AV256" s="116"/>
      <c r="AW256" s="56"/>
      <c r="AX256" s="611"/>
      <c r="AY256" s="620"/>
      <c r="AZ256" s="117">
        <v>0</v>
      </c>
      <c r="BA256" s="116"/>
      <c r="BB256" s="56"/>
      <c r="BC256" s="611"/>
      <c r="BD256" s="620"/>
      <c r="BE256" s="117">
        <v>0</v>
      </c>
      <c r="BF256" s="116"/>
      <c r="BG256" s="56"/>
      <c r="BH256" s="611"/>
      <c r="BI256" s="620"/>
      <c r="BJ256" s="117">
        <v>0</v>
      </c>
      <c r="BK256" s="116"/>
      <c r="BL256" s="56"/>
      <c r="BM256" s="611"/>
      <c r="BN256" s="620"/>
      <c r="BO256" s="117">
        <v>0</v>
      </c>
      <c r="BP256" s="116"/>
      <c r="BQ256" s="56"/>
      <c r="BR256" s="611"/>
      <c r="BS256" s="620"/>
      <c r="BT256" s="117">
        <f>SUM(L256:BO256)</f>
        <v>0</v>
      </c>
      <c r="BU256" s="116"/>
      <c r="BV256" s="56"/>
      <c r="BW256" s="611"/>
      <c r="BX256" s="620"/>
      <c r="BY256" s="117">
        <v>0</v>
      </c>
      <c r="BZ256" s="116"/>
      <c r="CA256" s="56"/>
      <c r="CB256" s="611"/>
      <c r="CC256" s="620"/>
      <c r="CD256" s="117">
        <v>0</v>
      </c>
      <c r="CE256" s="116"/>
      <c r="CF256" s="56"/>
      <c r="CG256" s="611"/>
      <c r="CH256" s="620"/>
      <c r="CI256" s="117">
        <v>0</v>
      </c>
      <c r="CJ256" s="116"/>
      <c r="CK256" s="56"/>
      <c r="CL256" s="611"/>
      <c r="CM256" s="620"/>
      <c r="CN256" s="117">
        <v>0</v>
      </c>
      <c r="CO256" s="116"/>
      <c r="CP256" s="56"/>
      <c r="CQ256" s="611"/>
      <c r="CR256" s="620"/>
      <c r="CS256" s="117">
        <v>0</v>
      </c>
      <c r="CT256" s="116"/>
      <c r="CU256" s="56"/>
      <c r="CV256" s="611"/>
      <c r="CW256" s="620"/>
      <c r="CX256" s="117">
        <v>0</v>
      </c>
      <c r="CY256" s="116"/>
      <c r="CZ256" s="56"/>
      <c r="DA256" s="611"/>
      <c r="DB256" s="620"/>
      <c r="DC256" s="117">
        <v>0</v>
      </c>
      <c r="DD256" s="116"/>
      <c r="DE256" s="56"/>
      <c r="DF256" s="611"/>
      <c r="DG256" s="620"/>
      <c r="DH256" s="117">
        <v>0</v>
      </c>
      <c r="DI256" s="116"/>
      <c r="DJ256" s="56"/>
      <c r="DK256" s="611"/>
      <c r="DL256" s="620"/>
      <c r="DM256" s="117">
        <v>0</v>
      </c>
      <c r="DN256" s="116"/>
      <c r="DO256" s="56"/>
      <c r="DP256" s="611"/>
      <c r="DQ256" s="620"/>
      <c r="DR256" s="117">
        <v>0</v>
      </c>
      <c r="DS256" s="116"/>
      <c r="DT256" s="56"/>
      <c r="DU256" s="611"/>
      <c r="DV256" s="620"/>
      <c r="DW256" s="117">
        <v>0</v>
      </c>
      <c r="DX256" s="116"/>
      <c r="DY256" s="56"/>
      <c r="DZ256" s="611"/>
      <c r="EA256" s="620"/>
      <c r="EB256" s="117">
        <v>0</v>
      </c>
      <c r="EC256" s="116"/>
      <c r="ED256" s="56"/>
      <c r="EE256" s="611"/>
      <c r="EF256" s="620"/>
      <c r="EG256" s="117">
        <v>0</v>
      </c>
      <c r="EH256" s="116"/>
      <c r="EI256" s="56"/>
      <c r="EJ256" s="611"/>
      <c r="EK256" s="620"/>
      <c r="EL256" s="117">
        <f t="shared" si="20"/>
        <v>0</v>
      </c>
      <c r="EM256" s="116"/>
      <c r="EN256" s="56"/>
      <c r="EO256" s="144"/>
      <c r="ER256" s="42"/>
      <c r="ES256" s="42"/>
    </row>
    <row r="257" spans="4:149" ht="12.75" customHeight="1" x14ac:dyDescent="0.3">
      <c r="D257" s="144"/>
      <c r="G257" s="56"/>
      <c r="H257" s="56"/>
      <c r="I257" s="56"/>
      <c r="J257" s="611"/>
      <c r="K257" s="56"/>
      <c r="L257" s="56"/>
      <c r="M257" s="56"/>
      <c r="N257" s="56"/>
      <c r="O257" s="611"/>
      <c r="P257" s="56"/>
      <c r="Q257" s="56"/>
      <c r="R257" s="56"/>
      <c r="S257" s="56"/>
      <c r="T257" s="611"/>
      <c r="U257" s="56"/>
      <c r="V257" s="56"/>
      <c r="W257" s="56"/>
      <c r="X257" s="56"/>
      <c r="Y257" s="611"/>
      <c r="Z257" s="56"/>
      <c r="AA257" s="56"/>
      <c r="AB257" s="56"/>
      <c r="AC257" s="56"/>
      <c r="AD257" s="611"/>
      <c r="AE257" s="56"/>
      <c r="AF257" s="56"/>
      <c r="AG257" s="56"/>
      <c r="AH257" s="56"/>
      <c r="AI257" s="611"/>
      <c r="AJ257" s="56"/>
      <c r="AK257" s="56"/>
      <c r="AL257" s="56"/>
      <c r="AM257" s="56"/>
      <c r="AN257" s="611"/>
      <c r="AO257" s="56"/>
      <c r="AP257" s="56"/>
      <c r="AQ257" s="56"/>
      <c r="AR257" s="56"/>
      <c r="AS257" s="611"/>
      <c r="AT257" s="56"/>
      <c r="AU257" s="56"/>
      <c r="AV257" s="56"/>
      <c r="AW257" s="56"/>
      <c r="AX257" s="611"/>
      <c r="AY257" s="56"/>
      <c r="AZ257" s="56"/>
      <c r="BA257" s="56"/>
      <c r="BB257" s="56"/>
      <c r="BC257" s="611"/>
      <c r="BD257" s="56"/>
      <c r="BE257" s="56"/>
      <c r="BF257" s="56"/>
      <c r="BG257" s="56"/>
      <c r="BH257" s="611"/>
      <c r="BI257" s="56"/>
      <c r="BJ257" s="56"/>
      <c r="BK257" s="56"/>
      <c r="BL257" s="56"/>
      <c r="BM257" s="611"/>
      <c r="BN257" s="56"/>
      <c r="BO257" s="56"/>
      <c r="BP257" s="56"/>
      <c r="BQ257" s="56"/>
      <c r="BR257" s="611"/>
      <c r="BS257" s="56"/>
      <c r="BT257" s="56"/>
      <c r="BU257" s="56"/>
      <c r="BV257" s="56"/>
      <c r="BW257" s="611"/>
      <c r="BX257" s="56"/>
      <c r="BY257" s="56"/>
      <c r="BZ257" s="56"/>
      <c r="CA257" s="56"/>
      <c r="CB257" s="611"/>
      <c r="CC257" s="56"/>
      <c r="CD257" s="56"/>
      <c r="CE257" s="56"/>
      <c r="CF257" s="56"/>
      <c r="CG257" s="611"/>
      <c r="CH257" s="56"/>
      <c r="CI257" s="56"/>
      <c r="CJ257" s="56"/>
      <c r="CK257" s="56"/>
      <c r="CL257" s="611"/>
      <c r="CM257" s="56"/>
      <c r="CN257" s="56"/>
      <c r="CO257" s="56"/>
      <c r="CP257" s="56"/>
      <c r="CQ257" s="611"/>
      <c r="CR257" s="56"/>
      <c r="CS257" s="56"/>
      <c r="CT257" s="56"/>
      <c r="CU257" s="56"/>
      <c r="CV257" s="611"/>
      <c r="CW257" s="56"/>
      <c r="CX257" s="56"/>
      <c r="CY257" s="56"/>
      <c r="CZ257" s="56"/>
      <c r="DA257" s="611"/>
      <c r="DB257" s="56"/>
      <c r="DC257" s="56"/>
      <c r="DD257" s="56"/>
      <c r="DE257" s="56"/>
      <c r="DF257" s="611"/>
      <c r="DG257" s="56"/>
      <c r="DH257" s="56"/>
      <c r="DI257" s="56"/>
      <c r="DJ257" s="56"/>
      <c r="DK257" s="611"/>
      <c r="DL257" s="56"/>
      <c r="DM257" s="56"/>
      <c r="DN257" s="56"/>
      <c r="DO257" s="56"/>
      <c r="DP257" s="611"/>
      <c r="DQ257" s="56"/>
      <c r="DR257" s="56"/>
      <c r="DS257" s="56"/>
      <c r="DT257" s="56"/>
      <c r="DU257" s="611"/>
      <c r="DV257" s="56"/>
      <c r="DW257" s="56"/>
      <c r="DX257" s="56"/>
      <c r="DY257" s="56"/>
      <c r="DZ257" s="611"/>
      <c r="EA257" s="56"/>
      <c r="EB257" s="56"/>
      <c r="EC257" s="56"/>
      <c r="ED257" s="56"/>
      <c r="EE257" s="611"/>
      <c r="EF257" s="56"/>
      <c r="EG257" s="56"/>
      <c r="EH257" s="56"/>
      <c r="EI257" s="56"/>
      <c r="EJ257" s="611"/>
      <c r="EK257" s="56"/>
      <c r="EL257" s="56"/>
      <c r="EM257" s="56"/>
      <c r="EN257" s="56"/>
      <c r="EO257" s="144"/>
      <c r="ER257" s="42"/>
      <c r="ES257" s="42"/>
    </row>
    <row r="258" spans="4:149" ht="12.75" customHeight="1" x14ac:dyDescent="0.3">
      <c r="D258" s="144" t="s">
        <v>354</v>
      </c>
      <c r="G258" s="56">
        <f>SUM(G259:G261)</f>
        <v>0</v>
      </c>
      <c r="H258" s="56"/>
      <c r="I258" s="56"/>
      <c r="J258" s="611"/>
      <c r="K258" s="56"/>
      <c r="L258" s="56">
        <f>SUM(L259:L261)</f>
        <v>0</v>
      </c>
      <c r="M258" s="56"/>
      <c r="N258" s="56"/>
      <c r="O258" s="611"/>
      <c r="P258" s="56"/>
      <c r="Q258" s="56">
        <f>SUM(Q259:Q261)</f>
        <v>0</v>
      </c>
      <c r="R258" s="56"/>
      <c r="S258" s="56"/>
      <c r="T258" s="611"/>
      <c r="U258" s="56"/>
      <c r="V258" s="56">
        <f>SUM(V259:V261)</f>
        <v>0</v>
      </c>
      <c r="W258" s="56"/>
      <c r="X258" s="56"/>
      <c r="Y258" s="611"/>
      <c r="Z258" s="56"/>
      <c r="AA258" s="56">
        <f>SUM(AA259:AA261)</f>
        <v>0</v>
      </c>
      <c r="AB258" s="56"/>
      <c r="AC258" s="56"/>
      <c r="AD258" s="611"/>
      <c r="AE258" s="56"/>
      <c r="AF258" s="56">
        <f>SUM(AF259:AF261)</f>
        <v>0</v>
      </c>
      <c r="AG258" s="56"/>
      <c r="AH258" s="56"/>
      <c r="AI258" s="611"/>
      <c r="AJ258" s="56"/>
      <c r="AK258" s="56">
        <f>SUM(AK259:AK261)</f>
        <v>0</v>
      </c>
      <c r="AL258" s="56"/>
      <c r="AM258" s="56"/>
      <c r="AN258" s="611"/>
      <c r="AO258" s="56"/>
      <c r="AP258" s="56">
        <f>SUM(AP259:AP261)</f>
        <v>0</v>
      </c>
      <c r="AQ258" s="56"/>
      <c r="AR258" s="56"/>
      <c r="AS258" s="611"/>
      <c r="AT258" s="56"/>
      <c r="AU258" s="56">
        <f>SUM(AU259:AU261)</f>
        <v>0</v>
      </c>
      <c r="AV258" s="56"/>
      <c r="AW258" s="56"/>
      <c r="AX258" s="611"/>
      <c r="AY258" s="56"/>
      <c r="AZ258" s="56">
        <f>SUM(AZ259:AZ261)</f>
        <v>0</v>
      </c>
      <c r="BA258" s="56"/>
      <c r="BB258" s="56"/>
      <c r="BC258" s="611"/>
      <c r="BD258" s="56"/>
      <c r="BE258" s="56">
        <f>SUM(BE259:BE261)</f>
        <v>0</v>
      </c>
      <c r="BF258" s="56"/>
      <c r="BG258" s="56"/>
      <c r="BH258" s="611"/>
      <c r="BI258" s="56"/>
      <c r="BJ258" s="56">
        <f>SUM(BJ259:BJ261)</f>
        <v>0</v>
      </c>
      <c r="BK258" s="56"/>
      <c r="BL258" s="56"/>
      <c r="BM258" s="611"/>
      <c r="BN258" s="56"/>
      <c r="BO258" s="56">
        <f>SUM(BO259:BO261)</f>
        <v>0</v>
      </c>
      <c r="BP258" s="56"/>
      <c r="BQ258" s="56"/>
      <c r="BR258" s="611"/>
      <c r="BS258" s="56"/>
      <c r="BT258" s="56">
        <f>SUM(BT259:BT261)</f>
        <v>0</v>
      </c>
      <c r="BU258" s="56"/>
      <c r="BV258" s="56"/>
      <c r="BW258" s="611"/>
      <c r="BX258" s="56"/>
      <c r="BY258" s="56">
        <f>SUM(BY259:BY261)</f>
        <v>1762525</v>
      </c>
      <c r="BZ258" s="56"/>
      <c r="CA258" s="56"/>
      <c r="CB258" s="611"/>
      <c r="CC258" s="56"/>
      <c r="CD258" s="56">
        <f>SUM(CD259:CD261)</f>
        <v>1762525</v>
      </c>
      <c r="CE258" s="56"/>
      <c r="CF258" s="56"/>
      <c r="CG258" s="611"/>
      <c r="CH258" s="56"/>
      <c r="CI258" s="56">
        <f>SUM(CI259:CI261)</f>
        <v>0</v>
      </c>
      <c r="CJ258" s="56"/>
      <c r="CK258" s="56"/>
      <c r="CL258" s="611"/>
      <c r="CM258" s="56"/>
      <c r="CN258" s="56">
        <f>SUM(CN259:CN261)</f>
        <v>0</v>
      </c>
      <c r="CO258" s="56"/>
      <c r="CP258" s="56"/>
      <c r="CQ258" s="611"/>
      <c r="CR258" s="56"/>
      <c r="CS258" s="56">
        <f>SUM(CS259:CS261)</f>
        <v>0</v>
      </c>
      <c r="CT258" s="56"/>
      <c r="CU258" s="56"/>
      <c r="CV258" s="611"/>
      <c r="CW258" s="56"/>
      <c r="CX258" s="56">
        <f>SUM(CX259:CX261)</f>
        <v>0</v>
      </c>
      <c r="CY258" s="56"/>
      <c r="CZ258" s="56"/>
      <c r="DA258" s="611"/>
      <c r="DB258" s="56"/>
      <c r="DC258" s="56">
        <f>SUM(DC259:DC261)</f>
        <v>0</v>
      </c>
      <c r="DD258" s="56"/>
      <c r="DE258" s="56"/>
      <c r="DF258" s="611"/>
      <c r="DG258" s="56"/>
      <c r="DH258" s="56">
        <f>SUM(DH259:DH261)</f>
        <v>0</v>
      </c>
      <c r="DI258" s="56"/>
      <c r="DJ258" s="56"/>
      <c r="DK258" s="611"/>
      <c r="DL258" s="56"/>
      <c r="DM258" s="56">
        <f>SUM(DM259:DM261)</f>
        <v>0</v>
      </c>
      <c r="DN258" s="56"/>
      <c r="DO258" s="56"/>
      <c r="DP258" s="611"/>
      <c r="DQ258" s="56"/>
      <c r="DR258" s="56">
        <f>SUM(DR259:DR261)</f>
        <v>0</v>
      </c>
      <c r="DS258" s="56"/>
      <c r="DT258" s="56"/>
      <c r="DU258" s="611"/>
      <c r="DV258" s="56"/>
      <c r="DW258" s="56">
        <f>SUM(DW259:DW261)</f>
        <v>0</v>
      </c>
      <c r="DX258" s="56"/>
      <c r="DY258" s="56"/>
      <c r="DZ258" s="611"/>
      <c r="EA258" s="56"/>
      <c r="EB258" s="56">
        <f>SUM(EB259:EB261)</f>
        <v>0</v>
      </c>
      <c r="EC258" s="56"/>
      <c r="ED258" s="56"/>
      <c r="EE258" s="611"/>
      <c r="EF258" s="56"/>
      <c r="EG258" s="56">
        <f>SUM(EG259:EG261)</f>
        <v>0</v>
      </c>
      <c r="EH258" s="56"/>
      <c r="EI258" s="56"/>
      <c r="EJ258" s="611"/>
      <c r="EK258" s="56"/>
      <c r="EL258" s="56">
        <f>SUM(EL259:EL261)</f>
        <v>1762525</v>
      </c>
      <c r="EM258" s="56"/>
      <c r="EN258" s="56"/>
      <c r="EO258" s="144"/>
      <c r="ER258" s="42"/>
      <c r="ES258" s="42"/>
    </row>
    <row r="259" spans="4:149" ht="12.75" customHeight="1" x14ac:dyDescent="0.3">
      <c r="D259" s="144" t="s">
        <v>335</v>
      </c>
      <c r="F259" s="500"/>
      <c r="G259" s="609">
        <v>0</v>
      </c>
      <c r="H259" s="610"/>
      <c r="I259" s="56"/>
      <c r="J259" s="611"/>
      <c r="K259" s="612"/>
      <c r="L259" s="609">
        <v>0</v>
      </c>
      <c r="M259" s="610"/>
      <c r="N259" s="56"/>
      <c r="O259" s="611"/>
      <c r="P259" s="612"/>
      <c r="Q259" s="609">
        <v>0</v>
      </c>
      <c r="R259" s="610"/>
      <c r="S259" s="56"/>
      <c r="T259" s="611"/>
      <c r="U259" s="612"/>
      <c r="V259" s="609">
        <v>0</v>
      </c>
      <c r="W259" s="610"/>
      <c r="X259" s="56"/>
      <c r="Y259" s="611"/>
      <c r="Z259" s="612"/>
      <c r="AA259" s="609">
        <v>0</v>
      </c>
      <c r="AB259" s="610"/>
      <c r="AC259" s="56"/>
      <c r="AD259" s="611"/>
      <c r="AE259" s="612"/>
      <c r="AF259" s="609">
        <v>0</v>
      </c>
      <c r="AG259" s="610"/>
      <c r="AH259" s="56"/>
      <c r="AI259" s="611"/>
      <c r="AJ259" s="612"/>
      <c r="AK259" s="609">
        <v>0</v>
      </c>
      <c r="AL259" s="610"/>
      <c r="AM259" s="56"/>
      <c r="AN259" s="611"/>
      <c r="AO259" s="612"/>
      <c r="AP259" s="609">
        <v>0</v>
      </c>
      <c r="AQ259" s="610"/>
      <c r="AR259" s="56"/>
      <c r="AS259" s="611"/>
      <c r="AT259" s="612"/>
      <c r="AU259" s="609">
        <v>0</v>
      </c>
      <c r="AV259" s="610"/>
      <c r="AW259" s="56"/>
      <c r="AX259" s="611"/>
      <c r="AY259" s="612"/>
      <c r="AZ259" s="609">
        <v>0</v>
      </c>
      <c r="BA259" s="610"/>
      <c r="BB259" s="56"/>
      <c r="BC259" s="611"/>
      <c r="BD259" s="612"/>
      <c r="BE259" s="609">
        <v>0</v>
      </c>
      <c r="BF259" s="610"/>
      <c r="BG259" s="56"/>
      <c r="BH259" s="611"/>
      <c r="BI259" s="612"/>
      <c r="BJ259" s="609">
        <v>0</v>
      </c>
      <c r="BK259" s="610"/>
      <c r="BL259" s="56"/>
      <c r="BM259" s="611"/>
      <c r="BN259" s="612"/>
      <c r="BO259" s="609">
        <v>0</v>
      </c>
      <c r="BP259" s="610"/>
      <c r="BQ259" s="56"/>
      <c r="BR259" s="611"/>
      <c r="BS259" s="612"/>
      <c r="BT259" s="609">
        <f>SUM(L259:BO259)</f>
        <v>0</v>
      </c>
      <c r="BU259" s="610"/>
      <c r="BV259" s="56"/>
      <c r="BW259" s="611"/>
      <c r="BX259" s="612"/>
      <c r="BY259" s="609">
        <v>1480356</v>
      </c>
      <c r="BZ259" s="610"/>
      <c r="CA259" s="56"/>
      <c r="CB259" s="611"/>
      <c r="CC259" s="612"/>
      <c r="CD259" s="609">
        <f>1762525-282169</f>
        <v>1480356</v>
      </c>
      <c r="CE259" s="610"/>
      <c r="CF259" s="56"/>
      <c r="CG259" s="611"/>
      <c r="CH259" s="612"/>
      <c r="CI259" s="609">
        <v>0</v>
      </c>
      <c r="CJ259" s="610"/>
      <c r="CK259" s="56"/>
      <c r="CL259" s="611"/>
      <c r="CM259" s="612"/>
      <c r="CN259" s="609">
        <v>0</v>
      </c>
      <c r="CO259" s="610"/>
      <c r="CP259" s="56"/>
      <c r="CQ259" s="611"/>
      <c r="CR259" s="612"/>
      <c r="CS259" s="609">
        <v>0</v>
      </c>
      <c r="CT259" s="610"/>
      <c r="CU259" s="56"/>
      <c r="CV259" s="611"/>
      <c r="CW259" s="612"/>
      <c r="CX259" s="609">
        <v>0</v>
      </c>
      <c r="CY259" s="610"/>
      <c r="CZ259" s="56"/>
      <c r="DA259" s="611"/>
      <c r="DB259" s="612"/>
      <c r="DC259" s="609">
        <v>0</v>
      </c>
      <c r="DD259" s="610"/>
      <c r="DE259" s="56"/>
      <c r="DF259" s="611"/>
      <c r="DG259" s="612"/>
      <c r="DH259" s="609">
        <v>0</v>
      </c>
      <c r="DI259" s="610"/>
      <c r="DJ259" s="56"/>
      <c r="DK259" s="611"/>
      <c r="DL259" s="612"/>
      <c r="DM259" s="609">
        <v>0</v>
      </c>
      <c r="DN259" s="610"/>
      <c r="DO259" s="56"/>
      <c r="DP259" s="611"/>
      <c r="DQ259" s="612"/>
      <c r="DR259" s="609">
        <v>0</v>
      </c>
      <c r="DS259" s="610"/>
      <c r="DT259" s="56"/>
      <c r="DU259" s="611"/>
      <c r="DV259" s="612"/>
      <c r="DW259" s="609">
        <v>0</v>
      </c>
      <c r="DX259" s="610"/>
      <c r="DY259" s="56"/>
      <c r="DZ259" s="611"/>
      <c r="EA259" s="612"/>
      <c r="EB259" s="609">
        <v>0</v>
      </c>
      <c r="EC259" s="610"/>
      <c r="ED259" s="56"/>
      <c r="EE259" s="611"/>
      <c r="EF259" s="612"/>
      <c r="EG259" s="609">
        <v>0</v>
      </c>
      <c r="EH259" s="610"/>
      <c r="EI259" s="56"/>
      <c r="EJ259" s="611"/>
      <c r="EK259" s="612"/>
      <c r="EL259" s="609">
        <f t="shared" ref="EL259:EL261" si="21">SUM(CD259:DW259)</f>
        <v>1480356</v>
      </c>
      <c r="EM259" s="610"/>
      <c r="EN259" s="56"/>
      <c r="EO259" s="144"/>
      <c r="ER259" s="42"/>
      <c r="ES259" s="42"/>
    </row>
    <row r="260" spans="4:149" ht="12.75" customHeight="1" x14ac:dyDescent="0.3">
      <c r="D260" s="144" t="s">
        <v>338</v>
      </c>
      <c r="F260" s="494"/>
      <c r="G260" s="56">
        <v>0</v>
      </c>
      <c r="H260" s="55"/>
      <c r="I260" s="56"/>
      <c r="J260" s="611"/>
      <c r="K260" s="611"/>
      <c r="L260" s="56">
        <v>0</v>
      </c>
      <c r="M260" s="55"/>
      <c r="N260" s="56"/>
      <c r="O260" s="611"/>
      <c r="P260" s="611"/>
      <c r="Q260" s="56">
        <v>0</v>
      </c>
      <c r="R260" s="55"/>
      <c r="S260" s="56"/>
      <c r="T260" s="611"/>
      <c r="U260" s="611"/>
      <c r="V260" s="56">
        <v>0</v>
      </c>
      <c r="W260" s="55"/>
      <c r="X260" s="56"/>
      <c r="Y260" s="611"/>
      <c r="Z260" s="611"/>
      <c r="AA260" s="56">
        <v>0</v>
      </c>
      <c r="AB260" s="55"/>
      <c r="AC260" s="56"/>
      <c r="AD260" s="611"/>
      <c r="AE260" s="611"/>
      <c r="AF260" s="56">
        <v>0</v>
      </c>
      <c r="AG260" s="55"/>
      <c r="AH260" s="56"/>
      <c r="AI260" s="611"/>
      <c r="AJ260" s="611"/>
      <c r="AK260" s="56">
        <v>0</v>
      </c>
      <c r="AL260" s="55"/>
      <c r="AM260" s="56"/>
      <c r="AN260" s="611"/>
      <c r="AO260" s="611"/>
      <c r="AP260" s="56">
        <v>0</v>
      </c>
      <c r="AQ260" s="55"/>
      <c r="AR260" s="56"/>
      <c r="AS260" s="611"/>
      <c r="AT260" s="611"/>
      <c r="AU260" s="56">
        <v>0</v>
      </c>
      <c r="AV260" s="55"/>
      <c r="AW260" s="56"/>
      <c r="AX260" s="611"/>
      <c r="AY260" s="611"/>
      <c r="AZ260" s="56">
        <v>0</v>
      </c>
      <c r="BA260" s="55"/>
      <c r="BB260" s="56"/>
      <c r="BC260" s="611"/>
      <c r="BD260" s="611"/>
      <c r="BE260" s="56">
        <v>0</v>
      </c>
      <c r="BF260" s="55"/>
      <c r="BG260" s="56"/>
      <c r="BH260" s="611"/>
      <c r="BI260" s="611"/>
      <c r="BJ260" s="56">
        <v>0</v>
      </c>
      <c r="BK260" s="55"/>
      <c r="BL260" s="56"/>
      <c r="BM260" s="611"/>
      <c r="BN260" s="611"/>
      <c r="BO260" s="56">
        <v>0</v>
      </c>
      <c r="BP260" s="55"/>
      <c r="BQ260" s="56"/>
      <c r="BR260" s="611"/>
      <c r="BS260" s="611"/>
      <c r="BT260" s="56">
        <f>SUM(L260:BO260)</f>
        <v>0</v>
      </c>
      <c r="BU260" s="55"/>
      <c r="BV260" s="56"/>
      <c r="BW260" s="611"/>
      <c r="BX260" s="611"/>
      <c r="BY260" s="56">
        <v>282169</v>
      </c>
      <c r="BZ260" s="55"/>
      <c r="CA260" s="56"/>
      <c r="CB260" s="611"/>
      <c r="CC260" s="611"/>
      <c r="CD260" s="56">
        <v>282169</v>
      </c>
      <c r="CE260" s="55"/>
      <c r="CF260" s="56"/>
      <c r="CG260" s="611"/>
      <c r="CH260" s="611"/>
      <c r="CI260" s="56">
        <v>0</v>
      </c>
      <c r="CJ260" s="55"/>
      <c r="CK260" s="56"/>
      <c r="CL260" s="611"/>
      <c r="CM260" s="611"/>
      <c r="CN260" s="56">
        <v>0</v>
      </c>
      <c r="CO260" s="55"/>
      <c r="CP260" s="56"/>
      <c r="CQ260" s="611"/>
      <c r="CR260" s="611"/>
      <c r="CS260" s="56">
        <v>0</v>
      </c>
      <c r="CT260" s="55"/>
      <c r="CU260" s="56"/>
      <c r="CV260" s="611"/>
      <c r="CW260" s="611"/>
      <c r="CX260" s="56">
        <v>0</v>
      </c>
      <c r="CY260" s="55"/>
      <c r="CZ260" s="56"/>
      <c r="DA260" s="611"/>
      <c r="DB260" s="611"/>
      <c r="DC260" s="56">
        <v>0</v>
      </c>
      <c r="DD260" s="55"/>
      <c r="DE260" s="56"/>
      <c r="DF260" s="611"/>
      <c r="DG260" s="611"/>
      <c r="DH260" s="56">
        <v>0</v>
      </c>
      <c r="DI260" s="55"/>
      <c r="DJ260" s="56"/>
      <c r="DK260" s="611"/>
      <c r="DL260" s="611"/>
      <c r="DM260" s="56">
        <v>0</v>
      </c>
      <c r="DN260" s="55"/>
      <c r="DO260" s="56"/>
      <c r="DP260" s="611"/>
      <c r="DQ260" s="611"/>
      <c r="DR260" s="56">
        <v>0</v>
      </c>
      <c r="DS260" s="55"/>
      <c r="DT260" s="56"/>
      <c r="DU260" s="611"/>
      <c r="DV260" s="611"/>
      <c r="DW260" s="56">
        <v>0</v>
      </c>
      <c r="DX260" s="55"/>
      <c r="DY260" s="56"/>
      <c r="DZ260" s="611"/>
      <c r="EA260" s="611"/>
      <c r="EB260" s="56">
        <v>0</v>
      </c>
      <c r="EC260" s="55"/>
      <c r="ED260" s="56"/>
      <c r="EE260" s="611"/>
      <c r="EF260" s="611"/>
      <c r="EG260" s="56">
        <v>0</v>
      </c>
      <c r="EH260" s="55"/>
      <c r="EI260" s="56"/>
      <c r="EJ260" s="611"/>
      <c r="EK260" s="611"/>
      <c r="EL260" s="56">
        <f t="shared" si="21"/>
        <v>282169</v>
      </c>
      <c r="EM260" s="55"/>
      <c r="EN260" s="56"/>
      <c r="EO260" s="144"/>
      <c r="ER260" s="42"/>
      <c r="ES260" s="42"/>
    </row>
    <row r="261" spans="4:149" ht="12.75" customHeight="1" x14ac:dyDescent="0.3">
      <c r="D261" s="144" t="s">
        <v>352</v>
      </c>
      <c r="F261" s="513"/>
      <c r="G261" s="117">
        <v>0</v>
      </c>
      <c r="H261" s="116"/>
      <c r="I261" s="56"/>
      <c r="J261" s="611"/>
      <c r="K261" s="620"/>
      <c r="L261" s="117">
        <v>0</v>
      </c>
      <c r="M261" s="116"/>
      <c r="N261" s="56"/>
      <c r="O261" s="611"/>
      <c r="P261" s="620"/>
      <c r="Q261" s="117">
        <v>0</v>
      </c>
      <c r="R261" s="116"/>
      <c r="S261" s="56"/>
      <c r="T261" s="611"/>
      <c r="U261" s="620"/>
      <c r="V261" s="117">
        <v>0</v>
      </c>
      <c r="W261" s="116"/>
      <c r="X261" s="56"/>
      <c r="Y261" s="611"/>
      <c r="Z261" s="620"/>
      <c r="AA261" s="117">
        <v>0</v>
      </c>
      <c r="AB261" s="116"/>
      <c r="AC261" s="56"/>
      <c r="AD261" s="611"/>
      <c r="AE261" s="620"/>
      <c r="AF261" s="117">
        <v>0</v>
      </c>
      <c r="AG261" s="116"/>
      <c r="AH261" s="56"/>
      <c r="AI261" s="611"/>
      <c r="AJ261" s="620"/>
      <c r="AK261" s="117">
        <v>0</v>
      </c>
      <c r="AL261" s="116"/>
      <c r="AM261" s="56"/>
      <c r="AN261" s="611"/>
      <c r="AO261" s="620"/>
      <c r="AP261" s="117">
        <v>0</v>
      </c>
      <c r="AQ261" s="116"/>
      <c r="AR261" s="56"/>
      <c r="AS261" s="611"/>
      <c r="AT261" s="620"/>
      <c r="AU261" s="117">
        <v>0</v>
      </c>
      <c r="AV261" s="116"/>
      <c r="AW261" s="56"/>
      <c r="AX261" s="611"/>
      <c r="AY261" s="620"/>
      <c r="AZ261" s="117">
        <v>0</v>
      </c>
      <c r="BA261" s="116"/>
      <c r="BB261" s="56"/>
      <c r="BC261" s="611"/>
      <c r="BD261" s="620"/>
      <c r="BE261" s="117">
        <v>0</v>
      </c>
      <c r="BF261" s="116"/>
      <c r="BG261" s="56"/>
      <c r="BH261" s="611"/>
      <c r="BI261" s="620"/>
      <c r="BJ261" s="117">
        <v>0</v>
      </c>
      <c r="BK261" s="116"/>
      <c r="BL261" s="56"/>
      <c r="BM261" s="611"/>
      <c r="BN261" s="620"/>
      <c r="BO261" s="117">
        <v>0</v>
      </c>
      <c r="BP261" s="116"/>
      <c r="BQ261" s="56"/>
      <c r="BR261" s="611"/>
      <c r="BS261" s="620"/>
      <c r="BT261" s="117">
        <f>SUM(L261:BO261)</f>
        <v>0</v>
      </c>
      <c r="BU261" s="116"/>
      <c r="BV261" s="56"/>
      <c r="BW261" s="611"/>
      <c r="BX261" s="620"/>
      <c r="BY261" s="117">
        <v>0</v>
      </c>
      <c r="BZ261" s="116"/>
      <c r="CA261" s="56"/>
      <c r="CB261" s="611"/>
      <c r="CC261" s="620"/>
      <c r="CD261" s="117">
        <v>0</v>
      </c>
      <c r="CE261" s="116"/>
      <c r="CF261" s="56"/>
      <c r="CG261" s="611"/>
      <c r="CH261" s="620"/>
      <c r="CI261" s="117">
        <v>0</v>
      </c>
      <c r="CJ261" s="116"/>
      <c r="CK261" s="56"/>
      <c r="CL261" s="611"/>
      <c r="CM261" s="620"/>
      <c r="CN261" s="117">
        <v>0</v>
      </c>
      <c r="CO261" s="116"/>
      <c r="CP261" s="56"/>
      <c r="CQ261" s="611"/>
      <c r="CR261" s="620"/>
      <c r="CS261" s="117">
        <v>0</v>
      </c>
      <c r="CT261" s="116"/>
      <c r="CU261" s="56"/>
      <c r="CV261" s="611"/>
      <c r="CW261" s="620"/>
      <c r="CX261" s="117">
        <v>0</v>
      </c>
      <c r="CY261" s="116"/>
      <c r="CZ261" s="56"/>
      <c r="DA261" s="611"/>
      <c r="DB261" s="620"/>
      <c r="DC261" s="117">
        <v>0</v>
      </c>
      <c r="DD261" s="116"/>
      <c r="DE261" s="56"/>
      <c r="DF261" s="611"/>
      <c r="DG261" s="620"/>
      <c r="DH261" s="117">
        <v>0</v>
      </c>
      <c r="DI261" s="116"/>
      <c r="DJ261" s="56"/>
      <c r="DK261" s="611"/>
      <c r="DL261" s="620"/>
      <c r="DM261" s="117">
        <v>0</v>
      </c>
      <c r="DN261" s="116"/>
      <c r="DO261" s="56"/>
      <c r="DP261" s="611"/>
      <c r="DQ261" s="620"/>
      <c r="DR261" s="117">
        <v>0</v>
      </c>
      <c r="DS261" s="116"/>
      <c r="DT261" s="56"/>
      <c r="DU261" s="611"/>
      <c r="DV261" s="620"/>
      <c r="DW261" s="117">
        <v>0</v>
      </c>
      <c r="DX261" s="116"/>
      <c r="DY261" s="56"/>
      <c r="DZ261" s="611"/>
      <c r="EA261" s="620"/>
      <c r="EB261" s="117">
        <v>0</v>
      </c>
      <c r="EC261" s="116"/>
      <c r="ED261" s="56"/>
      <c r="EE261" s="611"/>
      <c r="EF261" s="620"/>
      <c r="EG261" s="117">
        <v>0</v>
      </c>
      <c r="EH261" s="116"/>
      <c r="EI261" s="56"/>
      <c r="EJ261" s="611"/>
      <c r="EK261" s="620"/>
      <c r="EL261" s="117">
        <f t="shared" si="21"/>
        <v>0</v>
      </c>
      <c r="EM261" s="116"/>
      <c r="EN261" s="56"/>
      <c r="EO261" s="144"/>
      <c r="ER261" s="42"/>
      <c r="ES261" s="42"/>
    </row>
    <row r="262" spans="4:149" ht="12.75" customHeight="1" x14ac:dyDescent="0.3">
      <c r="D262" s="144"/>
      <c r="G262" s="56"/>
      <c r="H262" s="56"/>
      <c r="I262" s="56"/>
      <c r="J262" s="611"/>
      <c r="K262" s="56"/>
      <c r="L262" s="56"/>
      <c r="M262" s="56"/>
      <c r="N262" s="56"/>
      <c r="O262" s="611"/>
      <c r="P262" s="56"/>
      <c r="Q262" s="56"/>
      <c r="R262" s="56"/>
      <c r="S262" s="56"/>
      <c r="T262" s="611"/>
      <c r="U262" s="56"/>
      <c r="V262" s="56"/>
      <c r="W262" s="56"/>
      <c r="X262" s="56"/>
      <c r="Y262" s="611"/>
      <c r="Z262" s="56"/>
      <c r="AA262" s="56"/>
      <c r="AB262" s="56"/>
      <c r="AC262" s="56"/>
      <c r="AD262" s="611"/>
      <c r="AE262" s="56"/>
      <c r="AF262" s="56"/>
      <c r="AG262" s="56"/>
      <c r="AH262" s="56"/>
      <c r="AI262" s="611"/>
      <c r="AJ262" s="56"/>
      <c r="AK262" s="56"/>
      <c r="AL262" s="56"/>
      <c r="AM262" s="56"/>
      <c r="AN262" s="611"/>
      <c r="AO262" s="56"/>
      <c r="AP262" s="56"/>
      <c r="AQ262" s="56"/>
      <c r="AR262" s="56"/>
      <c r="AS262" s="611"/>
      <c r="AT262" s="56"/>
      <c r="AU262" s="56"/>
      <c r="AV262" s="56"/>
      <c r="AW262" s="56"/>
      <c r="AX262" s="611"/>
      <c r="AY262" s="56"/>
      <c r="AZ262" s="56"/>
      <c r="BA262" s="56"/>
      <c r="BB262" s="56"/>
      <c r="BC262" s="611"/>
      <c r="BD262" s="56"/>
      <c r="BE262" s="56"/>
      <c r="BF262" s="56"/>
      <c r="BG262" s="56"/>
      <c r="BH262" s="611"/>
      <c r="BI262" s="56"/>
      <c r="BJ262" s="56"/>
      <c r="BK262" s="56"/>
      <c r="BL262" s="56"/>
      <c r="BM262" s="611"/>
      <c r="BN262" s="56"/>
      <c r="BO262" s="56"/>
      <c r="BP262" s="56"/>
      <c r="BQ262" s="56"/>
      <c r="BR262" s="611"/>
      <c r="BS262" s="56"/>
      <c r="BT262" s="56"/>
      <c r="BU262" s="56"/>
      <c r="BV262" s="56"/>
      <c r="BW262" s="611"/>
      <c r="BX262" s="56"/>
      <c r="BY262" s="56"/>
      <c r="BZ262" s="56"/>
      <c r="CA262" s="56"/>
      <c r="CB262" s="611"/>
      <c r="CC262" s="56"/>
      <c r="CD262" s="56"/>
      <c r="CE262" s="56"/>
      <c r="CF262" s="56"/>
      <c r="CG262" s="611"/>
      <c r="CH262" s="56"/>
      <c r="CI262" s="56"/>
      <c r="CJ262" s="56"/>
      <c r="CK262" s="56"/>
      <c r="CL262" s="611"/>
      <c r="CM262" s="56"/>
      <c r="CN262" s="56"/>
      <c r="CO262" s="56"/>
      <c r="CP262" s="56"/>
      <c r="CQ262" s="611"/>
      <c r="CR262" s="56"/>
      <c r="CS262" s="56"/>
      <c r="CT262" s="56"/>
      <c r="CU262" s="56"/>
      <c r="CV262" s="611"/>
      <c r="CW262" s="56"/>
      <c r="CX262" s="56"/>
      <c r="CY262" s="56"/>
      <c r="CZ262" s="56"/>
      <c r="DA262" s="611"/>
      <c r="DB262" s="56"/>
      <c r="DC262" s="56"/>
      <c r="DD262" s="56"/>
      <c r="DE262" s="56"/>
      <c r="DF262" s="611"/>
      <c r="DG262" s="56"/>
      <c r="DH262" s="56"/>
      <c r="DI262" s="56"/>
      <c r="DJ262" s="56"/>
      <c r="DK262" s="611"/>
      <c r="DL262" s="56"/>
      <c r="DM262" s="56"/>
      <c r="DN262" s="56"/>
      <c r="DO262" s="56"/>
      <c r="DP262" s="611"/>
      <c r="DQ262" s="56"/>
      <c r="DR262" s="56"/>
      <c r="DS262" s="56"/>
      <c r="DT262" s="56"/>
      <c r="DU262" s="611"/>
      <c r="DV262" s="56"/>
      <c r="DW262" s="56"/>
      <c r="DX262" s="56"/>
      <c r="DY262" s="56"/>
      <c r="DZ262" s="611"/>
      <c r="EA262" s="56"/>
      <c r="EB262" s="56"/>
      <c r="EC262" s="56"/>
      <c r="ED262" s="56"/>
      <c r="EE262" s="611"/>
      <c r="EF262" s="56"/>
      <c r="EG262" s="56"/>
      <c r="EH262" s="56"/>
      <c r="EI262" s="56"/>
      <c r="EJ262" s="611"/>
      <c r="EK262" s="56"/>
      <c r="EL262" s="56"/>
      <c r="EM262" s="56"/>
      <c r="EN262" s="56"/>
      <c r="EO262" s="144"/>
      <c r="ER262" s="42"/>
      <c r="ES262" s="42"/>
    </row>
    <row r="263" spans="4:149" ht="12.75" customHeight="1" x14ac:dyDescent="0.3">
      <c r="D263" s="144" t="s">
        <v>355</v>
      </c>
      <c r="G263" s="56">
        <f>SUM(G264:G266)</f>
        <v>1791329</v>
      </c>
      <c r="H263" s="56"/>
      <c r="I263" s="56"/>
      <c r="J263" s="611"/>
      <c r="K263" s="56"/>
      <c r="L263" s="56">
        <f>SUM(L264:L266)</f>
        <v>0</v>
      </c>
      <c r="M263" s="56"/>
      <c r="N263" s="56"/>
      <c r="O263" s="611"/>
      <c r="P263" s="56"/>
      <c r="Q263" s="56">
        <f>SUM(Q264:Q266)</f>
        <v>1500149</v>
      </c>
      <c r="R263" s="56"/>
      <c r="S263" s="56"/>
      <c r="T263" s="611"/>
      <c r="U263" s="56"/>
      <c r="V263" s="56">
        <f>SUM(V264:V266)</f>
        <v>291180</v>
      </c>
      <c r="W263" s="56"/>
      <c r="X263" s="56"/>
      <c r="Y263" s="611"/>
      <c r="Z263" s="56"/>
      <c r="AA263" s="56">
        <f>SUM(AA264:AA266)</f>
        <v>0</v>
      </c>
      <c r="AB263" s="56"/>
      <c r="AC263" s="56"/>
      <c r="AD263" s="611"/>
      <c r="AE263" s="56"/>
      <c r="AF263" s="56">
        <f>SUM(AF264:AF266)</f>
        <v>0</v>
      </c>
      <c r="AG263" s="56"/>
      <c r="AH263" s="56"/>
      <c r="AI263" s="611"/>
      <c r="AJ263" s="56"/>
      <c r="AK263" s="56">
        <f>SUM(AK264:AK266)</f>
        <v>0</v>
      </c>
      <c r="AL263" s="56"/>
      <c r="AM263" s="56"/>
      <c r="AN263" s="611"/>
      <c r="AO263" s="56"/>
      <c r="AP263" s="56">
        <f>SUM(AP264:AP266)</f>
        <v>0</v>
      </c>
      <c r="AQ263" s="56"/>
      <c r="AR263" s="56"/>
      <c r="AS263" s="611"/>
      <c r="AT263" s="56"/>
      <c r="AU263" s="56">
        <f>SUM(AU264:AU266)</f>
        <v>0</v>
      </c>
      <c r="AV263" s="56"/>
      <c r="AW263" s="56"/>
      <c r="AX263" s="611"/>
      <c r="AY263" s="56"/>
      <c r="AZ263" s="56">
        <f>SUM(AZ264:AZ266)</f>
        <v>0</v>
      </c>
      <c r="BA263" s="56"/>
      <c r="BB263" s="56"/>
      <c r="BC263" s="611"/>
      <c r="BD263" s="56"/>
      <c r="BE263" s="56">
        <f>SUM(BE264:BE266)</f>
        <v>0</v>
      </c>
      <c r="BF263" s="56"/>
      <c r="BG263" s="56"/>
      <c r="BH263" s="611"/>
      <c r="BI263" s="56"/>
      <c r="BJ263" s="56">
        <f>SUM(BJ264:BJ266)</f>
        <v>0</v>
      </c>
      <c r="BK263" s="56"/>
      <c r="BL263" s="56"/>
      <c r="BM263" s="611"/>
      <c r="BN263" s="56"/>
      <c r="BO263" s="56">
        <f>SUM(BO264:BO266)</f>
        <v>0</v>
      </c>
      <c r="BP263" s="56"/>
      <c r="BQ263" s="56"/>
      <c r="BR263" s="611"/>
      <c r="BS263" s="56"/>
      <c r="BT263" s="56">
        <f>SUM(BT264:BT266)</f>
        <v>1791329</v>
      </c>
      <c r="BU263" s="56"/>
      <c r="BV263" s="56"/>
      <c r="BW263" s="611"/>
      <c r="BX263" s="56"/>
      <c r="BY263" s="56">
        <f>SUM(BY264:BY266)</f>
        <v>11813592</v>
      </c>
      <c r="BZ263" s="56"/>
      <c r="CA263" s="56"/>
      <c r="CB263" s="611"/>
      <c r="CC263" s="56"/>
      <c r="CD263" s="56">
        <f>SUM(CD264:CD266)</f>
        <v>2314937</v>
      </c>
      <c r="CE263" s="56"/>
      <c r="CF263" s="56"/>
      <c r="CG263" s="611"/>
      <c r="CH263" s="56"/>
      <c r="CI263" s="56">
        <f>SUM(CI264:CI266)</f>
        <v>1054813</v>
      </c>
      <c r="CJ263" s="56"/>
      <c r="CK263" s="56"/>
      <c r="CL263" s="611"/>
      <c r="CM263" s="56"/>
      <c r="CN263" s="56">
        <f>SUM(CN264:CN266)</f>
        <v>2851517</v>
      </c>
      <c r="CO263" s="56"/>
      <c r="CP263" s="56"/>
      <c r="CQ263" s="611"/>
      <c r="CR263" s="56"/>
      <c r="CS263" s="56">
        <f>SUM(CS264:CS266)</f>
        <v>1087665</v>
      </c>
      <c r="CT263" s="56"/>
      <c r="CU263" s="56"/>
      <c r="CV263" s="611"/>
      <c r="CW263" s="56"/>
      <c r="CX263" s="56">
        <f>SUM(CX264:CX266)</f>
        <v>1296164</v>
      </c>
      <c r="CY263" s="56"/>
      <c r="CZ263" s="56"/>
      <c r="DA263" s="611"/>
      <c r="DB263" s="56"/>
      <c r="DC263" s="56">
        <f>SUM(DC264:DC266)</f>
        <v>238941</v>
      </c>
      <c r="DD263" s="56"/>
      <c r="DE263" s="56"/>
      <c r="DF263" s="611"/>
      <c r="DG263" s="56"/>
      <c r="DH263" s="56">
        <f>SUM(DH264:DH266)</f>
        <v>0</v>
      </c>
      <c r="DI263" s="56"/>
      <c r="DJ263" s="56"/>
      <c r="DK263" s="611"/>
      <c r="DL263" s="56"/>
      <c r="DM263" s="56">
        <f>SUM(DM264:DM266)</f>
        <v>0</v>
      </c>
      <c r="DN263" s="56"/>
      <c r="DO263" s="56"/>
      <c r="DP263" s="611"/>
      <c r="DQ263" s="56"/>
      <c r="DR263" s="56">
        <f>SUM(DR264:DR266)</f>
        <v>2627515</v>
      </c>
      <c r="DS263" s="56"/>
      <c r="DT263" s="56"/>
      <c r="DU263" s="611"/>
      <c r="DV263" s="56"/>
      <c r="DW263" s="56">
        <f>SUM(DW264:DW266)</f>
        <v>0</v>
      </c>
      <c r="DX263" s="56"/>
      <c r="DY263" s="56"/>
      <c r="DZ263" s="611"/>
      <c r="EA263" s="56"/>
      <c r="EB263" s="56">
        <f>SUM(EB264:EB266)</f>
        <v>0</v>
      </c>
      <c r="EC263" s="56"/>
      <c r="ED263" s="56"/>
      <c r="EE263" s="611"/>
      <c r="EF263" s="56"/>
      <c r="EG263" s="56">
        <f>SUM(EG264:EG266)</f>
        <v>342040</v>
      </c>
      <c r="EH263" s="56"/>
      <c r="EI263" s="56"/>
      <c r="EJ263" s="611"/>
      <c r="EK263" s="56"/>
      <c r="EL263" s="56">
        <f>SUM(EL264:EL266)</f>
        <v>11471552</v>
      </c>
      <c r="EM263" s="56"/>
      <c r="EN263" s="56"/>
      <c r="EO263" s="144"/>
      <c r="ER263" s="42"/>
      <c r="ES263" s="42"/>
    </row>
    <row r="264" spans="4:149" ht="12.75" customHeight="1" x14ac:dyDescent="0.3">
      <c r="D264" s="144" t="s">
        <v>335</v>
      </c>
      <c r="F264" s="500"/>
      <c r="G264" s="609">
        <v>1568131</v>
      </c>
      <c r="H264" s="610"/>
      <c r="I264" s="56"/>
      <c r="J264" s="611"/>
      <c r="K264" s="612"/>
      <c r="L264" s="609">
        <v>0</v>
      </c>
      <c r="M264" s="610"/>
      <c r="N264" s="56"/>
      <c r="O264" s="611"/>
      <c r="P264" s="612"/>
      <c r="Q264" s="609">
        <f>1500149-186627</f>
        <v>1313522</v>
      </c>
      <c r="R264" s="610"/>
      <c r="S264" s="56"/>
      <c r="T264" s="611"/>
      <c r="U264" s="612"/>
      <c r="V264" s="609">
        <f>291180-36571</f>
        <v>254609</v>
      </c>
      <c r="W264" s="610"/>
      <c r="X264" s="56"/>
      <c r="Y264" s="611"/>
      <c r="Z264" s="612"/>
      <c r="AA264" s="609">
        <v>0</v>
      </c>
      <c r="AB264" s="610"/>
      <c r="AC264" s="56"/>
      <c r="AD264" s="611"/>
      <c r="AE264" s="612"/>
      <c r="AF264" s="609">
        <v>0</v>
      </c>
      <c r="AG264" s="610"/>
      <c r="AH264" s="56"/>
      <c r="AI264" s="611"/>
      <c r="AJ264" s="612"/>
      <c r="AK264" s="609">
        <v>0</v>
      </c>
      <c r="AL264" s="610"/>
      <c r="AM264" s="56"/>
      <c r="AN264" s="611"/>
      <c r="AO264" s="612"/>
      <c r="AP264" s="609">
        <v>0</v>
      </c>
      <c r="AQ264" s="610"/>
      <c r="AR264" s="56"/>
      <c r="AS264" s="611"/>
      <c r="AT264" s="612"/>
      <c r="AU264" s="609">
        <v>0</v>
      </c>
      <c r="AV264" s="610"/>
      <c r="AW264" s="56"/>
      <c r="AX264" s="611"/>
      <c r="AY264" s="612"/>
      <c r="AZ264" s="609">
        <v>0</v>
      </c>
      <c r="BA264" s="610"/>
      <c r="BB264" s="56"/>
      <c r="BC264" s="611"/>
      <c r="BD264" s="612"/>
      <c r="BE264" s="609">
        <v>0</v>
      </c>
      <c r="BF264" s="610"/>
      <c r="BG264" s="56"/>
      <c r="BH264" s="611"/>
      <c r="BI264" s="612"/>
      <c r="BJ264" s="609">
        <v>0</v>
      </c>
      <c r="BK264" s="610"/>
      <c r="BL264" s="56"/>
      <c r="BM264" s="611"/>
      <c r="BN264" s="612"/>
      <c r="BO264" s="609">
        <v>0</v>
      </c>
      <c r="BP264" s="610"/>
      <c r="BQ264" s="56"/>
      <c r="BR264" s="611"/>
      <c r="BS264" s="612"/>
      <c r="BT264" s="609">
        <f>SUM(L264:BO264)</f>
        <v>1568131</v>
      </c>
      <c r="BU264" s="610"/>
      <c r="BV264" s="56"/>
      <c r="BW264" s="611"/>
      <c r="BX264" s="612"/>
      <c r="BY264" s="609">
        <v>10609890</v>
      </c>
      <c r="BZ264" s="610"/>
      <c r="CA264" s="56"/>
      <c r="CB264" s="611"/>
      <c r="CC264" s="612"/>
      <c r="CD264" s="609">
        <f>2314937-254707</f>
        <v>2060230</v>
      </c>
      <c r="CE264" s="610"/>
      <c r="CF264" s="56"/>
      <c r="CG264" s="611"/>
      <c r="CH264" s="612"/>
      <c r="CI264" s="609">
        <f>1054813-113977</f>
        <v>940836</v>
      </c>
      <c r="CJ264" s="610"/>
      <c r="CK264" s="56"/>
      <c r="CL264" s="611"/>
      <c r="CM264" s="612"/>
      <c r="CN264" s="609">
        <f>2851517-243780</f>
        <v>2607737</v>
      </c>
      <c r="CO264" s="610"/>
      <c r="CP264" s="56"/>
      <c r="CQ264" s="611"/>
      <c r="CR264" s="612"/>
      <c r="CS264" s="609">
        <f>1087665-98731</f>
        <v>988934</v>
      </c>
      <c r="CT264" s="610"/>
      <c r="CU264" s="56"/>
      <c r="CV264" s="611"/>
      <c r="CW264" s="612"/>
      <c r="CX264" s="609">
        <f>1296164-114597</f>
        <v>1181567</v>
      </c>
      <c r="CY264" s="610"/>
      <c r="CZ264" s="56"/>
      <c r="DA264" s="611"/>
      <c r="DB264" s="612"/>
      <c r="DC264" s="609">
        <f>238941-18277</f>
        <v>220664</v>
      </c>
      <c r="DD264" s="610"/>
      <c r="DE264" s="56"/>
      <c r="DF264" s="611"/>
      <c r="DG264" s="612"/>
      <c r="DH264" s="609">
        <v>0</v>
      </c>
      <c r="DI264" s="610"/>
      <c r="DJ264" s="56"/>
      <c r="DK264" s="611"/>
      <c r="DL264" s="612"/>
      <c r="DM264" s="609">
        <v>0</v>
      </c>
      <c r="DN264" s="610"/>
      <c r="DO264" s="56"/>
      <c r="DP264" s="611"/>
      <c r="DQ264" s="612"/>
      <c r="DR264" s="609">
        <f>2627515-322787</f>
        <v>2304728</v>
      </c>
      <c r="DS264" s="610"/>
      <c r="DT264" s="56"/>
      <c r="DU264" s="611"/>
      <c r="DV264" s="612"/>
      <c r="DW264" s="609">
        <v>0</v>
      </c>
      <c r="DX264" s="610"/>
      <c r="DY264" s="56"/>
      <c r="DZ264" s="611"/>
      <c r="EA264" s="612"/>
      <c r="EB264" s="609">
        <v>0</v>
      </c>
      <c r="EC264" s="610"/>
      <c r="ED264" s="56"/>
      <c r="EE264" s="611"/>
      <c r="EF264" s="612"/>
      <c r="EG264" s="609">
        <f>342040-36846</f>
        <v>305194</v>
      </c>
      <c r="EH264" s="610"/>
      <c r="EI264" s="56"/>
      <c r="EJ264" s="611"/>
      <c r="EK264" s="612"/>
      <c r="EL264" s="609">
        <f t="shared" ref="EL264:EL266" si="22">SUM(CD264:DW264)</f>
        <v>10304696</v>
      </c>
      <c r="EM264" s="610"/>
      <c r="EN264" s="56"/>
      <c r="EO264" s="144"/>
      <c r="ER264" s="42"/>
      <c r="ES264" s="42"/>
    </row>
    <row r="265" spans="4:149" ht="12.75" customHeight="1" x14ac:dyDescent="0.3">
      <c r="D265" s="144" t="s">
        <v>338</v>
      </c>
      <c r="F265" s="494"/>
      <c r="G265" s="56">
        <v>223198</v>
      </c>
      <c r="H265" s="55"/>
      <c r="I265" s="56"/>
      <c r="J265" s="611"/>
      <c r="K265" s="611"/>
      <c r="L265" s="56">
        <v>0</v>
      </c>
      <c r="M265" s="55"/>
      <c r="N265" s="56"/>
      <c r="O265" s="611"/>
      <c r="P265" s="611"/>
      <c r="Q265" s="56">
        <v>186627</v>
      </c>
      <c r="R265" s="55"/>
      <c r="S265" s="56"/>
      <c r="T265" s="611"/>
      <c r="U265" s="611"/>
      <c r="V265" s="56">
        <v>36571</v>
      </c>
      <c r="W265" s="55"/>
      <c r="X265" s="56"/>
      <c r="Y265" s="611"/>
      <c r="Z265" s="611"/>
      <c r="AA265" s="56">
        <v>0</v>
      </c>
      <c r="AB265" s="55"/>
      <c r="AC265" s="56"/>
      <c r="AD265" s="611"/>
      <c r="AE265" s="611"/>
      <c r="AF265" s="56">
        <v>0</v>
      </c>
      <c r="AG265" s="55"/>
      <c r="AH265" s="56"/>
      <c r="AI265" s="611"/>
      <c r="AJ265" s="611"/>
      <c r="AK265" s="56">
        <v>0</v>
      </c>
      <c r="AL265" s="55"/>
      <c r="AM265" s="56"/>
      <c r="AN265" s="611"/>
      <c r="AO265" s="611"/>
      <c r="AP265" s="56">
        <v>0</v>
      </c>
      <c r="AQ265" s="55"/>
      <c r="AR265" s="56"/>
      <c r="AS265" s="611"/>
      <c r="AT265" s="611"/>
      <c r="AU265" s="56">
        <v>0</v>
      </c>
      <c r="AV265" s="55"/>
      <c r="AW265" s="56"/>
      <c r="AX265" s="611"/>
      <c r="AY265" s="611"/>
      <c r="AZ265" s="56">
        <v>0</v>
      </c>
      <c r="BA265" s="55"/>
      <c r="BB265" s="56"/>
      <c r="BC265" s="611"/>
      <c r="BD265" s="611"/>
      <c r="BE265" s="56">
        <v>0</v>
      </c>
      <c r="BF265" s="55"/>
      <c r="BG265" s="56"/>
      <c r="BH265" s="611"/>
      <c r="BI265" s="611"/>
      <c r="BJ265" s="56">
        <v>0</v>
      </c>
      <c r="BK265" s="55"/>
      <c r="BL265" s="56"/>
      <c r="BM265" s="611"/>
      <c r="BN265" s="611"/>
      <c r="BO265" s="56">
        <v>0</v>
      </c>
      <c r="BP265" s="55"/>
      <c r="BQ265" s="56"/>
      <c r="BR265" s="611"/>
      <c r="BS265" s="611"/>
      <c r="BT265" s="56">
        <f>SUM(L265:BO265)</f>
        <v>223198</v>
      </c>
      <c r="BU265" s="55"/>
      <c r="BV265" s="56"/>
      <c r="BW265" s="611"/>
      <c r="BX265" s="611"/>
      <c r="BY265" s="56">
        <v>1203702</v>
      </c>
      <c r="BZ265" s="55"/>
      <c r="CA265" s="56"/>
      <c r="CB265" s="611"/>
      <c r="CC265" s="611"/>
      <c r="CD265" s="56">
        <v>254707</v>
      </c>
      <c r="CE265" s="55"/>
      <c r="CF265" s="56"/>
      <c r="CG265" s="611"/>
      <c r="CH265" s="611"/>
      <c r="CI265" s="56">
        <v>113977</v>
      </c>
      <c r="CJ265" s="55"/>
      <c r="CK265" s="56"/>
      <c r="CL265" s="611"/>
      <c r="CM265" s="611"/>
      <c r="CN265" s="56">
        <v>243780</v>
      </c>
      <c r="CO265" s="55"/>
      <c r="CP265" s="56"/>
      <c r="CQ265" s="611"/>
      <c r="CR265" s="611"/>
      <c r="CS265" s="56">
        <v>98731</v>
      </c>
      <c r="CT265" s="55"/>
      <c r="CU265" s="56"/>
      <c r="CV265" s="611"/>
      <c r="CW265" s="611"/>
      <c r="CX265" s="56">
        <v>114597</v>
      </c>
      <c r="CY265" s="55"/>
      <c r="CZ265" s="56"/>
      <c r="DA265" s="611"/>
      <c r="DB265" s="611"/>
      <c r="DC265" s="56">
        <v>18277</v>
      </c>
      <c r="DD265" s="55"/>
      <c r="DE265" s="56"/>
      <c r="DF265" s="611"/>
      <c r="DG265" s="611"/>
      <c r="DH265" s="56">
        <v>0</v>
      </c>
      <c r="DI265" s="55"/>
      <c r="DJ265" s="56"/>
      <c r="DK265" s="611"/>
      <c r="DL265" s="611"/>
      <c r="DM265" s="56">
        <v>0</v>
      </c>
      <c r="DN265" s="55"/>
      <c r="DO265" s="56"/>
      <c r="DP265" s="611"/>
      <c r="DQ265" s="611"/>
      <c r="DR265" s="56">
        <v>322787</v>
      </c>
      <c r="DS265" s="55"/>
      <c r="DT265" s="56"/>
      <c r="DU265" s="611"/>
      <c r="DV265" s="611"/>
      <c r="DW265" s="56">
        <v>0</v>
      </c>
      <c r="DX265" s="55"/>
      <c r="DY265" s="56"/>
      <c r="DZ265" s="611"/>
      <c r="EA265" s="611"/>
      <c r="EB265" s="56">
        <v>0</v>
      </c>
      <c r="EC265" s="55"/>
      <c r="ED265" s="56"/>
      <c r="EE265" s="611"/>
      <c r="EF265" s="611"/>
      <c r="EG265" s="56">
        <v>36846</v>
      </c>
      <c r="EH265" s="55"/>
      <c r="EI265" s="56"/>
      <c r="EJ265" s="611"/>
      <c r="EK265" s="611"/>
      <c r="EL265" s="56">
        <f t="shared" si="22"/>
        <v>1166856</v>
      </c>
      <c r="EM265" s="55"/>
      <c r="EN265" s="56"/>
      <c r="EO265" s="144"/>
      <c r="ER265" s="42"/>
      <c r="ES265" s="42"/>
    </row>
    <row r="266" spans="4:149" ht="12.75" customHeight="1" x14ac:dyDescent="0.3">
      <c r="D266" s="144" t="s">
        <v>352</v>
      </c>
      <c r="F266" s="513"/>
      <c r="G266" s="117">
        <v>0</v>
      </c>
      <c r="H266" s="116"/>
      <c r="I266" s="56"/>
      <c r="J266" s="611"/>
      <c r="K266" s="620"/>
      <c r="L266" s="117">
        <v>0</v>
      </c>
      <c r="M266" s="116"/>
      <c r="N266" s="56"/>
      <c r="O266" s="611"/>
      <c r="P266" s="620"/>
      <c r="Q266" s="117">
        <v>0</v>
      </c>
      <c r="R266" s="116"/>
      <c r="S266" s="56"/>
      <c r="T266" s="611"/>
      <c r="U266" s="620"/>
      <c r="V266" s="117">
        <v>0</v>
      </c>
      <c r="W266" s="116"/>
      <c r="X266" s="56"/>
      <c r="Y266" s="611"/>
      <c r="Z266" s="620"/>
      <c r="AA266" s="117">
        <v>0</v>
      </c>
      <c r="AB266" s="116"/>
      <c r="AC266" s="56"/>
      <c r="AD266" s="611"/>
      <c r="AE266" s="620"/>
      <c r="AF266" s="117">
        <v>0</v>
      </c>
      <c r="AG266" s="116"/>
      <c r="AH266" s="56"/>
      <c r="AI266" s="611"/>
      <c r="AJ266" s="620"/>
      <c r="AK266" s="117">
        <v>0</v>
      </c>
      <c r="AL266" s="116"/>
      <c r="AM266" s="56"/>
      <c r="AN266" s="611"/>
      <c r="AO266" s="620"/>
      <c r="AP266" s="117">
        <v>0</v>
      </c>
      <c r="AQ266" s="116"/>
      <c r="AR266" s="56"/>
      <c r="AS266" s="611"/>
      <c r="AT266" s="620"/>
      <c r="AU266" s="117">
        <v>0</v>
      </c>
      <c r="AV266" s="116"/>
      <c r="AW266" s="56"/>
      <c r="AX266" s="611"/>
      <c r="AY266" s="620"/>
      <c r="AZ266" s="117">
        <v>0</v>
      </c>
      <c r="BA266" s="116"/>
      <c r="BB266" s="56"/>
      <c r="BC266" s="611"/>
      <c r="BD266" s="620"/>
      <c r="BE266" s="117">
        <v>0</v>
      </c>
      <c r="BF266" s="116"/>
      <c r="BG266" s="56"/>
      <c r="BH266" s="611"/>
      <c r="BI266" s="620"/>
      <c r="BJ266" s="117">
        <v>0</v>
      </c>
      <c r="BK266" s="116"/>
      <c r="BL266" s="56"/>
      <c r="BM266" s="611"/>
      <c r="BN266" s="620"/>
      <c r="BO266" s="117">
        <v>0</v>
      </c>
      <c r="BP266" s="116"/>
      <c r="BQ266" s="56"/>
      <c r="BR266" s="611"/>
      <c r="BS266" s="620"/>
      <c r="BT266" s="117">
        <f>SUM(L266:BO266)</f>
        <v>0</v>
      </c>
      <c r="BU266" s="116"/>
      <c r="BV266" s="56"/>
      <c r="BW266" s="611"/>
      <c r="BX266" s="620"/>
      <c r="BY266" s="117">
        <v>0</v>
      </c>
      <c r="BZ266" s="116"/>
      <c r="CA266" s="56"/>
      <c r="CB266" s="611"/>
      <c r="CC266" s="620"/>
      <c r="CD266" s="117">
        <v>0</v>
      </c>
      <c r="CE266" s="116"/>
      <c r="CF266" s="56"/>
      <c r="CG266" s="611"/>
      <c r="CH266" s="620"/>
      <c r="CI266" s="117">
        <v>0</v>
      </c>
      <c r="CJ266" s="116"/>
      <c r="CK266" s="56"/>
      <c r="CL266" s="611"/>
      <c r="CM266" s="620"/>
      <c r="CN266" s="117">
        <v>0</v>
      </c>
      <c r="CO266" s="116"/>
      <c r="CP266" s="56"/>
      <c r="CQ266" s="611"/>
      <c r="CR266" s="620"/>
      <c r="CS266" s="117">
        <v>0</v>
      </c>
      <c r="CT266" s="116"/>
      <c r="CU266" s="56"/>
      <c r="CV266" s="611"/>
      <c r="CW266" s="620"/>
      <c r="CX266" s="117">
        <v>0</v>
      </c>
      <c r="CY266" s="116"/>
      <c r="CZ266" s="56"/>
      <c r="DA266" s="611"/>
      <c r="DB266" s="620"/>
      <c r="DC266" s="117">
        <v>0</v>
      </c>
      <c r="DD266" s="116"/>
      <c r="DE266" s="56"/>
      <c r="DF266" s="611"/>
      <c r="DG266" s="620"/>
      <c r="DH266" s="117">
        <v>0</v>
      </c>
      <c r="DI266" s="116"/>
      <c r="DJ266" s="56"/>
      <c r="DK266" s="611"/>
      <c r="DL266" s="620"/>
      <c r="DM266" s="117">
        <v>0</v>
      </c>
      <c r="DN266" s="116"/>
      <c r="DO266" s="56"/>
      <c r="DP266" s="611"/>
      <c r="DQ266" s="620"/>
      <c r="DR266" s="117">
        <v>0</v>
      </c>
      <c r="DS266" s="116"/>
      <c r="DT266" s="56"/>
      <c r="DU266" s="611"/>
      <c r="DV266" s="620"/>
      <c r="DW266" s="117">
        <v>0</v>
      </c>
      <c r="DX266" s="116"/>
      <c r="DY266" s="56"/>
      <c r="DZ266" s="611"/>
      <c r="EA266" s="620"/>
      <c r="EB266" s="117">
        <v>0</v>
      </c>
      <c r="EC266" s="116"/>
      <c r="ED266" s="56"/>
      <c r="EE266" s="611"/>
      <c r="EF266" s="620"/>
      <c r="EG266" s="117">
        <v>0</v>
      </c>
      <c r="EH266" s="116"/>
      <c r="EI266" s="56"/>
      <c r="EJ266" s="611"/>
      <c r="EK266" s="620"/>
      <c r="EL266" s="117">
        <f t="shared" si="22"/>
        <v>0</v>
      </c>
      <c r="EM266" s="116"/>
      <c r="EN266" s="56"/>
      <c r="EO266" s="144"/>
      <c r="ER266" s="42"/>
      <c r="ES266" s="42"/>
    </row>
    <row r="267" spans="4:149" ht="12.75" customHeight="1" x14ac:dyDescent="0.3">
      <c r="D267" s="144"/>
      <c r="G267" s="56"/>
      <c r="H267" s="56"/>
      <c r="I267" s="56"/>
      <c r="J267" s="611"/>
      <c r="K267" s="56"/>
      <c r="L267" s="56"/>
      <c r="M267" s="56"/>
      <c r="N267" s="56"/>
      <c r="O267" s="611"/>
      <c r="P267" s="56"/>
      <c r="Q267" s="56"/>
      <c r="R267" s="56"/>
      <c r="S267" s="56"/>
      <c r="T267" s="611"/>
      <c r="U267" s="56"/>
      <c r="V267" s="56"/>
      <c r="W267" s="56"/>
      <c r="X267" s="56"/>
      <c r="Y267" s="611"/>
      <c r="Z267" s="56"/>
      <c r="AA267" s="56"/>
      <c r="AB267" s="56"/>
      <c r="AC267" s="56"/>
      <c r="AD267" s="611"/>
      <c r="AE267" s="56"/>
      <c r="AF267" s="56"/>
      <c r="AG267" s="56"/>
      <c r="AH267" s="56"/>
      <c r="AI267" s="611"/>
      <c r="AJ267" s="56"/>
      <c r="AK267" s="56"/>
      <c r="AL267" s="56"/>
      <c r="AM267" s="56"/>
      <c r="AN267" s="611"/>
      <c r="AO267" s="56"/>
      <c r="AP267" s="56"/>
      <c r="AQ267" s="56"/>
      <c r="AR267" s="56"/>
      <c r="AS267" s="611"/>
      <c r="AT267" s="56"/>
      <c r="AU267" s="56"/>
      <c r="AV267" s="56"/>
      <c r="AW267" s="56"/>
      <c r="AX267" s="611"/>
      <c r="AY267" s="56"/>
      <c r="AZ267" s="56"/>
      <c r="BA267" s="56"/>
      <c r="BB267" s="56"/>
      <c r="BC267" s="611"/>
      <c r="BD267" s="56"/>
      <c r="BE267" s="56"/>
      <c r="BF267" s="56"/>
      <c r="BG267" s="56"/>
      <c r="BH267" s="611"/>
      <c r="BI267" s="56"/>
      <c r="BJ267" s="56"/>
      <c r="BK267" s="56"/>
      <c r="BL267" s="56"/>
      <c r="BM267" s="611"/>
      <c r="BN267" s="56"/>
      <c r="BO267" s="56"/>
      <c r="BP267" s="56"/>
      <c r="BQ267" s="56"/>
      <c r="BR267" s="611"/>
      <c r="BS267" s="56"/>
      <c r="BT267" s="56"/>
      <c r="BU267" s="56"/>
      <c r="BV267" s="56"/>
      <c r="BW267" s="611"/>
      <c r="BX267" s="56"/>
      <c r="BY267" s="56"/>
      <c r="BZ267" s="56"/>
      <c r="CA267" s="56"/>
      <c r="CB267" s="611"/>
      <c r="CC267" s="56"/>
      <c r="CD267" s="56"/>
      <c r="CE267" s="56"/>
      <c r="CF267" s="56"/>
      <c r="CG267" s="611"/>
      <c r="CH267" s="56"/>
      <c r="CI267" s="56"/>
      <c r="CJ267" s="56"/>
      <c r="CK267" s="56"/>
      <c r="CL267" s="611"/>
      <c r="CM267" s="56"/>
      <c r="CN267" s="56"/>
      <c r="CO267" s="56"/>
      <c r="CP267" s="56"/>
      <c r="CQ267" s="611"/>
      <c r="CR267" s="56"/>
      <c r="CS267" s="56"/>
      <c r="CT267" s="56"/>
      <c r="CU267" s="56"/>
      <c r="CV267" s="611"/>
      <c r="CW267" s="56"/>
      <c r="CX267" s="56"/>
      <c r="CY267" s="56"/>
      <c r="CZ267" s="56"/>
      <c r="DA267" s="611"/>
      <c r="DB267" s="56"/>
      <c r="DC267" s="56"/>
      <c r="DD267" s="56"/>
      <c r="DE267" s="56"/>
      <c r="DF267" s="611"/>
      <c r="DG267" s="56"/>
      <c r="DH267" s="56"/>
      <c r="DI267" s="56"/>
      <c r="DJ267" s="56"/>
      <c r="DK267" s="611"/>
      <c r="DL267" s="56"/>
      <c r="DM267" s="56"/>
      <c r="DN267" s="56"/>
      <c r="DO267" s="56"/>
      <c r="DP267" s="611"/>
      <c r="DQ267" s="56"/>
      <c r="DR267" s="56"/>
      <c r="DS267" s="56"/>
      <c r="DT267" s="56"/>
      <c r="DU267" s="611"/>
      <c r="DV267" s="56"/>
      <c r="DW267" s="56"/>
      <c r="DX267" s="56"/>
      <c r="DY267" s="56"/>
      <c r="DZ267" s="611"/>
      <c r="EA267" s="56"/>
      <c r="EB267" s="56"/>
      <c r="EC267" s="56"/>
      <c r="ED267" s="56"/>
      <c r="EE267" s="611"/>
      <c r="EF267" s="56"/>
      <c r="EG267" s="56"/>
      <c r="EH267" s="56"/>
      <c r="EI267" s="56"/>
      <c r="EJ267" s="611"/>
      <c r="EK267" s="56"/>
      <c r="EL267" s="56"/>
      <c r="EM267" s="56"/>
      <c r="EN267" s="56"/>
      <c r="EO267" s="144"/>
      <c r="ER267" s="42"/>
      <c r="ES267" s="42"/>
    </row>
    <row r="268" spans="4:149" ht="12.75" customHeight="1" x14ac:dyDescent="0.3">
      <c r="D268" s="144" t="s">
        <v>356</v>
      </c>
      <c r="G268" s="56">
        <f>SUM(G269:G271)</f>
        <v>797850</v>
      </c>
      <c r="H268" s="56"/>
      <c r="I268" s="56"/>
      <c r="J268" s="611"/>
      <c r="K268" s="56"/>
      <c r="L268" s="56">
        <f>SUM(L269:L271)</f>
        <v>382735</v>
      </c>
      <c r="M268" s="56"/>
      <c r="N268" s="56"/>
      <c r="O268" s="611"/>
      <c r="P268" s="56"/>
      <c r="Q268" s="56">
        <f>SUM(Q269:Q271)</f>
        <v>299825</v>
      </c>
      <c r="R268" s="56"/>
      <c r="S268" s="56"/>
      <c r="T268" s="611"/>
      <c r="U268" s="56"/>
      <c r="V268" s="56">
        <f>SUM(V269:V271)</f>
        <v>115290</v>
      </c>
      <c r="W268" s="56"/>
      <c r="X268" s="56"/>
      <c r="Y268" s="611"/>
      <c r="Z268" s="56"/>
      <c r="AA268" s="56">
        <f>SUM(AA269:AA271)</f>
        <v>0</v>
      </c>
      <c r="AB268" s="56"/>
      <c r="AC268" s="56"/>
      <c r="AD268" s="611"/>
      <c r="AE268" s="56"/>
      <c r="AF268" s="56">
        <f>SUM(AF269:AF271)</f>
        <v>0</v>
      </c>
      <c r="AG268" s="56"/>
      <c r="AH268" s="56"/>
      <c r="AI268" s="611"/>
      <c r="AJ268" s="56"/>
      <c r="AK268" s="56">
        <f>SUM(AK269:AK271)</f>
        <v>0</v>
      </c>
      <c r="AL268" s="56"/>
      <c r="AM268" s="56"/>
      <c r="AN268" s="611"/>
      <c r="AO268" s="56"/>
      <c r="AP268" s="56">
        <f>SUM(AP269:AP271)</f>
        <v>0</v>
      </c>
      <c r="AQ268" s="56"/>
      <c r="AR268" s="56"/>
      <c r="AS268" s="611"/>
      <c r="AT268" s="56"/>
      <c r="AU268" s="56">
        <f>SUM(AU269:AU271)</f>
        <v>0</v>
      </c>
      <c r="AV268" s="56"/>
      <c r="AW268" s="56"/>
      <c r="AX268" s="611"/>
      <c r="AY268" s="56"/>
      <c r="AZ268" s="56">
        <f>SUM(AZ269:AZ271)</f>
        <v>0</v>
      </c>
      <c r="BA268" s="56"/>
      <c r="BB268" s="56"/>
      <c r="BC268" s="611"/>
      <c r="BD268" s="56"/>
      <c r="BE268" s="56">
        <f>SUM(BE269:BE271)</f>
        <v>0</v>
      </c>
      <c r="BF268" s="56"/>
      <c r="BG268" s="56"/>
      <c r="BH268" s="611"/>
      <c r="BI268" s="56"/>
      <c r="BJ268" s="56">
        <f>SUM(BJ269:BJ271)</f>
        <v>0</v>
      </c>
      <c r="BK268" s="56"/>
      <c r="BL268" s="56"/>
      <c r="BM268" s="611"/>
      <c r="BN268" s="56"/>
      <c r="BO268" s="56">
        <f>SUM(BO269:BO271)</f>
        <v>0</v>
      </c>
      <c r="BP268" s="56"/>
      <c r="BQ268" s="56"/>
      <c r="BR268" s="611"/>
      <c r="BS268" s="56"/>
      <c r="BT268" s="56">
        <f>SUM(BT269:BT271)</f>
        <v>797850</v>
      </c>
      <c r="BU268" s="56"/>
      <c r="BV268" s="56"/>
      <c r="BW268" s="611"/>
      <c r="BX268" s="56"/>
      <c r="BY268" s="56">
        <f>SUM(BY269:BY271)</f>
        <v>1360973</v>
      </c>
      <c r="BZ268" s="56"/>
      <c r="CA268" s="56"/>
      <c r="CB268" s="611"/>
      <c r="CC268" s="56"/>
      <c r="CD268" s="56">
        <f>SUM(CD269:CD271)</f>
        <v>0</v>
      </c>
      <c r="CE268" s="56"/>
      <c r="CF268" s="56"/>
      <c r="CG268" s="611"/>
      <c r="CH268" s="56"/>
      <c r="CI268" s="56">
        <f>SUM(CI269:CI271)</f>
        <v>0</v>
      </c>
      <c r="CJ268" s="56"/>
      <c r="CK268" s="56"/>
      <c r="CL268" s="611"/>
      <c r="CM268" s="56"/>
      <c r="CN268" s="56">
        <f>SUM(CN269:CN271)</f>
        <v>0</v>
      </c>
      <c r="CO268" s="56"/>
      <c r="CP268" s="56"/>
      <c r="CQ268" s="611"/>
      <c r="CR268" s="56"/>
      <c r="CS268" s="56">
        <f>SUM(CS269:CS271)</f>
        <v>1002120</v>
      </c>
      <c r="CT268" s="56"/>
      <c r="CU268" s="56"/>
      <c r="CV268" s="611"/>
      <c r="CW268" s="56"/>
      <c r="CX268" s="56">
        <f>SUM(CX269:CX271)</f>
        <v>358853</v>
      </c>
      <c r="CY268" s="56"/>
      <c r="CZ268" s="56"/>
      <c r="DA268" s="611"/>
      <c r="DB268" s="56"/>
      <c r="DC268" s="56">
        <f>SUM(DC269:DC271)</f>
        <v>0</v>
      </c>
      <c r="DD268" s="56"/>
      <c r="DE268" s="56"/>
      <c r="DF268" s="611"/>
      <c r="DG268" s="56"/>
      <c r="DH268" s="56">
        <f>SUM(DH269:DH271)</f>
        <v>0</v>
      </c>
      <c r="DI268" s="56"/>
      <c r="DJ268" s="56"/>
      <c r="DK268" s="611"/>
      <c r="DL268" s="56"/>
      <c r="DM268" s="56">
        <f>SUM(DM269:DM271)</f>
        <v>0</v>
      </c>
      <c r="DN268" s="56"/>
      <c r="DO268" s="56"/>
      <c r="DP268" s="611"/>
      <c r="DQ268" s="56"/>
      <c r="DR268" s="56">
        <f>SUM(DR269:DR271)</f>
        <v>0</v>
      </c>
      <c r="DS268" s="56"/>
      <c r="DT268" s="56"/>
      <c r="DU268" s="611"/>
      <c r="DV268" s="56"/>
      <c r="DW268" s="56">
        <f>SUM(DW269:DW271)</f>
        <v>0</v>
      </c>
      <c r="DX268" s="56"/>
      <c r="DY268" s="56"/>
      <c r="DZ268" s="611"/>
      <c r="EA268" s="56"/>
      <c r="EB268" s="56">
        <f>SUM(EB269:EB271)</f>
        <v>0</v>
      </c>
      <c r="EC268" s="56"/>
      <c r="ED268" s="56"/>
      <c r="EE268" s="611"/>
      <c r="EF268" s="56"/>
      <c r="EG268" s="56">
        <f>SUM(EG269:EG271)</f>
        <v>0</v>
      </c>
      <c r="EH268" s="56"/>
      <c r="EI268" s="56"/>
      <c r="EJ268" s="611"/>
      <c r="EK268" s="56"/>
      <c r="EL268" s="56">
        <f>SUM(EL269:EL271)</f>
        <v>1360973</v>
      </c>
      <c r="EM268" s="56"/>
      <c r="EN268" s="56"/>
      <c r="EO268" s="144"/>
      <c r="ER268" s="42"/>
      <c r="ES268" s="42"/>
    </row>
    <row r="269" spans="4:149" ht="12.75" customHeight="1" x14ac:dyDescent="0.3">
      <c r="D269" s="144" t="s">
        <v>335</v>
      </c>
      <c r="F269" s="500"/>
      <c r="G269" s="609">
        <v>709898</v>
      </c>
      <c r="H269" s="610"/>
      <c r="I269" s="56"/>
      <c r="J269" s="611"/>
      <c r="K269" s="612"/>
      <c r="L269" s="609">
        <f>382735-37035</f>
        <v>345700</v>
      </c>
      <c r="M269" s="610"/>
      <c r="N269" s="56"/>
      <c r="O269" s="611"/>
      <c r="P269" s="612"/>
      <c r="Q269" s="609">
        <f>299825-36486</f>
        <v>263339</v>
      </c>
      <c r="R269" s="610"/>
      <c r="S269" s="56"/>
      <c r="T269" s="611"/>
      <c r="U269" s="612"/>
      <c r="V269" s="609">
        <f>115290-14431</f>
        <v>100859</v>
      </c>
      <c r="W269" s="610"/>
      <c r="X269" s="56"/>
      <c r="Y269" s="611"/>
      <c r="Z269" s="612"/>
      <c r="AA269" s="609">
        <v>0</v>
      </c>
      <c r="AB269" s="610"/>
      <c r="AC269" s="56"/>
      <c r="AD269" s="611"/>
      <c r="AE269" s="612"/>
      <c r="AF269" s="609">
        <v>0</v>
      </c>
      <c r="AG269" s="610"/>
      <c r="AH269" s="56"/>
      <c r="AI269" s="611"/>
      <c r="AJ269" s="612"/>
      <c r="AK269" s="609">
        <v>0</v>
      </c>
      <c r="AL269" s="610"/>
      <c r="AM269" s="56"/>
      <c r="AN269" s="611"/>
      <c r="AO269" s="612"/>
      <c r="AP269" s="609">
        <v>0</v>
      </c>
      <c r="AQ269" s="610"/>
      <c r="AR269" s="56"/>
      <c r="AS269" s="611"/>
      <c r="AT269" s="612"/>
      <c r="AU269" s="609">
        <v>0</v>
      </c>
      <c r="AV269" s="610"/>
      <c r="AW269" s="56"/>
      <c r="AX269" s="611"/>
      <c r="AY269" s="612"/>
      <c r="AZ269" s="609">
        <v>0</v>
      </c>
      <c r="BA269" s="610"/>
      <c r="BB269" s="56"/>
      <c r="BC269" s="611"/>
      <c r="BD269" s="612"/>
      <c r="BE269" s="609">
        <v>0</v>
      </c>
      <c r="BF269" s="610"/>
      <c r="BG269" s="56"/>
      <c r="BH269" s="611"/>
      <c r="BI269" s="612"/>
      <c r="BJ269" s="609">
        <v>0</v>
      </c>
      <c r="BK269" s="610"/>
      <c r="BL269" s="56"/>
      <c r="BM269" s="611"/>
      <c r="BN269" s="612"/>
      <c r="BO269" s="609">
        <v>0</v>
      </c>
      <c r="BP269" s="610"/>
      <c r="BQ269" s="56"/>
      <c r="BR269" s="611"/>
      <c r="BS269" s="612"/>
      <c r="BT269" s="609">
        <f>SUM(L269:BO269)</f>
        <v>709898</v>
      </c>
      <c r="BU269" s="610"/>
      <c r="BV269" s="56"/>
      <c r="BW269" s="611"/>
      <c r="BX269" s="612"/>
      <c r="BY269" s="609">
        <v>1231393</v>
      </c>
      <c r="BZ269" s="610"/>
      <c r="CA269" s="56"/>
      <c r="CB269" s="611"/>
      <c r="CC269" s="612"/>
      <c r="CD269" s="609">
        <v>0</v>
      </c>
      <c r="CE269" s="610"/>
      <c r="CF269" s="56"/>
      <c r="CG269" s="611"/>
      <c r="CH269" s="612"/>
      <c r="CI269" s="609">
        <v>0</v>
      </c>
      <c r="CJ269" s="610"/>
      <c r="CK269" s="56"/>
      <c r="CL269" s="611"/>
      <c r="CM269" s="612"/>
      <c r="CN269" s="609">
        <v>0</v>
      </c>
      <c r="CO269" s="610"/>
      <c r="CP269" s="56"/>
      <c r="CQ269" s="611"/>
      <c r="CR269" s="612"/>
      <c r="CS269" s="609">
        <f>1002120-95155</f>
        <v>906965</v>
      </c>
      <c r="CT269" s="610"/>
      <c r="CU269" s="56"/>
      <c r="CV269" s="611"/>
      <c r="CW269" s="612"/>
      <c r="CX269" s="609">
        <f>358853-34425</f>
        <v>324428</v>
      </c>
      <c r="CY269" s="610"/>
      <c r="CZ269" s="56"/>
      <c r="DA269" s="611"/>
      <c r="DB269" s="612"/>
      <c r="DC269" s="609">
        <v>0</v>
      </c>
      <c r="DD269" s="610"/>
      <c r="DE269" s="56"/>
      <c r="DF269" s="611"/>
      <c r="DG269" s="612"/>
      <c r="DH269" s="609">
        <v>0</v>
      </c>
      <c r="DI269" s="610"/>
      <c r="DJ269" s="56"/>
      <c r="DK269" s="611"/>
      <c r="DL269" s="612"/>
      <c r="DM269" s="609">
        <v>0</v>
      </c>
      <c r="DN269" s="610"/>
      <c r="DO269" s="56"/>
      <c r="DP269" s="611"/>
      <c r="DQ269" s="612"/>
      <c r="DR269" s="609">
        <v>0</v>
      </c>
      <c r="DS269" s="610"/>
      <c r="DT269" s="56"/>
      <c r="DU269" s="611"/>
      <c r="DV269" s="612"/>
      <c r="DW269" s="609">
        <v>0</v>
      </c>
      <c r="DX269" s="610"/>
      <c r="DY269" s="56"/>
      <c r="DZ269" s="611"/>
      <c r="EA269" s="612"/>
      <c r="EB269" s="609">
        <v>0</v>
      </c>
      <c r="EC269" s="610"/>
      <c r="ED269" s="56"/>
      <c r="EE269" s="611"/>
      <c r="EF269" s="612"/>
      <c r="EG269" s="609">
        <v>0</v>
      </c>
      <c r="EH269" s="610"/>
      <c r="EI269" s="56"/>
      <c r="EJ269" s="611"/>
      <c r="EK269" s="612"/>
      <c r="EL269" s="609">
        <f t="shared" ref="EL269:EL271" si="23">SUM(CD269:DW269)</f>
        <v>1231393</v>
      </c>
      <c r="EM269" s="610"/>
      <c r="EN269" s="56"/>
      <c r="EO269" s="144"/>
      <c r="ER269" s="42"/>
      <c r="ES269" s="42"/>
    </row>
    <row r="270" spans="4:149" ht="12.75" customHeight="1" x14ac:dyDescent="0.3">
      <c r="D270" s="144" t="s">
        <v>338</v>
      </c>
      <c r="F270" s="494"/>
      <c r="G270" s="56">
        <v>87952</v>
      </c>
      <c r="H270" s="55"/>
      <c r="I270" s="56"/>
      <c r="J270" s="611"/>
      <c r="K270" s="611"/>
      <c r="L270" s="56">
        <v>37035</v>
      </c>
      <c r="M270" s="55"/>
      <c r="N270" s="56"/>
      <c r="O270" s="611"/>
      <c r="P270" s="611"/>
      <c r="Q270" s="56">
        <v>36486</v>
      </c>
      <c r="R270" s="55"/>
      <c r="S270" s="56"/>
      <c r="T270" s="611"/>
      <c r="U270" s="611"/>
      <c r="V270" s="56">
        <v>14431</v>
      </c>
      <c r="W270" s="55"/>
      <c r="X270" s="56"/>
      <c r="Y270" s="611"/>
      <c r="Z270" s="611"/>
      <c r="AA270" s="56">
        <v>0</v>
      </c>
      <c r="AB270" s="55"/>
      <c r="AC270" s="56"/>
      <c r="AD270" s="611"/>
      <c r="AE270" s="611"/>
      <c r="AF270" s="56">
        <v>0</v>
      </c>
      <c r="AG270" s="55"/>
      <c r="AH270" s="56"/>
      <c r="AI270" s="611"/>
      <c r="AJ270" s="611"/>
      <c r="AK270" s="56">
        <v>0</v>
      </c>
      <c r="AL270" s="55"/>
      <c r="AM270" s="56"/>
      <c r="AN270" s="611"/>
      <c r="AO270" s="611"/>
      <c r="AP270" s="56">
        <v>0</v>
      </c>
      <c r="AQ270" s="55"/>
      <c r="AR270" s="56"/>
      <c r="AS270" s="611"/>
      <c r="AT270" s="611"/>
      <c r="AU270" s="56">
        <v>0</v>
      </c>
      <c r="AV270" s="55"/>
      <c r="AW270" s="56"/>
      <c r="AX270" s="611"/>
      <c r="AY270" s="611"/>
      <c r="AZ270" s="56">
        <v>0</v>
      </c>
      <c r="BA270" s="55"/>
      <c r="BB270" s="56"/>
      <c r="BC270" s="611"/>
      <c r="BD270" s="611"/>
      <c r="BE270" s="56">
        <v>0</v>
      </c>
      <c r="BF270" s="55"/>
      <c r="BG270" s="56"/>
      <c r="BH270" s="611"/>
      <c r="BI270" s="611"/>
      <c r="BJ270" s="56">
        <v>0</v>
      </c>
      <c r="BK270" s="55"/>
      <c r="BL270" s="56"/>
      <c r="BM270" s="611"/>
      <c r="BN270" s="611"/>
      <c r="BO270" s="56">
        <v>0</v>
      </c>
      <c r="BP270" s="55"/>
      <c r="BQ270" s="56"/>
      <c r="BR270" s="611"/>
      <c r="BS270" s="611"/>
      <c r="BT270" s="56">
        <f>SUM(L270:BO270)</f>
        <v>87952</v>
      </c>
      <c r="BU270" s="55"/>
      <c r="BV270" s="56"/>
      <c r="BW270" s="611"/>
      <c r="BX270" s="611"/>
      <c r="BY270" s="56">
        <v>129580</v>
      </c>
      <c r="BZ270" s="55"/>
      <c r="CA270" s="56"/>
      <c r="CB270" s="611"/>
      <c r="CC270" s="611"/>
      <c r="CD270" s="56">
        <v>0</v>
      </c>
      <c r="CE270" s="55"/>
      <c r="CF270" s="56"/>
      <c r="CG270" s="611"/>
      <c r="CH270" s="611"/>
      <c r="CI270" s="56">
        <v>0</v>
      </c>
      <c r="CJ270" s="55"/>
      <c r="CK270" s="56"/>
      <c r="CL270" s="611"/>
      <c r="CM270" s="611"/>
      <c r="CN270" s="56">
        <v>0</v>
      </c>
      <c r="CO270" s="55"/>
      <c r="CP270" s="56"/>
      <c r="CQ270" s="611"/>
      <c r="CR270" s="611"/>
      <c r="CS270" s="56">
        <v>95155</v>
      </c>
      <c r="CT270" s="55"/>
      <c r="CU270" s="56"/>
      <c r="CV270" s="611"/>
      <c r="CW270" s="611"/>
      <c r="CX270" s="56">
        <v>34425</v>
      </c>
      <c r="CY270" s="55"/>
      <c r="CZ270" s="56"/>
      <c r="DA270" s="611"/>
      <c r="DB270" s="611"/>
      <c r="DC270" s="56">
        <v>0</v>
      </c>
      <c r="DD270" s="55"/>
      <c r="DE270" s="56"/>
      <c r="DF270" s="611"/>
      <c r="DG270" s="611"/>
      <c r="DH270" s="56">
        <v>0</v>
      </c>
      <c r="DI270" s="55"/>
      <c r="DJ270" s="56"/>
      <c r="DK270" s="611"/>
      <c r="DL270" s="611"/>
      <c r="DM270" s="56">
        <v>0</v>
      </c>
      <c r="DN270" s="55"/>
      <c r="DO270" s="56"/>
      <c r="DP270" s="611"/>
      <c r="DQ270" s="611"/>
      <c r="DR270" s="56">
        <v>0</v>
      </c>
      <c r="DS270" s="55"/>
      <c r="DT270" s="56"/>
      <c r="DU270" s="611"/>
      <c r="DV270" s="611"/>
      <c r="DW270" s="56">
        <v>0</v>
      </c>
      <c r="DX270" s="55"/>
      <c r="DY270" s="56"/>
      <c r="DZ270" s="611"/>
      <c r="EA270" s="611"/>
      <c r="EB270" s="56">
        <v>0</v>
      </c>
      <c r="EC270" s="55"/>
      <c r="ED270" s="56"/>
      <c r="EE270" s="611"/>
      <c r="EF270" s="611"/>
      <c r="EG270" s="56">
        <v>0</v>
      </c>
      <c r="EH270" s="55"/>
      <c r="EI270" s="56"/>
      <c r="EJ270" s="611"/>
      <c r="EK270" s="611"/>
      <c r="EL270" s="56">
        <f t="shared" si="23"/>
        <v>129580</v>
      </c>
      <c r="EM270" s="55"/>
      <c r="EN270" s="56"/>
      <c r="EO270" s="144"/>
      <c r="ER270" s="42"/>
      <c r="ES270" s="42"/>
    </row>
    <row r="271" spans="4:149" ht="12.75" customHeight="1" x14ac:dyDescent="0.3">
      <c r="D271" s="144" t="s">
        <v>352</v>
      </c>
      <c r="F271" s="513"/>
      <c r="G271" s="117">
        <v>0</v>
      </c>
      <c r="H271" s="116"/>
      <c r="I271" s="56"/>
      <c r="J271" s="611"/>
      <c r="K271" s="620"/>
      <c r="L271" s="117">
        <v>0</v>
      </c>
      <c r="M271" s="116"/>
      <c r="N271" s="56"/>
      <c r="O271" s="611"/>
      <c r="P271" s="620"/>
      <c r="Q271" s="117">
        <v>0</v>
      </c>
      <c r="R271" s="116"/>
      <c r="S271" s="56"/>
      <c r="T271" s="611"/>
      <c r="U271" s="620"/>
      <c r="V271" s="117">
        <v>0</v>
      </c>
      <c r="W271" s="116"/>
      <c r="X271" s="56"/>
      <c r="Y271" s="611"/>
      <c r="Z271" s="620"/>
      <c r="AA271" s="117">
        <v>0</v>
      </c>
      <c r="AB271" s="116"/>
      <c r="AC271" s="56"/>
      <c r="AD271" s="611"/>
      <c r="AE271" s="620"/>
      <c r="AF271" s="117">
        <v>0</v>
      </c>
      <c r="AG271" s="116"/>
      <c r="AH271" s="56"/>
      <c r="AI271" s="611"/>
      <c r="AJ271" s="620"/>
      <c r="AK271" s="117">
        <v>0</v>
      </c>
      <c r="AL271" s="116"/>
      <c r="AM271" s="56"/>
      <c r="AN271" s="611"/>
      <c r="AO271" s="620"/>
      <c r="AP271" s="117">
        <v>0</v>
      </c>
      <c r="AQ271" s="116"/>
      <c r="AR271" s="56"/>
      <c r="AS271" s="611"/>
      <c r="AT271" s="620"/>
      <c r="AU271" s="117">
        <v>0</v>
      </c>
      <c r="AV271" s="116"/>
      <c r="AW271" s="56"/>
      <c r="AX271" s="611"/>
      <c r="AY271" s="620"/>
      <c r="AZ271" s="117">
        <v>0</v>
      </c>
      <c r="BA271" s="116"/>
      <c r="BB271" s="56"/>
      <c r="BC271" s="611"/>
      <c r="BD271" s="620"/>
      <c r="BE271" s="117">
        <v>0</v>
      </c>
      <c r="BF271" s="116"/>
      <c r="BG271" s="56"/>
      <c r="BH271" s="611"/>
      <c r="BI271" s="620"/>
      <c r="BJ271" s="117">
        <v>0</v>
      </c>
      <c r="BK271" s="116"/>
      <c r="BL271" s="56"/>
      <c r="BM271" s="611"/>
      <c r="BN271" s="620"/>
      <c r="BO271" s="117">
        <v>0</v>
      </c>
      <c r="BP271" s="116"/>
      <c r="BQ271" s="56"/>
      <c r="BR271" s="611"/>
      <c r="BS271" s="620"/>
      <c r="BT271" s="117">
        <f>SUM(L271:BO271)</f>
        <v>0</v>
      </c>
      <c r="BU271" s="116"/>
      <c r="BV271" s="56"/>
      <c r="BW271" s="611"/>
      <c r="BX271" s="620"/>
      <c r="BY271" s="117">
        <v>0</v>
      </c>
      <c r="BZ271" s="116"/>
      <c r="CA271" s="56"/>
      <c r="CB271" s="611"/>
      <c r="CC271" s="620"/>
      <c r="CD271" s="117">
        <v>0</v>
      </c>
      <c r="CE271" s="116"/>
      <c r="CF271" s="56"/>
      <c r="CG271" s="611"/>
      <c r="CH271" s="620"/>
      <c r="CI271" s="117">
        <v>0</v>
      </c>
      <c r="CJ271" s="116"/>
      <c r="CK271" s="56"/>
      <c r="CL271" s="611"/>
      <c r="CM271" s="620"/>
      <c r="CN271" s="117">
        <v>0</v>
      </c>
      <c r="CO271" s="116"/>
      <c r="CP271" s="56"/>
      <c r="CQ271" s="611"/>
      <c r="CR271" s="620"/>
      <c r="CS271" s="117">
        <v>0</v>
      </c>
      <c r="CT271" s="116"/>
      <c r="CU271" s="56"/>
      <c r="CV271" s="611"/>
      <c r="CW271" s="620"/>
      <c r="CX271" s="117">
        <v>0</v>
      </c>
      <c r="CY271" s="116"/>
      <c r="CZ271" s="56"/>
      <c r="DA271" s="611"/>
      <c r="DB271" s="620"/>
      <c r="DC271" s="117">
        <v>0</v>
      </c>
      <c r="DD271" s="116"/>
      <c r="DE271" s="56"/>
      <c r="DF271" s="611"/>
      <c r="DG271" s="620"/>
      <c r="DH271" s="117">
        <v>0</v>
      </c>
      <c r="DI271" s="116"/>
      <c r="DJ271" s="56"/>
      <c r="DK271" s="611"/>
      <c r="DL271" s="620"/>
      <c r="DM271" s="117">
        <v>0</v>
      </c>
      <c r="DN271" s="116"/>
      <c r="DO271" s="56"/>
      <c r="DP271" s="611"/>
      <c r="DQ271" s="620"/>
      <c r="DR271" s="117">
        <v>0</v>
      </c>
      <c r="DS271" s="116"/>
      <c r="DT271" s="56"/>
      <c r="DU271" s="611"/>
      <c r="DV271" s="620"/>
      <c r="DW271" s="117">
        <v>0</v>
      </c>
      <c r="DX271" s="116"/>
      <c r="DY271" s="56"/>
      <c r="DZ271" s="611"/>
      <c r="EA271" s="620"/>
      <c r="EB271" s="117">
        <v>0</v>
      </c>
      <c r="EC271" s="116"/>
      <c r="ED271" s="56"/>
      <c r="EE271" s="611"/>
      <c r="EF271" s="620"/>
      <c r="EG271" s="117">
        <v>0</v>
      </c>
      <c r="EH271" s="116"/>
      <c r="EI271" s="56"/>
      <c r="EJ271" s="611"/>
      <c r="EK271" s="620"/>
      <c r="EL271" s="117">
        <f t="shared" si="23"/>
        <v>0</v>
      </c>
      <c r="EM271" s="116"/>
      <c r="EN271" s="56"/>
      <c r="EO271" s="144"/>
      <c r="ER271" s="42"/>
      <c r="ES271" s="42"/>
    </row>
    <row r="272" spans="4:149" ht="12.75" customHeight="1" x14ac:dyDescent="0.3">
      <c r="D272" s="144"/>
      <c r="G272" s="56"/>
      <c r="H272" s="56"/>
      <c r="I272" s="56"/>
      <c r="J272" s="611"/>
      <c r="K272" s="56"/>
      <c r="L272" s="56"/>
      <c r="M272" s="56"/>
      <c r="N272" s="56"/>
      <c r="O272" s="611"/>
      <c r="P272" s="56"/>
      <c r="Q272" s="56"/>
      <c r="R272" s="56"/>
      <c r="S272" s="56"/>
      <c r="T272" s="611"/>
      <c r="U272" s="56"/>
      <c r="V272" s="56"/>
      <c r="W272" s="56"/>
      <c r="X272" s="56"/>
      <c r="Y272" s="611"/>
      <c r="Z272" s="56"/>
      <c r="AA272" s="56"/>
      <c r="AB272" s="56"/>
      <c r="AC272" s="56"/>
      <c r="AD272" s="611"/>
      <c r="AE272" s="56"/>
      <c r="AF272" s="56"/>
      <c r="AG272" s="56"/>
      <c r="AH272" s="56"/>
      <c r="AI272" s="611"/>
      <c r="AJ272" s="56"/>
      <c r="AK272" s="56"/>
      <c r="AL272" s="56"/>
      <c r="AM272" s="56"/>
      <c r="AN272" s="611"/>
      <c r="AO272" s="56"/>
      <c r="AP272" s="56"/>
      <c r="AQ272" s="56"/>
      <c r="AR272" s="56"/>
      <c r="AS272" s="611"/>
      <c r="AT272" s="56"/>
      <c r="AU272" s="56"/>
      <c r="AV272" s="56"/>
      <c r="AW272" s="56"/>
      <c r="AX272" s="611"/>
      <c r="AY272" s="56"/>
      <c r="AZ272" s="56"/>
      <c r="BA272" s="56"/>
      <c r="BB272" s="56"/>
      <c r="BC272" s="611"/>
      <c r="BD272" s="56"/>
      <c r="BE272" s="56"/>
      <c r="BF272" s="56"/>
      <c r="BG272" s="56"/>
      <c r="BH272" s="611"/>
      <c r="BI272" s="56"/>
      <c r="BJ272" s="56"/>
      <c r="BK272" s="56"/>
      <c r="BL272" s="56"/>
      <c r="BM272" s="611"/>
      <c r="BN272" s="56"/>
      <c r="BO272" s="56"/>
      <c r="BP272" s="56"/>
      <c r="BQ272" s="56"/>
      <c r="BR272" s="611"/>
      <c r="BS272" s="56"/>
      <c r="BT272" s="56"/>
      <c r="BU272" s="56"/>
      <c r="BV272" s="56"/>
      <c r="BW272" s="611"/>
      <c r="BX272" s="56"/>
      <c r="BY272" s="56"/>
      <c r="BZ272" s="56"/>
      <c r="CA272" s="56"/>
      <c r="CB272" s="611"/>
      <c r="CC272" s="56"/>
      <c r="CD272" s="56"/>
      <c r="CE272" s="56"/>
      <c r="CF272" s="56"/>
      <c r="CG272" s="611"/>
      <c r="CH272" s="56"/>
      <c r="CI272" s="56"/>
      <c r="CJ272" s="56"/>
      <c r="CK272" s="56"/>
      <c r="CL272" s="611"/>
      <c r="CM272" s="56"/>
      <c r="CN272" s="56"/>
      <c r="CO272" s="56"/>
      <c r="CP272" s="56"/>
      <c r="CQ272" s="611"/>
      <c r="CR272" s="56"/>
      <c r="CS272" s="56"/>
      <c r="CT272" s="56"/>
      <c r="CU272" s="56"/>
      <c r="CV272" s="611"/>
      <c r="CW272" s="56"/>
      <c r="CX272" s="56"/>
      <c r="CY272" s="56"/>
      <c r="CZ272" s="56"/>
      <c r="DA272" s="611"/>
      <c r="DB272" s="56"/>
      <c r="DC272" s="56"/>
      <c r="DD272" s="56"/>
      <c r="DE272" s="56"/>
      <c r="DF272" s="611"/>
      <c r="DG272" s="56"/>
      <c r="DH272" s="56"/>
      <c r="DI272" s="56"/>
      <c r="DJ272" s="56"/>
      <c r="DK272" s="611"/>
      <c r="DL272" s="56"/>
      <c r="DM272" s="56"/>
      <c r="DN272" s="56"/>
      <c r="DO272" s="56"/>
      <c r="DP272" s="611"/>
      <c r="DQ272" s="56"/>
      <c r="DR272" s="56"/>
      <c r="DS272" s="56"/>
      <c r="DT272" s="56"/>
      <c r="DU272" s="611"/>
      <c r="DV272" s="56"/>
      <c r="DW272" s="56"/>
      <c r="DX272" s="56"/>
      <c r="DY272" s="56"/>
      <c r="DZ272" s="611"/>
      <c r="EA272" s="56"/>
      <c r="EB272" s="56"/>
      <c r="EC272" s="56"/>
      <c r="ED272" s="56"/>
      <c r="EE272" s="611"/>
      <c r="EF272" s="56"/>
      <c r="EG272" s="56"/>
      <c r="EH272" s="56"/>
      <c r="EI272" s="56"/>
      <c r="EJ272" s="611"/>
      <c r="EK272" s="56"/>
      <c r="EL272" s="56"/>
      <c r="EM272" s="56"/>
      <c r="EN272" s="56"/>
      <c r="EO272" s="144"/>
      <c r="ER272" s="42"/>
      <c r="ES272" s="42"/>
    </row>
    <row r="273" spans="4:149" ht="12.75" hidden="1" customHeight="1" x14ac:dyDescent="0.3">
      <c r="D273" s="144" t="s">
        <v>357</v>
      </c>
      <c r="G273" s="56">
        <f>SUM(G274:G276)</f>
        <v>0</v>
      </c>
      <c r="H273" s="56"/>
      <c r="I273" s="56"/>
      <c r="J273" s="611"/>
      <c r="K273" s="56"/>
      <c r="L273" s="56">
        <f>SUM(L274:L276)</f>
        <v>0</v>
      </c>
      <c r="M273" s="56"/>
      <c r="N273" s="56"/>
      <c r="O273" s="611"/>
      <c r="P273" s="56"/>
      <c r="Q273" s="56">
        <f>SUM(Q274:Q276)</f>
        <v>0</v>
      </c>
      <c r="R273" s="56"/>
      <c r="S273" s="56"/>
      <c r="T273" s="611"/>
      <c r="U273" s="56"/>
      <c r="V273" s="56">
        <f>SUM(V274:V276)</f>
        <v>0</v>
      </c>
      <c r="W273" s="56"/>
      <c r="X273" s="56"/>
      <c r="Y273" s="611"/>
      <c r="Z273" s="56"/>
      <c r="AA273" s="56">
        <f>SUM(AA274:AA276)</f>
        <v>0</v>
      </c>
      <c r="AB273" s="56"/>
      <c r="AC273" s="56"/>
      <c r="AD273" s="611"/>
      <c r="AE273" s="56"/>
      <c r="AF273" s="56">
        <f>SUM(AF274:AF276)</f>
        <v>0</v>
      </c>
      <c r="AG273" s="56"/>
      <c r="AH273" s="56"/>
      <c r="AI273" s="611"/>
      <c r="AJ273" s="56"/>
      <c r="AK273" s="56">
        <f>SUM(AK274:AK276)</f>
        <v>0</v>
      </c>
      <c r="AL273" s="56"/>
      <c r="AM273" s="56"/>
      <c r="AN273" s="611"/>
      <c r="AO273" s="56"/>
      <c r="AP273" s="56">
        <f>SUM(AP274:AP276)</f>
        <v>0</v>
      </c>
      <c r="AQ273" s="56"/>
      <c r="AR273" s="56"/>
      <c r="AS273" s="611"/>
      <c r="AT273" s="56"/>
      <c r="AU273" s="56">
        <f>SUM(AU274:AU276)</f>
        <v>0</v>
      </c>
      <c r="AV273" s="56"/>
      <c r="AW273" s="56"/>
      <c r="AX273" s="611"/>
      <c r="AY273" s="56"/>
      <c r="AZ273" s="56">
        <f>SUM(AZ274:AZ276)</f>
        <v>0</v>
      </c>
      <c r="BA273" s="56"/>
      <c r="BB273" s="56"/>
      <c r="BC273" s="611"/>
      <c r="BD273" s="56"/>
      <c r="BE273" s="56">
        <f>SUM(BE274:BE276)</f>
        <v>0</v>
      </c>
      <c r="BF273" s="56"/>
      <c r="BG273" s="56"/>
      <c r="BH273" s="611"/>
      <c r="BI273" s="56"/>
      <c r="BJ273" s="56">
        <f>SUM(BJ274:BJ276)</f>
        <v>0</v>
      </c>
      <c r="BK273" s="56"/>
      <c r="BL273" s="56"/>
      <c r="BM273" s="611"/>
      <c r="BN273" s="56"/>
      <c r="BO273" s="56">
        <f>SUM(BO274:BO276)</f>
        <v>0</v>
      </c>
      <c r="BP273" s="56"/>
      <c r="BQ273" s="56"/>
      <c r="BR273" s="611"/>
      <c r="BS273" s="56"/>
      <c r="BT273" s="56">
        <f>SUM(BT274:BT276)</f>
        <v>0</v>
      </c>
      <c r="BU273" s="56"/>
      <c r="BV273" s="56"/>
      <c r="BW273" s="611"/>
      <c r="BX273" s="56"/>
      <c r="BY273" s="56">
        <f>SUM(BY274:BY276)</f>
        <v>0</v>
      </c>
      <c r="BZ273" s="56"/>
      <c r="CA273" s="56"/>
      <c r="CB273" s="611"/>
      <c r="CC273" s="56"/>
      <c r="CD273" s="56">
        <f>SUM(CD274:CD276)</f>
        <v>0</v>
      </c>
      <c r="CE273" s="56"/>
      <c r="CF273" s="56"/>
      <c r="CG273" s="611"/>
      <c r="CH273" s="56"/>
      <c r="CI273" s="56">
        <f>SUM(CI274:CI276)</f>
        <v>0</v>
      </c>
      <c r="CJ273" s="56"/>
      <c r="CK273" s="56"/>
      <c r="CL273" s="611"/>
      <c r="CM273" s="56"/>
      <c r="CN273" s="56">
        <f>SUM(CN274:CN276)</f>
        <v>0</v>
      </c>
      <c r="CO273" s="56"/>
      <c r="CP273" s="56"/>
      <c r="CQ273" s="611"/>
      <c r="CR273" s="56"/>
      <c r="CS273" s="56">
        <f>SUM(CS274:CS276)</f>
        <v>0</v>
      </c>
      <c r="CT273" s="56"/>
      <c r="CU273" s="56"/>
      <c r="CV273" s="611"/>
      <c r="CW273" s="56"/>
      <c r="CX273" s="56">
        <f>SUM(CX274:CX276)</f>
        <v>0</v>
      </c>
      <c r="CY273" s="56"/>
      <c r="CZ273" s="56"/>
      <c r="DA273" s="611"/>
      <c r="DB273" s="56"/>
      <c r="DC273" s="56">
        <f>SUM(DC274:DC276)</f>
        <v>0</v>
      </c>
      <c r="DD273" s="56"/>
      <c r="DE273" s="56"/>
      <c r="DF273" s="611"/>
      <c r="DG273" s="56"/>
      <c r="DH273" s="56">
        <f>SUM(DH274:DH276)</f>
        <v>0</v>
      </c>
      <c r="DI273" s="56"/>
      <c r="DJ273" s="56"/>
      <c r="DK273" s="611"/>
      <c r="DL273" s="56"/>
      <c r="DM273" s="56">
        <f>SUM(DM274:DM276)</f>
        <v>0</v>
      </c>
      <c r="DN273" s="56"/>
      <c r="DO273" s="56"/>
      <c r="DP273" s="611"/>
      <c r="DQ273" s="56"/>
      <c r="DR273" s="56">
        <f>SUM(DR274:DR276)</f>
        <v>0</v>
      </c>
      <c r="DS273" s="56"/>
      <c r="DT273" s="56"/>
      <c r="DU273" s="611"/>
      <c r="DV273" s="56"/>
      <c r="DW273" s="56">
        <f>SUM(DW274:DW276)</f>
        <v>0</v>
      </c>
      <c r="DX273" s="56"/>
      <c r="DY273" s="56"/>
      <c r="DZ273" s="611"/>
      <c r="EA273" s="56"/>
      <c r="EB273" s="56">
        <f>SUM(EB274:EB276)</f>
        <v>0</v>
      </c>
      <c r="EC273" s="56"/>
      <c r="ED273" s="56"/>
      <c r="EE273" s="611"/>
      <c r="EF273" s="56"/>
      <c r="EG273" s="56">
        <f>SUM(EG274:EG276)</f>
        <v>0</v>
      </c>
      <c r="EH273" s="56"/>
      <c r="EI273" s="56"/>
      <c r="EJ273" s="611"/>
      <c r="EK273" s="56"/>
      <c r="EL273" s="56">
        <f>SUM(EL274:EL276)</f>
        <v>0</v>
      </c>
      <c r="EM273" s="56"/>
      <c r="EN273" s="56"/>
      <c r="EO273" s="144"/>
      <c r="ER273" s="42"/>
      <c r="ES273" s="42"/>
    </row>
    <row r="274" spans="4:149" ht="12.75" hidden="1" customHeight="1" x14ac:dyDescent="0.3">
      <c r="D274" s="144" t="s">
        <v>335</v>
      </c>
      <c r="F274" s="500"/>
      <c r="G274" s="609">
        <v>0</v>
      </c>
      <c r="H274" s="610"/>
      <c r="I274" s="56"/>
      <c r="J274" s="611"/>
      <c r="K274" s="612"/>
      <c r="L274" s="609">
        <v>0</v>
      </c>
      <c r="M274" s="610"/>
      <c r="N274" s="56"/>
      <c r="O274" s="611"/>
      <c r="P274" s="612"/>
      <c r="Q274" s="609">
        <v>0</v>
      </c>
      <c r="R274" s="610"/>
      <c r="S274" s="56"/>
      <c r="T274" s="611"/>
      <c r="U274" s="612"/>
      <c r="V274" s="609">
        <v>0</v>
      </c>
      <c r="W274" s="610"/>
      <c r="X274" s="56"/>
      <c r="Y274" s="611"/>
      <c r="Z274" s="612"/>
      <c r="AA274" s="609">
        <v>0</v>
      </c>
      <c r="AB274" s="610"/>
      <c r="AC274" s="56"/>
      <c r="AD274" s="611"/>
      <c r="AE274" s="612"/>
      <c r="AF274" s="609">
        <v>0</v>
      </c>
      <c r="AG274" s="610"/>
      <c r="AH274" s="56"/>
      <c r="AI274" s="611"/>
      <c r="AJ274" s="612"/>
      <c r="AK274" s="609">
        <v>0</v>
      </c>
      <c r="AL274" s="610"/>
      <c r="AM274" s="56"/>
      <c r="AN274" s="611"/>
      <c r="AO274" s="612"/>
      <c r="AP274" s="609">
        <v>0</v>
      </c>
      <c r="AQ274" s="610"/>
      <c r="AR274" s="56"/>
      <c r="AS274" s="611"/>
      <c r="AT274" s="612"/>
      <c r="AU274" s="609">
        <v>0</v>
      </c>
      <c r="AV274" s="610"/>
      <c r="AW274" s="56"/>
      <c r="AX274" s="611"/>
      <c r="AY274" s="612"/>
      <c r="AZ274" s="609">
        <v>0</v>
      </c>
      <c r="BA274" s="610"/>
      <c r="BB274" s="56"/>
      <c r="BC274" s="611"/>
      <c r="BD274" s="612"/>
      <c r="BE274" s="609">
        <v>0</v>
      </c>
      <c r="BF274" s="610"/>
      <c r="BG274" s="56"/>
      <c r="BH274" s="611"/>
      <c r="BI274" s="612"/>
      <c r="BJ274" s="609">
        <v>0</v>
      </c>
      <c r="BK274" s="610"/>
      <c r="BL274" s="56"/>
      <c r="BM274" s="611"/>
      <c r="BN274" s="612"/>
      <c r="BO274" s="609">
        <v>0</v>
      </c>
      <c r="BP274" s="610"/>
      <c r="BQ274" s="56"/>
      <c r="BR274" s="611"/>
      <c r="BS274" s="612"/>
      <c r="BT274" s="609">
        <f>SUM(L274:BO274)</f>
        <v>0</v>
      </c>
      <c r="BU274" s="610"/>
      <c r="BV274" s="56"/>
      <c r="BW274" s="611"/>
      <c r="BX274" s="612"/>
      <c r="BY274" s="609">
        <v>0</v>
      </c>
      <c r="BZ274" s="610"/>
      <c r="CA274" s="56"/>
      <c r="CB274" s="611"/>
      <c r="CC274" s="612"/>
      <c r="CD274" s="609">
        <v>0</v>
      </c>
      <c r="CE274" s="610"/>
      <c r="CF274" s="56"/>
      <c r="CG274" s="611"/>
      <c r="CH274" s="612"/>
      <c r="CI274" s="609">
        <v>0</v>
      </c>
      <c r="CJ274" s="610"/>
      <c r="CK274" s="56"/>
      <c r="CL274" s="611"/>
      <c r="CM274" s="612"/>
      <c r="CN274" s="609">
        <v>0</v>
      </c>
      <c r="CO274" s="610"/>
      <c r="CP274" s="56"/>
      <c r="CQ274" s="611"/>
      <c r="CR274" s="612"/>
      <c r="CS274" s="609">
        <v>0</v>
      </c>
      <c r="CT274" s="610"/>
      <c r="CU274" s="56"/>
      <c r="CV274" s="611"/>
      <c r="CW274" s="612"/>
      <c r="CX274" s="609">
        <v>0</v>
      </c>
      <c r="CY274" s="610"/>
      <c r="CZ274" s="56"/>
      <c r="DA274" s="611"/>
      <c r="DB274" s="612"/>
      <c r="DC274" s="609">
        <v>0</v>
      </c>
      <c r="DD274" s="610"/>
      <c r="DE274" s="56"/>
      <c r="DF274" s="611"/>
      <c r="DG274" s="612"/>
      <c r="DH274" s="609">
        <v>0</v>
      </c>
      <c r="DI274" s="610"/>
      <c r="DJ274" s="56"/>
      <c r="DK274" s="611"/>
      <c r="DL274" s="612"/>
      <c r="DM274" s="609">
        <v>0</v>
      </c>
      <c r="DN274" s="610"/>
      <c r="DO274" s="56"/>
      <c r="DP274" s="611"/>
      <c r="DQ274" s="612"/>
      <c r="DR274" s="609">
        <v>0</v>
      </c>
      <c r="DS274" s="610"/>
      <c r="DT274" s="56"/>
      <c r="DU274" s="611"/>
      <c r="DV274" s="612"/>
      <c r="DW274" s="609">
        <v>0</v>
      </c>
      <c r="DX274" s="610"/>
      <c r="DY274" s="56"/>
      <c r="DZ274" s="611"/>
      <c r="EA274" s="612"/>
      <c r="EB274" s="609">
        <v>0</v>
      </c>
      <c r="EC274" s="610"/>
      <c r="ED274" s="56"/>
      <c r="EE274" s="611"/>
      <c r="EF274" s="612"/>
      <c r="EG274" s="609">
        <v>0</v>
      </c>
      <c r="EH274" s="610"/>
      <c r="EI274" s="56"/>
      <c r="EJ274" s="611"/>
      <c r="EK274" s="612"/>
      <c r="EL274" s="609">
        <f>SUM(CD274:CD274)</f>
        <v>0</v>
      </c>
      <c r="EM274" s="610"/>
      <c r="EN274" s="56"/>
      <c r="EO274" s="144"/>
      <c r="ER274" s="42"/>
      <c r="ES274" s="42"/>
    </row>
    <row r="275" spans="4:149" ht="12.75" hidden="1" customHeight="1" x14ac:dyDescent="0.3">
      <c r="D275" s="144" t="s">
        <v>338</v>
      </c>
      <c r="F275" s="494"/>
      <c r="G275" s="56">
        <v>0</v>
      </c>
      <c r="H275" s="55"/>
      <c r="I275" s="56"/>
      <c r="J275" s="611"/>
      <c r="K275" s="611"/>
      <c r="L275" s="56">
        <v>0</v>
      </c>
      <c r="M275" s="55"/>
      <c r="N275" s="56"/>
      <c r="O275" s="611"/>
      <c r="P275" s="611"/>
      <c r="Q275" s="56">
        <v>0</v>
      </c>
      <c r="R275" s="55"/>
      <c r="S275" s="56"/>
      <c r="T275" s="611"/>
      <c r="U275" s="611"/>
      <c r="V275" s="56">
        <v>0</v>
      </c>
      <c r="W275" s="55"/>
      <c r="X275" s="56"/>
      <c r="Y275" s="611"/>
      <c r="Z275" s="611"/>
      <c r="AA275" s="56">
        <v>0</v>
      </c>
      <c r="AB275" s="55"/>
      <c r="AC275" s="56"/>
      <c r="AD275" s="611"/>
      <c r="AE275" s="611"/>
      <c r="AF275" s="56">
        <v>0</v>
      </c>
      <c r="AG275" s="55"/>
      <c r="AH275" s="56"/>
      <c r="AI275" s="611"/>
      <c r="AJ275" s="611"/>
      <c r="AK275" s="56">
        <v>0</v>
      </c>
      <c r="AL275" s="55"/>
      <c r="AM275" s="56"/>
      <c r="AN275" s="611"/>
      <c r="AO275" s="611"/>
      <c r="AP275" s="56">
        <v>0</v>
      </c>
      <c r="AQ275" s="55"/>
      <c r="AR275" s="56"/>
      <c r="AS275" s="611"/>
      <c r="AT275" s="611"/>
      <c r="AU275" s="56">
        <v>0</v>
      </c>
      <c r="AV275" s="55"/>
      <c r="AW275" s="56"/>
      <c r="AX275" s="611"/>
      <c r="AY275" s="611"/>
      <c r="AZ275" s="56">
        <v>0</v>
      </c>
      <c r="BA275" s="55"/>
      <c r="BB275" s="56"/>
      <c r="BC275" s="611"/>
      <c r="BD275" s="611"/>
      <c r="BE275" s="56">
        <v>0</v>
      </c>
      <c r="BF275" s="55"/>
      <c r="BG275" s="56"/>
      <c r="BH275" s="611"/>
      <c r="BI275" s="611"/>
      <c r="BJ275" s="56">
        <v>0</v>
      </c>
      <c r="BK275" s="55"/>
      <c r="BL275" s="56"/>
      <c r="BM275" s="611"/>
      <c r="BN275" s="611"/>
      <c r="BO275" s="56">
        <v>0</v>
      </c>
      <c r="BP275" s="55"/>
      <c r="BQ275" s="56"/>
      <c r="BR275" s="611"/>
      <c r="BS275" s="611"/>
      <c r="BT275" s="56">
        <f>SUM(L275:BO275)</f>
        <v>0</v>
      </c>
      <c r="BU275" s="55"/>
      <c r="BV275" s="56"/>
      <c r="BW275" s="611"/>
      <c r="BX275" s="611"/>
      <c r="BY275" s="56">
        <v>0</v>
      </c>
      <c r="BZ275" s="55"/>
      <c r="CA275" s="56"/>
      <c r="CB275" s="611"/>
      <c r="CC275" s="611"/>
      <c r="CD275" s="56">
        <v>0</v>
      </c>
      <c r="CE275" s="55"/>
      <c r="CF275" s="56"/>
      <c r="CG275" s="611"/>
      <c r="CH275" s="611"/>
      <c r="CI275" s="56">
        <v>0</v>
      </c>
      <c r="CJ275" s="55"/>
      <c r="CK275" s="56"/>
      <c r="CL275" s="611"/>
      <c r="CM275" s="611"/>
      <c r="CN275" s="56">
        <v>0</v>
      </c>
      <c r="CO275" s="55"/>
      <c r="CP275" s="56"/>
      <c r="CQ275" s="611"/>
      <c r="CR275" s="611"/>
      <c r="CS275" s="56">
        <v>0</v>
      </c>
      <c r="CT275" s="55"/>
      <c r="CU275" s="56"/>
      <c r="CV275" s="611"/>
      <c r="CW275" s="611"/>
      <c r="CX275" s="56">
        <v>0</v>
      </c>
      <c r="CY275" s="55"/>
      <c r="CZ275" s="56"/>
      <c r="DA275" s="611"/>
      <c r="DB275" s="611"/>
      <c r="DC275" s="56">
        <v>0</v>
      </c>
      <c r="DD275" s="55"/>
      <c r="DE275" s="56"/>
      <c r="DF275" s="611"/>
      <c r="DG275" s="611"/>
      <c r="DH275" s="56">
        <v>0</v>
      </c>
      <c r="DI275" s="55"/>
      <c r="DJ275" s="56"/>
      <c r="DK275" s="611"/>
      <c r="DL275" s="611"/>
      <c r="DM275" s="56">
        <v>0</v>
      </c>
      <c r="DN275" s="55"/>
      <c r="DO275" s="56"/>
      <c r="DP275" s="611"/>
      <c r="DQ275" s="611"/>
      <c r="DR275" s="56">
        <v>0</v>
      </c>
      <c r="DS275" s="55"/>
      <c r="DT275" s="56"/>
      <c r="DU275" s="611"/>
      <c r="DV275" s="611"/>
      <c r="DW275" s="56">
        <v>0</v>
      </c>
      <c r="DX275" s="55"/>
      <c r="DY275" s="56"/>
      <c r="DZ275" s="611"/>
      <c r="EA275" s="611"/>
      <c r="EB275" s="56">
        <v>0</v>
      </c>
      <c r="EC275" s="55"/>
      <c r="ED275" s="56"/>
      <c r="EE275" s="611"/>
      <c r="EF275" s="611"/>
      <c r="EG275" s="56">
        <v>0</v>
      </c>
      <c r="EH275" s="55"/>
      <c r="EI275" s="56"/>
      <c r="EJ275" s="611"/>
      <c r="EK275" s="611"/>
      <c r="EL275" s="56">
        <f>SUM(CD275:CD275)</f>
        <v>0</v>
      </c>
      <c r="EM275" s="55"/>
      <c r="EN275" s="56"/>
      <c r="EO275" s="144"/>
      <c r="ER275" s="42"/>
      <c r="ES275" s="42"/>
    </row>
    <row r="276" spans="4:149" ht="12.75" hidden="1" customHeight="1" x14ac:dyDescent="0.3">
      <c r="D276" s="144" t="s">
        <v>352</v>
      </c>
      <c r="F276" s="513"/>
      <c r="G276" s="117">
        <v>0</v>
      </c>
      <c r="H276" s="116"/>
      <c r="I276" s="56"/>
      <c r="J276" s="611"/>
      <c r="K276" s="620"/>
      <c r="L276" s="117">
        <v>0</v>
      </c>
      <c r="M276" s="116"/>
      <c r="N276" s="56"/>
      <c r="O276" s="611"/>
      <c r="P276" s="620"/>
      <c r="Q276" s="117">
        <v>0</v>
      </c>
      <c r="R276" s="116"/>
      <c r="S276" s="56"/>
      <c r="T276" s="611"/>
      <c r="U276" s="620"/>
      <c r="V276" s="117">
        <v>0</v>
      </c>
      <c r="W276" s="116"/>
      <c r="X276" s="56"/>
      <c r="Y276" s="611"/>
      <c r="Z276" s="620"/>
      <c r="AA276" s="117">
        <v>0</v>
      </c>
      <c r="AB276" s="116"/>
      <c r="AC276" s="56"/>
      <c r="AD276" s="611"/>
      <c r="AE276" s="620"/>
      <c r="AF276" s="117">
        <v>0</v>
      </c>
      <c r="AG276" s="116"/>
      <c r="AH276" s="56"/>
      <c r="AI276" s="611"/>
      <c r="AJ276" s="620"/>
      <c r="AK276" s="117">
        <v>0</v>
      </c>
      <c r="AL276" s="116"/>
      <c r="AM276" s="56"/>
      <c r="AN276" s="611"/>
      <c r="AO276" s="620"/>
      <c r="AP276" s="117">
        <v>0</v>
      </c>
      <c r="AQ276" s="116"/>
      <c r="AR276" s="56"/>
      <c r="AS276" s="611"/>
      <c r="AT276" s="620"/>
      <c r="AU276" s="117">
        <v>0</v>
      </c>
      <c r="AV276" s="116"/>
      <c r="AW276" s="56"/>
      <c r="AX276" s="611"/>
      <c r="AY276" s="620"/>
      <c r="AZ276" s="117">
        <v>0</v>
      </c>
      <c r="BA276" s="116"/>
      <c r="BB276" s="56"/>
      <c r="BC276" s="611"/>
      <c r="BD276" s="620"/>
      <c r="BE276" s="117">
        <v>0</v>
      </c>
      <c r="BF276" s="116"/>
      <c r="BG276" s="56"/>
      <c r="BH276" s="611"/>
      <c r="BI276" s="620"/>
      <c r="BJ276" s="117">
        <v>0</v>
      </c>
      <c r="BK276" s="116"/>
      <c r="BL276" s="56"/>
      <c r="BM276" s="611"/>
      <c r="BN276" s="620"/>
      <c r="BO276" s="117">
        <v>0</v>
      </c>
      <c r="BP276" s="116"/>
      <c r="BQ276" s="56"/>
      <c r="BR276" s="611"/>
      <c r="BS276" s="620"/>
      <c r="BT276" s="117">
        <f>SUM(L276:BO276)</f>
        <v>0</v>
      </c>
      <c r="BU276" s="116"/>
      <c r="BV276" s="56"/>
      <c r="BW276" s="611"/>
      <c r="BX276" s="620"/>
      <c r="BY276" s="117">
        <v>0</v>
      </c>
      <c r="BZ276" s="116"/>
      <c r="CA276" s="56"/>
      <c r="CB276" s="611"/>
      <c r="CC276" s="620"/>
      <c r="CD276" s="117">
        <v>0</v>
      </c>
      <c r="CE276" s="116"/>
      <c r="CF276" s="56"/>
      <c r="CG276" s="611"/>
      <c r="CH276" s="620"/>
      <c r="CI276" s="117">
        <v>0</v>
      </c>
      <c r="CJ276" s="116"/>
      <c r="CK276" s="56"/>
      <c r="CL276" s="611"/>
      <c r="CM276" s="620"/>
      <c r="CN276" s="117">
        <v>0</v>
      </c>
      <c r="CO276" s="116"/>
      <c r="CP276" s="56"/>
      <c r="CQ276" s="611"/>
      <c r="CR276" s="620"/>
      <c r="CS276" s="117">
        <v>0</v>
      </c>
      <c r="CT276" s="116"/>
      <c r="CU276" s="56"/>
      <c r="CV276" s="611"/>
      <c r="CW276" s="620"/>
      <c r="CX276" s="117">
        <v>0</v>
      </c>
      <c r="CY276" s="116"/>
      <c r="CZ276" s="56"/>
      <c r="DA276" s="611"/>
      <c r="DB276" s="620"/>
      <c r="DC276" s="117">
        <v>0</v>
      </c>
      <c r="DD276" s="116"/>
      <c r="DE276" s="56"/>
      <c r="DF276" s="611"/>
      <c r="DG276" s="620"/>
      <c r="DH276" s="117">
        <v>0</v>
      </c>
      <c r="DI276" s="116"/>
      <c r="DJ276" s="56"/>
      <c r="DK276" s="611"/>
      <c r="DL276" s="620"/>
      <c r="DM276" s="117">
        <v>0</v>
      </c>
      <c r="DN276" s="116"/>
      <c r="DO276" s="56"/>
      <c r="DP276" s="611"/>
      <c r="DQ276" s="620"/>
      <c r="DR276" s="117">
        <v>0</v>
      </c>
      <c r="DS276" s="116"/>
      <c r="DT276" s="56"/>
      <c r="DU276" s="611"/>
      <c r="DV276" s="620"/>
      <c r="DW276" s="117">
        <v>0</v>
      </c>
      <c r="DX276" s="116"/>
      <c r="DY276" s="56"/>
      <c r="DZ276" s="611"/>
      <c r="EA276" s="620"/>
      <c r="EB276" s="117">
        <v>0</v>
      </c>
      <c r="EC276" s="116"/>
      <c r="ED276" s="56"/>
      <c r="EE276" s="611"/>
      <c r="EF276" s="620"/>
      <c r="EG276" s="117">
        <v>0</v>
      </c>
      <c r="EH276" s="116"/>
      <c r="EI276" s="56"/>
      <c r="EJ276" s="611"/>
      <c r="EK276" s="620"/>
      <c r="EL276" s="117">
        <f>SUM(CD276:CD276)</f>
        <v>0</v>
      </c>
      <c r="EM276" s="116"/>
      <c r="EN276" s="56"/>
      <c r="EO276" s="144"/>
      <c r="ER276" s="42"/>
      <c r="ES276" s="42"/>
    </row>
    <row r="277" spans="4:149" ht="12.75" hidden="1" customHeight="1" x14ac:dyDescent="0.3">
      <c r="D277" s="144"/>
      <c r="G277" s="56"/>
      <c r="H277" s="56"/>
      <c r="I277" s="56"/>
      <c r="J277" s="611"/>
      <c r="K277" s="56"/>
      <c r="L277" s="56"/>
      <c r="M277" s="56"/>
      <c r="N277" s="56"/>
      <c r="O277" s="611"/>
      <c r="P277" s="56"/>
      <c r="Q277" s="56"/>
      <c r="R277" s="56"/>
      <c r="S277" s="56"/>
      <c r="T277" s="611"/>
      <c r="U277" s="56"/>
      <c r="V277" s="56"/>
      <c r="W277" s="56"/>
      <c r="X277" s="56"/>
      <c r="Y277" s="611"/>
      <c r="Z277" s="56"/>
      <c r="AA277" s="56"/>
      <c r="AB277" s="56"/>
      <c r="AC277" s="56"/>
      <c r="AD277" s="611"/>
      <c r="AE277" s="56"/>
      <c r="AF277" s="56"/>
      <c r="AG277" s="56"/>
      <c r="AH277" s="56"/>
      <c r="AI277" s="611"/>
      <c r="AJ277" s="56"/>
      <c r="AK277" s="56"/>
      <c r="AL277" s="56"/>
      <c r="AM277" s="56"/>
      <c r="AN277" s="611"/>
      <c r="AO277" s="56"/>
      <c r="AP277" s="56"/>
      <c r="AQ277" s="56"/>
      <c r="AR277" s="56"/>
      <c r="AS277" s="611"/>
      <c r="AT277" s="56"/>
      <c r="AU277" s="56"/>
      <c r="AV277" s="56"/>
      <c r="AW277" s="56"/>
      <c r="AX277" s="611"/>
      <c r="AY277" s="56"/>
      <c r="AZ277" s="56"/>
      <c r="BA277" s="56"/>
      <c r="BB277" s="56"/>
      <c r="BC277" s="611"/>
      <c r="BD277" s="56"/>
      <c r="BE277" s="56"/>
      <c r="BF277" s="56"/>
      <c r="BG277" s="56"/>
      <c r="BH277" s="611"/>
      <c r="BI277" s="56"/>
      <c r="BJ277" s="56"/>
      <c r="BK277" s="56"/>
      <c r="BL277" s="56"/>
      <c r="BM277" s="611"/>
      <c r="BN277" s="56"/>
      <c r="BO277" s="56"/>
      <c r="BP277" s="56"/>
      <c r="BQ277" s="56"/>
      <c r="BR277" s="611"/>
      <c r="BS277" s="56"/>
      <c r="BT277" s="56"/>
      <c r="BU277" s="56"/>
      <c r="BV277" s="56"/>
      <c r="BW277" s="611"/>
      <c r="BX277" s="56"/>
      <c r="BY277" s="56"/>
      <c r="BZ277" s="56"/>
      <c r="CA277" s="56"/>
      <c r="CB277" s="611"/>
      <c r="CC277" s="56"/>
      <c r="CD277" s="56"/>
      <c r="CE277" s="56"/>
      <c r="CF277" s="56"/>
      <c r="CG277" s="611"/>
      <c r="CH277" s="56"/>
      <c r="CI277" s="56"/>
      <c r="CJ277" s="56"/>
      <c r="CK277" s="56"/>
      <c r="CL277" s="611"/>
      <c r="CM277" s="56"/>
      <c r="CN277" s="56"/>
      <c r="CO277" s="56"/>
      <c r="CP277" s="56"/>
      <c r="CQ277" s="611"/>
      <c r="CR277" s="56"/>
      <c r="CS277" s="56"/>
      <c r="CT277" s="56"/>
      <c r="CU277" s="56"/>
      <c r="CV277" s="611"/>
      <c r="CW277" s="56"/>
      <c r="CX277" s="56"/>
      <c r="CY277" s="56"/>
      <c r="CZ277" s="56"/>
      <c r="DA277" s="611"/>
      <c r="DB277" s="56"/>
      <c r="DC277" s="56"/>
      <c r="DD277" s="56"/>
      <c r="DE277" s="56"/>
      <c r="DF277" s="611"/>
      <c r="DG277" s="56"/>
      <c r="DH277" s="56"/>
      <c r="DI277" s="56"/>
      <c r="DJ277" s="56"/>
      <c r="DK277" s="611"/>
      <c r="DL277" s="56"/>
      <c r="DM277" s="56"/>
      <c r="DN277" s="56"/>
      <c r="DO277" s="56"/>
      <c r="DP277" s="611"/>
      <c r="DQ277" s="56"/>
      <c r="DR277" s="56"/>
      <c r="DS277" s="56"/>
      <c r="DT277" s="56"/>
      <c r="DU277" s="611"/>
      <c r="DV277" s="56"/>
      <c r="DW277" s="56"/>
      <c r="DX277" s="56"/>
      <c r="DY277" s="56"/>
      <c r="DZ277" s="611"/>
      <c r="EA277" s="56"/>
      <c r="EB277" s="56"/>
      <c r="EC277" s="56"/>
      <c r="ED277" s="56"/>
      <c r="EE277" s="611"/>
      <c r="EF277" s="56"/>
      <c r="EG277" s="56"/>
      <c r="EH277" s="56"/>
      <c r="EI277" s="56"/>
      <c r="EJ277" s="611"/>
      <c r="EK277" s="56"/>
      <c r="EL277" s="56"/>
      <c r="EM277" s="56"/>
      <c r="EN277" s="56"/>
      <c r="EO277" s="144"/>
      <c r="ER277" s="42"/>
      <c r="ES277" s="42"/>
    </row>
    <row r="278" spans="4:149" ht="12.75" customHeight="1" x14ac:dyDescent="0.3">
      <c r="D278" s="144" t="s">
        <v>358</v>
      </c>
      <c r="G278" s="56">
        <f>SUM(G279:G281)</f>
        <v>0</v>
      </c>
      <c r="H278" s="56"/>
      <c r="I278" s="56"/>
      <c r="J278" s="611"/>
      <c r="K278" s="56"/>
      <c r="L278" s="56">
        <f>SUM(L279:L281)</f>
        <v>0</v>
      </c>
      <c r="M278" s="56"/>
      <c r="N278" s="56"/>
      <c r="O278" s="611"/>
      <c r="P278" s="56"/>
      <c r="Q278" s="56">
        <f>SUM(Q279:Q281)</f>
        <v>0</v>
      </c>
      <c r="R278" s="56"/>
      <c r="S278" s="56"/>
      <c r="T278" s="611"/>
      <c r="U278" s="56"/>
      <c r="V278" s="56">
        <f>SUM(V279:V281)</f>
        <v>0</v>
      </c>
      <c r="W278" s="56"/>
      <c r="X278" s="56"/>
      <c r="Y278" s="611"/>
      <c r="Z278" s="56"/>
      <c r="AA278" s="56">
        <f>SUM(AA279:AA281)</f>
        <v>0</v>
      </c>
      <c r="AB278" s="56"/>
      <c r="AC278" s="56"/>
      <c r="AD278" s="611"/>
      <c r="AE278" s="56"/>
      <c r="AF278" s="56">
        <f>SUM(AF279:AF281)</f>
        <v>0</v>
      </c>
      <c r="AG278" s="56"/>
      <c r="AH278" s="56"/>
      <c r="AI278" s="611"/>
      <c r="AJ278" s="56"/>
      <c r="AK278" s="56">
        <f>SUM(AK279:AK281)</f>
        <v>0</v>
      </c>
      <c r="AL278" s="56"/>
      <c r="AM278" s="56"/>
      <c r="AN278" s="611"/>
      <c r="AO278" s="56"/>
      <c r="AP278" s="56">
        <f>SUM(AP279:AP281)</f>
        <v>0</v>
      </c>
      <c r="AQ278" s="56"/>
      <c r="AR278" s="56"/>
      <c r="AS278" s="611"/>
      <c r="AT278" s="56"/>
      <c r="AU278" s="56">
        <f>SUM(AU279:AU281)</f>
        <v>0</v>
      </c>
      <c r="AV278" s="56"/>
      <c r="AW278" s="56"/>
      <c r="AX278" s="611"/>
      <c r="AY278" s="56"/>
      <c r="AZ278" s="56">
        <f>SUM(AZ279:AZ281)</f>
        <v>0</v>
      </c>
      <c r="BA278" s="56"/>
      <c r="BB278" s="56"/>
      <c r="BC278" s="611"/>
      <c r="BD278" s="56"/>
      <c r="BE278" s="56">
        <f>SUM(BE279:BE281)</f>
        <v>0</v>
      </c>
      <c r="BF278" s="56"/>
      <c r="BG278" s="56"/>
      <c r="BH278" s="611"/>
      <c r="BI278" s="56"/>
      <c r="BJ278" s="56">
        <f>SUM(BJ279:BJ281)</f>
        <v>0</v>
      </c>
      <c r="BK278" s="56"/>
      <c r="BL278" s="56"/>
      <c r="BM278" s="611"/>
      <c r="BN278" s="56"/>
      <c r="BO278" s="56">
        <f>SUM(BO279:BO281)</f>
        <v>0</v>
      </c>
      <c r="BP278" s="56"/>
      <c r="BQ278" s="56"/>
      <c r="BR278" s="611"/>
      <c r="BS278" s="56"/>
      <c r="BT278" s="56">
        <f>SUM(BT279:BT281)</f>
        <v>0</v>
      </c>
      <c r="BU278" s="56"/>
      <c r="BV278" s="56"/>
      <c r="BW278" s="611"/>
      <c r="BX278" s="56"/>
      <c r="BY278" s="56">
        <f>SUM(BY279:BY281)</f>
        <v>8793365</v>
      </c>
      <c r="BZ278" s="56"/>
      <c r="CA278" s="56"/>
      <c r="CB278" s="611"/>
      <c r="CC278" s="56"/>
      <c r="CD278" s="56">
        <f>SUM(CD279:CD281)</f>
        <v>1626641</v>
      </c>
      <c r="CE278" s="56"/>
      <c r="CF278" s="56"/>
      <c r="CG278" s="611"/>
      <c r="CH278" s="56"/>
      <c r="CI278" s="56">
        <f>SUM(CI279:CI281)</f>
        <v>501290</v>
      </c>
      <c r="CJ278" s="56"/>
      <c r="CK278" s="56"/>
      <c r="CL278" s="611"/>
      <c r="CM278" s="56"/>
      <c r="CN278" s="56">
        <f>SUM(CN279:CN281)</f>
        <v>0</v>
      </c>
      <c r="CO278" s="56"/>
      <c r="CP278" s="56"/>
      <c r="CQ278" s="611"/>
      <c r="CR278" s="56"/>
      <c r="CS278" s="56">
        <f>SUM(CS279:CS281)</f>
        <v>0</v>
      </c>
      <c r="CT278" s="56"/>
      <c r="CU278" s="56"/>
      <c r="CV278" s="611"/>
      <c r="CW278" s="56"/>
      <c r="CX278" s="56">
        <f>SUM(CX279:CX281)</f>
        <v>0</v>
      </c>
      <c r="CY278" s="56"/>
      <c r="CZ278" s="56"/>
      <c r="DA278" s="611"/>
      <c r="DB278" s="56"/>
      <c r="DC278" s="56">
        <f>SUM(DC279:DC281)</f>
        <v>238560</v>
      </c>
      <c r="DD278" s="56"/>
      <c r="DE278" s="56"/>
      <c r="DF278" s="611"/>
      <c r="DG278" s="56"/>
      <c r="DH278" s="56">
        <f>SUM(DH279:DH281)</f>
        <v>2550803</v>
      </c>
      <c r="DI278" s="56"/>
      <c r="DJ278" s="56"/>
      <c r="DK278" s="611"/>
      <c r="DL278" s="56"/>
      <c r="DM278" s="56">
        <f>SUM(DM279:DM281)</f>
        <v>1890152</v>
      </c>
      <c r="DN278" s="56"/>
      <c r="DO278" s="56"/>
      <c r="DP278" s="611"/>
      <c r="DQ278" s="56"/>
      <c r="DR278" s="56">
        <f>SUM(DR279:DR281)</f>
        <v>0</v>
      </c>
      <c r="DS278" s="56"/>
      <c r="DT278" s="56"/>
      <c r="DU278" s="611"/>
      <c r="DV278" s="56"/>
      <c r="DW278" s="56">
        <f>SUM(DW279:DW281)</f>
        <v>1095441</v>
      </c>
      <c r="DX278" s="56"/>
      <c r="DY278" s="56"/>
      <c r="DZ278" s="611"/>
      <c r="EA278" s="56"/>
      <c r="EB278" s="56">
        <f>SUM(EB279:EB281)</f>
        <v>800741</v>
      </c>
      <c r="EC278" s="56"/>
      <c r="ED278" s="56"/>
      <c r="EE278" s="611"/>
      <c r="EF278" s="56"/>
      <c r="EG278" s="56">
        <f>SUM(EG279:EG281)</f>
        <v>89737</v>
      </c>
      <c r="EH278" s="56"/>
      <c r="EI278" s="56"/>
      <c r="EJ278" s="611"/>
      <c r="EK278" s="56"/>
      <c r="EL278" s="56">
        <f>SUM(EL279:EL281)</f>
        <v>7902887</v>
      </c>
      <c r="EM278" s="56"/>
      <c r="EN278" s="56"/>
      <c r="EO278" s="144"/>
      <c r="ER278" s="42"/>
      <c r="ES278" s="42"/>
    </row>
    <row r="279" spans="4:149" ht="12.75" customHeight="1" x14ac:dyDescent="0.3">
      <c r="D279" s="144" t="s">
        <v>335</v>
      </c>
      <c r="F279" s="500"/>
      <c r="G279" s="609">
        <v>0</v>
      </c>
      <c r="H279" s="610"/>
      <c r="I279" s="56"/>
      <c r="J279" s="611"/>
      <c r="K279" s="612"/>
      <c r="L279" s="609">
        <v>0</v>
      </c>
      <c r="M279" s="610"/>
      <c r="N279" s="56"/>
      <c r="O279" s="611"/>
      <c r="P279" s="612"/>
      <c r="Q279" s="609">
        <v>0</v>
      </c>
      <c r="R279" s="610"/>
      <c r="S279" s="56"/>
      <c r="T279" s="611"/>
      <c r="U279" s="612"/>
      <c r="V279" s="609">
        <v>0</v>
      </c>
      <c r="W279" s="610"/>
      <c r="X279" s="56"/>
      <c r="Y279" s="611"/>
      <c r="Z279" s="612"/>
      <c r="AA279" s="609">
        <v>0</v>
      </c>
      <c r="AB279" s="610"/>
      <c r="AC279" s="56"/>
      <c r="AD279" s="611"/>
      <c r="AE279" s="612"/>
      <c r="AF279" s="609">
        <v>0</v>
      </c>
      <c r="AG279" s="610"/>
      <c r="AH279" s="56"/>
      <c r="AI279" s="611"/>
      <c r="AJ279" s="612"/>
      <c r="AK279" s="609">
        <v>0</v>
      </c>
      <c r="AL279" s="610"/>
      <c r="AM279" s="56"/>
      <c r="AN279" s="611"/>
      <c r="AO279" s="612"/>
      <c r="AP279" s="609">
        <v>0</v>
      </c>
      <c r="AQ279" s="610"/>
      <c r="AR279" s="56"/>
      <c r="AS279" s="611"/>
      <c r="AT279" s="612"/>
      <c r="AU279" s="609">
        <v>0</v>
      </c>
      <c r="AV279" s="610"/>
      <c r="AW279" s="56"/>
      <c r="AX279" s="611"/>
      <c r="AY279" s="612"/>
      <c r="AZ279" s="609">
        <v>0</v>
      </c>
      <c r="BA279" s="610"/>
      <c r="BB279" s="56"/>
      <c r="BC279" s="611"/>
      <c r="BD279" s="612"/>
      <c r="BE279" s="609">
        <v>0</v>
      </c>
      <c r="BF279" s="610"/>
      <c r="BG279" s="56"/>
      <c r="BH279" s="611"/>
      <c r="BI279" s="612"/>
      <c r="BJ279" s="609">
        <v>0</v>
      </c>
      <c r="BK279" s="610"/>
      <c r="BL279" s="56"/>
      <c r="BM279" s="611"/>
      <c r="BN279" s="612"/>
      <c r="BO279" s="609">
        <v>0</v>
      </c>
      <c r="BP279" s="610"/>
      <c r="BQ279" s="56"/>
      <c r="BR279" s="611"/>
      <c r="BS279" s="612"/>
      <c r="BT279" s="609">
        <f>SUM(L279:BO279)</f>
        <v>0</v>
      </c>
      <c r="BU279" s="610"/>
      <c r="BV279" s="56"/>
      <c r="BW279" s="611"/>
      <c r="BX279" s="612"/>
      <c r="BY279" s="609">
        <v>7326236</v>
      </c>
      <c r="BZ279" s="610"/>
      <c r="CA279" s="56"/>
      <c r="CB279" s="611"/>
      <c r="CC279" s="612"/>
      <c r="CD279" s="609">
        <f>1626641-319465</f>
        <v>1307176</v>
      </c>
      <c r="CE279" s="610"/>
      <c r="CF279" s="56"/>
      <c r="CG279" s="611"/>
      <c r="CH279" s="612"/>
      <c r="CI279" s="609">
        <f>501290-85723</f>
        <v>415567</v>
      </c>
      <c r="CJ279" s="610"/>
      <c r="CK279" s="56"/>
      <c r="CL279" s="611"/>
      <c r="CM279" s="612"/>
      <c r="CN279" s="609">
        <v>0</v>
      </c>
      <c r="CO279" s="610"/>
      <c r="CP279" s="56"/>
      <c r="CQ279" s="611"/>
      <c r="CR279" s="612"/>
      <c r="CS279" s="609">
        <v>0</v>
      </c>
      <c r="CT279" s="610"/>
      <c r="CU279" s="56"/>
      <c r="CV279" s="611"/>
      <c r="CW279" s="612"/>
      <c r="CX279" s="609">
        <v>0</v>
      </c>
      <c r="CY279" s="610"/>
      <c r="CZ279" s="56"/>
      <c r="DA279" s="611"/>
      <c r="DB279" s="612"/>
      <c r="DC279" s="609">
        <f>238560-32213</f>
        <v>206347</v>
      </c>
      <c r="DD279" s="610"/>
      <c r="DE279" s="56"/>
      <c r="DF279" s="611"/>
      <c r="DG279" s="612"/>
      <c r="DH279" s="609">
        <f>2550803-419072</f>
        <v>2131731</v>
      </c>
      <c r="DI279" s="610"/>
      <c r="DJ279" s="56"/>
      <c r="DK279" s="611"/>
      <c r="DL279" s="612"/>
      <c r="DM279" s="609">
        <f>1890152-317389</f>
        <v>1572763</v>
      </c>
      <c r="DN279" s="610"/>
      <c r="DO279" s="56"/>
      <c r="DP279" s="611"/>
      <c r="DQ279" s="612"/>
      <c r="DR279" s="609">
        <v>0</v>
      </c>
      <c r="DS279" s="610"/>
      <c r="DT279" s="56"/>
      <c r="DU279" s="611"/>
      <c r="DV279" s="612"/>
      <c r="DW279" s="609">
        <f>1095441-176185</f>
        <v>919256</v>
      </c>
      <c r="DX279" s="610"/>
      <c r="DY279" s="56"/>
      <c r="DZ279" s="611"/>
      <c r="EA279" s="612"/>
      <c r="EB279" s="609">
        <f>800741-103404</f>
        <v>697337</v>
      </c>
      <c r="EC279" s="610"/>
      <c r="ED279" s="56"/>
      <c r="EE279" s="611"/>
      <c r="EF279" s="612"/>
      <c r="EG279" s="609">
        <f>89737-13678</f>
        <v>76059</v>
      </c>
      <c r="EH279" s="610"/>
      <c r="EI279" s="56"/>
      <c r="EJ279" s="611"/>
      <c r="EK279" s="612"/>
      <c r="EL279" s="609">
        <f t="shared" ref="EL279:EL281" si="24">SUM(CD279:DW279)</f>
        <v>6552840</v>
      </c>
      <c r="EM279" s="610"/>
      <c r="EN279" s="56"/>
      <c r="EO279" s="144"/>
      <c r="ER279" s="42"/>
      <c r="ES279" s="42"/>
    </row>
    <row r="280" spans="4:149" ht="12.75" customHeight="1" x14ac:dyDescent="0.3">
      <c r="D280" s="144" t="s">
        <v>338</v>
      </c>
      <c r="F280" s="494"/>
      <c r="G280" s="56">
        <v>0</v>
      </c>
      <c r="H280" s="55"/>
      <c r="I280" s="56"/>
      <c r="J280" s="611"/>
      <c r="K280" s="611"/>
      <c r="L280" s="56">
        <v>0</v>
      </c>
      <c r="M280" s="55"/>
      <c r="N280" s="56"/>
      <c r="O280" s="611"/>
      <c r="P280" s="611"/>
      <c r="Q280" s="56">
        <v>0</v>
      </c>
      <c r="R280" s="55"/>
      <c r="S280" s="56"/>
      <c r="T280" s="611"/>
      <c r="U280" s="611"/>
      <c r="V280" s="56">
        <v>0</v>
      </c>
      <c r="W280" s="55"/>
      <c r="X280" s="56"/>
      <c r="Y280" s="611"/>
      <c r="Z280" s="611"/>
      <c r="AA280" s="56">
        <v>0</v>
      </c>
      <c r="AB280" s="55"/>
      <c r="AC280" s="56"/>
      <c r="AD280" s="611"/>
      <c r="AE280" s="611"/>
      <c r="AF280" s="56">
        <v>0</v>
      </c>
      <c r="AG280" s="55"/>
      <c r="AH280" s="56"/>
      <c r="AI280" s="611"/>
      <c r="AJ280" s="611"/>
      <c r="AK280" s="56">
        <v>0</v>
      </c>
      <c r="AL280" s="55"/>
      <c r="AM280" s="56"/>
      <c r="AN280" s="611"/>
      <c r="AO280" s="611"/>
      <c r="AP280" s="56">
        <v>0</v>
      </c>
      <c r="AQ280" s="55"/>
      <c r="AR280" s="56"/>
      <c r="AS280" s="611"/>
      <c r="AT280" s="611"/>
      <c r="AU280" s="56">
        <v>0</v>
      </c>
      <c r="AV280" s="55"/>
      <c r="AW280" s="56"/>
      <c r="AX280" s="611"/>
      <c r="AY280" s="611"/>
      <c r="AZ280" s="56">
        <v>0</v>
      </c>
      <c r="BA280" s="55"/>
      <c r="BB280" s="56"/>
      <c r="BC280" s="611"/>
      <c r="BD280" s="611"/>
      <c r="BE280" s="56">
        <v>0</v>
      </c>
      <c r="BF280" s="55"/>
      <c r="BG280" s="56"/>
      <c r="BH280" s="611"/>
      <c r="BI280" s="611"/>
      <c r="BJ280" s="56">
        <v>0</v>
      </c>
      <c r="BK280" s="55"/>
      <c r="BL280" s="56"/>
      <c r="BM280" s="611"/>
      <c r="BN280" s="611"/>
      <c r="BO280" s="56">
        <v>0</v>
      </c>
      <c r="BP280" s="55"/>
      <c r="BQ280" s="56"/>
      <c r="BR280" s="611"/>
      <c r="BS280" s="611"/>
      <c r="BT280" s="56">
        <f>SUM(L280:BO280)</f>
        <v>0</v>
      </c>
      <c r="BU280" s="55"/>
      <c r="BV280" s="56"/>
      <c r="BW280" s="611"/>
      <c r="BX280" s="611"/>
      <c r="BY280" s="56">
        <v>1467129</v>
      </c>
      <c r="BZ280" s="55"/>
      <c r="CA280" s="56"/>
      <c r="CB280" s="611"/>
      <c r="CC280" s="611"/>
      <c r="CD280" s="56">
        <v>319465</v>
      </c>
      <c r="CE280" s="55"/>
      <c r="CF280" s="56"/>
      <c r="CG280" s="611"/>
      <c r="CH280" s="611"/>
      <c r="CI280" s="56">
        <v>85723</v>
      </c>
      <c r="CJ280" s="55"/>
      <c r="CK280" s="56"/>
      <c r="CL280" s="611"/>
      <c r="CM280" s="611"/>
      <c r="CN280" s="56">
        <v>0</v>
      </c>
      <c r="CO280" s="55"/>
      <c r="CP280" s="56"/>
      <c r="CQ280" s="611"/>
      <c r="CR280" s="611"/>
      <c r="CS280" s="56">
        <v>0</v>
      </c>
      <c r="CT280" s="55"/>
      <c r="CU280" s="56"/>
      <c r="CV280" s="611"/>
      <c r="CW280" s="611"/>
      <c r="CX280" s="56">
        <v>0</v>
      </c>
      <c r="CY280" s="55"/>
      <c r="CZ280" s="56"/>
      <c r="DA280" s="611"/>
      <c r="DB280" s="611"/>
      <c r="DC280" s="56">
        <v>32213</v>
      </c>
      <c r="DD280" s="55"/>
      <c r="DE280" s="56"/>
      <c r="DF280" s="611"/>
      <c r="DG280" s="611"/>
      <c r="DH280" s="56">
        <v>419072</v>
      </c>
      <c r="DI280" s="55"/>
      <c r="DJ280" s="56"/>
      <c r="DK280" s="611"/>
      <c r="DL280" s="611"/>
      <c r="DM280" s="56">
        <v>317389</v>
      </c>
      <c r="DN280" s="55"/>
      <c r="DO280" s="56"/>
      <c r="DP280" s="611"/>
      <c r="DQ280" s="611"/>
      <c r="DR280" s="56">
        <v>0</v>
      </c>
      <c r="DS280" s="55"/>
      <c r="DT280" s="56"/>
      <c r="DU280" s="611"/>
      <c r="DV280" s="611"/>
      <c r="DW280" s="56">
        <v>176185</v>
      </c>
      <c r="DX280" s="55"/>
      <c r="DY280" s="56"/>
      <c r="DZ280" s="611"/>
      <c r="EA280" s="611"/>
      <c r="EB280" s="56">
        <v>103404</v>
      </c>
      <c r="EC280" s="55"/>
      <c r="ED280" s="56"/>
      <c r="EE280" s="611"/>
      <c r="EF280" s="611"/>
      <c r="EG280" s="56">
        <v>13678</v>
      </c>
      <c r="EH280" s="55"/>
      <c r="EI280" s="56"/>
      <c r="EJ280" s="611"/>
      <c r="EK280" s="611"/>
      <c r="EL280" s="56">
        <f t="shared" si="24"/>
        <v>1350047</v>
      </c>
      <c r="EM280" s="55"/>
      <c r="EN280" s="56"/>
      <c r="EO280" s="144"/>
      <c r="ER280" s="42"/>
      <c r="ES280" s="42"/>
    </row>
    <row r="281" spans="4:149" ht="12.75" customHeight="1" x14ac:dyDescent="0.3">
      <c r="D281" s="144" t="s">
        <v>352</v>
      </c>
      <c r="F281" s="513"/>
      <c r="G281" s="117">
        <v>0</v>
      </c>
      <c r="H281" s="116"/>
      <c r="I281" s="56"/>
      <c r="J281" s="611"/>
      <c r="K281" s="620"/>
      <c r="L281" s="117">
        <v>0</v>
      </c>
      <c r="M281" s="116"/>
      <c r="N281" s="56"/>
      <c r="O281" s="611"/>
      <c r="P281" s="620"/>
      <c r="Q281" s="117">
        <v>0</v>
      </c>
      <c r="R281" s="116"/>
      <c r="S281" s="56"/>
      <c r="T281" s="611"/>
      <c r="U281" s="620"/>
      <c r="V281" s="117">
        <v>0</v>
      </c>
      <c r="W281" s="116"/>
      <c r="X281" s="56"/>
      <c r="Y281" s="611"/>
      <c r="Z281" s="620"/>
      <c r="AA281" s="117">
        <v>0</v>
      </c>
      <c r="AB281" s="116"/>
      <c r="AC281" s="56"/>
      <c r="AD281" s="611"/>
      <c r="AE281" s="620"/>
      <c r="AF281" s="117">
        <v>0</v>
      </c>
      <c r="AG281" s="116"/>
      <c r="AH281" s="56"/>
      <c r="AI281" s="611"/>
      <c r="AJ281" s="620"/>
      <c r="AK281" s="117">
        <v>0</v>
      </c>
      <c r="AL281" s="116"/>
      <c r="AM281" s="56"/>
      <c r="AN281" s="611"/>
      <c r="AO281" s="620"/>
      <c r="AP281" s="117">
        <v>0</v>
      </c>
      <c r="AQ281" s="116"/>
      <c r="AR281" s="56"/>
      <c r="AS281" s="611"/>
      <c r="AT281" s="620"/>
      <c r="AU281" s="117">
        <v>0</v>
      </c>
      <c r="AV281" s="116"/>
      <c r="AW281" s="56"/>
      <c r="AX281" s="611"/>
      <c r="AY281" s="620"/>
      <c r="AZ281" s="117">
        <v>0</v>
      </c>
      <c r="BA281" s="116"/>
      <c r="BB281" s="56"/>
      <c r="BC281" s="611"/>
      <c r="BD281" s="620"/>
      <c r="BE281" s="117">
        <v>0</v>
      </c>
      <c r="BF281" s="116"/>
      <c r="BG281" s="56"/>
      <c r="BH281" s="611"/>
      <c r="BI281" s="620"/>
      <c r="BJ281" s="117">
        <v>0</v>
      </c>
      <c r="BK281" s="116"/>
      <c r="BL281" s="56"/>
      <c r="BM281" s="611"/>
      <c r="BN281" s="620"/>
      <c r="BO281" s="117">
        <v>0</v>
      </c>
      <c r="BP281" s="116"/>
      <c r="BQ281" s="56"/>
      <c r="BR281" s="611"/>
      <c r="BS281" s="620"/>
      <c r="BT281" s="117">
        <f>SUM(L281:BO281)</f>
        <v>0</v>
      </c>
      <c r="BU281" s="116"/>
      <c r="BV281" s="56"/>
      <c r="BW281" s="611"/>
      <c r="BX281" s="620"/>
      <c r="BY281" s="117">
        <v>0</v>
      </c>
      <c r="BZ281" s="116"/>
      <c r="CA281" s="56"/>
      <c r="CB281" s="611"/>
      <c r="CC281" s="620"/>
      <c r="CD281" s="117">
        <v>0</v>
      </c>
      <c r="CE281" s="116"/>
      <c r="CF281" s="56"/>
      <c r="CG281" s="611"/>
      <c r="CH281" s="620"/>
      <c r="CI281" s="117">
        <v>0</v>
      </c>
      <c r="CJ281" s="116"/>
      <c r="CK281" s="56"/>
      <c r="CL281" s="611"/>
      <c r="CM281" s="620"/>
      <c r="CN281" s="117">
        <v>0</v>
      </c>
      <c r="CO281" s="116"/>
      <c r="CP281" s="56"/>
      <c r="CQ281" s="611"/>
      <c r="CR281" s="620"/>
      <c r="CS281" s="117">
        <v>0</v>
      </c>
      <c r="CT281" s="116"/>
      <c r="CU281" s="56"/>
      <c r="CV281" s="611"/>
      <c r="CW281" s="620"/>
      <c r="CX281" s="117">
        <v>0</v>
      </c>
      <c r="CY281" s="116"/>
      <c r="CZ281" s="56"/>
      <c r="DA281" s="611"/>
      <c r="DB281" s="620"/>
      <c r="DC281" s="117">
        <v>0</v>
      </c>
      <c r="DD281" s="116"/>
      <c r="DE281" s="56"/>
      <c r="DF281" s="611"/>
      <c r="DG281" s="620"/>
      <c r="DH281" s="117">
        <v>0</v>
      </c>
      <c r="DI281" s="116"/>
      <c r="DJ281" s="56"/>
      <c r="DK281" s="611"/>
      <c r="DL281" s="620"/>
      <c r="DM281" s="117">
        <v>0</v>
      </c>
      <c r="DN281" s="116"/>
      <c r="DO281" s="56"/>
      <c r="DP281" s="611"/>
      <c r="DQ281" s="620"/>
      <c r="DR281" s="117">
        <v>0</v>
      </c>
      <c r="DS281" s="116"/>
      <c r="DT281" s="56"/>
      <c r="DU281" s="611"/>
      <c r="DV281" s="620"/>
      <c r="DW281" s="117">
        <v>0</v>
      </c>
      <c r="DX281" s="116"/>
      <c r="DY281" s="56"/>
      <c r="DZ281" s="611"/>
      <c r="EA281" s="620"/>
      <c r="EB281" s="117">
        <v>0</v>
      </c>
      <c r="EC281" s="116"/>
      <c r="ED281" s="56"/>
      <c r="EE281" s="611"/>
      <c r="EF281" s="620"/>
      <c r="EG281" s="117">
        <v>0</v>
      </c>
      <c r="EH281" s="116"/>
      <c r="EI281" s="56"/>
      <c r="EJ281" s="611"/>
      <c r="EK281" s="620"/>
      <c r="EL281" s="117">
        <f t="shared" si="24"/>
        <v>0</v>
      </c>
      <c r="EM281" s="116"/>
      <c r="EN281" s="56"/>
      <c r="EO281" s="144"/>
      <c r="ER281" s="42"/>
      <c r="ES281" s="42"/>
    </row>
    <row r="282" spans="4:149" ht="12.75" customHeight="1" x14ac:dyDescent="0.3">
      <c r="D282" s="144"/>
      <c r="G282" s="56"/>
      <c r="H282" s="56"/>
      <c r="I282" s="56"/>
      <c r="J282" s="611"/>
      <c r="K282" s="56"/>
      <c r="L282" s="56"/>
      <c r="M282" s="56"/>
      <c r="N282" s="56"/>
      <c r="O282" s="611"/>
      <c r="P282" s="56"/>
      <c r="Q282" s="56"/>
      <c r="R282" s="56"/>
      <c r="S282" s="56"/>
      <c r="T282" s="611"/>
      <c r="U282" s="56"/>
      <c r="V282" s="56"/>
      <c r="W282" s="56"/>
      <c r="X282" s="56"/>
      <c r="Y282" s="611"/>
      <c r="Z282" s="56"/>
      <c r="AA282" s="56"/>
      <c r="AB282" s="56"/>
      <c r="AC282" s="56"/>
      <c r="AD282" s="611"/>
      <c r="AE282" s="56"/>
      <c r="AF282" s="56"/>
      <c r="AG282" s="56"/>
      <c r="AH282" s="56"/>
      <c r="AI282" s="611"/>
      <c r="AJ282" s="56"/>
      <c r="AK282" s="56"/>
      <c r="AL282" s="56"/>
      <c r="AM282" s="56"/>
      <c r="AN282" s="611"/>
      <c r="AO282" s="56"/>
      <c r="AP282" s="56"/>
      <c r="AQ282" s="56"/>
      <c r="AR282" s="56"/>
      <c r="AS282" s="611"/>
      <c r="AT282" s="56"/>
      <c r="AU282" s="56"/>
      <c r="AV282" s="56"/>
      <c r="AW282" s="56"/>
      <c r="AX282" s="611"/>
      <c r="AY282" s="56"/>
      <c r="AZ282" s="56"/>
      <c r="BA282" s="56"/>
      <c r="BB282" s="56"/>
      <c r="BC282" s="611"/>
      <c r="BD282" s="56"/>
      <c r="BE282" s="56"/>
      <c r="BF282" s="56"/>
      <c r="BG282" s="56"/>
      <c r="BH282" s="611"/>
      <c r="BI282" s="56"/>
      <c r="BJ282" s="56"/>
      <c r="BK282" s="56"/>
      <c r="BL282" s="56"/>
      <c r="BM282" s="611"/>
      <c r="BN282" s="56"/>
      <c r="BO282" s="56"/>
      <c r="BP282" s="56"/>
      <c r="BQ282" s="56"/>
      <c r="BR282" s="611"/>
      <c r="BS282" s="56"/>
      <c r="BT282" s="56"/>
      <c r="BU282" s="56"/>
      <c r="BV282" s="56"/>
      <c r="BW282" s="611"/>
      <c r="BX282" s="56"/>
      <c r="BY282" s="56"/>
      <c r="BZ282" s="56"/>
      <c r="CA282" s="56"/>
      <c r="CB282" s="611"/>
      <c r="CC282" s="56"/>
      <c r="CD282" s="56"/>
      <c r="CE282" s="56"/>
      <c r="CF282" s="56"/>
      <c r="CG282" s="611"/>
      <c r="CH282" s="56"/>
      <c r="CI282" s="56"/>
      <c r="CJ282" s="56"/>
      <c r="CK282" s="56"/>
      <c r="CL282" s="611"/>
      <c r="CM282" s="56"/>
      <c r="CN282" s="56"/>
      <c r="CO282" s="56"/>
      <c r="CP282" s="56"/>
      <c r="CQ282" s="611"/>
      <c r="CR282" s="56"/>
      <c r="CS282" s="56"/>
      <c r="CT282" s="56"/>
      <c r="CU282" s="56"/>
      <c r="CV282" s="611"/>
      <c r="CW282" s="56"/>
      <c r="CX282" s="56"/>
      <c r="CY282" s="56"/>
      <c r="CZ282" s="56"/>
      <c r="DA282" s="611"/>
      <c r="DB282" s="56"/>
      <c r="DC282" s="56"/>
      <c r="DD282" s="56"/>
      <c r="DE282" s="56"/>
      <c r="DF282" s="611"/>
      <c r="DG282" s="56"/>
      <c r="DH282" s="56"/>
      <c r="DI282" s="56"/>
      <c r="DJ282" s="56"/>
      <c r="DK282" s="611"/>
      <c r="DL282" s="56"/>
      <c r="DM282" s="56"/>
      <c r="DN282" s="56"/>
      <c r="DO282" s="56"/>
      <c r="DP282" s="611"/>
      <c r="DQ282" s="56"/>
      <c r="DR282" s="56"/>
      <c r="DS282" s="56"/>
      <c r="DT282" s="56"/>
      <c r="DU282" s="611"/>
      <c r="DV282" s="56"/>
      <c r="DW282" s="56"/>
      <c r="DX282" s="56"/>
      <c r="DY282" s="56"/>
      <c r="DZ282" s="611"/>
      <c r="EA282" s="56"/>
      <c r="EB282" s="56"/>
      <c r="EC282" s="56"/>
      <c r="ED282" s="56"/>
      <c r="EE282" s="611"/>
      <c r="EF282" s="56"/>
      <c r="EG282" s="56"/>
      <c r="EH282" s="56"/>
      <c r="EI282" s="56"/>
      <c r="EJ282" s="611"/>
      <c r="EK282" s="56"/>
      <c r="EL282" s="56"/>
      <c r="EM282" s="56"/>
      <c r="EN282" s="56"/>
      <c r="EO282" s="144"/>
      <c r="ER282" s="42"/>
      <c r="ES282" s="42"/>
    </row>
    <row r="283" spans="4:149" ht="12.75" customHeight="1" x14ac:dyDescent="0.3">
      <c r="D283" s="144" t="s">
        <v>359</v>
      </c>
      <c r="G283" s="56">
        <f>SUM(G284:G286)</f>
        <v>703120</v>
      </c>
      <c r="H283" s="56"/>
      <c r="I283" s="56"/>
      <c r="J283" s="611"/>
      <c r="K283" s="56"/>
      <c r="L283" s="56">
        <f>SUM(L284:L286)</f>
        <v>114954</v>
      </c>
      <c r="M283" s="56"/>
      <c r="N283" s="56"/>
      <c r="O283" s="611"/>
      <c r="P283" s="56"/>
      <c r="Q283" s="56">
        <f>SUM(Q284:Q286)</f>
        <v>588166</v>
      </c>
      <c r="R283" s="56"/>
      <c r="S283" s="56"/>
      <c r="T283" s="611"/>
      <c r="U283" s="56"/>
      <c r="V283" s="56">
        <f>SUM(V284:V286)</f>
        <v>0</v>
      </c>
      <c r="W283" s="56"/>
      <c r="X283" s="56"/>
      <c r="Y283" s="611"/>
      <c r="Z283" s="56"/>
      <c r="AA283" s="56">
        <f>SUM(AA284:AA286)</f>
        <v>0</v>
      </c>
      <c r="AB283" s="56"/>
      <c r="AC283" s="56"/>
      <c r="AD283" s="611"/>
      <c r="AE283" s="56"/>
      <c r="AF283" s="56">
        <f>SUM(AF284:AF286)</f>
        <v>0</v>
      </c>
      <c r="AG283" s="56"/>
      <c r="AH283" s="56"/>
      <c r="AI283" s="611"/>
      <c r="AJ283" s="56"/>
      <c r="AK283" s="56">
        <f>SUM(AK284:AK286)</f>
        <v>0</v>
      </c>
      <c r="AL283" s="56"/>
      <c r="AM283" s="56"/>
      <c r="AN283" s="611"/>
      <c r="AO283" s="56"/>
      <c r="AP283" s="56">
        <f>SUM(AP284:AP286)</f>
        <v>0</v>
      </c>
      <c r="AQ283" s="56"/>
      <c r="AR283" s="56"/>
      <c r="AS283" s="611"/>
      <c r="AT283" s="56"/>
      <c r="AU283" s="56">
        <f>SUM(AU284:AU286)</f>
        <v>0</v>
      </c>
      <c r="AV283" s="56"/>
      <c r="AW283" s="56"/>
      <c r="AX283" s="611"/>
      <c r="AY283" s="56"/>
      <c r="AZ283" s="56">
        <f>SUM(AZ284:AZ286)</f>
        <v>0</v>
      </c>
      <c r="BA283" s="56"/>
      <c r="BB283" s="56"/>
      <c r="BC283" s="611"/>
      <c r="BD283" s="56"/>
      <c r="BE283" s="56">
        <f>SUM(BE284:BE286)</f>
        <v>0</v>
      </c>
      <c r="BF283" s="56"/>
      <c r="BG283" s="56"/>
      <c r="BH283" s="611"/>
      <c r="BI283" s="56"/>
      <c r="BJ283" s="56">
        <f>SUM(BJ284:BJ286)</f>
        <v>0</v>
      </c>
      <c r="BK283" s="56"/>
      <c r="BL283" s="56"/>
      <c r="BM283" s="611"/>
      <c r="BN283" s="56"/>
      <c r="BO283" s="56">
        <f>SUM(BO284:BO286)</f>
        <v>0</v>
      </c>
      <c r="BP283" s="56"/>
      <c r="BQ283" s="56"/>
      <c r="BR283" s="611"/>
      <c r="BS283" s="56"/>
      <c r="BT283" s="56">
        <f>SUM(BT284:BT286)</f>
        <v>703120</v>
      </c>
      <c r="BU283" s="56"/>
      <c r="BV283" s="56"/>
      <c r="BW283" s="611"/>
      <c r="BX283" s="56"/>
      <c r="BY283" s="56">
        <f>SUM(BY284:BY286)</f>
        <v>2584125</v>
      </c>
      <c r="BZ283" s="56"/>
      <c r="CA283" s="56"/>
      <c r="CB283" s="611"/>
      <c r="CC283" s="56"/>
      <c r="CD283" s="56">
        <f>SUM(CD284:CD286)</f>
        <v>347167</v>
      </c>
      <c r="CE283" s="56"/>
      <c r="CF283" s="56"/>
      <c r="CG283" s="611"/>
      <c r="CH283" s="56"/>
      <c r="CI283" s="56">
        <f>SUM(CI284:CI286)</f>
        <v>0</v>
      </c>
      <c r="CJ283" s="56"/>
      <c r="CK283" s="56"/>
      <c r="CL283" s="611"/>
      <c r="CM283" s="56"/>
      <c r="CN283" s="56">
        <f>SUM(CN284:CN286)</f>
        <v>0</v>
      </c>
      <c r="CO283" s="56"/>
      <c r="CP283" s="56"/>
      <c r="CQ283" s="611"/>
      <c r="CR283" s="56"/>
      <c r="CS283" s="56">
        <f>SUM(CS284:CS286)</f>
        <v>0</v>
      </c>
      <c r="CT283" s="56"/>
      <c r="CU283" s="56"/>
      <c r="CV283" s="611"/>
      <c r="CW283" s="56"/>
      <c r="CX283" s="56">
        <f>SUM(CX284:CX286)</f>
        <v>0</v>
      </c>
      <c r="CY283" s="56"/>
      <c r="CZ283" s="56"/>
      <c r="DA283" s="611"/>
      <c r="DB283" s="56"/>
      <c r="DC283" s="56">
        <f>SUM(DC284:DC286)</f>
        <v>0</v>
      </c>
      <c r="DD283" s="56"/>
      <c r="DE283" s="56"/>
      <c r="DF283" s="611"/>
      <c r="DG283" s="56"/>
      <c r="DH283" s="56">
        <f>SUM(DH284:DH286)</f>
        <v>1224685</v>
      </c>
      <c r="DI283" s="56"/>
      <c r="DJ283" s="56"/>
      <c r="DK283" s="611"/>
      <c r="DL283" s="56"/>
      <c r="DM283" s="56">
        <f>SUM(DM284:DM286)</f>
        <v>0</v>
      </c>
      <c r="DN283" s="56"/>
      <c r="DO283" s="56"/>
      <c r="DP283" s="611"/>
      <c r="DQ283" s="56"/>
      <c r="DR283" s="56">
        <f>SUM(DR284:DR286)</f>
        <v>0</v>
      </c>
      <c r="DS283" s="56"/>
      <c r="DT283" s="56"/>
      <c r="DU283" s="611"/>
      <c r="DV283" s="56"/>
      <c r="DW283" s="56">
        <f>SUM(DW284:DW286)</f>
        <v>0</v>
      </c>
      <c r="DX283" s="56"/>
      <c r="DY283" s="56"/>
      <c r="DZ283" s="611"/>
      <c r="EA283" s="56"/>
      <c r="EB283" s="56">
        <f>SUM(EB284:EB286)</f>
        <v>895441</v>
      </c>
      <c r="EC283" s="56"/>
      <c r="ED283" s="56"/>
      <c r="EE283" s="611"/>
      <c r="EF283" s="56"/>
      <c r="EG283" s="56">
        <f>SUM(EG284:EG286)</f>
        <v>116832</v>
      </c>
      <c r="EH283" s="56"/>
      <c r="EI283" s="56"/>
      <c r="EJ283" s="611"/>
      <c r="EK283" s="56"/>
      <c r="EL283" s="56">
        <f>SUM(EL284:EL286)</f>
        <v>1571852</v>
      </c>
      <c r="EM283" s="56"/>
      <c r="EN283" s="56"/>
      <c r="EO283" s="144"/>
      <c r="ER283" s="42"/>
      <c r="ES283" s="42"/>
    </row>
    <row r="284" spans="4:149" ht="12.75" customHeight="1" x14ac:dyDescent="0.3">
      <c r="D284" s="144" t="s">
        <v>335</v>
      </c>
      <c r="F284" s="500"/>
      <c r="G284" s="609">
        <v>602860</v>
      </c>
      <c r="H284" s="610"/>
      <c r="I284" s="56"/>
      <c r="J284" s="611"/>
      <c r="K284" s="612"/>
      <c r="L284" s="609">
        <f>114954-14113</f>
        <v>100841</v>
      </c>
      <c r="M284" s="610"/>
      <c r="N284" s="56"/>
      <c r="O284" s="611"/>
      <c r="P284" s="612"/>
      <c r="Q284" s="609">
        <f>588166-86147</f>
        <v>502019</v>
      </c>
      <c r="R284" s="610"/>
      <c r="S284" s="56"/>
      <c r="T284" s="611"/>
      <c r="U284" s="612"/>
      <c r="V284" s="609">
        <v>0</v>
      </c>
      <c r="W284" s="610"/>
      <c r="X284" s="56"/>
      <c r="Y284" s="611"/>
      <c r="Z284" s="612"/>
      <c r="AA284" s="609">
        <v>0</v>
      </c>
      <c r="AB284" s="610"/>
      <c r="AC284" s="56"/>
      <c r="AD284" s="611"/>
      <c r="AE284" s="612"/>
      <c r="AF284" s="609">
        <v>0</v>
      </c>
      <c r="AG284" s="610"/>
      <c r="AH284" s="56"/>
      <c r="AI284" s="611"/>
      <c r="AJ284" s="612"/>
      <c r="AK284" s="609">
        <v>0</v>
      </c>
      <c r="AL284" s="610"/>
      <c r="AM284" s="56"/>
      <c r="AN284" s="611"/>
      <c r="AO284" s="612"/>
      <c r="AP284" s="609">
        <v>0</v>
      </c>
      <c r="AQ284" s="610"/>
      <c r="AR284" s="56"/>
      <c r="AS284" s="611"/>
      <c r="AT284" s="612"/>
      <c r="AU284" s="609">
        <v>0</v>
      </c>
      <c r="AV284" s="610"/>
      <c r="AW284" s="56"/>
      <c r="AX284" s="611"/>
      <c r="AY284" s="612"/>
      <c r="AZ284" s="609">
        <v>0</v>
      </c>
      <c r="BA284" s="610"/>
      <c r="BB284" s="56"/>
      <c r="BC284" s="611"/>
      <c r="BD284" s="612"/>
      <c r="BE284" s="609">
        <v>0</v>
      </c>
      <c r="BF284" s="610"/>
      <c r="BG284" s="56"/>
      <c r="BH284" s="611"/>
      <c r="BI284" s="612"/>
      <c r="BJ284" s="609">
        <v>0</v>
      </c>
      <c r="BK284" s="610"/>
      <c r="BL284" s="56"/>
      <c r="BM284" s="611"/>
      <c r="BN284" s="612"/>
      <c r="BO284" s="609">
        <v>0</v>
      </c>
      <c r="BP284" s="610"/>
      <c r="BQ284" s="56"/>
      <c r="BR284" s="611"/>
      <c r="BS284" s="612"/>
      <c r="BT284" s="609">
        <f>SUM(L284:BO284)</f>
        <v>602860</v>
      </c>
      <c r="BU284" s="610"/>
      <c r="BV284" s="56"/>
      <c r="BW284" s="611"/>
      <c r="BX284" s="612"/>
      <c r="BY284" s="609">
        <v>2229832</v>
      </c>
      <c r="BZ284" s="610"/>
      <c r="CA284" s="56"/>
      <c r="CB284" s="611"/>
      <c r="CC284" s="612"/>
      <c r="CD284" s="609">
        <f>347167-63610</f>
        <v>283557</v>
      </c>
      <c r="CE284" s="610"/>
      <c r="CF284" s="56"/>
      <c r="CG284" s="611"/>
      <c r="CH284" s="612"/>
      <c r="CI284" s="609">
        <v>0</v>
      </c>
      <c r="CJ284" s="610"/>
      <c r="CK284" s="56"/>
      <c r="CL284" s="611"/>
      <c r="CM284" s="612"/>
      <c r="CN284" s="609">
        <v>0</v>
      </c>
      <c r="CO284" s="610"/>
      <c r="CP284" s="56"/>
      <c r="CQ284" s="611"/>
      <c r="CR284" s="612"/>
      <c r="CS284" s="609">
        <v>0</v>
      </c>
      <c r="CT284" s="610"/>
      <c r="CU284" s="56"/>
      <c r="CV284" s="611"/>
      <c r="CW284" s="612"/>
      <c r="CX284" s="609">
        <v>0</v>
      </c>
      <c r="CY284" s="610"/>
      <c r="CZ284" s="56"/>
      <c r="DA284" s="611"/>
      <c r="DB284" s="612"/>
      <c r="DC284" s="609">
        <v>0</v>
      </c>
      <c r="DD284" s="610"/>
      <c r="DE284" s="56"/>
      <c r="DF284" s="611"/>
      <c r="DG284" s="612"/>
      <c r="DH284" s="609">
        <f>1224685-177439</f>
        <v>1047246</v>
      </c>
      <c r="DI284" s="610"/>
      <c r="DJ284" s="56"/>
      <c r="DK284" s="611"/>
      <c r="DL284" s="612"/>
      <c r="DM284" s="609">
        <v>0</v>
      </c>
      <c r="DN284" s="610"/>
      <c r="DO284" s="56"/>
      <c r="DP284" s="611"/>
      <c r="DQ284" s="612"/>
      <c r="DR284" s="609">
        <v>0</v>
      </c>
      <c r="DS284" s="610"/>
      <c r="DT284" s="56"/>
      <c r="DU284" s="611"/>
      <c r="DV284" s="612"/>
      <c r="DW284" s="609">
        <v>0</v>
      </c>
      <c r="DX284" s="610"/>
      <c r="DY284" s="56"/>
      <c r="DZ284" s="611"/>
      <c r="EA284" s="612"/>
      <c r="EB284" s="609">
        <f>895441-97790</f>
        <v>797651</v>
      </c>
      <c r="EC284" s="610"/>
      <c r="ED284" s="56"/>
      <c r="EE284" s="611"/>
      <c r="EF284" s="612"/>
      <c r="EG284" s="609">
        <f>116832-15454</f>
        <v>101378</v>
      </c>
      <c r="EH284" s="610"/>
      <c r="EI284" s="56"/>
      <c r="EJ284" s="611"/>
      <c r="EK284" s="612"/>
      <c r="EL284" s="609">
        <f t="shared" ref="EL284:EL286" si="25">SUM(CD284:DW284)</f>
        <v>1330803</v>
      </c>
      <c r="EM284" s="610"/>
      <c r="EN284" s="56"/>
      <c r="EO284" s="144"/>
      <c r="ER284" s="42"/>
      <c r="ES284" s="42"/>
    </row>
    <row r="285" spans="4:149" ht="12.75" customHeight="1" x14ac:dyDescent="0.3">
      <c r="D285" s="144" t="s">
        <v>338</v>
      </c>
      <c r="F285" s="494"/>
      <c r="G285" s="56">
        <v>100260</v>
      </c>
      <c r="H285" s="55"/>
      <c r="I285" s="56"/>
      <c r="J285" s="611"/>
      <c r="K285" s="611"/>
      <c r="L285" s="56">
        <v>14113</v>
      </c>
      <c r="M285" s="55"/>
      <c r="N285" s="56"/>
      <c r="O285" s="611"/>
      <c r="P285" s="611"/>
      <c r="Q285" s="56">
        <v>86147</v>
      </c>
      <c r="R285" s="55"/>
      <c r="S285" s="56"/>
      <c r="T285" s="611"/>
      <c r="U285" s="611"/>
      <c r="V285" s="56">
        <v>0</v>
      </c>
      <c r="W285" s="55"/>
      <c r="X285" s="56"/>
      <c r="Y285" s="611"/>
      <c r="Z285" s="611"/>
      <c r="AA285" s="56">
        <v>0</v>
      </c>
      <c r="AB285" s="55"/>
      <c r="AC285" s="56"/>
      <c r="AD285" s="611"/>
      <c r="AE285" s="611"/>
      <c r="AF285" s="56">
        <v>0</v>
      </c>
      <c r="AG285" s="55"/>
      <c r="AH285" s="56"/>
      <c r="AI285" s="611"/>
      <c r="AJ285" s="611"/>
      <c r="AK285" s="56">
        <v>0</v>
      </c>
      <c r="AL285" s="55"/>
      <c r="AM285" s="56"/>
      <c r="AN285" s="611"/>
      <c r="AO285" s="611"/>
      <c r="AP285" s="56">
        <v>0</v>
      </c>
      <c r="AQ285" s="55"/>
      <c r="AR285" s="56"/>
      <c r="AS285" s="611"/>
      <c r="AT285" s="611"/>
      <c r="AU285" s="56">
        <v>0</v>
      </c>
      <c r="AV285" s="55"/>
      <c r="AW285" s="56"/>
      <c r="AX285" s="611"/>
      <c r="AY285" s="611"/>
      <c r="AZ285" s="56">
        <v>0</v>
      </c>
      <c r="BA285" s="55"/>
      <c r="BB285" s="56"/>
      <c r="BC285" s="611"/>
      <c r="BD285" s="611"/>
      <c r="BE285" s="56">
        <v>0</v>
      </c>
      <c r="BF285" s="55"/>
      <c r="BG285" s="56"/>
      <c r="BH285" s="611"/>
      <c r="BI285" s="611"/>
      <c r="BJ285" s="56">
        <v>0</v>
      </c>
      <c r="BK285" s="55"/>
      <c r="BL285" s="56"/>
      <c r="BM285" s="611"/>
      <c r="BN285" s="611"/>
      <c r="BO285" s="56">
        <v>0</v>
      </c>
      <c r="BP285" s="55"/>
      <c r="BQ285" s="56"/>
      <c r="BR285" s="611"/>
      <c r="BS285" s="611"/>
      <c r="BT285" s="56">
        <f>SUM(L285:BO285)</f>
        <v>100260</v>
      </c>
      <c r="BU285" s="55"/>
      <c r="BV285" s="56"/>
      <c r="BW285" s="611"/>
      <c r="BX285" s="611"/>
      <c r="BY285" s="56">
        <v>354293</v>
      </c>
      <c r="BZ285" s="55"/>
      <c r="CA285" s="56"/>
      <c r="CB285" s="611"/>
      <c r="CC285" s="611"/>
      <c r="CD285" s="56">
        <v>63610</v>
      </c>
      <c r="CE285" s="55"/>
      <c r="CF285" s="56"/>
      <c r="CG285" s="611"/>
      <c r="CH285" s="611"/>
      <c r="CI285" s="56">
        <v>0</v>
      </c>
      <c r="CJ285" s="55"/>
      <c r="CK285" s="56"/>
      <c r="CL285" s="611"/>
      <c r="CM285" s="611"/>
      <c r="CN285" s="56">
        <v>0</v>
      </c>
      <c r="CO285" s="55"/>
      <c r="CP285" s="56"/>
      <c r="CQ285" s="611"/>
      <c r="CR285" s="611"/>
      <c r="CS285" s="56">
        <v>0</v>
      </c>
      <c r="CT285" s="55"/>
      <c r="CU285" s="56"/>
      <c r="CV285" s="611"/>
      <c r="CW285" s="611"/>
      <c r="CX285" s="56">
        <v>0</v>
      </c>
      <c r="CY285" s="55"/>
      <c r="CZ285" s="56"/>
      <c r="DA285" s="611"/>
      <c r="DB285" s="611"/>
      <c r="DC285" s="56">
        <v>0</v>
      </c>
      <c r="DD285" s="55"/>
      <c r="DE285" s="56"/>
      <c r="DF285" s="611"/>
      <c r="DG285" s="611"/>
      <c r="DH285" s="56">
        <v>177439</v>
      </c>
      <c r="DI285" s="55"/>
      <c r="DJ285" s="56"/>
      <c r="DK285" s="611"/>
      <c r="DL285" s="611"/>
      <c r="DM285" s="56">
        <v>0</v>
      </c>
      <c r="DN285" s="55"/>
      <c r="DO285" s="56"/>
      <c r="DP285" s="611"/>
      <c r="DQ285" s="611"/>
      <c r="DR285" s="56">
        <v>0</v>
      </c>
      <c r="DS285" s="55"/>
      <c r="DT285" s="56"/>
      <c r="DU285" s="611"/>
      <c r="DV285" s="611"/>
      <c r="DW285" s="56">
        <v>0</v>
      </c>
      <c r="DX285" s="55"/>
      <c r="DY285" s="56"/>
      <c r="DZ285" s="611"/>
      <c r="EA285" s="611"/>
      <c r="EB285" s="56">
        <v>97790</v>
      </c>
      <c r="EC285" s="55"/>
      <c r="ED285" s="56"/>
      <c r="EE285" s="611"/>
      <c r="EF285" s="611"/>
      <c r="EG285" s="56">
        <v>15454</v>
      </c>
      <c r="EH285" s="55"/>
      <c r="EI285" s="56"/>
      <c r="EJ285" s="611"/>
      <c r="EK285" s="611"/>
      <c r="EL285" s="56">
        <f t="shared" si="25"/>
        <v>241049</v>
      </c>
      <c r="EM285" s="55"/>
      <c r="EN285" s="56"/>
      <c r="EO285" s="144"/>
      <c r="ER285" s="42"/>
      <c r="ES285" s="42"/>
    </row>
    <row r="286" spans="4:149" ht="12.75" customHeight="1" x14ac:dyDescent="0.3">
      <c r="D286" s="144" t="s">
        <v>340</v>
      </c>
      <c r="F286" s="513"/>
      <c r="G286" s="117">
        <v>0</v>
      </c>
      <c r="H286" s="116"/>
      <c r="I286" s="56"/>
      <c r="J286" s="611"/>
      <c r="K286" s="620"/>
      <c r="L286" s="117">
        <v>0</v>
      </c>
      <c r="M286" s="116"/>
      <c r="N286" s="56"/>
      <c r="O286" s="611"/>
      <c r="P286" s="620"/>
      <c r="Q286" s="117">
        <v>0</v>
      </c>
      <c r="R286" s="116"/>
      <c r="S286" s="56"/>
      <c r="T286" s="611"/>
      <c r="U286" s="620"/>
      <c r="V286" s="117">
        <v>0</v>
      </c>
      <c r="W286" s="116"/>
      <c r="X286" s="56"/>
      <c r="Y286" s="611"/>
      <c r="Z286" s="620"/>
      <c r="AA286" s="117">
        <v>0</v>
      </c>
      <c r="AB286" s="116"/>
      <c r="AC286" s="56"/>
      <c r="AD286" s="611"/>
      <c r="AE286" s="620"/>
      <c r="AF286" s="117">
        <v>0</v>
      </c>
      <c r="AG286" s="116"/>
      <c r="AH286" s="56"/>
      <c r="AI286" s="611"/>
      <c r="AJ286" s="620"/>
      <c r="AK286" s="117">
        <v>0</v>
      </c>
      <c r="AL286" s="116"/>
      <c r="AM286" s="56"/>
      <c r="AN286" s="611"/>
      <c r="AO286" s="620"/>
      <c r="AP286" s="117">
        <v>0</v>
      </c>
      <c r="AQ286" s="116"/>
      <c r="AR286" s="56"/>
      <c r="AS286" s="611"/>
      <c r="AT286" s="620"/>
      <c r="AU286" s="117">
        <v>0</v>
      </c>
      <c r="AV286" s="116"/>
      <c r="AW286" s="56"/>
      <c r="AX286" s="611"/>
      <c r="AY286" s="620"/>
      <c r="AZ286" s="117">
        <v>0</v>
      </c>
      <c r="BA286" s="116"/>
      <c r="BB286" s="56"/>
      <c r="BC286" s="611"/>
      <c r="BD286" s="620"/>
      <c r="BE286" s="117">
        <v>0</v>
      </c>
      <c r="BF286" s="116"/>
      <c r="BG286" s="56"/>
      <c r="BH286" s="611"/>
      <c r="BI286" s="620"/>
      <c r="BJ286" s="117">
        <v>0</v>
      </c>
      <c r="BK286" s="116"/>
      <c r="BL286" s="56"/>
      <c r="BM286" s="611"/>
      <c r="BN286" s="620"/>
      <c r="BO286" s="117">
        <v>0</v>
      </c>
      <c r="BP286" s="116"/>
      <c r="BQ286" s="56"/>
      <c r="BR286" s="611"/>
      <c r="BS286" s="620"/>
      <c r="BT286" s="117">
        <f>SUM(L286:BO286)</f>
        <v>0</v>
      </c>
      <c r="BU286" s="116"/>
      <c r="BV286" s="56"/>
      <c r="BW286" s="611"/>
      <c r="BX286" s="620"/>
      <c r="BY286" s="117">
        <v>0</v>
      </c>
      <c r="BZ286" s="116"/>
      <c r="CA286" s="56"/>
      <c r="CB286" s="611"/>
      <c r="CC286" s="620"/>
      <c r="CD286" s="117">
        <v>0</v>
      </c>
      <c r="CE286" s="116"/>
      <c r="CF286" s="56"/>
      <c r="CG286" s="611"/>
      <c r="CH286" s="620"/>
      <c r="CI286" s="117">
        <v>0</v>
      </c>
      <c r="CJ286" s="116"/>
      <c r="CK286" s="56"/>
      <c r="CL286" s="611"/>
      <c r="CM286" s="620"/>
      <c r="CN286" s="117">
        <v>0</v>
      </c>
      <c r="CO286" s="116"/>
      <c r="CP286" s="56"/>
      <c r="CQ286" s="611"/>
      <c r="CR286" s="620"/>
      <c r="CS286" s="117">
        <v>0</v>
      </c>
      <c r="CT286" s="116"/>
      <c r="CU286" s="56"/>
      <c r="CV286" s="611"/>
      <c r="CW286" s="620"/>
      <c r="CX286" s="117">
        <v>0</v>
      </c>
      <c r="CY286" s="116"/>
      <c r="CZ286" s="56"/>
      <c r="DA286" s="611"/>
      <c r="DB286" s="620"/>
      <c r="DC286" s="117">
        <v>0</v>
      </c>
      <c r="DD286" s="116"/>
      <c r="DE286" s="56"/>
      <c r="DF286" s="611"/>
      <c r="DG286" s="620"/>
      <c r="DH286" s="117">
        <v>0</v>
      </c>
      <c r="DI286" s="116"/>
      <c r="DJ286" s="56"/>
      <c r="DK286" s="611"/>
      <c r="DL286" s="620"/>
      <c r="DM286" s="117">
        <v>0</v>
      </c>
      <c r="DN286" s="116"/>
      <c r="DO286" s="56"/>
      <c r="DP286" s="611"/>
      <c r="DQ286" s="620"/>
      <c r="DR286" s="117">
        <v>0</v>
      </c>
      <c r="DS286" s="116"/>
      <c r="DT286" s="56"/>
      <c r="DU286" s="611"/>
      <c r="DV286" s="620"/>
      <c r="DW286" s="117">
        <v>0</v>
      </c>
      <c r="DX286" s="116"/>
      <c r="DY286" s="56"/>
      <c r="DZ286" s="611"/>
      <c r="EA286" s="620"/>
      <c r="EB286" s="117">
        <v>0</v>
      </c>
      <c r="EC286" s="116"/>
      <c r="ED286" s="56"/>
      <c r="EE286" s="611"/>
      <c r="EF286" s="620"/>
      <c r="EG286" s="117">
        <v>0</v>
      </c>
      <c r="EH286" s="116"/>
      <c r="EI286" s="56"/>
      <c r="EJ286" s="611"/>
      <c r="EK286" s="620"/>
      <c r="EL286" s="117">
        <f t="shared" si="25"/>
        <v>0</v>
      </c>
      <c r="EM286" s="116"/>
      <c r="EN286" s="56"/>
      <c r="EO286" s="144"/>
      <c r="ER286" s="42"/>
      <c r="ES286" s="42"/>
    </row>
    <row r="287" spans="4:149" ht="12.75" customHeight="1" x14ac:dyDescent="0.3">
      <c r="D287" s="144"/>
      <c r="G287" s="56"/>
      <c r="H287" s="56"/>
      <c r="I287" s="56"/>
      <c r="J287" s="611"/>
      <c r="K287" s="56"/>
      <c r="L287" s="56"/>
      <c r="M287" s="56"/>
      <c r="N287" s="56"/>
      <c r="O287" s="611"/>
      <c r="P287" s="56"/>
      <c r="Q287" s="56"/>
      <c r="R287" s="56"/>
      <c r="S287" s="56"/>
      <c r="T287" s="611"/>
      <c r="U287" s="56"/>
      <c r="V287" s="56"/>
      <c r="W287" s="56"/>
      <c r="X287" s="56"/>
      <c r="Y287" s="611"/>
      <c r="Z287" s="56"/>
      <c r="AA287" s="56"/>
      <c r="AB287" s="56"/>
      <c r="AC287" s="56"/>
      <c r="AD287" s="611"/>
      <c r="AE287" s="56"/>
      <c r="AF287" s="56"/>
      <c r="AG287" s="56"/>
      <c r="AH287" s="56"/>
      <c r="AI287" s="611"/>
      <c r="AJ287" s="56"/>
      <c r="AK287" s="56"/>
      <c r="AL287" s="56"/>
      <c r="AM287" s="56"/>
      <c r="AN287" s="611"/>
      <c r="AO287" s="56"/>
      <c r="AP287" s="56"/>
      <c r="AQ287" s="56"/>
      <c r="AR287" s="56"/>
      <c r="AS287" s="611"/>
      <c r="AT287" s="56"/>
      <c r="AU287" s="56"/>
      <c r="AV287" s="56"/>
      <c r="AW287" s="56"/>
      <c r="AX287" s="611"/>
      <c r="AY287" s="56"/>
      <c r="AZ287" s="56"/>
      <c r="BA287" s="56"/>
      <c r="BB287" s="56"/>
      <c r="BC287" s="611"/>
      <c r="BD287" s="56"/>
      <c r="BE287" s="56"/>
      <c r="BF287" s="56"/>
      <c r="BG287" s="56"/>
      <c r="BH287" s="611"/>
      <c r="BI287" s="56"/>
      <c r="BJ287" s="56"/>
      <c r="BK287" s="56"/>
      <c r="BL287" s="56"/>
      <c r="BM287" s="611"/>
      <c r="BN287" s="56"/>
      <c r="BO287" s="56"/>
      <c r="BP287" s="56"/>
      <c r="BQ287" s="56"/>
      <c r="BR287" s="611"/>
      <c r="BS287" s="56"/>
      <c r="BT287" s="56"/>
      <c r="BU287" s="56"/>
      <c r="BV287" s="56"/>
      <c r="BW287" s="611"/>
      <c r="BX287" s="56"/>
      <c r="BY287" s="56"/>
      <c r="BZ287" s="56"/>
      <c r="CA287" s="56"/>
      <c r="CB287" s="611"/>
      <c r="CC287" s="56"/>
      <c r="CD287" s="56"/>
      <c r="CE287" s="56"/>
      <c r="CF287" s="56"/>
      <c r="CG287" s="611"/>
      <c r="CH287" s="56"/>
      <c r="CI287" s="56"/>
      <c r="CJ287" s="56"/>
      <c r="CK287" s="56"/>
      <c r="CL287" s="611"/>
      <c r="CM287" s="56"/>
      <c r="CN287" s="56"/>
      <c r="CO287" s="56"/>
      <c r="CP287" s="56"/>
      <c r="CQ287" s="611"/>
      <c r="CR287" s="56"/>
      <c r="CS287" s="56"/>
      <c r="CT287" s="56"/>
      <c r="CU287" s="56"/>
      <c r="CV287" s="611"/>
      <c r="CW287" s="56"/>
      <c r="CX287" s="56"/>
      <c r="CY287" s="56"/>
      <c r="CZ287" s="56"/>
      <c r="DA287" s="611"/>
      <c r="DB287" s="56"/>
      <c r="DC287" s="56"/>
      <c r="DD287" s="56"/>
      <c r="DE287" s="56"/>
      <c r="DF287" s="611"/>
      <c r="DG287" s="56"/>
      <c r="DH287" s="56"/>
      <c r="DI287" s="56"/>
      <c r="DJ287" s="56"/>
      <c r="DK287" s="611"/>
      <c r="DL287" s="56"/>
      <c r="DM287" s="56"/>
      <c r="DN287" s="56"/>
      <c r="DO287" s="56"/>
      <c r="DP287" s="611"/>
      <c r="DQ287" s="56"/>
      <c r="DR287" s="56"/>
      <c r="DS287" s="56"/>
      <c r="DT287" s="56"/>
      <c r="DU287" s="611"/>
      <c r="DV287" s="56"/>
      <c r="DW287" s="56"/>
      <c r="DX287" s="56"/>
      <c r="DY287" s="56"/>
      <c r="DZ287" s="611"/>
      <c r="EA287" s="56"/>
      <c r="EB287" s="56"/>
      <c r="EC287" s="56"/>
      <c r="ED287" s="56"/>
      <c r="EE287" s="611"/>
      <c r="EF287" s="56"/>
      <c r="EG287" s="56"/>
      <c r="EH287" s="56"/>
      <c r="EI287" s="56"/>
      <c r="EJ287" s="611"/>
      <c r="EK287" s="56"/>
      <c r="EL287" s="56"/>
      <c r="EM287" s="56"/>
      <c r="EN287" s="56"/>
      <c r="EO287" s="144"/>
      <c r="ER287" s="42"/>
      <c r="ES287" s="42"/>
    </row>
    <row r="288" spans="4:149" ht="12.75" hidden="1" customHeight="1" x14ac:dyDescent="0.3">
      <c r="D288" s="144" t="s">
        <v>360</v>
      </c>
      <c r="G288" s="56">
        <f>SUM(G289:G291)</f>
        <v>0</v>
      </c>
      <c r="H288" s="56"/>
      <c r="I288" s="56"/>
      <c r="J288" s="611"/>
      <c r="K288" s="56"/>
      <c r="L288" s="56">
        <f>SUM(L289:L291)</f>
        <v>0</v>
      </c>
      <c r="M288" s="56"/>
      <c r="N288" s="56"/>
      <c r="O288" s="611"/>
      <c r="P288" s="56"/>
      <c r="Q288" s="56">
        <f>SUM(Q289:Q291)</f>
        <v>0</v>
      </c>
      <c r="R288" s="56"/>
      <c r="S288" s="56"/>
      <c r="T288" s="611"/>
      <c r="U288" s="56"/>
      <c r="V288" s="56">
        <f>SUM(V289:V291)</f>
        <v>0</v>
      </c>
      <c r="W288" s="56"/>
      <c r="X288" s="56"/>
      <c r="Y288" s="611"/>
      <c r="Z288" s="56"/>
      <c r="AA288" s="56">
        <f>SUM(AA289:AA291)</f>
        <v>0</v>
      </c>
      <c r="AB288" s="56"/>
      <c r="AC288" s="56"/>
      <c r="AD288" s="611"/>
      <c r="AE288" s="56"/>
      <c r="AF288" s="56">
        <f>SUM(AF289:AF291)</f>
        <v>0</v>
      </c>
      <c r="AG288" s="56"/>
      <c r="AH288" s="56"/>
      <c r="AI288" s="611"/>
      <c r="AJ288" s="56"/>
      <c r="AK288" s="56">
        <f>SUM(AK289:AK291)</f>
        <v>0</v>
      </c>
      <c r="AL288" s="56"/>
      <c r="AM288" s="56"/>
      <c r="AN288" s="611"/>
      <c r="AO288" s="56"/>
      <c r="AP288" s="56">
        <f>SUM(AP289:AP291)</f>
        <v>0</v>
      </c>
      <c r="AQ288" s="56"/>
      <c r="AR288" s="56"/>
      <c r="AS288" s="611"/>
      <c r="AT288" s="56"/>
      <c r="AU288" s="56">
        <f>SUM(AU289:AU291)</f>
        <v>0</v>
      </c>
      <c r="AV288" s="56"/>
      <c r="AW288" s="56"/>
      <c r="AX288" s="611"/>
      <c r="AY288" s="56"/>
      <c r="AZ288" s="56">
        <f>SUM(AZ289:AZ291)</f>
        <v>0</v>
      </c>
      <c r="BA288" s="56"/>
      <c r="BB288" s="56"/>
      <c r="BC288" s="611"/>
      <c r="BD288" s="56"/>
      <c r="BE288" s="56">
        <f>SUM(BE289:BE291)</f>
        <v>0</v>
      </c>
      <c r="BF288" s="56"/>
      <c r="BG288" s="56"/>
      <c r="BH288" s="611"/>
      <c r="BI288" s="56"/>
      <c r="BJ288" s="56">
        <f>SUM(BJ289:BJ291)</f>
        <v>0</v>
      </c>
      <c r="BK288" s="56"/>
      <c r="BL288" s="56"/>
      <c r="BM288" s="611"/>
      <c r="BN288" s="56"/>
      <c r="BO288" s="56">
        <f>SUM(BO289:BO291)</f>
        <v>0</v>
      </c>
      <c r="BP288" s="56"/>
      <c r="BQ288" s="56"/>
      <c r="BR288" s="611"/>
      <c r="BS288" s="56"/>
      <c r="BT288" s="56">
        <f>SUM(BT289:BT291)</f>
        <v>0</v>
      </c>
      <c r="BU288" s="56"/>
      <c r="BV288" s="56"/>
      <c r="BW288" s="611"/>
      <c r="BX288" s="56"/>
      <c r="BY288" s="56">
        <f>SUM(BY289:BY291)</f>
        <v>0</v>
      </c>
      <c r="BZ288" s="56"/>
      <c r="CA288" s="56"/>
      <c r="CB288" s="611"/>
      <c r="CC288" s="56"/>
      <c r="CD288" s="56">
        <f>SUM(CD289:CD291)</f>
        <v>0</v>
      </c>
      <c r="CE288" s="56"/>
      <c r="CF288" s="56"/>
      <c r="CG288" s="611"/>
      <c r="CH288" s="56"/>
      <c r="CI288" s="56">
        <f>SUM(CI289:CI291)</f>
        <v>0</v>
      </c>
      <c r="CJ288" s="56"/>
      <c r="CK288" s="56"/>
      <c r="CL288" s="611"/>
      <c r="CM288" s="56"/>
      <c r="CN288" s="56">
        <f>SUM(CN289:CN291)</f>
        <v>0</v>
      </c>
      <c r="CO288" s="56"/>
      <c r="CP288" s="56"/>
      <c r="CQ288" s="611"/>
      <c r="CR288" s="56"/>
      <c r="CS288" s="56">
        <f>SUM(CS289:CS291)</f>
        <v>0</v>
      </c>
      <c r="CT288" s="56"/>
      <c r="CU288" s="56"/>
      <c r="CV288" s="611"/>
      <c r="CW288" s="56"/>
      <c r="CX288" s="56">
        <f>SUM(CX289:CX291)</f>
        <v>0</v>
      </c>
      <c r="CY288" s="56"/>
      <c r="CZ288" s="56"/>
      <c r="DA288" s="611"/>
      <c r="DB288" s="56"/>
      <c r="DC288" s="56">
        <f>SUM(DC289:DC291)</f>
        <v>0</v>
      </c>
      <c r="DD288" s="56"/>
      <c r="DE288" s="56"/>
      <c r="DF288" s="611"/>
      <c r="DG288" s="56"/>
      <c r="DH288" s="56">
        <f>SUM(DH289:DH291)</f>
        <v>0</v>
      </c>
      <c r="DI288" s="56"/>
      <c r="DJ288" s="56"/>
      <c r="DK288" s="611"/>
      <c r="DL288" s="56"/>
      <c r="DM288" s="56">
        <f>SUM(DM289:DM291)</f>
        <v>0</v>
      </c>
      <c r="DN288" s="56"/>
      <c r="DO288" s="56"/>
      <c r="DP288" s="611"/>
      <c r="DQ288" s="56"/>
      <c r="DR288" s="56">
        <f>SUM(DR289:DR291)</f>
        <v>0</v>
      </c>
      <c r="DS288" s="56"/>
      <c r="DT288" s="56"/>
      <c r="DU288" s="611"/>
      <c r="DV288" s="56"/>
      <c r="DW288" s="56">
        <f>SUM(DW289:DW291)</f>
        <v>0</v>
      </c>
      <c r="DX288" s="56"/>
      <c r="DY288" s="56"/>
      <c r="DZ288" s="611"/>
      <c r="EA288" s="56"/>
      <c r="EB288" s="56">
        <f>SUM(EB289:EB291)</f>
        <v>0</v>
      </c>
      <c r="EC288" s="56"/>
      <c r="ED288" s="56"/>
      <c r="EE288" s="611"/>
      <c r="EF288" s="56"/>
      <c r="EG288" s="56">
        <f>SUM(EG289:EG291)</f>
        <v>0</v>
      </c>
      <c r="EH288" s="56"/>
      <c r="EI288" s="56"/>
      <c r="EJ288" s="611"/>
      <c r="EK288" s="56"/>
      <c r="EL288" s="56">
        <f>SUM(EL289:EL291)</f>
        <v>0</v>
      </c>
      <c r="EM288" s="56"/>
      <c r="EN288" s="56"/>
      <c r="EO288" s="144"/>
      <c r="ER288" s="42"/>
      <c r="ES288" s="42"/>
    </row>
    <row r="289" spans="4:149" ht="12.75" hidden="1" customHeight="1" x14ac:dyDescent="0.3">
      <c r="D289" s="144" t="s">
        <v>335</v>
      </c>
      <c r="F289" s="500"/>
      <c r="G289" s="609">
        <v>0</v>
      </c>
      <c r="H289" s="610"/>
      <c r="I289" s="56"/>
      <c r="J289" s="611"/>
      <c r="K289" s="612"/>
      <c r="L289" s="609">
        <v>0</v>
      </c>
      <c r="M289" s="610"/>
      <c r="N289" s="56"/>
      <c r="O289" s="611"/>
      <c r="P289" s="612"/>
      <c r="Q289" s="609">
        <v>0</v>
      </c>
      <c r="R289" s="610"/>
      <c r="S289" s="56"/>
      <c r="T289" s="611"/>
      <c r="U289" s="612"/>
      <c r="V289" s="609">
        <v>0</v>
      </c>
      <c r="W289" s="610"/>
      <c r="X289" s="56"/>
      <c r="Y289" s="611"/>
      <c r="Z289" s="612"/>
      <c r="AA289" s="609">
        <v>0</v>
      </c>
      <c r="AB289" s="610"/>
      <c r="AC289" s="56"/>
      <c r="AD289" s="611"/>
      <c r="AE289" s="612"/>
      <c r="AF289" s="609">
        <v>0</v>
      </c>
      <c r="AG289" s="610"/>
      <c r="AH289" s="56"/>
      <c r="AI289" s="611"/>
      <c r="AJ289" s="612"/>
      <c r="AK289" s="609">
        <v>0</v>
      </c>
      <c r="AL289" s="610"/>
      <c r="AM289" s="56"/>
      <c r="AN289" s="611"/>
      <c r="AO289" s="612"/>
      <c r="AP289" s="609">
        <v>0</v>
      </c>
      <c r="AQ289" s="610"/>
      <c r="AR289" s="56"/>
      <c r="AS289" s="611"/>
      <c r="AT289" s="612"/>
      <c r="AU289" s="609">
        <v>0</v>
      </c>
      <c r="AV289" s="610"/>
      <c r="AW289" s="56"/>
      <c r="AX289" s="611"/>
      <c r="AY289" s="612"/>
      <c r="AZ289" s="609">
        <v>0</v>
      </c>
      <c r="BA289" s="610"/>
      <c r="BB289" s="56"/>
      <c r="BC289" s="611"/>
      <c r="BD289" s="612"/>
      <c r="BE289" s="609">
        <v>0</v>
      </c>
      <c r="BF289" s="610"/>
      <c r="BG289" s="56"/>
      <c r="BH289" s="611"/>
      <c r="BI289" s="612"/>
      <c r="BJ289" s="609">
        <v>0</v>
      </c>
      <c r="BK289" s="610"/>
      <c r="BL289" s="56"/>
      <c r="BM289" s="611"/>
      <c r="BN289" s="612"/>
      <c r="BO289" s="609">
        <v>0</v>
      </c>
      <c r="BP289" s="610"/>
      <c r="BQ289" s="56"/>
      <c r="BR289" s="611"/>
      <c r="BS289" s="612"/>
      <c r="BT289" s="609">
        <f>SUM(L289:BO289)</f>
        <v>0</v>
      </c>
      <c r="BU289" s="610"/>
      <c r="BV289" s="56"/>
      <c r="BW289" s="611"/>
      <c r="BX289" s="612"/>
      <c r="BY289" s="609">
        <v>0</v>
      </c>
      <c r="BZ289" s="610"/>
      <c r="CA289" s="56"/>
      <c r="CB289" s="611"/>
      <c r="CC289" s="612"/>
      <c r="CD289" s="609">
        <v>0</v>
      </c>
      <c r="CE289" s="610"/>
      <c r="CF289" s="56"/>
      <c r="CG289" s="611"/>
      <c r="CH289" s="612"/>
      <c r="CI289" s="609">
        <v>0</v>
      </c>
      <c r="CJ289" s="610"/>
      <c r="CK289" s="56"/>
      <c r="CL289" s="611"/>
      <c r="CM289" s="612"/>
      <c r="CN289" s="609">
        <v>0</v>
      </c>
      <c r="CO289" s="610"/>
      <c r="CP289" s="56"/>
      <c r="CQ289" s="611"/>
      <c r="CR289" s="612"/>
      <c r="CS289" s="609">
        <v>0</v>
      </c>
      <c r="CT289" s="610"/>
      <c r="CU289" s="56"/>
      <c r="CV289" s="611"/>
      <c r="CW289" s="612"/>
      <c r="CX289" s="609">
        <v>0</v>
      </c>
      <c r="CY289" s="610"/>
      <c r="CZ289" s="56"/>
      <c r="DA289" s="611"/>
      <c r="DB289" s="612"/>
      <c r="DC289" s="609">
        <v>0</v>
      </c>
      <c r="DD289" s="610"/>
      <c r="DE289" s="56"/>
      <c r="DF289" s="611"/>
      <c r="DG289" s="612"/>
      <c r="DH289" s="609">
        <v>0</v>
      </c>
      <c r="DI289" s="610"/>
      <c r="DJ289" s="56"/>
      <c r="DK289" s="611"/>
      <c r="DL289" s="612"/>
      <c r="DM289" s="609">
        <v>0</v>
      </c>
      <c r="DN289" s="610"/>
      <c r="DO289" s="56"/>
      <c r="DP289" s="611"/>
      <c r="DQ289" s="612"/>
      <c r="DR289" s="609">
        <v>0</v>
      </c>
      <c r="DS289" s="610"/>
      <c r="DT289" s="56"/>
      <c r="DU289" s="611"/>
      <c r="DV289" s="612"/>
      <c r="DW289" s="609">
        <v>0</v>
      </c>
      <c r="DX289" s="610"/>
      <c r="DY289" s="56"/>
      <c r="DZ289" s="611"/>
      <c r="EA289" s="612"/>
      <c r="EB289" s="609">
        <v>0</v>
      </c>
      <c r="EC289" s="610"/>
      <c r="ED289" s="56"/>
      <c r="EE289" s="611"/>
      <c r="EF289" s="612"/>
      <c r="EG289" s="609">
        <v>0</v>
      </c>
      <c r="EH289" s="610"/>
      <c r="EI289" s="56"/>
      <c r="EJ289" s="611"/>
      <c r="EK289" s="612"/>
      <c r="EL289" s="609">
        <f>SUM(CD289:CD289)</f>
        <v>0</v>
      </c>
      <c r="EM289" s="610"/>
      <c r="EN289" s="56"/>
      <c r="EO289" s="144"/>
      <c r="ER289" s="42"/>
      <c r="ES289" s="42"/>
    </row>
    <row r="290" spans="4:149" ht="12.75" hidden="1" customHeight="1" x14ac:dyDescent="0.3">
      <c r="D290" s="144" t="s">
        <v>338</v>
      </c>
      <c r="F290" s="494"/>
      <c r="G290" s="56">
        <v>0</v>
      </c>
      <c r="H290" s="55"/>
      <c r="I290" s="56"/>
      <c r="J290" s="611"/>
      <c r="K290" s="611"/>
      <c r="L290" s="56">
        <v>0</v>
      </c>
      <c r="M290" s="55"/>
      <c r="N290" s="56"/>
      <c r="O290" s="611"/>
      <c r="P290" s="611"/>
      <c r="Q290" s="56">
        <v>0</v>
      </c>
      <c r="R290" s="55"/>
      <c r="S290" s="56"/>
      <c r="T290" s="611"/>
      <c r="U290" s="611"/>
      <c r="V290" s="56">
        <v>0</v>
      </c>
      <c r="W290" s="55"/>
      <c r="X290" s="56"/>
      <c r="Y290" s="611"/>
      <c r="Z290" s="611"/>
      <c r="AA290" s="56">
        <v>0</v>
      </c>
      <c r="AB290" s="55"/>
      <c r="AC290" s="56"/>
      <c r="AD290" s="611"/>
      <c r="AE290" s="611"/>
      <c r="AF290" s="56">
        <v>0</v>
      </c>
      <c r="AG290" s="55"/>
      <c r="AH290" s="56"/>
      <c r="AI290" s="611"/>
      <c r="AJ290" s="611"/>
      <c r="AK290" s="56">
        <v>0</v>
      </c>
      <c r="AL290" s="55"/>
      <c r="AM290" s="56"/>
      <c r="AN290" s="611"/>
      <c r="AO290" s="611"/>
      <c r="AP290" s="56">
        <v>0</v>
      </c>
      <c r="AQ290" s="55"/>
      <c r="AR290" s="56"/>
      <c r="AS290" s="611"/>
      <c r="AT290" s="611"/>
      <c r="AU290" s="56">
        <v>0</v>
      </c>
      <c r="AV290" s="55"/>
      <c r="AW290" s="56"/>
      <c r="AX290" s="611"/>
      <c r="AY290" s="611"/>
      <c r="AZ290" s="56">
        <v>0</v>
      </c>
      <c r="BA290" s="55"/>
      <c r="BB290" s="56"/>
      <c r="BC290" s="611"/>
      <c r="BD290" s="611"/>
      <c r="BE290" s="56">
        <v>0</v>
      </c>
      <c r="BF290" s="55"/>
      <c r="BG290" s="56"/>
      <c r="BH290" s="611"/>
      <c r="BI290" s="611"/>
      <c r="BJ290" s="56">
        <v>0</v>
      </c>
      <c r="BK290" s="55"/>
      <c r="BL290" s="56"/>
      <c r="BM290" s="611"/>
      <c r="BN290" s="611"/>
      <c r="BO290" s="56">
        <v>0</v>
      </c>
      <c r="BP290" s="55"/>
      <c r="BQ290" s="56"/>
      <c r="BR290" s="611"/>
      <c r="BS290" s="611"/>
      <c r="BT290" s="56">
        <f>SUM(L290:BO290)</f>
        <v>0</v>
      </c>
      <c r="BU290" s="55"/>
      <c r="BV290" s="56"/>
      <c r="BW290" s="611"/>
      <c r="BX290" s="611"/>
      <c r="BY290" s="56">
        <v>0</v>
      </c>
      <c r="BZ290" s="55"/>
      <c r="CA290" s="56"/>
      <c r="CB290" s="611"/>
      <c r="CC290" s="611"/>
      <c r="CD290" s="56">
        <v>0</v>
      </c>
      <c r="CE290" s="55"/>
      <c r="CF290" s="56"/>
      <c r="CG290" s="611"/>
      <c r="CH290" s="611"/>
      <c r="CI290" s="56">
        <v>0</v>
      </c>
      <c r="CJ290" s="55"/>
      <c r="CK290" s="56"/>
      <c r="CL290" s="611"/>
      <c r="CM290" s="611"/>
      <c r="CN290" s="56">
        <v>0</v>
      </c>
      <c r="CO290" s="55"/>
      <c r="CP290" s="56"/>
      <c r="CQ290" s="611"/>
      <c r="CR290" s="611"/>
      <c r="CS290" s="56">
        <v>0</v>
      </c>
      <c r="CT290" s="55"/>
      <c r="CU290" s="56"/>
      <c r="CV290" s="611"/>
      <c r="CW290" s="611"/>
      <c r="CX290" s="56">
        <v>0</v>
      </c>
      <c r="CY290" s="55"/>
      <c r="CZ290" s="56"/>
      <c r="DA290" s="611"/>
      <c r="DB290" s="611"/>
      <c r="DC290" s="56">
        <v>0</v>
      </c>
      <c r="DD290" s="55"/>
      <c r="DE290" s="56"/>
      <c r="DF290" s="611"/>
      <c r="DG290" s="611"/>
      <c r="DH290" s="56">
        <v>0</v>
      </c>
      <c r="DI290" s="55"/>
      <c r="DJ290" s="56"/>
      <c r="DK290" s="611"/>
      <c r="DL290" s="611"/>
      <c r="DM290" s="56">
        <v>0</v>
      </c>
      <c r="DN290" s="55"/>
      <c r="DO290" s="56"/>
      <c r="DP290" s="611"/>
      <c r="DQ290" s="611"/>
      <c r="DR290" s="56">
        <v>0</v>
      </c>
      <c r="DS290" s="55"/>
      <c r="DT290" s="56"/>
      <c r="DU290" s="611"/>
      <c r="DV290" s="611"/>
      <c r="DW290" s="56">
        <v>0</v>
      </c>
      <c r="DX290" s="55"/>
      <c r="DY290" s="56"/>
      <c r="DZ290" s="611"/>
      <c r="EA290" s="611"/>
      <c r="EB290" s="56">
        <v>0</v>
      </c>
      <c r="EC290" s="55"/>
      <c r="ED290" s="56"/>
      <c r="EE290" s="611"/>
      <c r="EF290" s="611"/>
      <c r="EG290" s="56">
        <v>0</v>
      </c>
      <c r="EH290" s="55"/>
      <c r="EI290" s="56"/>
      <c r="EJ290" s="611"/>
      <c r="EK290" s="611"/>
      <c r="EL290" s="56">
        <f>SUM(CD290:CD290)</f>
        <v>0</v>
      </c>
      <c r="EM290" s="55"/>
      <c r="EN290" s="56"/>
      <c r="EO290" s="144"/>
      <c r="ER290" s="42"/>
      <c r="ES290" s="42"/>
    </row>
    <row r="291" spans="4:149" ht="12.75" hidden="1" customHeight="1" x14ac:dyDescent="0.3">
      <c r="D291" s="144" t="s">
        <v>339</v>
      </c>
      <c r="F291" s="513"/>
      <c r="G291" s="117">
        <v>0</v>
      </c>
      <c r="H291" s="116"/>
      <c r="I291" s="56"/>
      <c r="J291" s="611"/>
      <c r="K291" s="620"/>
      <c r="L291" s="117">
        <v>0</v>
      </c>
      <c r="M291" s="116"/>
      <c r="N291" s="56"/>
      <c r="O291" s="611"/>
      <c r="P291" s="620"/>
      <c r="Q291" s="117">
        <v>0</v>
      </c>
      <c r="R291" s="116"/>
      <c r="S291" s="56"/>
      <c r="T291" s="611"/>
      <c r="U291" s="620"/>
      <c r="V291" s="117">
        <v>0</v>
      </c>
      <c r="W291" s="116"/>
      <c r="X291" s="56"/>
      <c r="Y291" s="611"/>
      <c r="Z291" s="620"/>
      <c r="AA291" s="117">
        <v>0</v>
      </c>
      <c r="AB291" s="116"/>
      <c r="AC291" s="56"/>
      <c r="AD291" s="611"/>
      <c r="AE291" s="620"/>
      <c r="AF291" s="117">
        <v>0</v>
      </c>
      <c r="AG291" s="116"/>
      <c r="AH291" s="56"/>
      <c r="AI291" s="611"/>
      <c r="AJ291" s="620"/>
      <c r="AK291" s="117">
        <v>0</v>
      </c>
      <c r="AL291" s="116"/>
      <c r="AM291" s="56"/>
      <c r="AN291" s="611"/>
      <c r="AO291" s="620"/>
      <c r="AP291" s="117">
        <v>0</v>
      </c>
      <c r="AQ291" s="116"/>
      <c r="AR291" s="56"/>
      <c r="AS291" s="611"/>
      <c r="AT291" s="620"/>
      <c r="AU291" s="117">
        <v>0</v>
      </c>
      <c r="AV291" s="116"/>
      <c r="AW291" s="56"/>
      <c r="AX291" s="611"/>
      <c r="AY291" s="620"/>
      <c r="AZ291" s="117">
        <v>0</v>
      </c>
      <c r="BA291" s="116"/>
      <c r="BB291" s="56"/>
      <c r="BC291" s="611"/>
      <c r="BD291" s="620"/>
      <c r="BE291" s="117">
        <v>0</v>
      </c>
      <c r="BF291" s="116"/>
      <c r="BG291" s="56"/>
      <c r="BH291" s="611"/>
      <c r="BI291" s="620"/>
      <c r="BJ291" s="117">
        <v>0</v>
      </c>
      <c r="BK291" s="116"/>
      <c r="BL291" s="56"/>
      <c r="BM291" s="611"/>
      <c r="BN291" s="620"/>
      <c r="BO291" s="117">
        <v>0</v>
      </c>
      <c r="BP291" s="116"/>
      <c r="BQ291" s="56"/>
      <c r="BR291" s="611"/>
      <c r="BS291" s="620"/>
      <c r="BT291" s="117">
        <f>SUM(L291:BO291)</f>
        <v>0</v>
      </c>
      <c r="BU291" s="116"/>
      <c r="BV291" s="56"/>
      <c r="BW291" s="611"/>
      <c r="BX291" s="620"/>
      <c r="BY291" s="117">
        <v>0</v>
      </c>
      <c r="BZ291" s="116"/>
      <c r="CA291" s="56"/>
      <c r="CB291" s="611"/>
      <c r="CC291" s="620"/>
      <c r="CD291" s="117">
        <v>0</v>
      </c>
      <c r="CE291" s="116"/>
      <c r="CF291" s="56"/>
      <c r="CG291" s="611"/>
      <c r="CH291" s="620"/>
      <c r="CI291" s="117">
        <v>0</v>
      </c>
      <c r="CJ291" s="116"/>
      <c r="CK291" s="56"/>
      <c r="CL291" s="611"/>
      <c r="CM291" s="620"/>
      <c r="CN291" s="117">
        <v>0</v>
      </c>
      <c r="CO291" s="116"/>
      <c r="CP291" s="56"/>
      <c r="CQ291" s="611"/>
      <c r="CR291" s="620"/>
      <c r="CS291" s="117">
        <v>0</v>
      </c>
      <c r="CT291" s="116"/>
      <c r="CU291" s="56"/>
      <c r="CV291" s="611"/>
      <c r="CW291" s="620"/>
      <c r="CX291" s="117">
        <v>0</v>
      </c>
      <c r="CY291" s="116"/>
      <c r="CZ291" s="56"/>
      <c r="DA291" s="611"/>
      <c r="DB291" s="620"/>
      <c r="DC291" s="117">
        <v>0</v>
      </c>
      <c r="DD291" s="116"/>
      <c r="DE291" s="56"/>
      <c r="DF291" s="611"/>
      <c r="DG291" s="620"/>
      <c r="DH291" s="117">
        <v>0</v>
      </c>
      <c r="DI291" s="116"/>
      <c r="DJ291" s="56"/>
      <c r="DK291" s="611"/>
      <c r="DL291" s="620"/>
      <c r="DM291" s="117">
        <v>0</v>
      </c>
      <c r="DN291" s="116"/>
      <c r="DO291" s="56"/>
      <c r="DP291" s="611"/>
      <c r="DQ291" s="620"/>
      <c r="DR291" s="117">
        <v>0</v>
      </c>
      <c r="DS291" s="116"/>
      <c r="DT291" s="56"/>
      <c r="DU291" s="611"/>
      <c r="DV291" s="620"/>
      <c r="DW291" s="117">
        <v>0</v>
      </c>
      <c r="DX291" s="116"/>
      <c r="DY291" s="56"/>
      <c r="DZ291" s="611"/>
      <c r="EA291" s="620"/>
      <c r="EB291" s="117">
        <v>0</v>
      </c>
      <c r="EC291" s="116"/>
      <c r="ED291" s="56"/>
      <c r="EE291" s="611"/>
      <c r="EF291" s="620"/>
      <c r="EG291" s="117">
        <v>0</v>
      </c>
      <c r="EH291" s="116"/>
      <c r="EI291" s="56"/>
      <c r="EJ291" s="611"/>
      <c r="EK291" s="620"/>
      <c r="EL291" s="117">
        <f>SUM(CD291:CD291)</f>
        <v>0</v>
      </c>
      <c r="EM291" s="116"/>
      <c r="EN291" s="56"/>
      <c r="EO291" s="144"/>
      <c r="ER291" s="42"/>
      <c r="ES291" s="42"/>
    </row>
    <row r="292" spans="4:149" ht="12.75" hidden="1" customHeight="1" x14ac:dyDescent="0.3">
      <c r="D292" s="144"/>
      <c r="G292" s="56"/>
      <c r="H292" s="56"/>
      <c r="I292" s="56"/>
      <c r="J292" s="611"/>
      <c r="K292" s="56"/>
      <c r="L292" s="56"/>
      <c r="M292" s="56"/>
      <c r="N292" s="56"/>
      <c r="O292" s="611"/>
      <c r="P292" s="56"/>
      <c r="Q292" s="56"/>
      <c r="R292" s="56"/>
      <c r="S292" s="56"/>
      <c r="T292" s="611"/>
      <c r="U292" s="56"/>
      <c r="V292" s="56"/>
      <c r="W292" s="56"/>
      <c r="X292" s="56"/>
      <c r="Y292" s="611"/>
      <c r="Z292" s="56"/>
      <c r="AA292" s="56"/>
      <c r="AB292" s="56"/>
      <c r="AC292" s="56"/>
      <c r="AD292" s="611"/>
      <c r="AE292" s="56"/>
      <c r="AF292" s="56"/>
      <c r="AG292" s="56"/>
      <c r="AH292" s="56"/>
      <c r="AI292" s="611"/>
      <c r="AJ292" s="56"/>
      <c r="AK292" s="56"/>
      <c r="AL292" s="56"/>
      <c r="AM292" s="56"/>
      <c r="AN292" s="611"/>
      <c r="AO292" s="56"/>
      <c r="AP292" s="56"/>
      <c r="AQ292" s="56"/>
      <c r="AR292" s="56"/>
      <c r="AS292" s="611"/>
      <c r="AT292" s="56"/>
      <c r="AU292" s="56"/>
      <c r="AV292" s="56"/>
      <c r="AW292" s="56"/>
      <c r="AX292" s="611"/>
      <c r="AY292" s="56"/>
      <c r="AZ292" s="56"/>
      <c r="BA292" s="56"/>
      <c r="BB292" s="56"/>
      <c r="BC292" s="611"/>
      <c r="BD292" s="56"/>
      <c r="BE292" s="56"/>
      <c r="BF292" s="56"/>
      <c r="BG292" s="56"/>
      <c r="BH292" s="611"/>
      <c r="BI292" s="56"/>
      <c r="BJ292" s="56"/>
      <c r="BK292" s="56"/>
      <c r="BL292" s="56"/>
      <c r="BM292" s="611"/>
      <c r="BN292" s="56"/>
      <c r="BO292" s="56"/>
      <c r="BP292" s="56"/>
      <c r="BQ292" s="56"/>
      <c r="BR292" s="611"/>
      <c r="BS292" s="56"/>
      <c r="BT292" s="56"/>
      <c r="BU292" s="56"/>
      <c r="BV292" s="56"/>
      <c r="BW292" s="611"/>
      <c r="BX292" s="56"/>
      <c r="BY292" s="56"/>
      <c r="BZ292" s="56"/>
      <c r="CA292" s="56"/>
      <c r="CB292" s="611"/>
      <c r="CC292" s="56"/>
      <c r="CD292" s="56"/>
      <c r="CE292" s="56"/>
      <c r="CF292" s="56"/>
      <c r="CG292" s="611"/>
      <c r="CH292" s="56"/>
      <c r="CI292" s="56"/>
      <c r="CJ292" s="56"/>
      <c r="CK292" s="56"/>
      <c r="CL292" s="611"/>
      <c r="CM292" s="56"/>
      <c r="CN292" s="56"/>
      <c r="CO292" s="56"/>
      <c r="CP292" s="56"/>
      <c r="CQ292" s="611"/>
      <c r="CR292" s="56"/>
      <c r="CS292" s="56"/>
      <c r="CT292" s="56"/>
      <c r="CU292" s="56"/>
      <c r="CV292" s="611"/>
      <c r="CW292" s="56"/>
      <c r="CX292" s="56"/>
      <c r="CY292" s="56"/>
      <c r="CZ292" s="56"/>
      <c r="DA292" s="611"/>
      <c r="DB292" s="56"/>
      <c r="DC292" s="56"/>
      <c r="DD292" s="56"/>
      <c r="DE292" s="56"/>
      <c r="DF292" s="611"/>
      <c r="DG292" s="56"/>
      <c r="DH292" s="56"/>
      <c r="DI292" s="56"/>
      <c r="DJ292" s="56"/>
      <c r="DK292" s="611"/>
      <c r="DL292" s="56"/>
      <c r="DM292" s="56"/>
      <c r="DN292" s="56"/>
      <c r="DO292" s="56"/>
      <c r="DP292" s="611"/>
      <c r="DQ292" s="56"/>
      <c r="DR292" s="56"/>
      <c r="DS292" s="56"/>
      <c r="DT292" s="56"/>
      <c r="DU292" s="611"/>
      <c r="DV292" s="56"/>
      <c r="DW292" s="56"/>
      <c r="DX292" s="56"/>
      <c r="DY292" s="56"/>
      <c r="DZ292" s="611"/>
      <c r="EA292" s="56"/>
      <c r="EB292" s="56"/>
      <c r="EC292" s="56"/>
      <c r="ED292" s="56"/>
      <c r="EE292" s="611"/>
      <c r="EF292" s="56"/>
      <c r="EG292" s="56"/>
      <c r="EH292" s="56"/>
      <c r="EI292" s="56"/>
      <c r="EJ292" s="611"/>
      <c r="EK292" s="56"/>
      <c r="EL292" s="56"/>
      <c r="EM292" s="56"/>
      <c r="EN292" s="56"/>
      <c r="EO292" s="144"/>
      <c r="ER292" s="42"/>
      <c r="ES292" s="42"/>
    </row>
    <row r="293" spans="4:149" ht="12.75" customHeight="1" x14ac:dyDescent="0.3">
      <c r="D293" s="144" t="s">
        <v>361</v>
      </c>
      <c r="G293" s="56">
        <f>SUM(G294:G296)</f>
        <v>1844694</v>
      </c>
      <c r="H293" s="56"/>
      <c r="I293" s="56"/>
      <c r="J293" s="611"/>
      <c r="K293" s="56"/>
      <c r="L293" s="56">
        <f>SUM(L294:L296)</f>
        <v>178480</v>
      </c>
      <c r="M293" s="56"/>
      <c r="N293" s="56"/>
      <c r="O293" s="611"/>
      <c r="P293" s="56"/>
      <c r="Q293" s="56">
        <f>SUM(Q294:Q296)</f>
        <v>1666214</v>
      </c>
      <c r="R293" s="56"/>
      <c r="S293" s="56"/>
      <c r="T293" s="611"/>
      <c r="U293" s="56"/>
      <c r="V293" s="56">
        <f>SUM(V294:V296)</f>
        <v>0</v>
      </c>
      <c r="W293" s="56"/>
      <c r="X293" s="56"/>
      <c r="Y293" s="611"/>
      <c r="Z293" s="56"/>
      <c r="AA293" s="56">
        <f>SUM(AA294:AA296)</f>
        <v>0</v>
      </c>
      <c r="AB293" s="56"/>
      <c r="AC293" s="56"/>
      <c r="AD293" s="611"/>
      <c r="AE293" s="56"/>
      <c r="AF293" s="56">
        <f>SUM(AF294:AF296)</f>
        <v>0</v>
      </c>
      <c r="AG293" s="56"/>
      <c r="AH293" s="56"/>
      <c r="AI293" s="611"/>
      <c r="AJ293" s="56"/>
      <c r="AK293" s="56">
        <f>SUM(AK294:AK296)</f>
        <v>0</v>
      </c>
      <c r="AL293" s="56"/>
      <c r="AM293" s="56"/>
      <c r="AN293" s="611"/>
      <c r="AO293" s="56"/>
      <c r="AP293" s="56">
        <f>SUM(AP294:AP296)</f>
        <v>0</v>
      </c>
      <c r="AQ293" s="56"/>
      <c r="AR293" s="56"/>
      <c r="AS293" s="611"/>
      <c r="AT293" s="56"/>
      <c r="AU293" s="56">
        <f>SUM(AU294:AU296)</f>
        <v>0</v>
      </c>
      <c r="AV293" s="56"/>
      <c r="AW293" s="56"/>
      <c r="AX293" s="611"/>
      <c r="AY293" s="56"/>
      <c r="AZ293" s="56">
        <f>SUM(AZ294:AZ296)</f>
        <v>0</v>
      </c>
      <c r="BA293" s="56"/>
      <c r="BB293" s="56"/>
      <c r="BC293" s="611"/>
      <c r="BD293" s="56"/>
      <c r="BE293" s="56">
        <f>SUM(BE294:BE296)</f>
        <v>0</v>
      </c>
      <c r="BF293" s="56"/>
      <c r="BG293" s="56"/>
      <c r="BH293" s="611"/>
      <c r="BI293" s="56"/>
      <c r="BJ293" s="56">
        <f>SUM(BJ294:BJ296)</f>
        <v>0</v>
      </c>
      <c r="BK293" s="56"/>
      <c r="BL293" s="56"/>
      <c r="BM293" s="611"/>
      <c r="BN293" s="56"/>
      <c r="BO293" s="56">
        <f>SUM(BO294:BO296)</f>
        <v>0</v>
      </c>
      <c r="BP293" s="56"/>
      <c r="BQ293" s="56"/>
      <c r="BR293" s="611"/>
      <c r="BS293" s="56"/>
      <c r="BT293" s="56">
        <f>SUM(BT294:BT296)</f>
        <v>1844694</v>
      </c>
      <c r="BU293" s="56"/>
      <c r="BV293" s="56"/>
      <c r="BW293" s="611"/>
      <c r="BX293" s="56"/>
      <c r="BY293" s="56">
        <f>SUM(BY294:BY296)</f>
        <v>1503095</v>
      </c>
      <c r="BZ293" s="56"/>
      <c r="CA293" s="56"/>
      <c r="CB293" s="611"/>
      <c r="CC293" s="56"/>
      <c r="CD293" s="56">
        <f>SUM(CD294:CD296)</f>
        <v>0</v>
      </c>
      <c r="CE293" s="56"/>
      <c r="CF293" s="56"/>
      <c r="CG293" s="611"/>
      <c r="CH293" s="56"/>
      <c r="CI293" s="56">
        <f>SUM(CI294:CI296)</f>
        <v>0</v>
      </c>
      <c r="CJ293" s="56"/>
      <c r="CK293" s="56"/>
      <c r="CL293" s="611"/>
      <c r="CM293" s="56"/>
      <c r="CN293" s="56">
        <f>SUM(CN294:CN296)</f>
        <v>0</v>
      </c>
      <c r="CO293" s="56"/>
      <c r="CP293" s="56"/>
      <c r="CQ293" s="611"/>
      <c r="CR293" s="56"/>
      <c r="CS293" s="56">
        <f>SUM(CS294:CS296)</f>
        <v>0</v>
      </c>
      <c r="CT293" s="56"/>
      <c r="CU293" s="56"/>
      <c r="CV293" s="611"/>
      <c r="CW293" s="56"/>
      <c r="CX293" s="56">
        <f>SUM(CX294:CX296)</f>
        <v>0</v>
      </c>
      <c r="CY293" s="56"/>
      <c r="CZ293" s="56"/>
      <c r="DA293" s="611"/>
      <c r="DB293" s="56"/>
      <c r="DC293" s="56">
        <f>SUM(DC294:DC296)</f>
        <v>0</v>
      </c>
      <c r="DD293" s="56"/>
      <c r="DE293" s="56"/>
      <c r="DF293" s="611"/>
      <c r="DG293" s="56"/>
      <c r="DH293" s="56">
        <f>SUM(DH294:DH296)</f>
        <v>0</v>
      </c>
      <c r="DI293" s="56"/>
      <c r="DJ293" s="56"/>
      <c r="DK293" s="611"/>
      <c r="DL293" s="56"/>
      <c r="DM293" s="56">
        <f>SUM(DM294:DM296)</f>
        <v>1232510</v>
      </c>
      <c r="DN293" s="56"/>
      <c r="DO293" s="56"/>
      <c r="DP293" s="611"/>
      <c r="DQ293" s="56"/>
      <c r="DR293" s="56">
        <f>SUM(DR294:DR296)</f>
        <v>270585</v>
      </c>
      <c r="DS293" s="56"/>
      <c r="DT293" s="56"/>
      <c r="DU293" s="611"/>
      <c r="DV293" s="56"/>
      <c r="DW293" s="56">
        <f>SUM(DW294:DW296)</f>
        <v>0</v>
      </c>
      <c r="DX293" s="56"/>
      <c r="DY293" s="56"/>
      <c r="DZ293" s="611"/>
      <c r="EA293" s="56"/>
      <c r="EB293" s="56">
        <f>SUM(EB294:EB296)</f>
        <v>0</v>
      </c>
      <c r="EC293" s="56"/>
      <c r="ED293" s="56"/>
      <c r="EE293" s="611"/>
      <c r="EF293" s="56"/>
      <c r="EG293" s="56">
        <f>SUM(EG294:EG296)</f>
        <v>0</v>
      </c>
      <c r="EH293" s="56"/>
      <c r="EI293" s="56"/>
      <c r="EJ293" s="611"/>
      <c r="EK293" s="56"/>
      <c r="EL293" s="56">
        <f>SUM(EL294:EL296)</f>
        <v>1503095</v>
      </c>
      <c r="EM293" s="56"/>
      <c r="EN293" s="56"/>
      <c r="EO293" s="144"/>
      <c r="ER293" s="42"/>
      <c r="ES293" s="42"/>
    </row>
    <row r="294" spans="4:149" ht="12.75" customHeight="1" x14ac:dyDescent="0.3">
      <c r="D294" s="144" t="s">
        <v>335</v>
      </c>
      <c r="F294" s="500"/>
      <c r="G294" s="609">
        <v>1521404</v>
      </c>
      <c r="H294" s="610"/>
      <c r="I294" s="56"/>
      <c r="J294" s="611"/>
      <c r="K294" s="612"/>
      <c r="L294" s="609">
        <f>178480-27238</f>
        <v>151242</v>
      </c>
      <c r="M294" s="610"/>
      <c r="N294" s="56"/>
      <c r="O294" s="611"/>
      <c r="P294" s="612"/>
      <c r="Q294" s="609">
        <f>1666214-296052</f>
        <v>1370162</v>
      </c>
      <c r="R294" s="610"/>
      <c r="S294" s="56"/>
      <c r="T294" s="611"/>
      <c r="U294" s="612"/>
      <c r="V294" s="609">
        <v>0</v>
      </c>
      <c r="W294" s="610"/>
      <c r="X294" s="56"/>
      <c r="Y294" s="611"/>
      <c r="Z294" s="612"/>
      <c r="AA294" s="609">
        <v>0</v>
      </c>
      <c r="AB294" s="610"/>
      <c r="AC294" s="56"/>
      <c r="AD294" s="611"/>
      <c r="AE294" s="612"/>
      <c r="AF294" s="609">
        <v>0</v>
      </c>
      <c r="AG294" s="610"/>
      <c r="AH294" s="56"/>
      <c r="AI294" s="611"/>
      <c r="AJ294" s="612"/>
      <c r="AK294" s="609">
        <v>0</v>
      </c>
      <c r="AL294" s="610"/>
      <c r="AM294" s="56"/>
      <c r="AN294" s="611"/>
      <c r="AO294" s="612"/>
      <c r="AP294" s="609">
        <v>0</v>
      </c>
      <c r="AQ294" s="610"/>
      <c r="AR294" s="56"/>
      <c r="AS294" s="611"/>
      <c r="AT294" s="612"/>
      <c r="AU294" s="609">
        <v>0</v>
      </c>
      <c r="AV294" s="610"/>
      <c r="AW294" s="56"/>
      <c r="AX294" s="611"/>
      <c r="AY294" s="612"/>
      <c r="AZ294" s="609">
        <v>0</v>
      </c>
      <c r="BA294" s="610"/>
      <c r="BB294" s="56"/>
      <c r="BC294" s="611"/>
      <c r="BD294" s="612"/>
      <c r="BE294" s="609">
        <v>0</v>
      </c>
      <c r="BF294" s="610"/>
      <c r="BG294" s="56"/>
      <c r="BH294" s="611"/>
      <c r="BI294" s="612"/>
      <c r="BJ294" s="609">
        <v>0</v>
      </c>
      <c r="BK294" s="610"/>
      <c r="BL294" s="56"/>
      <c r="BM294" s="611"/>
      <c r="BN294" s="612"/>
      <c r="BO294" s="609">
        <v>0</v>
      </c>
      <c r="BP294" s="610"/>
      <c r="BQ294" s="56"/>
      <c r="BR294" s="611"/>
      <c r="BS294" s="612"/>
      <c r="BT294" s="609">
        <f>SUM(L294:BO294)</f>
        <v>1521404</v>
      </c>
      <c r="BU294" s="610"/>
      <c r="BV294" s="56"/>
      <c r="BW294" s="611"/>
      <c r="BX294" s="612"/>
      <c r="BY294" s="609">
        <v>1237035</v>
      </c>
      <c r="BZ294" s="610"/>
      <c r="CA294" s="56"/>
      <c r="CB294" s="611"/>
      <c r="CC294" s="612"/>
      <c r="CD294" s="609">
        <v>0</v>
      </c>
      <c r="CE294" s="610"/>
      <c r="CF294" s="56"/>
      <c r="CG294" s="611"/>
      <c r="CH294" s="612"/>
      <c r="CI294" s="609">
        <v>0</v>
      </c>
      <c r="CJ294" s="610"/>
      <c r="CK294" s="56"/>
      <c r="CL294" s="611"/>
      <c r="CM294" s="612"/>
      <c r="CN294" s="609">
        <v>0</v>
      </c>
      <c r="CO294" s="610"/>
      <c r="CP294" s="56"/>
      <c r="CQ294" s="611"/>
      <c r="CR294" s="612"/>
      <c r="CS294" s="609">
        <v>0</v>
      </c>
      <c r="CT294" s="610"/>
      <c r="CU294" s="56"/>
      <c r="CV294" s="611"/>
      <c r="CW294" s="612"/>
      <c r="CX294" s="609">
        <v>0</v>
      </c>
      <c r="CY294" s="610"/>
      <c r="CZ294" s="56"/>
      <c r="DA294" s="611"/>
      <c r="DB294" s="612"/>
      <c r="DC294" s="609">
        <v>0</v>
      </c>
      <c r="DD294" s="610"/>
      <c r="DE294" s="56"/>
      <c r="DF294" s="611"/>
      <c r="DG294" s="612"/>
      <c r="DH294" s="609">
        <v>0</v>
      </c>
      <c r="DI294" s="610"/>
      <c r="DJ294" s="56"/>
      <c r="DK294" s="611"/>
      <c r="DL294" s="612"/>
      <c r="DM294" s="609">
        <f>1232510-218983</f>
        <v>1013527</v>
      </c>
      <c r="DN294" s="610"/>
      <c r="DO294" s="56"/>
      <c r="DP294" s="611"/>
      <c r="DQ294" s="612"/>
      <c r="DR294" s="609">
        <f>270585-47077</f>
        <v>223508</v>
      </c>
      <c r="DS294" s="610"/>
      <c r="DT294" s="56"/>
      <c r="DU294" s="611"/>
      <c r="DV294" s="612"/>
      <c r="DW294" s="609">
        <v>0</v>
      </c>
      <c r="DX294" s="610"/>
      <c r="DY294" s="56"/>
      <c r="DZ294" s="611"/>
      <c r="EA294" s="612"/>
      <c r="EB294" s="609">
        <v>0</v>
      </c>
      <c r="EC294" s="610"/>
      <c r="ED294" s="56"/>
      <c r="EE294" s="611"/>
      <c r="EF294" s="612"/>
      <c r="EG294" s="609">
        <v>0</v>
      </c>
      <c r="EH294" s="610"/>
      <c r="EI294" s="56"/>
      <c r="EJ294" s="611"/>
      <c r="EK294" s="612"/>
      <c r="EL294" s="609">
        <f t="shared" ref="EL294:EL296" si="26">SUM(CD294:DW294)</f>
        <v>1237035</v>
      </c>
      <c r="EM294" s="610"/>
      <c r="EN294" s="56"/>
      <c r="EO294" s="144"/>
      <c r="ER294" s="42"/>
      <c r="ES294" s="42"/>
    </row>
    <row r="295" spans="4:149" ht="12.75" customHeight="1" x14ac:dyDescent="0.3">
      <c r="D295" s="144" t="s">
        <v>338</v>
      </c>
      <c r="F295" s="494"/>
      <c r="G295" s="56">
        <v>323290</v>
      </c>
      <c r="H295" s="55"/>
      <c r="I295" s="56"/>
      <c r="J295" s="611"/>
      <c r="K295" s="611"/>
      <c r="L295" s="56">
        <v>27238</v>
      </c>
      <c r="M295" s="55"/>
      <c r="N295" s="56"/>
      <c r="O295" s="611"/>
      <c r="P295" s="611"/>
      <c r="Q295" s="56">
        <v>296052</v>
      </c>
      <c r="R295" s="55"/>
      <c r="S295" s="56"/>
      <c r="T295" s="611"/>
      <c r="U295" s="611"/>
      <c r="V295" s="56">
        <v>0</v>
      </c>
      <c r="W295" s="55"/>
      <c r="X295" s="56"/>
      <c r="Y295" s="611"/>
      <c r="Z295" s="611"/>
      <c r="AA295" s="56">
        <v>0</v>
      </c>
      <c r="AB295" s="55"/>
      <c r="AC295" s="56"/>
      <c r="AD295" s="611"/>
      <c r="AE295" s="611"/>
      <c r="AF295" s="56">
        <v>0</v>
      </c>
      <c r="AG295" s="55"/>
      <c r="AH295" s="56"/>
      <c r="AI295" s="611"/>
      <c r="AJ295" s="611"/>
      <c r="AK295" s="56">
        <v>0</v>
      </c>
      <c r="AL295" s="55"/>
      <c r="AM295" s="56"/>
      <c r="AN295" s="611"/>
      <c r="AO295" s="611"/>
      <c r="AP295" s="56">
        <v>0</v>
      </c>
      <c r="AQ295" s="55"/>
      <c r="AR295" s="56"/>
      <c r="AS295" s="611"/>
      <c r="AT295" s="611"/>
      <c r="AU295" s="56">
        <v>0</v>
      </c>
      <c r="AV295" s="55"/>
      <c r="AW295" s="56"/>
      <c r="AX295" s="611"/>
      <c r="AY295" s="611"/>
      <c r="AZ295" s="56">
        <v>0</v>
      </c>
      <c r="BA295" s="55"/>
      <c r="BB295" s="56"/>
      <c r="BC295" s="611"/>
      <c r="BD295" s="611"/>
      <c r="BE295" s="56">
        <v>0</v>
      </c>
      <c r="BF295" s="55"/>
      <c r="BG295" s="56"/>
      <c r="BH295" s="611"/>
      <c r="BI295" s="611"/>
      <c r="BJ295" s="56">
        <v>0</v>
      </c>
      <c r="BK295" s="55"/>
      <c r="BL295" s="56"/>
      <c r="BM295" s="611"/>
      <c r="BN295" s="611"/>
      <c r="BO295" s="56">
        <v>0</v>
      </c>
      <c r="BP295" s="55"/>
      <c r="BQ295" s="56"/>
      <c r="BR295" s="611"/>
      <c r="BS295" s="611"/>
      <c r="BT295" s="56">
        <f>SUM(L295:BO295)</f>
        <v>323290</v>
      </c>
      <c r="BU295" s="55"/>
      <c r="BV295" s="56"/>
      <c r="BW295" s="611"/>
      <c r="BX295" s="611"/>
      <c r="BY295" s="56">
        <v>266060</v>
      </c>
      <c r="BZ295" s="55"/>
      <c r="CA295" s="56"/>
      <c r="CB295" s="611"/>
      <c r="CC295" s="611"/>
      <c r="CD295" s="56">
        <v>0</v>
      </c>
      <c r="CE295" s="55"/>
      <c r="CF295" s="56"/>
      <c r="CG295" s="611"/>
      <c r="CH295" s="611"/>
      <c r="CI295" s="56">
        <v>0</v>
      </c>
      <c r="CJ295" s="55"/>
      <c r="CK295" s="56"/>
      <c r="CL295" s="611"/>
      <c r="CM295" s="611"/>
      <c r="CN295" s="56">
        <v>0</v>
      </c>
      <c r="CO295" s="55"/>
      <c r="CP295" s="56"/>
      <c r="CQ295" s="611"/>
      <c r="CR295" s="611"/>
      <c r="CS295" s="56">
        <v>0</v>
      </c>
      <c r="CT295" s="55"/>
      <c r="CU295" s="56"/>
      <c r="CV295" s="611"/>
      <c r="CW295" s="611"/>
      <c r="CX295" s="56">
        <v>0</v>
      </c>
      <c r="CY295" s="55"/>
      <c r="CZ295" s="56"/>
      <c r="DA295" s="611"/>
      <c r="DB295" s="611"/>
      <c r="DC295" s="56">
        <v>0</v>
      </c>
      <c r="DD295" s="55"/>
      <c r="DE295" s="56"/>
      <c r="DF295" s="611"/>
      <c r="DG295" s="611"/>
      <c r="DH295" s="56">
        <v>0</v>
      </c>
      <c r="DI295" s="55"/>
      <c r="DJ295" s="56"/>
      <c r="DK295" s="611"/>
      <c r="DL295" s="611"/>
      <c r="DM295" s="56">
        <v>218983</v>
      </c>
      <c r="DN295" s="55"/>
      <c r="DO295" s="56"/>
      <c r="DP295" s="611"/>
      <c r="DQ295" s="611"/>
      <c r="DR295" s="56">
        <v>47077</v>
      </c>
      <c r="DS295" s="55"/>
      <c r="DT295" s="56"/>
      <c r="DU295" s="611"/>
      <c r="DV295" s="611"/>
      <c r="DW295" s="56">
        <v>0</v>
      </c>
      <c r="DX295" s="55"/>
      <c r="DY295" s="56"/>
      <c r="DZ295" s="611"/>
      <c r="EA295" s="611"/>
      <c r="EB295" s="56">
        <v>0</v>
      </c>
      <c r="EC295" s="55"/>
      <c r="ED295" s="56"/>
      <c r="EE295" s="611"/>
      <c r="EF295" s="611"/>
      <c r="EG295" s="56">
        <v>0</v>
      </c>
      <c r="EH295" s="55"/>
      <c r="EI295" s="56"/>
      <c r="EJ295" s="611"/>
      <c r="EK295" s="611"/>
      <c r="EL295" s="56">
        <f t="shared" si="26"/>
        <v>266060</v>
      </c>
      <c r="EM295" s="55"/>
      <c r="EN295" s="56"/>
      <c r="EO295" s="144"/>
      <c r="ER295" s="42"/>
      <c r="ES295" s="42"/>
    </row>
    <row r="296" spans="4:149" ht="12.75" customHeight="1" x14ac:dyDescent="0.3">
      <c r="D296" s="144" t="s">
        <v>339</v>
      </c>
      <c r="F296" s="513"/>
      <c r="G296" s="117">
        <v>0</v>
      </c>
      <c r="H296" s="116"/>
      <c r="I296" s="56"/>
      <c r="J296" s="611"/>
      <c r="K296" s="620"/>
      <c r="L296" s="117">
        <v>0</v>
      </c>
      <c r="M296" s="116"/>
      <c r="N296" s="56"/>
      <c r="O296" s="611"/>
      <c r="P296" s="620"/>
      <c r="Q296" s="117">
        <v>0</v>
      </c>
      <c r="R296" s="116"/>
      <c r="S296" s="56"/>
      <c r="T296" s="611"/>
      <c r="U296" s="620"/>
      <c r="V296" s="117">
        <v>0</v>
      </c>
      <c r="W296" s="116"/>
      <c r="X296" s="56"/>
      <c r="Y296" s="611"/>
      <c r="Z296" s="620"/>
      <c r="AA296" s="117">
        <v>0</v>
      </c>
      <c r="AB296" s="116"/>
      <c r="AC296" s="56"/>
      <c r="AD296" s="611"/>
      <c r="AE296" s="620"/>
      <c r="AF296" s="117">
        <v>0</v>
      </c>
      <c r="AG296" s="116"/>
      <c r="AH296" s="56"/>
      <c r="AI296" s="611"/>
      <c r="AJ296" s="620"/>
      <c r="AK296" s="117">
        <v>0</v>
      </c>
      <c r="AL296" s="116"/>
      <c r="AM296" s="56"/>
      <c r="AN296" s="611"/>
      <c r="AO296" s="620"/>
      <c r="AP296" s="117">
        <v>0</v>
      </c>
      <c r="AQ296" s="116"/>
      <c r="AR296" s="56"/>
      <c r="AS296" s="611"/>
      <c r="AT296" s="620"/>
      <c r="AU296" s="117">
        <v>0</v>
      </c>
      <c r="AV296" s="116"/>
      <c r="AW296" s="56"/>
      <c r="AX296" s="611"/>
      <c r="AY296" s="620"/>
      <c r="AZ296" s="117">
        <v>0</v>
      </c>
      <c r="BA296" s="116"/>
      <c r="BB296" s="56"/>
      <c r="BC296" s="611"/>
      <c r="BD296" s="620"/>
      <c r="BE296" s="117">
        <v>0</v>
      </c>
      <c r="BF296" s="116"/>
      <c r="BG296" s="56"/>
      <c r="BH296" s="611"/>
      <c r="BI296" s="620"/>
      <c r="BJ296" s="117">
        <v>0</v>
      </c>
      <c r="BK296" s="116"/>
      <c r="BL296" s="56"/>
      <c r="BM296" s="611"/>
      <c r="BN296" s="620"/>
      <c r="BO296" s="117">
        <v>0</v>
      </c>
      <c r="BP296" s="116"/>
      <c r="BQ296" s="56"/>
      <c r="BR296" s="611"/>
      <c r="BS296" s="620"/>
      <c r="BT296" s="117">
        <f>SUM(L296:BO296)</f>
        <v>0</v>
      </c>
      <c r="BU296" s="116"/>
      <c r="BV296" s="56"/>
      <c r="BW296" s="611"/>
      <c r="BX296" s="620"/>
      <c r="BY296" s="117">
        <v>0</v>
      </c>
      <c r="BZ296" s="116"/>
      <c r="CA296" s="56"/>
      <c r="CB296" s="611"/>
      <c r="CC296" s="620"/>
      <c r="CD296" s="117">
        <v>0</v>
      </c>
      <c r="CE296" s="116"/>
      <c r="CF296" s="56"/>
      <c r="CG296" s="611"/>
      <c r="CH296" s="620"/>
      <c r="CI296" s="117">
        <v>0</v>
      </c>
      <c r="CJ296" s="116"/>
      <c r="CK296" s="56"/>
      <c r="CL296" s="611"/>
      <c r="CM296" s="620"/>
      <c r="CN296" s="117">
        <v>0</v>
      </c>
      <c r="CO296" s="116"/>
      <c r="CP296" s="56"/>
      <c r="CQ296" s="611"/>
      <c r="CR296" s="620"/>
      <c r="CS296" s="117">
        <v>0</v>
      </c>
      <c r="CT296" s="116"/>
      <c r="CU296" s="56"/>
      <c r="CV296" s="611"/>
      <c r="CW296" s="620"/>
      <c r="CX296" s="117">
        <v>0</v>
      </c>
      <c r="CY296" s="116"/>
      <c r="CZ296" s="56"/>
      <c r="DA296" s="611"/>
      <c r="DB296" s="620"/>
      <c r="DC296" s="117">
        <v>0</v>
      </c>
      <c r="DD296" s="116"/>
      <c r="DE296" s="56"/>
      <c r="DF296" s="611"/>
      <c r="DG296" s="620"/>
      <c r="DH296" s="117">
        <v>0</v>
      </c>
      <c r="DI296" s="116"/>
      <c r="DJ296" s="56"/>
      <c r="DK296" s="611"/>
      <c r="DL296" s="620"/>
      <c r="DM296" s="117">
        <v>0</v>
      </c>
      <c r="DN296" s="116"/>
      <c r="DO296" s="56"/>
      <c r="DP296" s="611"/>
      <c r="DQ296" s="620"/>
      <c r="DR296" s="117">
        <v>0</v>
      </c>
      <c r="DS296" s="116"/>
      <c r="DT296" s="56"/>
      <c r="DU296" s="611"/>
      <c r="DV296" s="620"/>
      <c r="DW296" s="117">
        <v>0</v>
      </c>
      <c r="DX296" s="116"/>
      <c r="DY296" s="56"/>
      <c r="DZ296" s="611"/>
      <c r="EA296" s="620"/>
      <c r="EB296" s="117">
        <v>0</v>
      </c>
      <c r="EC296" s="116"/>
      <c r="ED296" s="56"/>
      <c r="EE296" s="611"/>
      <c r="EF296" s="620"/>
      <c r="EG296" s="117">
        <v>0</v>
      </c>
      <c r="EH296" s="116"/>
      <c r="EI296" s="56"/>
      <c r="EJ296" s="611"/>
      <c r="EK296" s="620"/>
      <c r="EL296" s="117">
        <f t="shared" si="26"/>
        <v>0</v>
      </c>
      <c r="EM296" s="116"/>
      <c r="EN296" s="56"/>
      <c r="EO296" s="144"/>
      <c r="ER296" s="42"/>
      <c r="ES296" s="42"/>
    </row>
    <row r="297" spans="4:149" ht="12.75" customHeight="1" x14ac:dyDescent="0.3">
      <c r="D297" s="144"/>
      <c r="G297" s="56"/>
      <c r="H297" s="56"/>
      <c r="I297" s="56"/>
      <c r="J297" s="611"/>
      <c r="K297" s="56"/>
      <c r="L297" s="56"/>
      <c r="M297" s="56"/>
      <c r="N297" s="56"/>
      <c r="O297" s="611"/>
      <c r="P297" s="56"/>
      <c r="Q297" s="56"/>
      <c r="R297" s="56"/>
      <c r="S297" s="56"/>
      <c r="T297" s="611"/>
      <c r="U297" s="56"/>
      <c r="V297" s="56"/>
      <c r="W297" s="56"/>
      <c r="X297" s="56"/>
      <c r="Y297" s="611"/>
      <c r="Z297" s="56"/>
      <c r="AA297" s="56"/>
      <c r="AB297" s="56"/>
      <c r="AC297" s="56"/>
      <c r="AD297" s="611"/>
      <c r="AE297" s="56"/>
      <c r="AF297" s="56"/>
      <c r="AG297" s="56"/>
      <c r="AH297" s="56"/>
      <c r="AI297" s="611"/>
      <c r="AJ297" s="56"/>
      <c r="AK297" s="56"/>
      <c r="AL297" s="56"/>
      <c r="AM297" s="56"/>
      <c r="AN297" s="611"/>
      <c r="AO297" s="56"/>
      <c r="AP297" s="56"/>
      <c r="AQ297" s="56"/>
      <c r="AR297" s="56"/>
      <c r="AS297" s="611"/>
      <c r="AT297" s="56"/>
      <c r="AU297" s="56"/>
      <c r="AV297" s="56"/>
      <c r="AW297" s="56"/>
      <c r="AX297" s="611"/>
      <c r="AY297" s="56"/>
      <c r="AZ297" s="56"/>
      <c r="BA297" s="56"/>
      <c r="BB297" s="56"/>
      <c r="BC297" s="611"/>
      <c r="BD297" s="56"/>
      <c r="BE297" s="56"/>
      <c r="BF297" s="56"/>
      <c r="BG297" s="56"/>
      <c r="BH297" s="611"/>
      <c r="BI297" s="56"/>
      <c r="BJ297" s="56"/>
      <c r="BK297" s="56"/>
      <c r="BL297" s="56"/>
      <c r="BM297" s="611"/>
      <c r="BN297" s="56"/>
      <c r="BO297" s="56"/>
      <c r="BP297" s="56"/>
      <c r="BQ297" s="56"/>
      <c r="BR297" s="611"/>
      <c r="BS297" s="56"/>
      <c r="BT297" s="56"/>
      <c r="BU297" s="56"/>
      <c r="BV297" s="56"/>
      <c r="BW297" s="611"/>
      <c r="BX297" s="56"/>
      <c r="BY297" s="56"/>
      <c r="BZ297" s="56"/>
      <c r="CA297" s="56"/>
      <c r="CB297" s="611"/>
      <c r="CC297" s="56"/>
      <c r="CD297" s="56"/>
      <c r="CE297" s="56"/>
      <c r="CF297" s="56"/>
      <c r="CG297" s="611"/>
      <c r="CH297" s="56"/>
      <c r="CI297" s="56"/>
      <c r="CJ297" s="56"/>
      <c r="CK297" s="56"/>
      <c r="CL297" s="611"/>
      <c r="CM297" s="56"/>
      <c r="CN297" s="56"/>
      <c r="CO297" s="56"/>
      <c r="CP297" s="56"/>
      <c r="CQ297" s="611"/>
      <c r="CR297" s="56"/>
      <c r="CS297" s="56"/>
      <c r="CT297" s="56"/>
      <c r="CU297" s="56"/>
      <c r="CV297" s="611"/>
      <c r="CW297" s="56"/>
      <c r="CX297" s="56"/>
      <c r="CY297" s="56"/>
      <c r="CZ297" s="56"/>
      <c r="DA297" s="611"/>
      <c r="DB297" s="56"/>
      <c r="DC297" s="56"/>
      <c r="DD297" s="56"/>
      <c r="DE297" s="56"/>
      <c r="DF297" s="611"/>
      <c r="DG297" s="56"/>
      <c r="DH297" s="56"/>
      <c r="DI297" s="56"/>
      <c r="DJ297" s="56"/>
      <c r="DK297" s="611"/>
      <c r="DL297" s="56"/>
      <c r="DM297" s="56"/>
      <c r="DN297" s="56"/>
      <c r="DO297" s="56"/>
      <c r="DP297" s="611"/>
      <c r="DQ297" s="56"/>
      <c r="DR297" s="56"/>
      <c r="DS297" s="56"/>
      <c r="DT297" s="56"/>
      <c r="DU297" s="611"/>
      <c r="DV297" s="56"/>
      <c r="DW297" s="56"/>
      <c r="DX297" s="56"/>
      <c r="DY297" s="56"/>
      <c r="DZ297" s="611"/>
      <c r="EA297" s="56"/>
      <c r="EB297" s="56"/>
      <c r="EC297" s="56"/>
      <c r="ED297" s="56"/>
      <c r="EE297" s="611"/>
      <c r="EF297" s="56"/>
      <c r="EG297" s="56"/>
      <c r="EH297" s="56"/>
      <c r="EI297" s="56"/>
      <c r="EJ297" s="611"/>
      <c r="EK297" s="56"/>
      <c r="EL297" s="56"/>
      <c r="EM297" s="56"/>
      <c r="EN297" s="56"/>
      <c r="EO297" s="144"/>
      <c r="ER297" s="42"/>
      <c r="ES297" s="42"/>
    </row>
    <row r="298" spans="4:149" ht="12.75" customHeight="1" x14ac:dyDescent="0.3">
      <c r="D298" s="144" t="s">
        <v>362</v>
      </c>
      <c r="G298" s="56">
        <f>SUM(G299:G301)</f>
        <v>426979</v>
      </c>
      <c r="H298" s="56"/>
      <c r="I298" s="56"/>
      <c r="J298" s="611"/>
      <c r="K298" s="56"/>
      <c r="L298" s="56">
        <f>SUM(L299:L301)</f>
        <v>426979</v>
      </c>
      <c r="M298" s="56"/>
      <c r="N298" s="56"/>
      <c r="O298" s="611"/>
      <c r="P298" s="56"/>
      <c r="Q298" s="56">
        <f>SUM(Q299:Q301)</f>
        <v>0</v>
      </c>
      <c r="R298" s="56"/>
      <c r="S298" s="56"/>
      <c r="T298" s="611"/>
      <c r="U298" s="56"/>
      <c r="V298" s="56">
        <f>SUM(V299:V301)</f>
        <v>0</v>
      </c>
      <c r="W298" s="56"/>
      <c r="X298" s="56"/>
      <c r="Y298" s="611"/>
      <c r="Z298" s="56"/>
      <c r="AA298" s="56">
        <f>SUM(AA299:AA301)</f>
        <v>0</v>
      </c>
      <c r="AB298" s="56"/>
      <c r="AC298" s="56"/>
      <c r="AD298" s="611"/>
      <c r="AE298" s="56"/>
      <c r="AF298" s="56">
        <f>SUM(AF299:AF301)</f>
        <v>0</v>
      </c>
      <c r="AG298" s="56"/>
      <c r="AH298" s="56"/>
      <c r="AI298" s="611"/>
      <c r="AJ298" s="56"/>
      <c r="AK298" s="56">
        <f>SUM(AK299:AK301)</f>
        <v>0</v>
      </c>
      <c r="AL298" s="56"/>
      <c r="AM298" s="56"/>
      <c r="AN298" s="611"/>
      <c r="AO298" s="56"/>
      <c r="AP298" s="56">
        <f>SUM(AP299:AP301)</f>
        <v>0</v>
      </c>
      <c r="AQ298" s="56"/>
      <c r="AR298" s="56"/>
      <c r="AS298" s="611"/>
      <c r="AT298" s="56"/>
      <c r="AU298" s="56">
        <f>SUM(AU299:AU301)</f>
        <v>0</v>
      </c>
      <c r="AV298" s="56"/>
      <c r="AW298" s="56"/>
      <c r="AX298" s="611"/>
      <c r="AY298" s="56"/>
      <c r="AZ298" s="56">
        <f>SUM(AZ299:AZ301)</f>
        <v>0</v>
      </c>
      <c r="BA298" s="56"/>
      <c r="BB298" s="56"/>
      <c r="BC298" s="611"/>
      <c r="BD298" s="56"/>
      <c r="BE298" s="56">
        <f>SUM(BE299:BE301)</f>
        <v>0</v>
      </c>
      <c r="BF298" s="56"/>
      <c r="BG298" s="56"/>
      <c r="BH298" s="611"/>
      <c r="BI298" s="56"/>
      <c r="BJ298" s="56">
        <f>SUM(BJ299:BJ301)</f>
        <v>0</v>
      </c>
      <c r="BK298" s="56"/>
      <c r="BL298" s="56"/>
      <c r="BM298" s="611"/>
      <c r="BN298" s="56"/>
      <c r="BO298" s="56">
        <f>SUM(BO299:BO301)</f>
        <v>0</v>
      </c>
      <c r="BP298" s="56"/>
      <c r="BQ298" s="56"/>
      <c r="BR298" s="611"/>
      <c r="BS298" s="56"/>
      <c r="BT298" s="56">
        <f>SUM(BT299:BT301)</f>
        <v>426979</v>
      </c>
      <c r="BU298" s="56"/>
      <c r="BV298" s="56"/>
      <c r="BW298" s="611"/>
      <c r="BX298" s="56"/>
      <c r="BY298" s="56">
        <f>SUM(BY299:BY301)</f>
        <v>7484573</v>
      </c>
      <c r="BZ298" s="56"/>
      <c r="CA298" s="56"/>
      <c r="CB298" s="611"/>
      <c r="CC298" s="56"/>
      <c r="CD298" s="56">
        <f>SUM(CD299:CD301)</f>
        <v>1235834</v>
      </c>
      <c r="CE298" s="56"/>
      <c r="CF298" s="56"/>
      <c r="CG298" s="611"/>
      <c r="CH298" s="56"/>
      <c r="CI298" s="56">
        <f>SUM(CI299:CI301)</f>
        <v>1743651</v>
      </c>
      <c r="CJ298" s="56"/>
      <c r="CK298" s="56"/>
      <c r="CL298" s="611"/>
      <c r="CM298" s="56"/>
      <c r="CN298" s="56">
        <f>SUM(CN299:CN301)</f>
        <v>2445720</v>
      </c>
      <c r="CO298" s="56"/>
      <c r="CP298" s="56"/>
      <c r="CQ298" s="611"/>
      <c r="CR298" s="56"/>
      <c r="CS298" s="56">
        <f>SUM(CS299:CS301)</f>
        <v>499864</v>
      </c>
      <c r="CT298" s="56"/>
      <c r="CU298" s="56"/>
      <c r="CV298" s="611"/>
      <c r="CW298" s="56"/>
      <c r="CX298" s="56">
        <f>SUM(CX299:CX301)</f>
        <v>736888</v>
      </c>
      <c r="CY298" s="56"/>
      <c r="CZ298" s="56"/>
      <c r="DA298" s="611"/>
      <c r="DB298" s="56"/>
      <c r="DC298" s="56">
        <f>SUM(DC299:DC301)</f>
        <v>182775</v>
      </c>
      <c r="DD298" s="56"/>
      <c r="DE298" s="56"/>
      <c r="DF298" s="611"/>
      <c r="DG298" s="56"/>
      <c r="DH298" s="56">
        <f>SUM(DH299:DH301)</f>
        <v>0</v>
      </c>
      <c r="DI298" s="56"/>
      <c r="DJ298" s="56"/>
      <c r="DK298" s="611"/>
      <c r="DL298" s="56"/>
      <c r="DM298" s="56">
        <f>SUM(DM299:DM301)</f>
        <v>0</v>
      </c>
      <c r="DN298" s="56"/>
      <c r="DO298" s="56"/>
      <c r="DP298" s="611"/>
      <c r="DQ298" s="56"/>
      <c r="DR298" s="56">
        <f>SUM(DR299:DR301)</f>
        <v>31106</v>
      </c>
      <c r="DS298" s="56"/>
      <c r="DT298" s="56"/>
      <c r="DU298" s="611"/>
      <c r="DV298" s="56"/>
      <c r="DW298" s="56">
        <f>SUM(DW299:DW301)</f>
        <v>608735</v>
      </c>
      <c r="DX298" s="56"/>
      <c r="DY298" s="56"/>
      <c r="DZ298" s="611"/>
      <c r="EA298" s="56"/>
      <c r="EB298" s="56">
        <f>SUM(EB299:EB301)</f>
        <v>0</v>
      </c>
      <c r="EC298" s="56"/>
      <c r="ED298" s="56"/>
      <c r="EE298" s="611"/>
      <c r="EF298" s="56"/>
      <c r="EG298" s="56">
        <f>SUM(EG299:EG301)</f>
        <v>0</v>
      </c>
      <c r="EH298" s="56"/>
      <c r="EI298" s="56"/>
      <c r="EJ298" s="611"/>
      <c r="EK298" s="56"/>
      <c r="EL298" s="56">
        <f>SUM(EL299:EL301)</f>
        <v>7484573</v>
      </c>
      <c r="EM298" s="56"/>
      <c r="EN298" s="56"/>
      <c r="EO298" s="144"/>
      <c r="ER298" s="42"/>
      <c r="ES298" s="42"/>
    </row>
    <row r="299" spans="4:149" ht="12.75" customHeight="1" x14ac:dyDescent="0.3">
      <c r="D299" s="144" t="s">
        <v>335</v>
      </c>
      <c r="F299" s="500"/>
      <c r="G299" s="609">
        <v>360729</v>
      </c>
      <c r="H299" s="610"/>
      <c r="I299" s="56"/>
      <c r="J299" s="611"/>
      <c r="K299" s="612"/>
      <c r="L299" s="609">
        <f>426979-66250</f>
        <v>360729</v>
      </c>
      <c r="M299" s="610"/>
      <c r="N299" s="56"/>
      <c r="O299" s="611"/>
      <c r="P299" s="612"/>
      <c r="Q299" s="609">
        <v>0</v>
      </c>
      <c r="R299" s="610"/>
      <c r="S299" s="56"/>
      <c r="T299" s="611"/>
      <c r="U299" s="612"/>
      <c r="V299" s="609">
        <v>0</v>
      </c>
      <c r="W299" s="610"/>
      <c r="X299" s="56"/>
      <c r="Y299" s="611"/>
      <c r="Z299" s="612"/>
      <c r="AA299" s="609">
        <v>0</v>
      </c>
      <c r="AB299" s="610"/>
      <c r="AC299" s="56"/>
      <c r="AD299" s="611"/>
      <c r="AE299" s="612"/>
      <c r="AF299" s="609">
        <v>0</v>
      </c>
      <c r="AG299" s="610"/>
      <c r="AH299" s="56"/>
      <c r="AI299" s="611"/>
      <c r="AJ299" s="612"/>
      <c r="AK299" s="609">
        <v>0</v>
      </c>
      <c r="AL299" s="610"/>
      <c r="AM299" s="56"/>
      <c r="AN299" s="611"/>
      <c r="AO299" s="612"/>
      <c r="AP299" s="609">
        <v>0</v>
      </c>
      <c r="AQ299" s="610"/>
      <c r="AR299" s="56"/>
      <c r="AS299" s="611"/>
      <c r="AT299" s="612"/>
      <c r="AU299" s="609">
        <v>0</v>
      </c>
      <c r="AV299" s="610"/>
      <c r="AW299" s="56"/>
      <c r="AX299" s="611"/>
      <c r="AY299" s="612"/>
      <c r="AZ299" s="609">
        <v>0</v>
      </c>
      <c r="BA299" s="610"/>
      <c r="BB299" s="56"/>
      <c r="BC299" s="611"/>
      <c r="BD299" s="612"/>
      <c r="BE299" s="609">
        <v>0</v>
      </c>
      <c r="BF299" s="610"/>
      <c r="BG299" s="56"/>
      <c r="BH299" s="611"/>
      <c r="BI299" s="612"/>
      <c r="BJ299" s="609">
        <v>0</v>
      </c>
      <c r="BK299" s="610"/>
      <c r="BL299" s="56"/>
      <c r="BM299" s="611"/>
      <c r="BN299" s="612"/>
      <c r="BO299" s="609">
        <v>0</v>
      </c>
      <c r="BP299" s="610"/>
      <c r="BQ299" s="56"/>
      <c r="BR299" s="611"/>
      <c r="BS299" s="612"/>
      <c r="BT299" s="609">
        <f>SUM(L299:BO299)</f>
        <v>360729</v>
      </c>
      <c r="BU299" s="610"/>
      <c r="BV299" s="56"/>
      <c r="BW299" s="611"/>
      <c r="BX299" s="612"/>
      <c r="BY299" s="609">
        <v>6225448</v>
      </c>
      <c r="BZ299" s="610"/>
      <c r="CA299" s="56"/>
      <c r="CB299" s="611"/>
      <c r="CC299" s="612"/>
      <c r="CD299" s="609">
        <f>1235834-226513</f>
        <v>1009321</v>
      </c>
      <c r="CE299" s="610"/>
      <c r="CF299" s="56"/>
      <c r="CG299" s="611"/>
      <c r="CH299" s="612"/>
      <c r="CI299" s="609">
        <f>1743651-315786</f>
        <v>1427865</v>
      </c>
      <c r="CJ299" s="610"/>
      <c r="CK299" s="56"/>
      <c r="CL299" s="611"/>
      <c r="CM299" s="612"/>
      <c r="CN299" s="609">
        <f>2445720-380449</f>
        <v>2065271</v>
      </c>
      <c r="CO299" s="610"/>
      <c r="CP299" s="56"/>
      <c r="CQ299" s="611"/>
      <c r="CR299" s="612"/>
      <c r="CS299" s="609">
        <f>499864-78107</f>
        <v>421757</v>
      </c>
      <c r="CT299" s="610"/>
      <c r="CU299" s="56"/>
      <c r="CV299" s="611"/>
      <c r="CW299" s="612"/>
      <c r="CX299" s="609">
        <f>736888-120643</f>
        <v>616245</v>
      </c>
      <c r="CY299" s="610"/>
      <c r="CZ299" s="56"/>
      <c r="DA299" s="611"/>
      <c r="DB299" s="612"/>
      <c r="DC299" s="609">
        <f>182775-26738</f>
        <v>156037</v>
      </c>
      <c r="DD299" s="610"/>
      <c r="DE299" s="56"/>
      <c r="DF299" s="611"/>
      <c r="DG299" s="612"/>
      <c r="DH299" s="609">
        <v>0</v>
      </c>
      <c r="DI299" s="610"/>
      <c r="DJ299" s="56"/>
      <c r="DK299" s="611"/>
      <c r="DL299" s="612"/>
      <c r="DM299" s="609">
        <v>0</v>
      </c>
      <c r="DN299" s="610"/>
      <c r="DO299" s="56"/>
      <c r="DP299" s="611"/>
      <c r="DQ299" s="612"/>
      <c r="DR299" s="609">
        <f>31106-5487</f>
        <v>25619</v>
      </c>
      <c r="DS299" s="610"/>
      <c r="DT299" s="56"/>
      <c r="DU299" s="611"/>
      <c r="DV299" s="612"/>
      <c r="DW299" s="609">
        <f>608735-105402</f>
        <v>503333</v>
      </c>
      <c r="DX299" s="610"/>
      <c r="DY299" s="56"/>
      <c r="DZ299" s="611"/>
      <c r="EA299" s="612"/>
      <c r="EB299" s="609">
        <v>0</v>
      </c>
      <c r="EC299" s="610"/>
      <c r="ED299" s="56"/>
      <c r="EE299" s="611"/>
      <c r="EF299" s="612"/>
      <c r="EG299" s="609">
        <v>0</v>
      </c>
      <c r="EH299" s="610"/>
      <c r="EI299" s="56"/>
      <c r="EJ299" s="611"/>
      <c r="EK299" s="612"/>
      <c r="EL299" s="609">
        <f t="shared" ref="EL299:EL301" si="27">SUM(CD299:DW299)</f>
        <v>6225448</v>
      </c>
      <c r="EM299" s="610"/>
      <c r="EN299" s="56"/>
      <c r="EO299" s="144"/>
      <c r="ER299" s="42"/>
      <c r="ES299" s="42"/>
    </row>
    <row r="300" spans="4:149" ht="12.75" customHeight="1" x14ac:dyDescent="0.3">
      <c r="D300" s="144" t="s">
        <v>338</v>
      </c>
      <c r="F300" s="494"/>
      <c r="G300" s="56">
        <v>66250</v>
      </c>
      <c r="H300" s="55"/>
      <c r="I300" s="56"/>
      <c r="J300" s="611"/>
      <c r="K300" s="611"/>
      <c r="L300" s="56">
        <v>66250</v>
      </c>
      <c r="M300" s="55"/>
      <c r="N300" s="56"/>
      <c r="O300" s="611"/>
      <c r="P300" s="611"/>
      <c r="Q300" s="56">
        <v>0</v>
      </c>
      <c r="R300" s="55"/>
      <c r="S300" s="56"/>
      <c r="T300" s="611"/>
      <c r="U300" s="611"/>
      <c r="V300" s="56">
        <v>0</v>
      </c>
      <c r="W300" s="55"/>
      <c r="X300" s="56"/>
      <c r="Y300" s="611"/>
      <c r="Z300" s="611"/>
      <c r="AA300" s="56">
        <v>0</v>
      </c>
      <c r="AB300" s="55"/>
      <c r="AC300" s="56"/>
      <c r="AD300" s="611"/>
      <c r="AE300" s="611"/>
      <c r="AF300" s="56">
        <v>0</v>
      </c>
      <c r="AG300" s="55"/>
      <c r="AH300" s="56"/>
      <c r="AI300" s="611"/>
      <c r="AJ300" s="611"/>
      <c r="AK300" s="56">
        <v>0</v>
      </c>
      <c r="AL300" s="55"/>
      <c r="AM300" s="56"/>
      <c r="AN300" s="611"/>
      <c r="AO300" s="611"/>
      <c r="AP300" s="56">
        <v>0</v>
      </c>
      <c r="AQ300" s="55"/>
      <c r="AR300" s="56"/>
      <c r="AS300" s="611"/>
      <c r="AT300" s="611"/>
      <c r="AU300" s="56">
        <v>0</v>
      </c>
      <c r="AV300" s="55"/>
      <c r="AW300" s="56"/>
      <c r="AX300" s="611"/>
      <c r="AY300" s="611"/>
      <c r="AZ300" s="56">
        <v>0</v>
      </c>
      <c r="BA300" s="55"/>
      <c r="BB300" s="56"/>
      <c r="BC300" s="611"/>
      <c r="BD300" s="611"/>
      <c r="BE300" s="56">
        <v>0</v>
      </c>
      <c r="BF300" s="55"/>
      <c r="BG300" s="56"/>
      <c r="BH300" s="611"/>
      <c r="BI300" s="611"/>
      <c r="BJ300" s="56">
        <v>0</v>
      </c>
      <c r="BK300" s="55"/>
      <c r="BL300" s="56"/>
      <c r="BM300" s="611"/>
      <c r="BN300" s="611"/>
      <c r="BO300" s="56">
        <v>0</v>
      </c>
      <c r="BP300" s="55"/>
      <c r="BQ300" s="56"/>
      <c r="BR300" s="611"/>
      <c r="BS300" s="611"/>
      <c r="BT300" s="56">
        <f>SUM(L300:BO300)</f>
        <v>66250</v>
      </c>
      <c r="BU300" s="55"/>
      <c r="BV300" s="56"/>
      <c r="BW300" s="611"/>
      <c r="BX300" s="611"/>
      <c r="BY300" s="56">
        <v>1259125</v>
      </c>
      <c r="BZ300" s="55"/>
      <c r="CA300" s="56"/>
      <c r="CB300" s="611"/>
      <c r="CC300" s="611"/>
      <c r="CD300" s="56">
        <v>226513</v>
      </c>
      <c r="CE300" s="55"/>
      <c r="CF300" s="56"/>
      <c r="CG300" s="611"/>
      <c r="CH300" s="611"/>
      <c r="CI300" s="56">
        <v>315786</v>
      </c>
      <c r="CJ300" s="55"/>
      <c r="CK300" s="56"/>
      <c r="CL300" s="611"/>
      <c r="CM300" s="611"/>
      <c r="CN300" s="56">
        <v>380449</v>
      </c>
      <c r="CO300" s="55"/>
      <c r="CP300" s="56"/>
      <c r="CQ300" s="611"/>
      <c r="CR300" s="611"/>
      <c r="CS300" s="56">
        <v>78107</v>
      </c>
      <c r="CT300" s="55"/>
      <c r="CU300" s="56"/>
      <c r="CV300" s="611"/>
      <c r="CW300" s="611"/>
      <c r="CX300" s="56">
        <v>120643</v>
      </c>
      <c r="CY300" s="55"/>
      <c r="CZ300" s="56"/>
      <c r="DA300" s="611"/>
      <c r="DB300" s="611"/>
      <c r="DC300" s="56">
        <v>26738</v>
      </c>
      <c r="DD300" s="55"/>
      <c r="DE300" s="56"/>
      <c r="DF300" s="611"/>
      <c r="DG300" s="611"/>
      <c r="DH300" s="56">
        <v>0</v>
      </c>
      <c r="DI300" s="55"/>
      <c r="DJ300" s="56"/>
      <c r="DK300" s="611"/>
      <c r="DL300" s="611"/>
      <c r="DM300" s="56">
        <v>0</v>
      </c>
      <c r="DN300" s="55"/>
      <c r="DO300" s="56"/>
      <c r="DP300" s="611"/>
      <c r="DQ300" s="611"/>
      <c r="DR300" s="56">
        <v>5487</v>
      </c>
      <c r="DS300" s="55"/>
      <c r="DT300" s="56"/>
      <c r="DU300" s="611"/>
      <c r="DV300" s="611"/>
      <c r="DW300" s="56">
        <v>105402</v>
      </c>
      <c r="DX300" s="55"/>
      <c r="DY300" s="56"/>
      <c r="DZ300" s="611"/>
      <c r="EA300" s="611"/>
      <c r="EB300" s="56">
        <v>0</v>
      </c>
      <c r="EC300" s="55"/>
      <c r="ED300" s="56"/>
      <c r="EE300" s="611"/>
      <c r="EF300" s="611"/>
      <c r="EG300" s="56">
        <v>0</v>
      </c>
      <c r="EH300" s="55"/>
      <c r="EI300" s="56"/>
      <c r="EJ300" s="611"/>
      <c r="EK300" s="611"/>
      <c r="EL300" s="56">
        <f>SUM(CD300:DW300)</f>
        <v>1259125</v>
      </c>
      <c r="EM300" s="55"/>
      <c r="EN300" s="56"/>
      <c r="EO300" s="144"/>
      <c r="ER300" s="42"/>
      <c r="ES300" s="42"/>
    </row>
    <row r="301" spans="4:149" ht="12.75" customHeight="1" x14ac:dyDescent="0.3">
      <c r="D301" s="144" t="s">
        <v>339</v>
      </c>
      <c r="F301" s="513"/>
      <c r="G301" s="117">
        <v>0</v>
      </c>
      <c r="H301" s="116"/>
      <c r="I301" s="56"/>
      <c r="J301" s="611"/>
      <c r="K301" s="620"/>
      <c r="L301" s="117">
        <v>0</v>
      </c>
      <c r="M301" s="116"/>
      <c r="N301" s="56"/>
      <c r="O301" s="611"/>
      <c r="P301" s="620"/>
      <c r="Q301" s="117">
        <v>0</v>
      </c>
      <c r="R301" s="116"/>
      <c r="S301" s="56"/>
      <c r="T301" s="611"/>
      <c r="U301" s="620"/>
      <c r="V301" s="117">
        <v>0</v>
      </c>
      <c r="W301" s="116"/>
      <c r="X301" s="56"/>
      <c r="Y301" s="611"/>
      <c r="Z301" s="620"/>
      <c r="AA301" s="117">
        <v>0</v>
      </c>
      <c r="AB301" s="116"/>
      <c r="AC301" s="56"/>
      <c r="AD301" s="611"/>
      <c r="AE301" s="620"/>
      <c r="AF301" s="117">
        <v>0</v>
      </c>
      <c r="AG301" s="116"/>
      <c r="AH301" s="56"/>
      <c r="AI301" s="611"/>
      <c r="AJ301" s="620"/>
      <c r="AK301" s="117">
        <v>0</v>
      </c>
      <c r="AL301" s="116"/>
      <c r="AM301" s="56"/>
      <c r="AN301" s="611"/>
      <c r="AO301" s="620"/>
      <c r="AP301" s="117">
        <v>0</v>
      </c>
      <c r="AQ301" s="116"/>
      <c r="AR301" s="56"/>
      <c r="AS301" s="611"/>
      <c r="AT301" s="620"/>
      <c r="AU301" s="117">
        <v>0</v>
      </c>
      <c r="AV301" s="116"/>
      <c r="AW301" s="56"/>
      <c r="AX301" s="611"/>
      <c r="AY301" s="620"/>
      <c r="AZ301" s="117">
        <v>0</v>
      </c>
      <c r="BA301" s="116"/>
      <c r="BB301" s="56"/>
      <c r="BC301" s="611"/>
      <c r="BD301" s="620"/>
      <c r="BE301" s="117">
        <v>0</v>
      </c>
      <c r="BF301" s="116"/>
      <c r="BG301" s="56"/>
      <c r="BH301" s="611"/>
      <c r="BI301" s="620"/>
      <c r="BJ301" s="117">
        <v>0</v>
      </c>
      <c r="BK301" s="116"/>
      <c r="BL301" s="56"/>
      <c r="BM301" s="611"/>
      <c r="BN301" s="620"/>
      <c r="BO301" s="117">
        <v>0</v>
      </c>
      <c r="BP301" s="116"/>
      <c r="BQ301" s="56"/>
      <c r="BR301" s="611"/>
      <c r="BS301" s="620"/>
      <c r="BT301" s="117">
        <f>SUM(L301:BO301)</f>
        <v>0</v>
      </c>
      <c r="BU301" s="116"/>
      <c r="BV301" s="56"/>
      <c r="BW301" s="611"/>
      <c r="BX301" s="620"/>
      <c r="BY301" s="117">
        <v>0</v>
      </c>
      <c r="BZ301" s="116"/>
      <c r="CA301" s="56"/>
      <c r="CB301" s="611"/>
      <c r="CC301" s="620"/>
      <c r="CD301" s="117">
        <v>0</v>
      </c>
      <c r="CE301" s="116"/>
      <c r="CF301" s="56"/>
      <c r="CG301" s="611"/>
      <c r="CH301" s="620"/>
      <c r="CI301" s="117">
        <v>0</v>
      </c>
      <c r="CJ301" s="116"/>
      <c r="CK301" s="56"/>
      <c r="CL301" s="611"/>
      <c r="CM301" s="620"/>
      <c r="CN301" s="117">
        <v>0</v>
      </c>
      <c r="CO301" s="116"/>
      <c r="CP301" s="56"/>
      <c r="CQ301" s="611"/>
      <c r="CR301" s="620"/>
      <c r="CS301" s="117">
        <v>0</v>
      </c>
      <c r="CT301" s="116"/>
      <c r="CU301" s="56"/>
      <c r="CV301" s="611"/>
      <c r="CW301" s="620"/>
      <c r="CX301" s="117">
        <v>0</v>
      </c>
      <c r="CY301" s="116"/>
      <c r="CZ301" s="56"/>
      <c r="DA301" s="611"/>
      <c r="DB301" s="620"/>
      <c r="DC301" s="117">
        <v>0</v>
      </c>
      <c r="DD301" s="116"/>
      <c r="DE301" s="56"/>
      <c r="DF301" s="611"/>
      <c r="DG301" s="620"/>
      <c r="DH301" s="117">
        <v>0</v>
      </c>
      <c r="DI301" s="116"/>
      <c r="DJ301" s="56"/>
      <c r="DK301" s="611"/>
      <c r="DL301" s="620"/>
      <c r="DM301" s="117">
        <v>0</v>
      </c>
      <c r="DN301" s="116"/>
      <c r="DO301" s="56"/>
      <c r="DP301" s="611"/>
      <c r="DQ301" s="620"/>
      <c r="DR301" s="117">
        <v>0</v>
      </c>
      <c r="DS301" s="116"/>
      <c r="DT301" s="56"/>
      <c r="DU301" s="611"/>
      <c r="DV301" s="620"/>
      <c r="DW301" s="117">
        <v>0</v>
      </c>
      <c r="DX301" s="116"/>
      <c r="DY301" s="56"/>
      <c r="DZ301" s="611"/>
      <c r="EA301" s="620"/>
      <c r="EB301" s="117">
        <v>0</v>
      </c>
      <c r="EC301" s="116"/>
      <c r="ED301" s="56"/>
      <c r="EE301" s="611"/>
      <c r="EF301" s="620"/>
      <c r="EG301" s="117">
        <v>0</v>
      </c>
      <c r="EH301" s="116"/>
      <c r="EI301" s="56"/>
      <c r="EJ301" s="611"/>
      <c r="EK301" s="620"/>
      <c r="EL301" s="117">
        <f t="shared" si="27"/>
        <v>0</v>
      </c>
      <c r="EM301" s="116"/>
      <c r="EN301" s="56"/>
      <c r="EO301" s="144"/>
      <c r="ER301" s="42"/>
      <c r="ES301" s="42"/>
    </row>
    <row r="302" spans="4:149" ht="12.75" hidden="1" customHeight="1" x14ac:dyDescent="0.3">
      <c r="D302" s="144"/>
      <c r="G302" s="56"/>
      <c r="H302" s="56"/>
      <c r="I302" s="56"/>
      <c r="J302" s="611"/>
      <c r="K302" s="56"/>
      <c r="L302" s="56"/>
      <c r="M302" s="56"/>
      <c r="N302" s="56"/>
      <c r="O302" s="611"/>
      <c r="P302" s="56"/>
      <c r="Q302" s="56"/>
      <c r="R302" s="56"/>
      <c r="S302" s="56"/>
      <c r="T302" s="611"/>
      <c r="U302" s="56"/>
      <c r="V302" s="56"/>
      <c r="W302" s="56"/>
      <c r="X302" s="56"/>
      <c r="Y302" s="611"/>
      <c r="Z302" s="56"/>
      <c r="AA302" s="56"/>
      <c r="AB302" s="56"/>
      <c r="AC302" s="56"/>
      <c r="AD302" s="611"/>
      <c r="AE302" s="56"/>
      <c r="AF302" s="56"/>
      <c r="AG302" s="56"/>
      <c r="AH302" s="56"/>
      <c r="AI302" s="611"/>
      <c r="AJ302" s="56"/>
      <c r="AK302" s="56"/>
      <c r="AL302" s="56"/>
      <c r="AM302" s="56"/>
      <c r="AN302" s="611"/>
      <c r="AO302" s="56"/>
      <c r="AP302" s="56"/>
      <c r="AQ302" s="56"/>
      <c r="AR302" s="56"/>
      <c r="AS302" s="611"/>
      <c r="AT302" s="56"/>
      <c r="AU302" s="56"/>
      <c r="AV302" s="56"/>
      <c r="AW302" s="56"/>
      <c r="AX302" s="611"/>
      <c r="AY302" s="56"/>
      <c r="AZ302" s="56"/>
      <c r="BA302" s="56"/>
      <c r="BB302" s="56"/>
      <c r="BC302" s="611"/>
      <c r="BD302" s="56"/>
      <c r="BE302" s="56"/>
      <c r="BF302" s="56"/>
      <c r="BG302" s="56"/>
      <c r="BH302" s="611"/>
      <c r="BI302" s="56"/>
      <c r="BJ302" s="56"/>
      <c r="BK302" s="56"/>
      <c r="BL302" s="56"/>
      <c r="BM302" s="611"/>
      <c r="BN302" s="56"/>
      <c r="BO302" s="56"/>
      <c r="BP302" s="56"/>
      <c r="BQ302" s="56"/>
      <c r="BR302" s="611"/>
      <c r="BS302" s="56"/>
      <c r="BT302" s="56"/>
      <c r="BU302" s="56"/>
      <c r="BV302" s="56"/>
      <c r="BW302" s="611"/>
      <c r="BX302" s="56"/>
      <c r="BY302" s="56"/>
      <c r="BZ302" s="56"/>
      <c r="CA302" s="56"/>
      <c r="CB302" s="611"/>
      <c r="CC302" s="56"/>
      <c r="CD302" s="56"/>
      <c r="CE302" s="56"/>
      <c r="CF302" s="56"/>
      <c r="CG302" s="611"/>
      <c r="CH302" s="56"/>
      <c r="CI302" s="56"/>
      <c r="CJ302" s="56"/>
      <c r="CK302" s="56"/>
      <c r="CL302" s="611"/>
      <c r="CM302" s="56"/>
      <c r="CN302" s="56"/>
      <c r="CO302" s="56"/>
      <c r="CP302" s="56"/>
      <c r="CQ302" s="611"/>
      <c r="CR302" s="56"/>
      <c r="CS302" s="56"/>
      <c r="CT302" s="56"/>
      <c r="CU302" s="56"/>
      <c r="CV302" s="611"/>
      <c r="CW302" s="56"/>
      <c r="CX302" s="56"/>
      <c r="CY302" s="56"/>
      <c r="CZ302" s="56"/>
      <c r="DA302" s="611"/>
      <c r="DB302" s="56"/>
      <c r="DC302" s="56"/>
      <c r="DD302" s="56"/>
      <c r="DE302" s="56"/>
      <c r="DF302" s="611"/>
      <c r="DG302" s="56"/>
      <c r="DH302" s="56"/>
      <c r="DI302" s="56"/>
      <c r="DJ302" s="56"/>
      <c r="DK302" s="611"/>
      <c r="DL302" s="56"/>
      <c r="DM302" s="56"/>
      <c r="DN302" s="56"/>
      <c r="DO302" s="56"/>
      <c r="DP302" s="611"/>
      <c r="DQ302" s="56"/>
      <c r="DR302" s="56"/>
      <c r="DS302" s="56"/>
      <c r="DT302" s="56"/>
      <c r="DU302" s="611"/>
      <c r="DV302" s="56"/>
      <c r="DW302" s="56"/>
      <c r="DX302" s="56"/>
      <c r="DY302" s="56"/>
      <c r="DZ302" s="611"/>
      <c r="EA302" s="56"/>
      <c r="EB302" s="56"/>
      <c r="EC302" s="56"/>
      <c r="ED302" s="56"/>
      <c r="EE302" s="611"/>
      <c r="EF302" s="56"/>
      <c r="EG302" s="56"/>
      <c r="EH302" s="56"/>
      <c r="EI302" s="56"/>
      <c r="EJ302" s="611"/>
      <c r="EK302" s="56"/>
      <c r="EL302" s="56"/>
      <c r="EM302" s="56"/>
      <c r="EN302" s="56"/>
      <c r="EO302" s="144"/>
      <c r="ER302" s="42"/>
      <c r="ES302" s="42"/>
    </row>
    <row r="303" spans="4:149" ht="12.75" hidden="1" customHeight="1" x14ac:dyDescent="0.3">
      <c r="D303" s="144" t="s">
        <v>364</v>
      </c>
      <c r="G303" s="56">
        <f>SUM(G304:G306)</f>
        <v>0</v>
      </c>
      <c r="H303" s="56"/>
      <c r="I303" s="56"/>
      <c r="J303" s="611"/>
      <c r="K303" s="56"/>
      <c r="L303" s="56">
        <f>SUM(L304:L306)</f>
        <v>0</v>
      </c>
      <c r="M303" s="56"/>
      <c r="N303" s="56"/>
      <c r="O303" s="611"/>
      <c r="P303" s="56"/>
      <c r="Q303" s="56">
        <f>SUM(Q304:Q306)</f>
        <v>0</v>
      </c>
      <c r="R303" s="56"/>
      <c r="S303" s="56"/>
      <c r="T303" s="611"/>
      <c r="U303" s="56"/>
      <c r="V303" s="56">
        <f>SUM(V304:V306)</f>
        <v>0</v>
      </c>
      <c r="W303" s="56"/>
      <c r="X303" s="56"/>
      <c r="Y303" s="611"/>
      <c r="Z303" s="56"/>
      <c r="AA303" s="56">
        <f>SUM(AA304:AA306)</f>
        <v>0</v>
      </c>
      <c r="AB303" s="56"/>
      <c r="AC303" s="56"/>
      <c r="AD303" s="611"/>
      <c r="AE303" s="56"/>
      <c r="AF303" s="56">
        <f>SUM(AF304:AF306)</f>
        <v>0</v>
      </c>
      <c r="AG303" s="56"/>
      <c r="AH303" s="56"/>
      <c r="AI303" s="611"/>
      <c r="AJ303" s="56"/>
      <c r="AK303" s="56">
        <f>SUM(AK304:AK306)</f>
        <v>0</v>
      </c>
      <c r="AL303" s="56"/>
      <c r="AM303" s="56"/>
      <c r="AN303" s="611"/>
      <c r="AO303" s="56"/>
      <c r="AP303" s="56">
        <f>SUM(AP304:AP306)</f>
        <v>0</v>
      </c>
      <c r="AQ303" s="56"/>
      <c r="AR303" s="56"/>
      <c r="AS303" s="611"/>
      <c r="AT303" s="56"/>
      <c r="AU303" s="56">
        <f>SUM(AU304:AU306)</f>
        <v>0</v>
      </c>
      <c r="AV303" s="56"/>
      <c r="AW303" s="56"/>
      <c r="AX303" s="611"/>
      <c r="AY303" s="56"/>
      <c r="AZ303" s="56">
        <f>SUM(AZ304:AZ306)</f>
        <v>0</v>
      </c>
      <c r="BA303" s="56"/>
      <c r="BB303" s="56"/>
      <c r="BC303" s="611"/>
      <c r="BD303" s="56"/>
      <c r="BE303" s="56">
        <f>SUM(BE304:BE306)</f>
        <v>0</v>
      </c>
      <c r="BF303" s="56"/>
      <c r="BG303" s="56"/>
      <c r="BH303" s="611"/>
      <c r="BI303" s="56"/>
      <c r="BJ303" s="56">
        <f>SUM(BJ304:BJ306)</f>
        <v>0</v>
      </c>
      <c r="BK303" s="56"/>
      <c r="BL303" s="56"/>
      <c r="BM303" s="611"/>
      <c r="BN303" s="56"/>
      <c r="BO303" s="56">
        <f>SUM(BO304:BO306)</f>
        <v>0</v>
      </c>
      <c r="BP303" s="56"/>
      <c r="BQ303" s="56"/>
      <c r="BR303" s="611"/>
      <c r="BS303" s="56"/>
      <c r="BT303" s="56">
        <f>SUM(BT304:BT306)</f>
        <v>0</v>
      </c>
      <c r="BU303" s="56"/>
      <c r="BV303" s="56"/>
      <c r="BW303" s="611"/>
      <c r="BX303" s="56"/>
      <c r="BY303" s="56">
        <f>SUM(BY304:BY306)</f>
        <v>0</v>
      </c>
      <c r="BZ303" s="56"/>
      <c r="CA303" s="56"/>
      <c r="CB303" s="611"/>
      <c r="CC303" s="56"/>
      <c r="CD303" s="56">
        <f>SUM(CD304:CD306)</f>
        <v>0</v>
      </c>
      <c r="CE303" s="56"/>
      <c r="CF303" s="56"/>
      <c r="CG303" s="611"/>
      <c r="CH303" s="56"/>
      <c r="CI303" s="56">
        <f>SUM(CI304:CI306)</f>
        <v>0</v>
      </c>
      <c r="CJ303" s="56"/>
      <c r="CK303" s="56"/>
      <c r="CL303" s="611"/>
      <c r="CM303" s="56"/>
      <c r="CN303" s="56">
        <f>SUM(CN304:CN306)</f>
        <v>0</v>
      </c>
      <c r="CO303" s="56"/>
      <c r="CP303" s="56"/>
      <c r="CQ303" s="611"/>
      <c r="CR303" s="56"/>
      <c r="CS303" s="56">
        <f>SUM(CS304:CS306)</f>
        <v>0</v>
      </c>
      <c r="CT303" s="56"/>
      <c r="CU303" s="56"/>
      <c r="CV303" s="611"/>
      <c r="CW303" s="56"/>
      <c r="CX303" s="56">
        <f>SUM(CX304:CX306)</f>
        <v>0</v>
      </c>
      <c r="CY303" s="56"/>
      <c r="CZ303" s="56"/>
      <c r="DA303" s="611"/>
      <c r="DB303" s="56"/>
      <c r="DC303" s="56">
        <f>SUM(DC304:DC306)</f>
        <v>0</v>
      </c>
      <c r="DD303" s="56"/>
      <c r="DE303" s="56"/>
      <c r="DF303" s="611"/>
      <c r="DG303" s="56"/>
      <c r="DH303" s="56">
        <f>SUM(DH304:DH306)</f>
        <v>0</v>
      </c>
      <c r="DI303" s="56"/>
      <c r="DJ303" s="56"/>
      <c r="DK303" s="611"/>
      <c r="DL303" s="56"/>
      <c r="DM303" s="56">
        <f>SUM(DM304:DM306)</f>
        <v>0</v>
      </c>
      <c r="DN303" s="56"/>
      <c r="DO303" s="56"/>
      <c r="DP303" s="611"/>
      <c r="DQ303" s="56"/>
      <c r="DR303" s="56">
        <f>SUM(DR304:DR306)</f>
        <v>0</v>
      </c>
      <c r="DS303" s="56"/>
      <c r="DT303" s="56"/>
      <c r="DU303" s="611"/>
      <c r="DV303" s="56"/>
      <c r="DW303" s="56">
        <f>SUM(DW304:DW306)</f>
        <v>0</v>
      </c>
      <c r="DX303" s="56"/>
      <c r="DY303" s="56"/>
      <c r="DZ303" s="611"/>
      <c r="EA303" s="56"/>
      <c r="EB303" s="56">
        <f>SUM(EB304:EB306)</f>
        <v>0</v>
      </c>
      <c r="EC303" s="56"/>
      <c r="ED303" s="56"/>
      <c r="EE303" s="611"/>
      <c r="EF303" s="56"/>
      <c r="EG303" s="56">
        <f>SUM(EG304:EG306)</f>
        <v>0</v>
      </c>
      <c r="EH303" s="56"/>
      <c r="EI303" s="56"/>
      <c r="EJ303" s="611"/>
      <c r="EK303" s="56"/>
      <c r="EL303" s="56">
        <f>SUM(EL304:EL306)</f>
        <v>0</v>
      </c>
      <c r="EM303" s="56"/>
      <c r="EN303" s="56"/>
      <c r="EO303" s="144"/>
      <c r="ER303" s="42"/>
      <c r="ES303" s="42"/>
    </row>
    <row r="304" spans="4:149" ht="12.75" hidden="1" customHeight="1" x14ac:dyDescent="0.3">
      <c r="D304" s="144" t="s">
        <v>335</v>
      </c>
      <c r="F304" s="500"/>
      <c r="G304" s="609">
        <v>0</v>
      </c>
      <c r="H304" s="610"/>
      <c r="I304" s="56"/>
      <c r="J304" s="611"/>
      <c r="K304" s="612"/>
      <c r="L304" s="609">
        <v>0</v>
      </c>
      <c r="M304" s="610"/>
      <c r="N304" s="56"/>
      <c r="O304" s="611"/>
      <c r="P304" s="612"/>
      <c r="Q304" s="609">
        <v>0</v>
      </c>
      <c r="R304" s="610"/>
      <c r="S304" s="56"/>
      <c r="T304" s="611"/>
      <c r="U304" s="612"/>
      <c r="V304" s="609">
        <v>0</v>
      </c>
      <c r="W304" s="610"/>
      <c r="X304" s="56"/>
      <c r="Y304" s="611"/>
      <c r="Z304" s="612"/>
      <c r="AA304" s="609">
        <v>0</v>
      </c>
      <c r="AB304" s="610"/>
      <c r="AC304" s="56"/>
      <c r="AD304" s="611"/>
      <c r="AE304" s="612"/>
      <c r="AF304" s="609">
        <v>0</v>
      </c>
      <c r="AG304" s="610"/>
      <c r="AH304" s="56"/>
      <c r="AI304" s="611"/>
      <c r="AJ304" s="612"/>
      <c r="AK304" s="609">
        <v>0</v>
      </c>
      <c r="AL304" s="610"/>
      <c r="AM304" s="56"/>
      <c r="AN304" s="611"/>
      <c r="AO304" s="612"/>
      <c r="AP304" s="609">
        <v>0</v>
      </c>
      <c r="AQ304" s="610"/>
      <c r="AR304" s="56"/>
      <c r="AS304" s="611"/>
      <c r="AT304" s="612"/>
      <c r="AU304" s="609">
        <v>0</v>
      </c>
      <c r="AV304" s="610"/>
      <c r="AW304" s="56"/>
      <c r="AX304" s="611"/>
      <c r="AY304" s="612"/>
      <c r="AZ304" s="609">
        <v>0</v>
      </c>
      <c r="BA304" s="610"/>
      <c r="BB304" s="56"/>
      <c r="BC304" s="611"/>
      <c r="BD304" s="612"/>
      <c r="BE304" s="609">
        <v>0</v>
      </c>
      <c r="BF304" s="610"/>
      <c r="BG304" s="56"/>
      <c r="BH304" s="611"/>
      <c r="BI304" s="612"/>
      <c r="BJ304" s="609">
        <v>0</v>
      </c>
      <c r="BK304" s="610"/>
      <c r="BL304" s="56"/>
      <c r="BM304" s="611"/>
      <c r="BN304" s="612"/>
      <c r="BO304" s="609">
        <v>0</v>
      </c>
      <c r="BP304" s="610"/>
      <c r="BQ304" s="56"/>
      <c r="BR304" s="611"/>
      <c r="BS304" s="612"/>
      <c r="BT304" s="609">
        <f>SUM(L304:BO304)</f>
        <v>0</v>
      </c>
      <c r="BU304" s="610"/>
      <c r="BV304" s="56"/>
      <c r="BW304" s="611"/>
      <c r="BX304" s="612"/>
      <c r="BY304" s="609">
        <v>0</v>
      </c>
      <c r="BZ304" s="610"/>
      <c r="CA304" s="56"/>
      <c r="CB304" s="611"/>
      <c r="CC304" s="612"/>
      <c r="CD304" s="609">
        <v>0</v>
      </c>
      <c r="CE304" s="610"/>
      <c r="CF304" s="56"/>
      <c r="CG304" s="611"/>
      <c r="CH304" s="612"/>
      <c r="CI304" s="609">
        <v>0</v>
      </c>
      <c r="CJ304" s="610"/>
      <c r="CK304" s="56"/>
      <c r="CL304" s="611"/>
      <c r="CM304" s="612"/>
      <c r="CN304" s="609">
        <v>0</v>
      </c>
      <c r="CO304" s="610"/>
      <c r="CP304" s="56"/>
      <c r="CQ304" s="611"/>
      <c r="CR304" s="612"/>
      <c r="CS304" s="609">
        <v>0</v>
      </c>
      <c r="CT304" s="610"/>
      <c r="CU304" s="56"/>
      <c r="CV304" s="611"/>
      <c r="CW304" s="612"/>
      <c r="CX304" s="609">
        <v>0</v>
      </c>
      <c r="CY304" s="610"/>
      <c r="CZ304" s="56"/>
      <c r="DA304" s="611"/>
      <c r="DB304" s="612"/>
      <c r="DC304" s="609">
        <v>0</v>
      </c>
      <c r="DD304" s="610"/>
      <c r="DE304" s="56"/>
      <c r="DF304" s="611"/>
      <c r="DG304" s="612"/>
      <c r="DH304" s="609">
        <v>0</v>
      </c>
      <c r="DI304" s="610"/>
      <c r="DJ304" s="56"/>
      <c r="DK304" s="611"/>
      <c r="DL304" s="612"/>
      <c r="DM304" s="609">
        <v>0</v>
      </c>
      <c r="DN304" s="610"/>
      <c r="DO304" s="56"/>
      <c r="DP304" s="611"/>
      <c r="DQ304" s="612"/>
      <c r="DR304" s="609">
        <v>0</v>
      </c>
      <c r="DS304" s="610"/>
      <c r="DT304" s="56"/>
      <c r="DU304" s="611"/>
      <c r="DV304" s="612"/>
      <c r="DW304" s="609">
        <v>0</v>
      </c>
      <c r="DX304" s="610"/>
      <c r="DY304" s="56"/>
      <c r="DZ304" s="611"/>
      <c r="EA304" s="612"/>
      <c r="EB304" s="609">
        <v>0</v>
      </c>
      <c r="EC304" s="610"/>
      <c r="ED304" s="56"/>
      <c r="EE304" s="611"/>
      <c r="EF304" s="612"/>
      <c r="EG304" s="609">
        <v>0</v>
      </c>
      <c r="EH304" s="610"/>
      <c r="EI304" s="56"/>
      <c r="EJ304" s="611"/>
      <c r="EK304" s="612"/>
      <c r="EL304" s="609">
        <f>SUM(CD304:EG304)</f>
        <v>0</v>
      </c>
      <c r="EM304" s="610"/>
      <c r="EN304" s="56"/>
      <c r="EO304" s="144"/>
      <c r="ER304" s="42"/>
      <c r="ES304" s="42"/>
    </row>
    <row r="305" spans="4:149" ht="12.75" hidden="1" customHeight="1" x14ac:dyDescent="0.3">
      <c r="D305" s="144" t="s">
        <v>338</v>
      </c>
      <c r="F305" s="494"/>
      <c r="G305" s="56">
        <v>0</v>
      </c>
      <c r="H305" s="55"/>
      <c r="I305" s="56"/>
      <c r="J305" s="611"/>
      <c r="K305" s="611"/>
      <c r="L305" s="56">
        <v>0</v>
      </c>
      <c r="M305" s="55"/>
      <c r="N305" s="56"/>
      <c r="O305" s="611"/>
      <c r="P305" s="611"/>
      <c r="Q305" s="56">
        <v>0</v>
      </c>
      <c r="R305" s="55"/>
      <c r="S305" s="56"/>
      <c r="T305" s="611"/>
      <c r="U305" s="611"/>
      <c r="V305" s="56">
        <v>0</v>
      </c>
      <c r="W305" s="55"/>
      <c r="X305" s="56"/>
      <c r="Y305" s="611"/>
      <c r="Z305" s="611"/>
      <c r="AA305" s="56">
        <v>0</v>
      </c>
      <c r="AB305" s="55"/>
      <c r="AC305" s="56"/>
      <c r="AD305" s="611"/>
      <c r="AE305" s="611"/>
      <c r="AF305" s="56">
        <v>0</v>
      </c>
      <c r="AG305" s="55"/>
      <c r="AH305" s="56"/>
      <c r="AI305" s="611"/>
      <c r="AJ305" s="611"/>
      <c r="AK305" s="56">
        <v>0</v>
      </c>
      <c r="AL305" s="55"/>
      <c r="AM305" s="56"/>
      <c r="AN305" s="611"/>
      <c r="AO305" s="611"/>
      <c r="AP305" s="56">
        <v>0</v>
      </c>
      <c r="AQ305" s="55"/>
      <c r="AR305" s="56"/>
      <c r="AS305" s="611"/>
      <c r="AT305" s="611"/>
      <c r="AU305" s="56">
        <v>0</v>
      </c>
      <c r="AV305" s="55"/>
      <c r="AW305" s="56"/>
      <c r="AX305" s="611"/>
      <c r="AY305" s="611"/>
      <c r="AZ305" s="56">
        <v>0</v>
      </c>
      <c r="BA305" s="55"/>
      <c r="BB305" s="56"/>
      <c r="BC305" s="611"/>
      <c r="BD305" s="611"/>
      <c r="BE305" s="56">
        <v>0</v>
      </c>
      <c r="BF305" s="55"/>
      <c r="BG305" s="56"/>
      <c r="BH305" s="611"/>
      <c r="BI305" s="611"/>
      <c r="BJ305" s="56">
        <v>0</v>
      </c>
      <c r="BK305" s="55"/>
      <c r="BL305" s="56"/>
      <c r="BM305" s="611"/>
      <c r="BN305" s="611"/>
      <c r="BO305" s="56">
        <v>0</v>
      </c>
      <c r="BP305" s="55"/>
      <c r="BQ305" s="56"/>
      <c r="BR305" s="611"/>
      <c r="BS305" s="611"/>
      <c r="BT305" s="56">
        <f>SUM(L305:BO305)</f>
        <v>0</v>
      </c>
      <c r="BU305" s="55"/>
      <c r="BV305" s="56"/>
      <c r="BW305" s="611"/>
      <c r="BX305" s="611"/>
      <c r="BY305" s="56">
        <v>0</v>
      </c>
      <c r="BZ305" s="55"/>
      <c r="CA305" s="56"/>
      <c r="CB305" s="611"/>
      <c r="CC305" s="611"/>
      <c r="CD305" s="56">
        <v>0</v>
      </c>
      <c r="CE305" s="55"/>
      <c r="CF305" s="56"/>
      <c r="CG305" s="611"/>
      <c r="CH305" s="611"/>
      <c r="CI305" s="56">
        <v>0</v>
      </c>
      <c r="CJ305" s="55"/>
      <c r="CK305" s="56"/>
      <c r="CL305" s="611"/>
      <c r="CM305" s="611"/>
      <c r="CN305" s="56">
        <v>0</v>
      </c>
      <c r="CO305" s="55"/>
      <c r="CP305" s="56"/>
      <c r="CQ305" s="611"/>
      <c r="CR305" s="611"/>
      <c r="CS305" s="56">
        <v>0</v>
      </c>
      <c r="CT305" s="55"/>
      <c r="CU305" s="56"/>
      <c r="CV305" s="611"/>
      <c r="CW305" s="611"/>
      <c r="CX305" s="56">
        <v>0</v>
      </c>
      <c r="CY305" s="55"/>
      <c r="CZ305" s="56"/>
      <c r="DA305" s="611"/>
      <c r="DB305" s="611"/>
      <c r="DC305" s="56">
        <v>0</v>
      </c>
      <c r="DD305" s="55"/>
      <c r="DE305" s="56"/>
      <c r="DF305" s="611"/>
      <c r="DG305" s="611"/>
      <c r="DH305" s="56">
        <v>0</v>
      </c>
      <c r="DI305" s="55"/>
      <c r="DJ305" s="56"/>
      <c r="DK305" s="611"/>
      <c r="DL305" s="611"/>
      <c r="DM305" s="56">
        <v>0</v>
      </c>
      <c r="DN305" s="55"/>
      <c r="DO305" s="56"/>
      <c r="DP305" s="611"/>
      <c r="DQ305" s="611"/>
      <c r="DR305" s="56">
        <v>0</v>
      </c>
      <c r="DS305" s="55"/>
      <c r="DT305" s="56"/>
      <c r="DU305" s="611"/>
      <c r="DV305" s="611"/>
      <c r="DW305" s="56">
        <v>0</v>
      </c>
      <c r="DX305" s="55"/>
      <c r="DY305" s="56"/>
      <c r="DZ305" s="611"/>
      <c r="EA305" s="611"/>
      <c r="EB305" s="56">
        <v>0</v>
      </c>
      <c r="EC305" s="55"/>
      <c r="ED305" s="56"/>
      <c r="EE305" s="611"/>
      <c r="EF305" s="611"/>
      <c r="EG305" s="56">
        <v>0</v>
      </c>
      <c r="EH305" s="55"/>
      <c r="EI305" s="56"/>
      <c r="EJ305" s="611"/>
      <c r="EK305" s="611"/>
      <c r="EL305" s="56">
        <f>SUM(CD305:EG305)</f>
        <v>0</v>
      </c>
      <c r="EM305" s="55"/>
      <c r="EN305" s="56"/>
      <c r="EO305" s="144"/>
      <c r="ER305" s="42"/>
      <c r="ES305" s="42"/>
    </row>
    <row r="306" spans="4:149" ht="12.75" hidden="1" customHeight="1" x14ac:dyDescent="0.3">
      <c r="D306" s="144" t="s">
        <v>339</v>
      </c>
      <c r="F306" s="513"/>
      <c r="G306" s="117">
        <v>0</v>
      </c>
      <c r="H306" s="116"/>
      <c r="I306" s="56"/>
      <c r="J306" s="611"/>
      <c r="K306" s="620"/>
      <c r="L306" s="117">
        <v>0</v>
      </c>
      <c r="M306" s="116"/>
      <c r="N306" s="56"/>
      <c r="O306" s="611"/>
      <c r="P306" s="620"/>
      <c r="Q306" s="117">
        <v>0</v>
      </c>
      <c r="R306" s="116"/>
      <c r="S306" s="56"/>
      <c r="T306" s="611"/>
      <c r="U306" s="620"/>
      <c r="V306" s="117">
        <v>0</v>
      </c>
      <c r="W306" s="116"/>
      <c r="X306" s="56"/>
      <c r="Y306" s="611"/>
      <c r="Z306" s="620"/>
      <c r="AA306" s="117">
        <v>0</v>
      </c>
      <c r="AB306" s="116"/>
      <c r="AC306" s="56"/>
      <c r="AD306" s="611"/>
      <c r="AE306" s="620"/>
      <c r="AF306" s="117">
        <v>0</v>
      </c>
      <c r="AG306" s="116"/>
      <c r="AH306" s="56"/>
      <c r="AI306" s="611"/>
      <c r="AJ306" s="620"/>
      <c r="AK306" s="117">
        <v>0</v>
      </c>
      <c r="AL306" s="116"/>
      <c r="AM306" s="56"/>
      <c r="AN306" s="611"/>
      <c r="AO306" s="620"/>
      <c r="AP306" s="117">
        <v>0</v>
      </c>
      <c r="AQ306" s="116"/>
      <c r="AR306" s="56"/>
      <c r="AS306" s="611"/>
      <c r="AT306" s="620"/>
      <c r="AU306" s="117">
        <v>0</v>
      </c>
      <c r="AV306" s="116"/>
      <c r="AW306" s="56"/>
      <c r="AX306" s="611"/>
      <c r="AY306" s="620"/>
      <c r="AZ306" s="117">
        <v>0</v>
      </c>
      <c r="BA306" s="116"/>
      <c r="BB306" s="56"/>
      <c r="BC306" s="611"/>
      <c r="BD306" s="620"/>
      <c r="BE306" s="117">
        <v>0</v>
      </c>
      <c r="BF306" s="116"/>
      <c r="BG306" s="56"/>
      <c r="BH306" s="611"/>
      <c r="BI306" s="620"/>
      <c r="BJ306" s="117">
        <v>0</v>
      </c>
      <c r="BK306" s="116"/>
      <c r="BL306" s="56"/>
      <c r="BM306" s="611"/>
      <c r="BN306" s="620"/>
      <c r="BO306" s="117">
        <v>0</v>
      </c>
      <c r="BP306" s="116"/>
      <c r="BQ306" s="56"/>
      <c r="BR306" s="611"/>
      <c r="BS306" s="620"/>
      <c r="BT306" s="117">
        <f>SUM(L306:BO306)</f>
        <v>0</v>
      </c>
      <c r="BU306" s="116"/>
      <c r="BV306" s="56"/>
      <c r="BW306" s="611"/>
      <c r="BX306" s="620"/>
      <c r="BY306" s="117">
        <v>0</v>
      </c>
      <c r="BZ306" s="116"/>
      <c r="CA306" s="56"/>
      <c r="CB306" s="611"/>
      <c r="CC306" s="620"/>
      <c r="CD306" s="117">
        <v>0</v>
      </c>
      <c r="CE306" s="116"/>
      <c r="CF306" s="56"/>
      <c r="CG306" s="611"/>
      <c r="CH306" s="620"/>
      <c r="CI306" s="117">
        <v>0</v>
      </c>
      <c r="CJ306" s="116"/>
      <c r="CK306" s="56"/>
      <c r="CL306" s="611"/>
      <c r="CM306" s="620"/>
      <c r="CN306" s="117">
        <v>0</v>
      </c>
      <c r="CO306" s="116"/>
      <c r="CP306" s="56"/>
      <c r="CQ306" s="611"/>
      <c r="CR306" s="620"/>
      <c r="CS306" s="117">
        <v>0</v>
      </c>
      <c r="CT306" s="116"/>
      <c r="CU306" s="56"/>
      <c r="CV306" s="611"/>
      <c r="CW306" s="620"/>
      <c r="CX306" s="117">
        <v>0</v>
      </c>
      <c r="CY306" s="116"/>
      <c r="CZ306" s="56"/>
      <c r="DA306" s="611"/>
      <c r="DB306" s="620"/>
      <c r="DC306" s="117">
        <v>0</v>
      </c>
      <c r="DD306" s="116"/>
      <c r="DE306" s="56"/>
      <c r="DF306" s="611"/>
      <c r="DG306" s="620"/>
      <c r="DH306" s="117">
        <v>0</v>
      </c>
      <c r="DI306" s="116"/>
      <c r="DJ306" s="56"/>
      <c r="DK306" s="611"/>
      <c r="DL306" s="620"/>
      <c r="DM306" s="117">
        <v>0</v>
      </c>
      <c r="DN306" s="116"/>
      <c r="DO306" s="56"/>
      <c r="DP306" s="611"/>
      <c r="DQ306" s="620"/>
      <c r="DR306" s="117">
        <v>0</v>
      </c>
      <c r="DS306" s="116"/>
      <c r="DT306" s="56"/>
      <c r="DU306" s="611"/>
      <c r="DV306" s="620"/>
      <c r="DW306" s="117">
        <v>0</v>
      </c>
      <c r="DX306" s="116"/>
      <c r="DY306" s="56"/>
      <c r="DZ306" s="611"/>
      <c r="EA306" s="620"/>
      <c r="EB306" s="117">
        <v>0</v>
      </c>
      <c r="EC306" s="116"/>
      <c r="ED306" s="56"/>
      <c r="EE306" s="611"/>
      <c r="EF306" s="620"/>
      <c r="EG306" s="117">
        <v>0</v>
      </c>
      <c r="EH306" s="116"/>
      <c r="EI306" s="56"/>
      <c r="EJ306" s="611"/>
      <c r="EK306" s="620"/>
      <c r="EL306" s="117">
        <f>SUM(CD306:EG306)</f>
        <v>0</v>
      </c>
      <c r="EM306" s="116"/>
      <c r="EN306" s="56"/>
      <c r="EO306" s="144"/>
      <c r="ER306" s="42"/>
      <c r="ES306" s="42"/>
    </row>
    <row r="307" spans="4:149" ht="12.75" hidden="1" customHeight="1" x14ac:dyDescent="0.3">
      <c r="D307" s="144"/>
      <c r="G307" s="56"/>
      <c r="H307" s="56"/>
      <c r="I307" s="56"/>
      <c r="J307" s="611"/>
      <c r="K307" s="56"/>
      <c r="L307" s="56"/>
      <c r="M307" s="56"/>
      <c r="N307" s="56"/>
      <c r="O307" s="611"/>
      <c r="P307" s="56"/>
      <c r="Q307" s="56"/>
      <c r="R307" s="56"/>
      <c r="S307" s="56"/>
      <c r="T307" s="611"/>
      <c r="U307" s="56"/>
      <c r="V307" s="56"/>
      <c r="W307" s="56"/>
      <c r="X307" s="56"/>
      <c r="Y307" s="611"/>
      <c r="Z307" s="56"/>
      <c r="AA307" s="56"/>
      <c r="AB307" s="56"/>
      <c r="AC307" s="56"/>
      <c r="AD307" s="611"/>
      <c r="AE307" s="56"/>
      <c r="AF307" s="56"/>
      <c r="AG307" s="56"/>
      <c r="AH307" s="56"/>
      <c r="AI307" s="611"/>
      <c r="AJ307" s="56"/>
      <c r="AK307" s="56"/>
      <c r="AL307" s="56"/>
      <c r="AM307" s="56"/>
      <c r="AN307" s="611"/>
      <c r="AO307" s="56"/>
      <c r="AP307" s="56"/>
      <c r="AQ307" s="56"/>
      <c r="AR307" s="56"/>
      <c r="AS307" s="611"/>
      <c r="AT307" s="56"/>
      <c r="AU307" s="56"/>
      <c r="AV307" s="56"/>
      <c r="AW307" s="56"/>
      <c r="AX307" s="611"/>
      <c r="AY307" s="56"/>
      <c r="AZ307" s="56"/>
      <c r="BA307" s="56"/>
      <c r="BB307" s="56"/>
      <c r="BC307" s="611"/>
      <c r="BD307" s="56"/>
      <c r="BE307" s="56"/>
      <c r="BF307" s="56"/>
      <c r="BG307" s="56"/>
      <c r="BH307" s="611"/>
      <c r="BI307" s="56"/>
      <c r="BJ307" s="56"/>
      <c r="BK307" s="56"/>
      <c r="BL307" s="56"/>
      <c r="BM307" s="611"/>
      <c r="BN307" s="56"/>
      <c r="BO307" s="56"/>
      <c r="BP307" s="56"/>
      <c r="BQ307" s="56"/>
      <c r="BR307" s="611"/>
      <c r="BS307" s="56"/>
      <c r="BT307" s="56"/>
      <c r="BU307" s="56"/>
      <c r="BV307" s="56"/>
      <c r="BW307" s="611"/>
      <c r="BX307" s="56"/>
      <c r="BY307" s="56"/>
      <c r="BZ307" s="56"/>
      <c r="CA307" s="56"/>
      <c r="CB307" s="611"/>
      <c r="CC307" s="56"/>
      <c r="CD307" s="56"/>
      <c r="CE307" s="56"/>
      <c r="CF307" s="56"/>
      <c r="CG307" s="611"/>
      <c r="CH307" s="56"/>
      <c r="CI307" s="56"/>
      <c r="CJ307" s="56"/>
      <c r="CK307" s="56"/>
      <c r="CL307" s="611"/>
      <c r="CM307" s="56"/>
      <c r="CN307" s="56"/>
      <c r="CO307" s="56"/>
      <c r="CP307" s="56"/>
      <c r="CQ307" s="611"/>
      <c r="CR307" s="56"/>
      <c r="CS307" s="56"/>
      <c r="CT307" s="56"/>
      <c r="CU307" s="56"/>
      <c r="CV307" s="611"/>
      <c r="CW307" s="56"/>
      <c r="CX307" s="56"/>
      <c r="CY307" s="56"/>
      <c r="CZ307" s="56"/>
      <c r="DA307" s="611"/>
      <c r="DB307" s="56"/>
      <c r="DC307" s="56"/>
      <c r="DD307" s="56"/>
      <c r="DE307" s="56"/>
      <c r="DF307" s="611"/>
      <c r="DG307" s="56"/>
      <c r="DH307" s="56"/>
      <c r="DI307" s="56"/>
      <c r="DJ307" s="56"/>
      <c r="DK307" s="611"/>
      <c r="DL307" s="56"/>
      <c r="DM307" s="56"/>
      <c r="DN307" s="56"/>
      <c r="DO307" s="56"/>
      <c r="DP307" s="611"/>
      <c r="DQ307" s="56"/>
      <c r="DR307" s="56"/>
      <c r="DS307" s="56"/>
      <c r="DT307" s="56"/>
      <c r="DU307" s="611"/>
      <c r="DV307" s="56"/>
      <c r="DW307" s="56"/>
      <c r="DX307" s="56"/>
      <c r="DY307" s="56"/>
      <c r="DZ307" s="611"/>
      <c r="EA307" s="56"/>
      <c r="EB307" s="56"/>
      <c r="EC307" s="56"/>
      <c r="ED307" s="56"/>
      <c r="EE307" s="611"/>
      <c r="EF307" s="56"/>
      <c r="EG307" s="56"/>
      <c r="EH307" s="56"/>
      <c r="EI307" s="56"/>
      <c r="EJ307" s="611"/>
      <c r="EK307" s="56"/>
      <c r="EL307" s="56"/>
      <c r="EM307" s="56"/>
      <c r="EN307" s="56"/>
      <c r="EO307" s="144"/>
      <c r="ER307" s="42"/>
      <c r="ES307" s="42"/>
    </row>
    <row r="308" spans="4:149" ht="12.75" hidden="1" customHeight="1" x14ac:dyDescent="0.3">
      <c r="D308" s="144" t="s">
        <v>364</v>
      </c>
      <c r="G308" s="56">
        <f>SUM(G309:G311)</f>
        <v>0</v>
      </c>
      <c r="H308" s="56"/>
      <c r="I308" s="56"/>
      <c r="J308" s="611"/>
      <c r="K308" s="56"/>
      <c r="L308" s="56">
        <f>SUM(L309:L311)</f>
        <v>0</v>
      </c>
      <c r="M308" s="56"/>
      <c r="N308" s="56"/>
      <c r="O308" s="611"/>
      <c r="P308" s="56"/>
      <c r="Q308" s="56">
        <f>SUM(Q309:Q311)</f>
        <v>0</v>
      </c>
      <c r="R308" s="56"/>
      <c r="S308" s="56"/>
      <c r="T308" s="611"/>
      <c r="U308" s="56"/>
      <c r="V308" s="56">
        <f>SUM(V309:V311)</f>
        <v>0</v>
      </c>
      <c r="W308" s="56"/>
      <c r="X308" s="56"/>
      <c r="Y308" s="611"/>
      <c r="Z308" s="56"/>
      <c r="AA308" s="56">
        <f>SUM(AA309:AA311)</f>
        <v>0</v>
      </c>
      <c r="AB308" s="56"/>
      <c r="AC308" s="56"/>
      <c r="AD308" s="611"/>
      <c r="AE308" s="56"/>
      <c r="AF308" s="56">
        <f>SUM(AF309:AF311)</f>
        <v>0</v>
      </c>
      <c r="AG308" s="56"/>
      <c r="AH308" s="56"/>
      <c r="AI308" s="611"/>
      <c r="AJ308" s="56"/>
      <c r="AK308" s="56">
        <f>SUM(AK309:AK311)</f>
        <v>0</v>
      </c>
      <c r="AL308" s="56"/>
      <c r="AM308" s="56"/>
      <c r="AN308" s="611"/>
      <c r="AO308" s="56"/>
      <c r="AP308" s="56">
        <f>SUM(AP309:AP311)</f>
        <v>0</v>
      </c>
      <c r="AQ308" s="56"/>
      <c r="AR308" s="56"/>
      <c r="AS308" s="611"/>
      <c r="AT308" s="56"/>
      <c r="AU308" s="56">
        <f>SUM(AU309:AU311)</f>
        <v>0</v>
      </c>
      <c r="AV308" s="56"/>
      <c r="AW308" s="56"/>
      <c r="AX308" s="611"/>
      <c r="AY308" s="56"/>
      <c r="AZ308" s="56">
        <f>SUM(AZ309:AZ311)</f>
        <v>0</v>
      </c>
      <c r="BA308" s="56"/>
      <c r="BB308" s="56"/>
      <c r="BC308" s="611"/>
      <c r="BD308" s="56"/>
      <c r="BE308" s="56">
        <f>SUM(BE309:BE311)</f>
        <v>0</v>
      </c>
      <c r="BF308" s="56"/>
      <c r="BG308" s="56"/>
      <c r="BH308" s="611"/>
      <c r="BI308" s="56"/>
      <c r="BJ308" s="56">
        <f>SUM(BJ309:BJ311)</f>
        <v>0</v>
      </c>
      <c r="BK308" s="56"/>
      <c r="BL308" s="56"/>
      <c r="BM308" s="611"/>
      <c r="BN308" s="56"/>
      <c r="BO308" s="56">
        <f>SUM(BO309:BO311)</f>
        <v>0</v>
      </c>
      <c r="BP308" s="56"/>
      <c r="BQ308" s="56"/>
      <c r="BR308" s="611"/>
      <c r="BS308" s="56"/>
      <c r="BT308" s="56">
        <f>SUM(BT309:BT311)</f>
        <v>0</v>
      </c>
      <c r="BU308" s="56"/>
      <c r="BV308" s="56"/>
      <c r="BW308" s="611"/>
      <c r="BX308" s="56"/>
      <c r="BY308" s="56">
        <f>SUM(BY309:BY311)</f>
        <v>0</v>
      </c>
      <c r="BZ308" s="56"/>
      <c r="CA308" s="56"/>
      <c r="CB308" s="611"/>
      <c r="CC308" s="56"/>
      <c r="CD308" s="56">
        <f>SUM(CD309:CD311)</f>
        <v>0</v>
      </c>
      <c r="CE308" s="56"/>
      <c r="CF308" s="56"/>
      <c r="CG308" s="611"/>
      <c r="CH308" s="56"/>
      <c r="CI308" s="56">
        <f>SUM(CI309:CI311)</f>
        <v>0</v>
      </c>
      <c r="CJ308" s="56"/>
      <c r="CK308" s="56"/>
      <c r="CL308" s="611"/>
      <c r="CM308" s="56"/>
      <c r="CN308" s="56">
        <f>SUM(CN309:CN311)</f>
        <v>0</v>
      </c>
      <c r="CO308" s="56"/>
      <c r="CP308" s="56"/>
      <c r="CQ308" s="611"/>
      <c r="CR308" s="56"/>
      <c r="CS308" s="56">
        <f>SUM(CS309:CS311)</f>
        <v>0</v>
      </c>
      <c r="CT308" s="56"/>
      <c r="CU308" s="56"/>
      <c r="CV308" s="611"/>
      <c r="CW308" s="56"/>
      <c r="CX308" s="56">
        <f>SUM(CX309:CX311)</f>
        <v>0</v>
      </c>
      <c r="CY308" s="56"/>
      <c r="CZ308" s="56"/>
      <c r="DA308" s="611"/>
      <c r="DB308" s="56"/>
      <c r="DC308" s="56">
        <f>SUM(DC309:DC311)</f>
        <v>0</v>
      </c>
      <c r="DD308" s="56"/>
      <c r="DE308" s="56"/>
      <c r="DF308" s="611"/>
      <c r="DG308" s="56"/>
      <c r="DH308" s="56">
        <f>SUM(DH309:DH311)</f>
        <v>0</v>
      </c>
      <c r="DI308" s="56"/>
      <c r="DJ308" s="56"/>
      <c r="DK308" s="611"/>
      <c r="DL308" s="56"/>
      <c r="DM308" s="56">
        <f>SUM(DM309:DM311)</f>
        <v>0</v>
      </c>
      <c r="DN308" s="56"/>
      <c r="DO308" s="56"/>
      <c r="DP308" s="611"/>
      <c r="DQ308" s="56"/>
      <c r="DR308" s="56">
        <f>SUM(DR309:DR311)</f>
        <v>0</v>
      </c>
      <c r="DS308" s="56"/>
      <c r="DT308" s="56"/>
      <c r="DU308" s="611"/>
      <c r="DV308" s="56"/>
      <c r="DW308" s="56">
        <f>SUM(DW309:DW311)</f>
        <v>0</v>
      </c>
      <c r="DX308" s="56"/>
      <c r="DY308" s="56"/>
      <c r="DZ308" s="611"/>
      <c r="EA308" s="56"/>
      <c r="EB308" s="56">
        <f>SUM(EB309:EB311)</f>
        <v>0</v>
      </c>
      <c r="EC308" s="56"/>
      <c r="ED308" s="56"/>
      <c r="EE308" s="611"/>
      <c r="EF308" s="56"/>
      <c r="EG308" s="56">
        <f>SUM(EG309:EG311)</f>
        <v>0</v>
      </c>
      <c r="EH308" s="56"/>
      <c r="EI308" s="56"/>
      <c r="EJ308" s="611"/>
      <c r="EK308" s="56"/>
      <c r="EL308" s="56">
        <f>SUM(EL309:EL311)</f>
        <v>0</v>
      </c>
      <c r="EM308" s="56"/>
      <c r="EN308" s="56"/>
      <c r="EO308" s="144"/>
      <c r="ER308" s="42"/>
      <c r="ES308" s="42"/>
    </row>
    <row r="309" spans="4:149" ht="12.75" hidden="1" customHeight="1" x14ac:dyDescent="0.3">
      <c r="D309" s="144" t="s">
        <v>335</v>
      </c>
      <c r="F309" s="500"/>
      <c r="G309" s="609">
        <v>0</v>
      </c>
      <c r="H309" s="610"/>
      <c r="I309" s="56"/>
      <c r="J309" s="611"/>
      <c r="K309" s="612"/>
      <c r="L309" s="609">
        <v>0</v>
      </c>
      <c r="M309" s="610"/>
      <c r="N309" s="56"/>
      <c r="O309" s="611"/>
      <c r="P309" s="612"/>
      <c r="Q309" s="609">
        <v>0</v>
      </c>
      <c r="R309" s="610"/>
      <c r="S309" s="56"/>
      <c r="T309" s="611"/>
      <c r="U309" s="612"/>
      <c r="V309" s="609">
        <v>0</v>
      </c>
      <c r="W309" s="610"/>
      <c r="X309" s="56"/>
      <c r="Y309" s="611"/>
      <c r="Z309" s="612"/>
      <c r="AA309" s="609">
        <v>0</v>
      </c>
      <c r="AB309" s="610"/>
      <c r="AC309" s="56"/>
      <c r="AD309" s="611"/>
      <c r="AE309" s="612"/>
      <c r="AF309" s="609">
        <v>0</v>
      </c>
      <c r="AG309" s="610"/>
      <c r="AH309" s="56"/>
      <c r="AI309" s="611"/>
      <c r="AJ309" s="612"/>
      <c r="AK309" s="609">
        <v>0</v>
      </c>
      <c r="AL309" s="610"/>
      <c r="AM309" s="56"/>
      <c r="AN309" s="611"/>
      <c r="AO309" s="612"/>
      <c r="AP309" s="609">
        <v>0</v>
      </c>
      <c r="AQ309" s="610"/>
      <c r="AR309" s="56"/>
      <c r="AS309" s="611"/>
      <c r="AT309" s="612"/>
      <c r="AU309" s="609">
        <v>0</v>
      </c>
      <c r="AV309" s="610"/>
      <c r="AW309" s="56"/>
      <c r="AX309" s="611"/>
      <c r="AY309" s="612"/>
      <c r="AZ309" s="609">
        <v>0</v>
      </c>
      <c r="BA309" s="610"/>
      <c r="BB309" s="56"/>
      <c r="BC309" s="611"/>
      <c r="BD309" s="612"/>
      <c r="BE309" s="609">
        <v>0</v>
      </c>
      <c r="BF309" s="610"/>
      <c r="BG309" s="56"/>
      <c r="BH309" s="611"/>
      <c r="BI309" s="612"/>
      <c r="BJ309" s="609">
        <v>0</v>
      </c>
      <c r="BK309" s="610"/>
      <c r="BL309" s="56"/>
      <c r="BM309" s="611"/>
      <c r="BN309" s="612"/>
      <c r="BO309" s="609">
        <v>0</v>
      </c>
      <c r="BP309" s="610"/>
      <c r="BQ309" s="56"/>
      <c r="BR309" s="611"/>
      <c r="BS309" s="612"/>
      <c r="BT309" s="609">
        <f>SUM(L309:BO309)</f>
        <v>0</v>
      </c>
      <c r="BU309" s="610"/>
      <c r="BV309" s="56"/>
      <c r="BW309" s="611"/>
      <c r="BX309" s="612"/>
      <c r="BY309" s="609">
        <v>0</v>
      </c>
      <c r="BZ309" s="610"/>
      <c r="CA309" s="56"/>
      <c r="CB309" s="611"/>
      <c r="CC309" s="612"/>
      <c r="CD309" s="609">
        <v>0</v>
      </c>
      <c r="CE309" s="610"/>
      <c r="CF309" s="56"/>
      <c r="CG309" s="611"/>
      <c r="CH309" s="612"/>
      <c r="CI309" s="609">
        <v>0</v>
      </c>
      <c r="CJ309" s="610"/>
      <c r="CK309" s="56"/>
      <c r="CL309" s="611"/>
      <c r="CM309" s="612"/>
      <c r="CN309" s="609">
        <v>0</v>
      </c>
      <c r="CO309" s="610"/>
      <c r="CP309" s="56"/>
      <c r="CQ309" s="611"/>
      <c r="CR309" s="612"/>
      <c r="CS309" s="609">
        <v>0</v>
      </c>
      <c r="CT309" s="610"/>
      <c r="CU309" s="56"/>
      <c r="CV309" s="611"/>
      <c r="CW309" s="612"/>
      <c r="CX309" s="609">
        <v>0</v>
      </c>
      <c r="CY309" s="610"/>
      <c r="CZ309" s="56"/>
      <c r="DA309" s="611"/>
      <c r="DB309" s="612"/>
      <c r="DC309" s="609">
        <v>0</v>
      </c>
      <c r="DD309" s="610"/>
      <c r="DE309" s="56"/>
      <c r="DF309" s="611"/>
      <c r="DG309" s="612"/>
      <c r="DH309" s="609">
        <v>0</v>
      </c>
      <c r="DI309" s="610"/>
      <c r="DJ309" s="56"/>
      <c r="DK309" s="611"/>
      <c r="DL309" s="612"/>
      <c r="DM309" s="609">
        <v>0</v>
      </c>
      <c r="DN309" s="610"/>
      <c r="DO309" s="56"/>
      <c r="DP309" s="611"/>
      <c r="DQ309" s="612"/>
      <c r="DR309" s="609">
        <v>0</v>
      </c>
      <c r="DS309" s="610"/>
      <c r="DT309" s="56"/>
      <c r="DU309" s="611"/>
      <c r="DV309" s="612"/>
      <c r="DW309" s="609">
        <v>0</v>
      </c>
      <c r="DX309" s="610"/>
      <c r="DY309" s="56"/>
      <c r="DZ309" s="611"/>
      <c r="EA309" s="612"/>
      <c r="EB309" s="609">
        <v>0</v>
      </c>
      <c r="EC309" s="610"/>
      <c r="ED309" s="56"/>
      <c r="EE309" s="611"/>
      <c r="EF309" s="612"/>
      <c r="EG309" s="609">
        <v>0</v>
      </c>
      <c r="EH309" s="610"/>
      <c r="EI309" s="56"/>
      <c r="EJ309" s="611"/>
      <c r="EK309" s="612"/>
      <c r="EL309" s="609">
        <f>SUM(CD309:EG309)</f>
        <v>0</v>
      </c>
      <c r="EM309" s="610"/>
      <c r="EN309" s="56"/>
      <c r="EO309" s="144"/>
      <c r="ER309" s="42"/>
      <c r="ES309" s="42"/>
    </row>
    <row r="310" spans="4:149" ht="12.75" hidden="1" customHeight="1" x14ac:dyDescent="0.3">
      <c r="D310" s="144" t="s">
        <v>338</v>
      </c>
      <c r="F310" s="494"/>
      <c r="G310" s="56">
        <v>0</v>
      </c>
      <c r="H310" s="55"/>
      <c r="I310" s="56"/>
      <c r="J310" s="611"/>
      <c r="K310" s="611"/>
      <c r="L310" s="56">
        <v>0</v>
      </c>
      <c r="M310" s="55"/>
      <c r="N310" s="56"/>
      <c r="O310" s="611"/>
      <c r="P310" s="611"/>
      <c r="Q310" s="56">
        <v>0</v>
      </c>
      <c r="R310" s="55"/>
      <c r="S310" s="56"/>
      <c r="T310" s="611"/>
      <c r="U310" s="611"/>
      <c r="V310" s="56">
        <v>0</v>
      </c>
      <c r="W310" s="55"/>
      <c r="X310" s="56"/>
      <c r="Y310" s="611"/>
      <c r="Z310" s="611"/>
      <c r="AA310" s="56">
        <v>0</v>
      </c>
      <c r="AB310" s="55"/>
      <c r="AC310" s="56"/>
      <c r="AD310" s="611"/>
      <c r="AE310" s="611"/>
      <c r="AF310" s="56">
        <v>0</v>
      </c>
      <c r="AG310" s="55"/>
      <c r="AH310" s="56"/>
      <c r="AI310" s="611"/>
      <c r="AJ310" s="611"/>
      <c r="AK310" s="56">
        <v>0</v>
      </c>
      <c r="AL310" s="55"/>
      <c r="AM310" s="56"/>
      <c r="AN310" s="611"/>
      <c r="AO310" s="611"/>
      <c r="AP310" s="56">
        <v>0</v>
      </c>
      <c r="AQ310" s="55"/>
      <c r="AR310" s="56"/>
      <c r="AS310" s="611"/>
      <c r="AT310" s="611"/>
      <c r="AU310" s="56">
        <v>0</v>
      </c>
      <c r="AV310" s="55"/>
      <c r="AW310" s="56"/>
      <c r="AX310" s="611"/>
      <c r="AY310" s="611"/>
      <c r="AZ310" s="56">
        <v>0</v>
      </c>
      <c r="BA310" s="55"/>
      <c r="BB310" s="56"/>
      <c r="BC310" s="611"/>
      <c r="BD310" s="611"/>
      <c r="BE310" s="56">
        <v>0</v>
      </c>
      <c r="BF310" s="55"/>
      <c r="BG310" s="56"/>
      <c r="BH310" s="611"/>
      <c r="BI310" s="611"/>
      <c r="BJ310" s="56">
        <v>0</v>
      </c>
      <c r="BK310" s="55"/>
      <c r="BL310" s="56"/>
      <c r="BM310" s="611"/>
      <c r="BN310" s="611"/>
      <c r="BO310" s="56">
        <v>0</v>
      </c>
      <c r="BP310" s="55"/>
      <c r="BQ310" s="56"/>
      <c r="BR310" s="611"/>
      <c r="BS310" s="611"/>
      <c r="BT310" s="56">
        <f>SUM(L310:BO310)</f>
        <v>0</v>
      </c>
      <c r="BU310" s="55"/>
      <c r="BV310" s="56"/>
      <c r="BW310" s="611"/>
      <c r="BX310" s="611"/>
      <c r="BY310" s="56">
        <v>0</v>
      </c>
      <c r="BZ310" s="55"/>
      <c r="CA310" s="56"/>
      <c r="CB310" s="611"/>
      <c r="CC310" s="611"/>
      <c r="CD310" s="56">
        <v>0</v>
      </c>
      <c r="CE310" s="55"/>
      <c r="CF310" s="56"/>
      <c r="CG310" s="611"/>
      <c r="CH310" s="611"/>
      <c r="CI310" s="56">
        <v>0</v>
      </c>
      <c r="CJ310" s="55"/>
      <c r="CK310" s="56"/>
      <c r="CL310" s="611"/>
      <c r="CM310" s="611"/>
      <c r="CN310" s="56">
        <v>0</v>
      </c>
      <c r="CO310" s="55"/>
      <c r="CP310" s="56"/>
      <c r="CQ310" s="611"/>
      <c r="CR310" s="611"/>
      <c r="CS310" s="56">
        <v>0</v>
      </c>
      <c r="CT310" s="55"/>
      <c r="CU310" s="56"/>
      <c r="CV310" s="611"/>
      <c r="CW310" s="611"/>
      <c r="CX310" s="56">
        <v>0</v>
      </c>
      <c r="CY310" s="55"/>
      <c r="CZ310" s="56"/>
      <c r="DA310" s="611"/>
      <c r="DB310" s="611"/>
      <c r="DC310" s="56">
        <v>0</v>
      </c>
      <c r="DD310" s="55"/>
      <c r="DE310" s="56"/>
      <c r="DF310" s="611"/>
      <c r="DG310" s="611"/>
      <c r="DH310" s="56">
        <v>0</v>
      </c>
      <c r="DI310" s="55"/>
      <c r="DJ310" s="56"/>
      <c r="DK310" s="611"/>
      <c r="DL310" s="611"/>
      <c r="DM310" s="56">
        <v>0</v>
      </c>
      <c r="DN310" s="55"/>
      <c r="DO310" s="56"/>
      <c r="DP310" s="611"/>
      <c r="DQ310" s="611"/>
      <c r="DR310" s="56">
        <v>0</v>
      </c>
      <c r="DS310" s="55"/>
      <c r="DT310" s="56"/>
      <c r="DU310" s="611"/>
      <c r="DV310" s="611"/>
      <c r="DW310" s="56">
        <v>0</v>
      </c>
      <c r="DX310" s="55"/>
      <c r="DY310" s="56"/>
      <c r="DZ310" s="611"/>
      <c r="EA310" s="611"/>
      <c r="EB310" s="56">
        <v>0</v>
      </c>
      <c r="EC310" s="55"/>
      <c r="ED310" s="56"/>
      <c r="EE310" s="611"/>
      <c r="EF310" s="611"/>
      <c r="EG310" s="56">
        <v>0</v>
      </c>
      <c r="EH310" s="55"/>
      <c r="EI310" s="56"/>
      <c r="EJ310" s="611"/>
      <c r="EK310" s="611"/>
      <c r="EL310" s="56">
        <f>SUM(CD310:EG310)</f>
        <v>0</v>
      </c>
      <c r="EM310" s="55"/>
      <c r="EN310" s="56"/>
      <c r="EO310" s="144"/>
      <c r="ER310" s="42"/>
      <c r="ES310" s="42"/>
    </row>
    <row r="311" spans="4:149" ht="12.75" hidden="1" customHeight="1" x14ac:dyDescent="0.3">
      <c r="D311" s="144" t="s">
        <v>339</v>
      </c>
      <c r="F311" s="513"/>
      <c r="G311" s="117">
        <v>0</v>
      </c>
      <c r="H311" s="116"/>
      <c r="I311" s="56"/>
      <c r="J311" s="611"/>
      <c r="K311" s="620"/>
      <c r="L311" s="117">
        <v>0</v>
      </c>
      <c r="M311" s="116"/>
      <c r="N311" s="56"/>
      <c r="O311" s="611"/>
      <c r="P311" s="620"/>
      <c r="Q311" s="117">
        <v>0</v>
      </c>
      <c r="R311" s="116"/>
      <c r="S311" s="56"/>
      <c r="T311" s="611"/>
      <c r="U311" s="620"/>
      <c r="V311" s="117">
        <v>0</v>
      </c>
      <c r="W311" s="116"/>
      <c r="X311" s="56"/>
      <c r="Y311" s="611"/>
      <c r="Z311" s="620"/>
      <c r="AA311" s="117">
        <v>0</v>
      </c>
      <c r="AB311" s="116"/>
      <c r="AC311" s="56"/>
      <c r="AD311" s="611"/>
      <c r="AE311" s="620"/>
      <c r="AF311" s="117">
        <v>0</v>
      </c>
      <c r="AG311" s="116"/>
      <c r="AH311" s="56"/>
      <c r="AI311" s="611"/>
      <c r="AJ311" s="620"/>
      <c r="AK311" s="117">
        <v>0</v>
      </c>
      <c r="AL311" s="116"/>
      <c r="AM311" s="56"/>
      <c r="AN311" s="611"/>
      <c r="AO311" s="620"/>
      <c r="AP311" s="117">
        <v>0</v>
      </c>
      <c r="AQ311" s="116"/>
      <c r="AR311" s="56"/>
      <c r="AS311" s="611"/>
      <c r="AT311" s="620"/>
      <c r="AU311" s="117">
        <v>0</v>
      </c>
      <c r="AV311" s="116"/>
      <c r="AW311" s="56"/>
      <c r="AX311" s="611"/>
      <c r="AY311" s="620"/>
      <c r="AZ311" s="117">
        <v>0</v>
      </c>
      <c r="BA311" s="116"/>
      <c r="BB311" s="56"/>
      <c r="BC311" s="611"/>
      <c r="BD311" s="620"/>
      <c r="BE311" s="117">
        <v>0</v>
      </c>
      <c r="BF311" s="116"/>
      <c r="BG311" s="56"/>
      <c r="BH311" s="611"/>
      <c r="BI311" s="620"/>
      <c r="BJ311" s="117">
        <v>0</v>
      </c>
      <c r="BK311" s="116"/>
      <c r="BL311" s="56"/>
      <c r="BM311" s="611"/>
      <c r="BN311" s="620"/>
      <c r="BO311" s="117">
        <v>0</v>
      </c>
      <c r="BP311" s="116"/>
      <c r="BQ311" s="56"/>
      <c r="BR311" s="611"/>
      <c r="BS311" s="620"/>
      <c r="BT311" s="117">
        <f>SUM(L311:BO311)</f>
        <v>0</v>
      </c>
      <c r="BU311" s="116"/>
      <c r="BV311" s="56"/>
      <c r="BW311" s="611"/>
      <c r="BX311" s="620"/>
      <c r="BY311" s="117">
        <v>0</v>
      </c>
      <c r="BZ311" s="116"/>
      <c r="CA311" s="56"/>
      <c r="CB311" s="611"/>
      <c r="CC311" s="620"/>
      <c r="CD311" s="117">
        <v>0</v>
      </c>
      <c r="CE311" s="116"/>
      <c r="CF311" s="56"/>
      <c r="CG311" s="611"/>
      <c r="CH311" s="620"/>
      <c r="CI311" s="117">
        <v>0</v>
      </c>
      <c r="CJ311" s="116"/>
      <c r="CK311" s="56"/>
      <c r="CL311" s="611"/>
      <c r="CM311" s="620"/>
      <c r="CN311" s="117">
        <v>0</v>
      </c>
      <c r="CO311" s="116"/>
      <c r="CP311" s="56"/>
      <c r="CQ311" s="611"/>
      <c r="CR311" s="620"/>
      <c r="CS311" s="117">
        <v>0</v>
      </c>
      <c r="CT311" s="116"/>
      <c r="CU311" s="56"/>
      <c r="CV311" s="611"/>
      <c r="CW311" s="620"/>
      <c r="CX311" s="117">
        <v>0</v>
      </c>
      <c r="CY311" s="116"/>
      <c r="CZ311" s="56"/>
      <c r="DA311" s="611"/>
      <c r="DB311" s="620"/>
      <c r="DC311" s="117">
        <v>0</v>
      </c>
      <c r="DD311" s="116"/>
      <c r="DE311" s="56"/>
      <c r="DF311" s="611"/>
      <c r="DG311" s="620"/>
      <c r="DH311" s="117">
        <v>0</v>
      </c>
      <c r="DI311" s="116"/>
      <c r="DJ311" s="56"/>
      <c r="DK311" s="611"/>
      <c r="DL311" s="620"/>
      <c r="DM311" s="117">
        <v>0</v>
      </c>
      <c r="DN311" s="116"/>
      <c r="DO311" s="56"/>
      <c r="DP311" s="611"/>
      <c r="DQ311" s="620"/>
      <c r="DR311" s="117">
        <v>0</v>
      </c>
      <c r="DS311" s="116"/>
      <c r="DT311" s="56"/>
      <c r="DU311" s="611"/>
      <c r="DV311" s="620"/>
      <c r="DW311" s="117">
        <v>0</v>
      </c>
      <c r="DX311" s="116"/>
      <c r="DY311" s="56"/>
      <c r="DZ311" s="611"/>
      <c r="EA311" s="620"/>
      <c r="EB311" s="117">
        <v>0</v>
      </c>
      <c r="EC311" s="116"/>
      <c r="ED311" s="56"/>
      <c r="EE311" s="611"/>
      <c r="EF311" s="620"/>
      <c r="EG311" s="117">
        <v>0</v>
      </c>
      <c r="EH311" s="116"/>
      <c r="EI311" s="56"/>
      <c r="EJ311" s="611"/>
      <c r="EK311" s="620"/>
      <c r="EL311" s="117">
        <f>SUM(CD311:EG311)</f>
        <v>0</v>
      </c>
      <c r="EM311" s="116"/>
      <c r="EN311" s="56"/>
      <c r="EO311" s="144"/>
      <c r="ER311" s="42"/>
      <c r="ES311" s="42"/>
    </row>
    <row r="312" spans="4:149" ht="12.75" customHeight="1" x14ac:dyDescent="0.3">
      <c r="D312" s="144"/>
      <c r="G312" s="56"/>
      <c r="H312" s="56"/>
      <c r="I312" s="56"/>
      <c r="J312" s="611"/>
      <c r="K312" s="56"/>
      <c r="L312" s="56"/>
      <c r="M312" s="56"/>
      <c r="N312" s="56"/>
      <c r="O312" s="611"/>
      <c r="P312" s="56"/>
      <c r="Q312" s="56"/>
      <c r="R312" s="56"/>
      <c r="S312" s="56"/>
      <c r="T312" s="611"/>
      <c r="U312" s="56"/>
      <c r="V312" s="56"/>
      <c r="W312" s="56"/>
      <c r="X312" s="56"/>
      <c r="Y312" s="611"/>
      <c r="Z312" s="56"/>
      <c r="AA312" s="56"/>
      <c r="AB312" s="56"/>
      <c r="AC312" s="56"/>
      <c r="AD312" s="611"/>
      <c r="AE312" s="56"/>
      <c r="AF312" s="56"/>
      <c r="AG312" s="56"/>
      <c r="AH312" s="56"/>
      <c r="AI312" s="611"/>
      <c r="AJ312" s="56"/>
      <c r="AK312" s="56"/>
      <c r="AL312" s="56"/>
      <c r="AM312" s="56"/>
      <c r="AN312" s="611"/>
      <c r="AO312" s="56"/>
      <c r="AP312" s="56"/>
      <c r="AQ312" s="56"/>
      <c r="AR312" s="56"/>
      <c r="AS312" s="611"/>
      <c r="AT312" s="56"/>
      <c r="AU312" s="56"/>
      <c r="AV312" s="56"/>
      <c r="AW312" s="56"/>
      <c r="AX312" s="611"/>
      <c r="AY312" s="56"/>
      <c r="AZ312" s="56"/>
      <c r="BA312" s="56"/>
      <c r="BB312" s="56"/>
      <c r="BC312" s="611"/>
      <c r="BD312" s="56"/>
      <c r="BE312" s="56"/>
      <c r="BF312" s="56"/>
      <c r="BG312" s="56"/>
      <c r="BH312" s="611"/>
      <c r="BI312" s="56"/>
      <c r="BJ312" s="56"/>
      <c r="BK312" s="56"/>
      <c r="BL312" s="56"/>
      <c r="BM312" s="611"/>
      <c r="BN312" s="56"/>
      <c r="BO312" s="56"/>
      <c r="BP312" s="56"/>
      <c r="BQ312" s="56"/>
      <c r="BR312" s="611"/>
      <c r="BS312" s="56"/>
      <c r="BT312" s="56"/>
      <c r="BU312" s="56"/>
      <c r="BV312" s="56"/>
      <c r="BW312" s="611"/>
      <c r="BX312" s="56"/>
      <c r="BY312" s="56"/>
      <c r="BZ312" s="56"/>
      <c r="CA312" s="56"/>
      <c r="CB312" s="611"/>
      <c r="CC312" s="56"/>
      <c r="CD312" s="56"/>
      <c r="CE312" s="56"/>
      <c r="CF312" s="56"/>
      <c r="CG312" s="611"/>
      <c r="CH312" s="56"/>
      <c r="CI312" s="56"/>
      <c r="CJ312" s="56"/>
      <c r="CK312" s="56"/>
      <c r="CL312" s="611"/>
      <c r="CM312" s="56"/>
      <c r="CN312" s="56"/>
      <c r="CO312" s="56"/>
      <c r="CP312" s="56"/>
      <c r="CQ312" s="611"/>
      <c r="CR312" s="56"/>
      <c r="CS312" s="56"/>
      <c r="CT312" s="56"/>
      <c r="CU312" s="56"/>
      <c r="CV312" s="611"/>
      <c r="CW312" s="56"/>
      <c r="CX312" s="56"/>
      <c r="CY312" s="56"/>
      <c r="CZ312" s="56"/>
      <c r="DA312" s="611"/>
      <c r="DB312" s="56"/>
      <c r="DC312" s="56"/>
      <c r="DD312" s="56"/>
      <c r="DE312" s="56"/>
      <c r="DF312" s="611"/>
      <c r="DG312" s="56"/>
      <c r="DH312" s="56"/>
      <c r="DI312" s="56"/>
      <c r="DJ312" s="56"/>
      <c r="DK312" s="611"/>
      <c r="DL312" s="56"/>
      <c r="DM312" s="56"/>
      <c r="DN312" s="56"/>
      <c r="DO312" s="56"/>
      <c r="DP312" s="611"/>
      <c r="DQ312" s="56"/>
      <c r="DR312" s="56"/>
      <c r="DS312" s="56"/>
      <c r="DT312" s="56"/>
      <c r="DU312" s="611"/>
      <c r="DV312" s="56"/>
      <c r="DW312" s="56"/>
      <c r="DX312" s="56"/>
      <c r="DY312" s="56"/>
      <c r="DZ312" s="611"/>
      <c r="EA312" s="56"/>
      <c r="EB312" s="56"/>
      <c r="EC312" s="56"/>
      <c r="ED312" s="56"/>
      <c r="EE312" s="611"/>
      <c r="EF312" s="56"/>
      <c r="EG312" s="56"/>
      <c r="EH312" s="56"/>
      <c r="EI312" s="56"/>
      <c r="EJ312" s="611"/>
      <c r="EK312" s="56"/>
      <c r="EL312" s="56"/>
      <c r="EM312" s="56"/>
      <c r="EN312" s="56"/>
      <c r="EO312" s="144"/>
      <c r="ER312" s="42"/>
      <c r="ES312" s="42"/>
    </row>
    <row r="313" spans="4:149" s="42" customFormat="1" x14ac:dyDescent="0.3">
      <c r="D313" s="268" t="s">
        <v>329</v>
      </c>
      <c r="E313" s="641"/>
      <c r="F313" s="233"/>
      <c r="G313" s="44">
        <f>SUM(G314:G314)</f>
        <v>8349673</v>
      </c>
      <c r="H313" s="44"/>
      <c r="I313" s="44"/>
      <c r="J313" s="607"/>
      <c r="K313" s="44"/>
      <c r="L313" s="44">
        <f>SUM(L314:L314)</f>
        <v>827198</v>
      </c>
      <c r="M313" s="44"/>
      <c r="N313" s="44"/>
      <c r="O313" s="607"/>
      <c r="P313" s="44"/>
      <c r="Q313" s="44">
        <f>SUM(Q314:Q314)</f>
        <v>3114442</v>
      </c>
      <c r="R313" s="44"/>
      <c r="S313" s="44"/>
      <c r="T313" s="607"/>
      <c r="U313" s="44"/>
      <c r="V313" s="44">
        <f>SUM(V314:V314)</f>
        <v>860933</v>
      </c>
      <c r="W313" s="44"/>
      <c r="X313" s="44"/>
      <c r="Y313" s="607"/>
      <c r="Z313" s="44"/>
      <c r="AA313" s="44">
        <f>SUM(AA314:AA314)</f>
        <v>95339</v>
      </c>
      <c r="AB313" s="44"/>
      <c r="AC313" s="44"/>
      <c r="AD313" s="607"/>
      <c r="AE313" s="44"/>
      <c r="AF313" s="44">
        <f>SUM(AF314:AF314)</f>
        <v>2945441</v>
      </c>
      <c r="AG313" s="44"/>
      <c r="AH313" s="44"/>
      <c r="AI313" s="607"/>
      <c r="AJ313" s="44"/>
      <c r="AK313" s="44">
        <f>SUM(AK314:AK314)</f>
        <v>506320</v>
      </c>
      <c r="AL313" s="44"/>
      <c r="AM313" s="44"/>
      <c r="AN313" s="607"/>
      <c r="AO313" s="272"/>
      <c r="AP313" s="44">
        <f>SUM(AP314:AP314)</f>
        <v>513226</v>
      </c>
      <c r="AQ313" s="56"/>
      <c r="AR313" s="44"/>
      <c r="AS313" s="607"/>
      <c r="AT313" s="44"/>
      <c r="AU313" s="44">
        <f>SUM(AU314:AU314)</f>
        <v>532749</v>
      </c>
      <c r="AV313" s="44"/>
      <c r="AW313" s="44"/>
      <c r="AX313" s="607"/>
      <c r="AY313" s="44"/>
      <c r="AZ313" s="44">
        <f>SUM(AZ314:AZ314)</f>
        <v>328260</v>
      </c>
      <c r="BA313" s="44"/>
      <c r="BB313" s="44"/>
      <c r="BC313" s="607"/>
      <c r="BD313" s="44"/>
      <c r="BE313" s="44">
        <f>SUM(BE314:BE314)</f>
        <v>29969</v>
      </c>
      <c r="BF313" s="44"/>
      <c r="BG313" s="44"/>
      <c r="BH313" s="607"/>
      <c r="BI313" s="44"/>
      <c r="BJ313" s="44">
        <f>SUM(BJ314:BJ314)</f>
        <v>0</v>
      </c>
      <c r="BK313" s="44"/>
      <c r="BL313" s="44"/>
      <c r="BM313" s="607"/>
      <c r="BN313" s="44"/>
      <c r="BO313" s="44">
        <f>SUM(BO314:BO314)</f>
        <v>0</v>
      </c>
      <c r="BP313" s="44"/>
      <c r="BQ313" s="44"/>
      <c r="BR313" s="607"/>
      <c r="BS313" s="44"/>
      <c r="BT313" s="44">
        <f>SUM(BT314:BT314)</f>
        <v>9753877</v>
      </c>
      <c r="BU313" s="44"/>
      <c r="BV313" s="44"/>
      <c r="BW313" s="607"/>
      <c r="BX313" s="44"/>
      <c r="BY313" s="44">
        <f>SUM(BY314:BY314)</f>
        <v>7476976</v>
      </c>
      <c r="BZ313" s="44"/>
      <c r="CA313" s="44"/>
      <c r="CB313" s="607"/>
      <c r="CC313" s="44"/>
      <c r="CD313" s="44">
        <f>SUM(CD314:CD314)</f>
        <v>195061</v>
      </c>
      <c r="CE313" s="44"/>
      <c r="CF313" s="44"/>
      <c r="CG313" s="607"/>
      <c r="CH313" s="44"/>
      <c r="CI313" s="44">
        <f>SUM(CI314:CI314)</f>
        <v>0</v>
      </c>
      <c r="CJ313" s="44"/>
      <c r="CK313" s="44"/>
      <c r="CL313" s="607"/>
      <c r="CM313" s="44"/>
      <c r="CN313" s="44">
        <f>SUM(CN314:CN314)</f>
        <v>956108</v>
      </c>
      <c r="CO313" s="44"/>
      <c r="CP313" s="44"/>
      <c r="CQ313" s="607"/>
      <c r="CR313" s="44"/>
      <c r="CS313" s="44">
        <f>SUM(CS314:CS314)</f>
        <v>380371</v>
      </c>
      <c r="CT313" s="44"/>
      <c r="CU313" s="44"/>
      <c r="CV313" s="607"/>
      <c r="CW313" s="44"/>
      <c r="CX313" s="44">
        <f>SUM(CX314:CX314)</f>
        <v>83879</v>
      </c>
      <c r="CY313" s="44"/>
      <c r="CZ313" s="44"/>
      <c r="DA313" s="607"/>
      <c r="DB313" s="44"/>
      <c r="DC313" s="44">
        <f>SUM(DC314:DC314)</f>
        <v>27624</v>
      </c>
      <c r="DD313" s="44"/>
      <c r="DE313" s="44"/>
      <c r="DF313" s="607"/>
      <c r="DG313" s="272"/>
      <c r="DH313" s="44">
        <f>SUM(DH314:DH314)</f>
        <v>481602</v>
      </c>
      <c r="DI313" s="56"/>
      <c r="DJ313" s="44"/>
      <c r="DK313" s="607"/>
      <c r="DL313" s="44"/>
      <c r="DM313" s="44">
        <f>SUM(DM314:DM314)</f>
        <v>1204105</v>
      </c>
      <c r="DN313" s="44"/>
      <c r="DO313" s="44"/>
      <c r="DP313" s="607"/>
      <c r="DQ313" s="44"/>
      <c r="DR313" s="44">
        <f>SUM(DR314:DR314)</f>
        <v>342784</v>
      </c>
      <c r="DS313" s="44"/>
      <c r="DT313" s="44"/>
      <c r="DU313" s="607"/>
      <c r="DV313" s="44"/>
      <c r="DW313" s="44">
        <f>SUM(DW314:DW314)</f>
        <v>0</v>
      </c>
      <c r="DX313" s="44"/>
      <c r="DY313" s="44"/>
      <c r="DZ313" s="607"/>
      <c r="EA313" s="44"/>
      <c r="EB313" s="44">
        <f>SUM(EB314:EB314)</f>
        <v>772365</v>
      </c>
      <c r="EC313" s="44"/>
      <c r="ED313" s="44"/>
      <c r="EE313" s="607"/>
      <c r="EF313" s="44"/>
      <c r="EG313" s="44">
        <f>SUM(EG314:EG314)</f>
        <v>3033077</v>
      </c>
      <c r="EH313" s="44"/>
      <c r="EI313" s="44"/>
      <c r="EJ313" s="607"/>
      <c r="EK313" s="44"/>
      <c r="EL313" s="44">
        <f>SUM(EL314:EL314)</f>
        <v>3671534</v>
      </c>
      <c r="EM313" s="44"/>
      <c r="EN313" s="44"/>
      <c r="EO313" s="234"/>
      <c r="EQ313" s="136"/>
    </row>
    <row r="314" spans="4:149" x14ac:dyDescent="0.3">
      <c r="D314" s="144" t="s">
        <v>335</v>
      </c>
      <c r="E314" s="635"/>
      <c r="F314" s="642"/>
      <c r="G314" s="618">
        <f>G317+G320+G323+G326+G329+G332+G335+G338+G341+G344+G347+G350+G353+G356+G359+G362+G365+G368+G371+G374+G377+G380+G383+G386+G389+G392</f>
        <v>8349673</v>
      </c>
      <c r="H314" s="616"/>
      <c r="I314" s="56"/>
      <c r="J314" s="611"/>
      <c r="K314" s="617"/>
      <c r="L314" s="618">
        <f>L317+L320+L323+L326+L329+L332+L335+L338+L341+L344+L347+L350+L353+L356+L359+L362+L365+L368+L371+L374+L377+L380+L383+L386+L389+L392</f>
        <v>827198</v>
      </c>
      <c r="M314" s="616"/>
      <c r="N314" s="56"/>
      <c r="O314" s="611"/>
      <c r="P314" s="617"/>
      <c r="Q314" s="618">
        <f>Q317+Q320+Q323+Q326+Q329+Q332+Q335+Q338+Q341+Q344+Q347+Q350+Q353+Q356+Q359+Q362+Q365+Q368+Q371+Q374+Q377+Q380+Q383+Q386+Q389+Q392</f>
        <v>3114442</v>
      </c>
      <c r="R314" s="616"/>
      <c r="S314" s="56"/>
      <c r="T314" s="611"/>
      <c r="U314" s="617"/>
      <c r="V314" s="618">
        <f>V317+V320+V323+V326+V329+V332+V335+V338+V341+V344+V347+V350+V353+V356+V359+V362+V365+V368+V371+V374+V377+V380+V383+V386+V389+V392</f>
        <v>860933</v>
      </c>
      <c r="W314" s="616"/>
      <c r="X314" s="56"/>
      <c r="Y314" s="611"/>
      <c r="Z314" s="617"/>
      <c r="AA314" s="618">
        <f>AA317+AA320+AA323+AA326+AA329+AA332+AA335+AA338+AA341+AA344+AA347+AA350+AA353+AA356+AA359+AA362+AA365+AA368+AA371+AA374+AA377+AA380+AA383+AA386+AA389+AA392</f>
        <v>95339</v>
      </c>
      <c r="AB314" s="616"/>
      <c r="AC314" s="56"/>
      <c r="AD314" s="611"/>
      <c r="AE314" s="617"/>
      <c r="AF314" s="618">
        <f>AF317+AF320+AF323+AF326+AF329+AF332+AF335+AF338+AF341+AF344+AF347+AF350+AF353+AF356+AF359+AF362+AF365+AF368+AF371+AF374+AF377+AF380+AF383+AF386+AF389+AF392</f>
        <v>2945441</v>
      </c>
      <c r="AG314" s="616"/>
      <c r="AH314" s="56"/>
      <c r="AI314" s="611"/>
      <c r="AJ314" s="617"/>
      <c r="AK314" s="618">
        <f>AK317+AK320+AK323+AK326+AK329+AK332+AK335+AK338+AK341+AK344+AK347+AK350+AK353+AK356+AK359+AK362+AK365+AK368+AK371+AK374+AK377+AK380+AK383+AK386+AK389+AK392</f>
        <v>506320</v>
      </c>
      <c r="AL314" s="616"/>
      <c r="AM314" s="56"/>
      <c r="AN314" s="611"/>
      <c r="AO314" s="617"/>
      <c r="AP314" s="618">
        <f>AP317+AP320+AP323+AP326+AP329+AP332+AP335+AP338+AP341+AP344+AP347+AP350+AP353+AP356+AP359+AP362+AP365+AP368+AP371+AP374+AP377+AP380+AP383+AP386+AP389+AP392</f>
        <v>513226</v>
      </c>
      <c r="AQ314" s="616"/>
      <c r="AR314" s="56"/>
      <c r="AS314" s="611"/>
      <c r="AT314" s="617"/>
      <c r="AU314" s="618">
        <f>AU317+AU320+AU323+AU326+AU329+AU332+AU335+AU338+AU341+AU344+AU347+AU350+AU353+AU356+AU359+AU362+AU365+AU368+AU371+AU374+AU377+AU380+AU383+AU386+AU389+AU392</f>
        <v>532749</v>
      </c>
      <c r="AV314" s="616"/>
      <c r="AW314" s="56"/>
      <c r="AX314" s="611"/>
      <c r="AY314" s="617"/>
      <c r="AZ314" s="618">
        <f>AZ317+AZ320+AZ323+AZ326+AZ329+AZ332+AZ335+AZ338+AZ341+AZ344+AZ347+AZ350+AZ353+AZ356+AZ359+AZ362+AZ365+AZ368+AZ371+AZ374+AZ377+AZ380+AZ383+AZ386+AZ389+AZ392</f>
        <v>328260</v>
      </c>
      <c r="BA314" s="616"/>
      <c r="BB314" s="56"/>
      <c r="BC314" s="611"/>
      <c r="BD314" s="617"/>
      <c r="BE314" s="618">
        <f>BE317+BE320+BE323+BE326+BE329+BE332+BE335+BE338+BE341+BE344+BE347+BE350+BE353+BE356+BE359+BE362+BE365+BE368+BE371+BE374+BE377+BE380+BE383+BE386+BE389+BE392</f>
        <v>29969</v>
      </c>
      <c r="BF314" s="616"/>
      <c r="BG314" s="56"/>
      <c r="BH314" s="611"/>
      <c r="BI314" s="617"/>
      <c r="BJ314" s="618">
        <f>BJ317+BJ320+BJ323+BJ326+BJ329+BJ332+BJ335+BJ338+BJ341+BJ344+BJ347+BJ350+BJ353+BJ356+BJ359+BJ362+BJ365+BJ368+BJ371+BJ374+BJ377+BJ380+BJ383+BJ386+BJ389+BJ392</f>
        <v>0</v>
      </c>
      <c r="BK314" s="616"/>
      <c r="BL314" s="56"/>
      <c r="BM314" s="611"/>
      <c r="BN314" s="617"/>
      <c r="BO314" s="618">
        <f>BO317+BO320+BO323+BO326+BO329+BO332+BO335+BO338+BO341+BO344+BO347+BO350+BO353+BO356+BO359+BO362+BO365+BO368+BO371+BO374+BO377+BO380+BO383+BO386+BO389+BO392</f>
        <v>0</v>
      </c>
      <c r="BP314" s="616"/>
      <c r="BQ314" s="56"/>
      <c r="BR314" s="611"/>
      <c r="BS314" s="617"/>
      <c r="BT314" s="643">
        <f>BT317+BT320+BT323+BT326+BT329+BT332+BT335+BT338+BT341+BT344+BT347+BT350+BT353+BT356+BT359+BT362+BT365+BT368+BT371+BT374+BT377+BT380+BT383+BT386+BT389+BT392</f>
        <v>9753877</v>
      </c>
      <c r="BU314" s="616"/>
      <c r="BV314" s="56"/>
      <c r="BW314" s="611"/>
      <c r="BX314" s="617"/>
      <c r="BY314" s="618">
        <f>BY317+BY320+BY323+BY326+BY329+BY332+BY335+BY338+BY341+BY344+BY347+BY350+BY353+BY356+BY359+BY362+BY365+BY368+BY371+BY374+BY377+BY380+BY383+BY386+BY389+BY392</f>
        <v>7476976</v>
      </c>
      <c r="BZ314" s="616"/>
      <c r="CA314" s="56"/>
      <c r="CB314" s="611"/>
      <c r="CC314" s="617"/>
      <c r="CD314" s="618">
        <f>CD317+CD320+CD323+CD326+CD329+CD332+CD335+CD338+CD341+CD344+CD347+CD350+CD353+CD356+CD359+CD362+CD365+CD368+CD371+CD374+CD377+CD380+CD383+CD386+CD389+CD392</f>
        <v>195061</v>
      </c>
      <c r="CE314" s="616"/>
      <c r="CF314" s="56"/>
      <c r="CG314" s="611"/>
      <c r="CH314" s="617"/>
      <c r="CI314" s="618">
        <f>CI317+CI320+CI323+CI326+CI329+CI332+CI335+CI338+CI341+CI344+CI347+CI350+CI353+CI356+CI359+CI362+CI365+CI368+CI371+CI374+CI377+CI380+CI383+CI386+CI389+CI392</f>
        <v>0</v>
      </c>
      <c r="CJ314" s="616"/>
      <c r="CK314" s="56"/>
      <c r="CL314" s="611"/>
      <c r="CM314" s="617"/>
      <c r="CN314" s="618">
        <f>CN317+CN320+CN323+CN326+CN329+CN332+CN335+CN338+CN341+CN344+CN347+CN350+CN353+CN356+CN359+CN362+CN365+CN368+CN371+CN374+CN377+CN380+CN383+CN386+CN389+CN392</f>
        <v>956108</v>
      </c>
      <c r="CO314" s="616"/>
      <c r="CP314" s="56"/>
      <c r="CQ314" s="611"/>
      <c r="CR314" s="617"/>
      <c r="CS314" s="618">
        <f>CS317+CS320+CS323+CS326+CS329+CS332+CS335+CS338+CS341+CS344+CS347+CS350+CS353+CS356+CS359+CS362+CS365+CS368+CS371+CS374+CS377+CS380+CS383+CS386+CS389+CS392</f>
        <v>380371</v>
      </c>
      <c r="CT314" s="616"/>
      <c r="CU314" s="56"/>
      <c r="CV314" s="611"/>
      <c r="CW314" s="617"/>
      <c r="CX314" s="618">
        <f>CX317+CX320+CX323+CX326+CX329+CX332+CX335+CX338+CX341+CX344+CX347+CX350+CX353+CX356+CX359+CX362+CX365+CX368+CX371+CX374+CX377+CX380+CX383+CX386+CX389+CX392</f>
        <v>83879</v>
      </c>
      <c r="CY314" s="616"/>
      <c r="CZ314" s="56"/>
      <c r="DA314" s="611"/>
      <c r="DB314" s="617"/>
      <c r="DC314" s="618">
        <f>DC317+DC320+DC323+DC326+DC329+DC332+DC335+DC338+DC341+DC344+DC347+DC350+DC353+DC356+DC359+DC362+DC365+DC368+DC371+DC374+DC377+DC380+DC383+DC386+DC389+DC392</f>
        <v>27624</v>
      </c>
      <c r="DD314" s="616"/>
      <c r="DE314" s="56"/>
      <c r="DF314" s="611"/>
      <c r="DG314" s="617"/>
      <c r="DH314" s="618">
        <f>DH317+DH320+DH323+DH326+DH329+DH332+DH335+DH338+DH341+DH344+DH347+DH350+DH353+DH356+DH359+DH362+DH365+DH368+DH371+DH374+DH377+DH380+DH383+DH386+DH389+DH392</f>
        <v>481602</v>
      </c>
      <c r="DI314" s="616"/>
      <c r="DJ314" s="56"/>
      <c r="DK314" s="611"/>
      <c r="DL314" s="617"/>
      <c r="DM314" s="618">
        <f>DM317+DM320+DM323+DM326+DM329+DM332+DM335+DM338+DM341+DM344+DM347+DM350+DM353+DM356+DM359+DM362+DM365+DM368+DM371+DM374+DM377+DM380+DM383+DM386+DM389+DM392</f>
        <v>1204105</v>
      </c>
      <c r="DN314" s="616"/>
      <c r="DO314" s="56"/>
      <c r="DP314" s="611"/>
      <c r="DQ314" s="617"/>
      <c r="DR314" s="618">
        <f>DR317+DR320+DR323+DR326+DR329+DR332+DR335+DR338+DR341+DR344+DR347+DR350+DR353+DR356+DR359+DR362+DR365+DR368+DR371+DR374+DR377+DR380+DR383+DR386+DR389+DR392</f>
        <v>342784</v>
      </c>
      <c r="DS314" s="616"/>
      <c r="DT314" s="56"/>
      <c r="DU314" s="611"/>
      <c r="DV314" s="617"/>
      <c r="DW314" s="618">
        <f>DW317+DW320+DW323+DW326+DW329+DW332+DW335+DW338+DW341+DW344+DW347+DW350+DW353+DW356+DW359+DW362+DW365+DW368+DW371+DW374+DW377+DW380+DW383+DW386+DW389+DW392</f>
        <v>0</v>
      </c>
      <c r="DX314" s="616"/>
      <c r="DY314" s="56"/>
      <c r="DZ314" s="611"/>
      <c r="EA314" s="617"/>
      <c r="EB314" s="618">
        <f>EB317+EB320+EB323+EB326+EB329+EB332+EB335+EB338+EB341+EB344+EB347+EB350+EB353+EB356+EB359+EB362+EB365+EB368+EB371+EB374+EB377+EB380+EB383+EB386+EB389+EB392</f>
        <v>772365</v>
      </c>
      <c r="EC314" s="616"/>
      <c r="ED314" s="56"/>
      <c r="EE314" s="611"/>
      <c r="EF314" s="617"/>
      <c r="EG314" s="618">
        <f>EG317+EG320+EG323+EG326+EG329+EG332+EG335+EG338+EG341+EG344+EG347+EG350+EG353+EG356+EG359+EG362+EG365+EG368+EG371+EG374+EG377+EG380+EG383+EG386+EG389+EG392</f>
        <v>3033077</v>
      </c>
      <c r="EH314" s="616"/>
      <c r="EI314" s="56"/>
      <c r="EJ314" s="611"/>
      <c r="EK314" s="617"/>
      <c r="EL314" s="643">
        <f>EL317+EL320+EL323+EL326+EL329+EL332+EL335+EL338+EL341+EL344+EL347+EL350+EL353+EL356+EL359+EL362+EL365+EL368+EL371+EL374+EL377+EL380+EL383+EL386+EL389+EL392</f>
        <v>3671534</v>
      </c>
      <c r="EM314" s="616"/>
      <c r="EN314" s="56"/>
      <c r="EO314" s="144"/>
      <c r="ER314" s="42"/>
      <c r="ES314" s="42"/>
    </row>
    <row r="315" spans="4:149" x14ac:dyDescent="0.3">
      <c r="D315" s="144"/>
      <c r="E315" s="635"/>
      <c r="F315" s="272"/>
      <c r="G315" s="56"/>
      <c r="H315" s="56"/>
      <c r="I315" s="56"/>
      <c r="J315" s="611"/>
      <c r="K315" s="56"/>
      <c r="L315" s="56"/>
      <c r="M315" s="56"/>
      <c r="N315" s="56"/>
      <c r="O315" s="611"/>
      <c r="P315" s="56"/>
      <c r="Q315" s="56"/>
      <c r="R315" s="56"/>
      <c r="S315" s="56"/>
      <c r="T315" s="611"/>
      <c r="U315" s="56"/>
      <c r="V315" s="56"/>
      <c r="W315" s="56"/>
      <c r="X315" s="56"/>
      <c r="Y315" s="611"/>
      <c r="Z315" s="56"/>
      <c r="AA315" s="56"/>
      <c r="AB315" s="56"/>
      <c r="AC315" s="56"/>
      <c r="AD315" s="611"/>
      <c r="AE315" s="56"/>
      <c r="AF315" s="56"/>
      <c r="AG315" s="56"/>
      <c r="AH315" s="56"/>
      <c r="AI315" s="611"/>
      <c r="AJ315" s="56"/>
      <c r="AK315" s="56"/>
      <c r="AL315" s="56"/>
      <c r="AM315" s="56"/>
      <c r="AN315" s="611"/>
      <c r="AO315" s="56"/>
      <c r="AP315" s="56"/>
      <c r="AQ315" s="56"/>
      <c r="AR315" s="56"/>
      <c r="AS315" s="611"/>
      <c r="AT315" s="56"/>
      <c r="AU315" s="56"/>
      <c r="AV315" s="56"/>
      <c r="AW315" s="56"/>
      <c r="AX315" s="611"/>
      <c r="AY315" s="56"/>
      <c r="AZ315" s="56"/>
      <c r="BA315" s="56"/>
      <c r="BB315" s="56"/>
      <c r="BC315" s="611"/>
      <c r="BD315" s="56"/>
      <c r="BE315" s="56"/>
      <c r="BF315" s="56"/>
      <c r="BG315" s="56"/>
      <c r="BH315" s="611"/>
      <c r="BI315" s="56"/>
      <c r="BJ315" s="56"/>
      <c r="BK315" s="56"/>
      <c r="BL315" s="56"/>
      <c r="BM315" s="611"/>
      <c r="BN315" s="56"/>
      <c r="BO315" s="56"/>
      <c r="BP315" s="56"/>
      <c r="BQ315" s="56"/>
      <c r="BR315" s="611"/>
      <c r="BS315" s="56"/>
      <c r="BT315" s="56"/>
      <c r="BU315" s="56"/>
      <c r="BV315" s="56"/>
      <c r="BW315" s="611"/>
      <c r="BX315" s="56"/>
      <c r="BY315" s="56"/>
      <c r="BZ315" s="56"/>
      <c r="CA315" s="56"/>
      <c r="CB315" s="611"/>
      <c r="CC315" s="56"/>
      <c r="CD315" s="56"/>
      <c r="CE315" s="56"/>
      <c r="CF315" s="56"/>
      <c r="CG315" s="611"/>
      <c r="CH315" s="56"/>
      <c r="CI315" s="56"/>
      <c r="CJ315" s="56"/>
      <c r="CK315" s="56"/>
      <c r="CL315" s="611"/>
      <c r="CM315" s="56"/>
      <c r="CN315" s="56"/>
      <c r="CO315" s="56"/>
      <c r="CP315" s="56"/>
      <c r="CQ315" s="611"/>
      <c r="CR315" s="56"/>
      <c r="CS315" s="56"/>
      <c r="CT315" s="56"/>
      <c r="CU315" s="56"/>
      <c r="CV315" s="611"/>
      <c r="CW315" s="56"/>
      <c r="CX315" s="56"/>
      <c r="CY315" s="56"/>
      <c r="CZ315" s="56"/>
      <c r="DA315" s="611"/>
      <c r="DB315" s="56"/>
      <c r="DC315" s="56"/>
      <c r="DD315" s="56"/>
      <c r="DE315" s="56"/>
      <c r="DF315" s="611"/>
      <c r="DG315" s="56"/>
      <c r="DH315" s="56"/>
      <c r="DI315" s="56"/>
      <c r="DJ315" s="56"/>
      <c r="DK315" s="611"/>
      <c r="DL315" s="56"/>
      <c r="DM315" s="56"/>
      <c r="DN315" s="56"/>
      <c r="DO315" s="56"/>
      <c r="DP315" s="611"/>
      <c r="DQ315" s="56"/>
      <c r="DR315" s="56"/>
      <c r="DS315" s="56"/>
      <c r="DT315" s="56"/>
      <c r="DU315" s="611"/>
      <c r="DV315" s="56"/>
      <c r="DW315" s="56"/>
      <c r="DX315" s="56"/>
      <c r="DY315" s="56"/>
      <c r="DZ315" s="611"/>
      <c r="EA315" s="56"/>
      <c r="EB315" s="56"/>
      <c r="EC315" s="56"/>
      <c r="ED315" s="56"/>
      <c r="EE315" s="611"/>
      <c r="EF315" s="56"/>
      <c r="EG315" s="56"/>
      <c r="EH315" s="56"/>
      <c r="EI315" s="56"/>
      <c r="EJ315" s="611"/>
      <c r="EK315" s="56"/>
      <c r="EL315" s="56"/>
      <c r="EM315" s="56"/>
      <c r="EN315" s="56"/>
      <c r="EO315" s="144"/>
      <c r="ER315" s="42"/>
      <c r="ES315" s="42"/>
    </row>
    <row r="316" spans="4:149" ht="12.75" hidden="1" customHeight="1" x14ac:dyDescent="0.3">
      <c r="D316" s="144" t="s">
        <v>378</v>
      </c>
      <c r="G316" s="56">
        <f>SUM(G317:G317)</f>
        <v>0</v>
      </c>
      <c r="H316" s="56"/>
      <c r="I316" s="56"/>
      <c r="J316" s="611"/>
      <c r="K316" s="56"/>
      <c r="L316" s="56">
        <f>SUM(L317:L317)</f>
        <v>0</v>
      </c>
      <c r="M316" s="56"/>
      <c r="N316" s="56"/>
      <c r="O316" s="611"/>
      <c r="P316" s="56"/>
      <c r="Q316" s="56">
        <f>SUM(Q317:Q317)</f>
        <v>0</v>
      </c>
      <c r="R316" s="56"/>
      <c r="S316" s="56"/>
      <c r="T316" s="611"/>
      <c r="U316" s="56"/>
      <c r="V316" s="56">
        <f>SUM(V317:V317)</f>
        <v>0</v>
      </c>
      <c r="W316" s="56"/>
      <c r="X316" s="56"/>
      <c r="Y316" s="611"/>
      <c r="Z316" s="56"/>
      <c r="AA316" s="56">
        <f>SUM(AA317:AA317)</f>
        <v>0</v>
      </c>
      <c r="AB316" s="56"/>
      <c r="AC316" s="56"/>
      <c r="AD316" s="611"/>
      <c r="AE316" s="56"/>
      <c r="AF316" s="56">
        <f>SUM(AF317:AF317)</f>
        <v>0</v>
      </c>
      <c r="AG316" s="56"/>
      <c r="AH316" s="56"/>
      <c r="AI316" s="611"/>
      <c r="AJ316" s="56"/>
      <c r="AK316" s="56">
        <f>SUM(AK317:AK317)</f>
        <v>0</v>
      </c>
      <c r="AL316" s="56"/>
      <c r="AM316" s="56"/>
      <c r="AN316" s="611"/>
      <c r="AO316" s="56"/>
      <c r="AP316" s="56">
        <f>SUM(AP317:AP317)</f>
        <v>0</v>
      </c>
      <c r="AQ316" s="56"/>
      <c r="AR316" s="56"/>
      <c r="AS316" s="611"/>
      <c r="AT316" s="56"/>
      <c r="AU316" s="56">
        <f>SUM(AU317:AU317)</f>
        <v>0</v>
      </c>
      <c r="AV316" s="56"/>
      <c r="AW316" s="56"/>
      <c r="AX316" s="611"/>
      <c r="AY316" s="56"/>
      <c r="AZ316" s="56">
        <f>SUM(AZ317:AZ317)</f>
        <v>0</v>
      </c>
      <c r="BA316" s="56"/>
      <c r="BB316" s="56"/>
      <c r="BC316" s="611"/>
      <c r="BD316" s="56"/>
      <c r="BE316" s="56">
        <f>SUM(BE317:BE317)</f>
        <v>0</v>
      </c>
      <c r="BF316" s="56"/>
      <c r="BG316" s="56"/>
      <c r="BH316" s="611"/>
      <c r="BI316" s="56"/>
      <c r="BJ316" s="56">
        <f>SUM(BJ317:BJ317)</f>
        <v>0</v>
      </c>
      <c r="BK316" s="56"/>
      <c r="BL316" s="56"/>
      <c r="BM316" s="611"/>
      <c r="BN316" s="56"/>
      <c r="BO316" s="56">
        <f>SUM(BO317:BO317)</f>
        <v>0</v>
      </c>
      <c r="BP316" s="56"/>
      <c r="BQ316" s="56"/>
      <c r="BR316" s="611"/>
      <c r="BS316" s="56"/>
      <c r="BT316" s="56">
        <f>SUM(BT317:BT317)</f>
        <v>0</v>
      </c>
      <c r="BU316" s="56"/>
      <c r="BV316" s="56"/>
      <c r="BW316" s="611"/>
      <c r="BX316" s="56"/>
      <c r="BY316" s="56">
        <f>SUM(BY317:BY317)</f>
        <v>0</v>
      </c>
      <c r="BZ316" s="56"/>
      <c r="CA316" s="56"/>
      <c r="CB316" s="611"/>
      <c r="CC316" s="56"/>
      <c r="CD316" s="56">
        <f>SUM(CD317:CD317)</f>
        <v>0</v>
      </c>
      <c r="CE316" s="56"/>
      <c r="CF316" s="56"/>
      <c r="CG316" s="611"/>
      <c r="CH316" s="56"/>
      <c r="CI316" s="56">
        <f>SUM(CI317:CI317)</f>
        <v>0</v>
      </c>
      <c r="CJ316" s="56"/>
      <c r="CK316" s="56"/>
      <c r="CL316" s="611"/>
      <c r="CM316" s="56"/>
      <c r="CN316" s="56">
        <f>SUM(CN317:CN317)</f>
        <v>0</v>
      </c>
      <c r="CO316" s="56"/>
      <c r="CP316" s="56"/>
      <c r="CQ316" s="611"/>
      <c r="CR316" s="56"/>
      <c r="CS316" s="56">
        <f>SUM(CS317:CS317)</f>
        <v>0</v>
      </c>
      <c r="CT316" s="56"/>
      <c r="CU316" s="56"/>
      <c r="CV316" s="611"/>
      <c r="CW316" s="56"/>
      <c r="CX316" s="56">
        <f>SUM(CX317:CX317)</f>
        <v>0</v>
      </c>
      <c r="CY316" s="56"/>
      <c r="CZ316" s="56"/>
      <c r="DA316" s="611"/>
      <c r="DB316" s="56"/>
      <c r="DC316" s="56">
        <f>SUM(DC317:DC317)</f>
        <v>0</v>
      </c>
      <c r="DD316" s="56"/>
      <c r="DE316" s="56"/>
      <c r="DF316" s="611"/>
      <c r="DG316" s="56"/>
      <c r="DH316" s="56">
        <f>SUM(DH317:DH317)</f>
        <v>0</v>
      </c>
      <c r="DI316" s="56"/>
      <c r="DJ316" s="56"/>
      <c r="DK316" s="611"/>
      <c r="DL316" s="56"/>
      <c r="DM316" s="56">
        <f>SUM(DM317:DM317)</f>
        <v>0</v>
      </c>
      <c r="DN316" s="56"/>
      <c r="DO316" s="56"/>
      <c r="DP316" s="611"/>
      <c r="DQ316" s="56"/>
      <c r="DR316" s="56">
        <f>SUM(DR317:DR317)</f>
        <v>0</v>
      </c>
      <c r="DS316" s="56"/>
      <c r="DT316" s="56"/>
      <c r="DU316" s="611"/>
      <c r="DV316" s="56"/>
      <c r="DW316" s="56">
        <f>SUM(DW317:DW317)</f>
        <v>0</v>
      </c>
      <c r="DX316" s="56"/>
      <c r="DY316" s="56"/>
      <c r="DZ316" s="611"/>
      <c r="EA316" s="56"/>
      <c r="EB316" s="56">
        <f>SUM(EB317:EB317)</f>
        <v>0</v>
      </c>
      <c r="EC316" s="56"/>
      <c r="ED316" s="56"/>
      <c r="EE316" s="611"/>
      <c r="EF316" s="56"/>
      <c r="EG316" s="56">
        <f>SUM(EG317:EG317)</f>
        <v>0</v>
      </c>
      <c r="EH316" s="56"/>
      <c r="EI316" s="56"/>
      <c r="EJ316" s="611"/>
      <c r="EK316" s="56"/>
      <c r="EL316" s="56">
        <f>SUM(EL317:EL317)</f>
        <v>0</v>
      </c>
      <c r="EM316" s="56"/>
      <c r="EN316" s="56"/>
      <c r="EO316" s="144"/>
      <c r="ER316" s="42"/>
      <c r="ES316" s="42"/>
    </row>
    <row r="317" spans="4:149" ht="12.75" hidden="1" customHeight="1" x14ac:dyDescent="0.3">
      <c r="D317" s="144" t="s">
        <v>335</v>
      </c>
      <c r="F317" s="614"/>
      <c r="G317" s="618">
        <v>0</v>
      </c>
      <c r="H317" s="616"/>
      <c r="I317" s="56"/>
      <c r="J317" s="611"/>
      <c r="K317" s="617"/>
      <c r="L317" s="618">
        <v>0</v>
      </c>
      <c r="M317" s="616"/>
      <c r="N317" s="56"/>
      <c r="O317" s="611"/>
      <c r="P317" s="617"/>
      <c r="Q317" s="618">
        <v>0</v>
      </c>
      <c r="R317" s="616"/>
      <c r="S317" s="56"/>
      <c r="T317" s="611"/>
      <c r="U317" s="617"/>
      <c r="V317" s="618">
        <v>0</v>
      </c>
      <c r="W317" s="616"/>
      <c r="X317" s="56"/>
      <c r="Y317" s="611"/>
      <c r="Z317" s="617"/>
      <c r="AA317" s="618">
        <v>0</v>
      </c>
      <c r="AB317" s="616"/>
      <c r="AC317" s="56"/>
      <c r="AD317" s="611"/>
      <c r="AE317" s="617"/>
      <c r="AF317" s="618">
        <v>0</v>
      </c>
      <c r="AG317" s="616"/>
      <c r="AH317" s="56"/>
      <c r="AI317" s="611"/>
      <c r="AJ317" s="617"/>
      <c r="AK317" s="618">
        <v>0</v>
      </c>
      <c r="AL317" s="616"/>
      <c r="AM317" s="56"/>
      <c r="AN317" s="611"/>
      <c r="AO317" s="617"/>
      <c r="AP317" s="618">
        <v>0</v>
      </c>
      <c r="AQ317" s="616"/>
      <c r="AR317" s="56"/>
      <c r="AS317" s="611"/>
      <c r="AT317" s="617"/>
      <c r="AU317" s="618">
        <v>0</v>
      </c>
      <c r="AV317" s="616"/>
      <c r="AW317" s="56"/>
      <c r="AX317" s="611"/>
      <c r="AY317" s="617"/>
      <c r="AZ317" s="618">
        <v>0</v>
      </c>
      <c r="BA317" s="616"/>
      <c r="BB317" s="56"/>
      <c r="BC317" s="611"/>
      <c r="BD317" s="617"/>
      <c r="BE317" s="618">
        <v>0</v>
      </c>
      <c r="BF317" s="616"/>
      <c r="BG317" s="56"/>
      <c r="BH317" s="611"/>
      <c r="BI317" s="617"/>
      <c r="BJ317" s="618">
        <v>0</v>
      </c>
      <c r="BK317" s="616"/>
      <c r="BL317" s="56"/>
      <c r="BM317" s="611"/>
      <c r="BN317" s="617"/>
      <c r="BO317" s="618">
        <v>0</v>
      </c>
      <c r="BP317" s="616"/>
      <c r="BQ317" s="56"/>
      <c r="BR317" s="611"/>
      <c r="BS317" s="617"/>
      <c r="BT317" s="618">
        <f>SUM(L317:BO317)</f>
        <v>0</v>
      </c>
      <c r="BU317" s="616"/>
      <c r="BV317" s="56"/>
      <c r="BW317" s="611"/>
      <c r="BX317" s="617"/>
      <c r="BY317" s="618">
        <v>0</v>
      </c>
      <c r="BZ317" s="616"/>
      <c r="CA317" s="56"/>
      <c r="CB317" s="611"/>
      <c r="CC317" s="617"/>
      <c r="CD317" s="618">
        <v>0</v>
      </c>
      <c r="CE317" s="616"/>
      <c r="CF317" s="56"/>
      <c r="CG317" s="611"/>
      <c r="CH317" s="617"/>
      <c r="CI317" s="618">
        <v>0</v>
      </c>
      <c r="CJ317" s="616"/>
      <c r="CK317" s="56"/>
      <c r="CL317" s="611"/>
      <c r="CM317" s="617"/>
      <c r="CN317" s="618">
        <v>0</v>
      </c>
      <c r="CO317" s="616"/>
      <c r="CP317" s="56"/>
      <c r="CQ317" s="611"/>
      <c r="CR317" s="617"/>
      <c r="CS317" s="618">
        <v>0</v>
      </c>
      <c r="CT317" s="616"/>
      <c r="CU317" s="56"/>
      <c r="CV317" s="611"/>
      <c r="CW317" s="617"/>
      <c r="CX317" s="618">
        <v>0</v>
      </c>
      <c r="CY317" s="616"/>
      <c r="CZ317" s="56"/>
      <c r="DA317" s="611"/>
      <c r="DB317" s="617"/>
      <c r="DC317" s="618">
        <v>0</v>
      </c>
      <c r="DD317" s="616"/>
      <c r="DE317" s="56"/>
      <c r="DF317" s="611"/>
      <c r="DG317" s="617"/>
      <c r="DH317" s="618">
        <v>0</v>
      </c>
      <c r="DI317" s="616"/>
      <c r="DJ317" s="56"/>
      <c r="DK317" s="611"/>
      <c r="DL317" s="617"/>
      <c r="DM317" s="618">
        <v>0</v>
      </c>
      <c r="DN317" s="616"/>
      <c r="DO317" s="56"/>
      <c r="DP317" s="611"/>
      <c r="DQ317" s="617"/>
      <c r="DR317" s="618">
        <v>0</v>
      </c>
      <c r="DS317" s="616"/>
      <c r="DT317" s="56"/>
      <c r="DU317" s="611"/>
      <c r="DV317" s="617"/>
      <c r="DW317" s="618">
        <v>0</v>
      </c>
      <c r="DX317" s="616"/>
      <c r="DY317" s="56"/>
      <c r="DZ317" s="611"/>
      <c r="EA317" s="617"/>
      <c r="EB317" s="618">
        <v>0</v>
      </c>
      <c r="EC317" s="616"/>
      <c r="ED317" s="56"/>
      <c r="EE317" s="611"/>
      <c r="EF317" s="617"/>
      <c r="EG317" s="618">
        <v>0</v>
      </c>
      <c r="EH317" s="616"/>
      <c r="EI317" s="56"/>
      <c r="EJ317" s="611"/>
      <c r="EK317" s="617"/>
      <c r="EL317" s="618">
        <f>SUM(CD317:CD317)</f>
        <v>0</v>
      </c>
      <c r="EM317" s="616"/>
      <c r="EN317" s="56"/>
      <c r="EO317" s="144"/>
      <c r="ER317" s="42"/>
      <c r="ES317" s="42"/>
    </row>
    <row r="318" spans="4:149" ht="12.75" hidden="1" customHeight="1" x14ac:dyDescent="0.3">
      <c r="D318" s="144"/>
      <c r="E318" s="635"/>
      <c r="F318" s="272"/>
      <c r="G318" s="56"/>
      <c r="H318" s="56"/>
      <c r="I318" s="56"/>
      <c r="J318" s="611"/>
      <c r="K318" s="56"/>
      <c r="L318" s="56"/>
      <c r="M318" s="56"/>
      <c r="N318" s="56"/>
      <c r="O318" s="611"/>
      <c r="P318" s="56"/>
      <c r="Q318" s="56"/>
      <c r="R318" s="56"/>
      <c r="S318" s="56"/>
      <c r="T318" s="611"/>
      <c r="U318" s="56"/>
      <c r="V318" s="56"/>
      <c r="W318" s="56"/>
      <c r="X318" s="56"/>
      <c r="Y318" s="611"/>
      <c r="Z318" s="56"/>
      <c r="AA318" s="56"/>
      <c r="AB318" s="56"/>
      <c r="AC318" s="56"/>
      <c r="AD318" s="611"/>
      <c r="AE318" s="56"/>
      <c r="AF318" s="56"/>
      <c r="AG318" s="56"/>
      <c r="AH318" s="56"/>
      <c r="AI318" s="611"/>
      <c r="AJ318" s="56"/>
      <c r="AK318" s="56"/>
      <c r="AL318" s="56"/>
      <c r="AM318" s="56"/>
      <c r="AN318" s="611"/>
      <c r="AO318" s="56"/>
      <c r="AP318" s="56"/>
      <c r="AQ318" s="56"/>
      <c r="AR318" s="56"/>
      <c r="AS318" s="611"/>
      <c r="AT318" s="56"/>
      <c r="AU318" s="56"/>
      <c r="AV318" s="56"/>
      <c r="AW318" s="56"/>
      <c r="AX318" s="611"/>
      <c r="AY318" s="56"/>
      <c r="AZ318" s="56"/>
      <c r="BA318" s="56"/>
      <c r="BB318" s="56"/>
      <c r="BC318" s="611"/>
      <c r="BD318" s="56"/>
      <c r="BE318" s="56"/>
      <c r="BF318" s="56"/>
      <c r="BG318" s="56"/>
      <c r="BH318" s="611"/>
      <c r="BI318" s="56"/>
      <c r="BJ318" s="56"/>
      <c r="BK318" s="56"/>
      <c r="BL318" s="56"/>
      <c r="BM318" s="611"/>
      <c r="BN318" s="56"/>
      <c r="BO318" s="56"/>
      <c r="BP318" s="56"/>
      <c r="BQ318" s="56"/>
      <c r="BR318" s="611"/>
      <c r="BS318" s="56"/>
      <c r="BT318" s="56"/>
      <c r="BU318" s="56"/>
      <c r="BV318" s="56"/>
      <c r="BW318" s="611"/>
      <c r="BX318" s="56"/>
      <c r="BY318" s="56"/>
      <c r="BZ318" s="56"/>
      <c r="CA318" s="56"/>
      <c r="CB318" s="611"/>
      <c r="CC318" s="56"/>
      <c r="CD318" s="56"/>
      <c r="CE318" s="56"/>
      <c r="CF318" s="56"/>
      <c r="CG318" s="611"/>
      <c r="CH318" s="56"/>
      <c r="CI318" s="56"/>
      <c r="CJ318" s="56"/>
      <c r="CK318" s="56"/>
      <c r="CL318" s="611"/>
      <c r="CM318" s="56"/>
      <c r="CN318" s="56"/>
      <c r="CO318" s="56"/>
      <c r="CP318" s="56"/>
      <c r="CQ318" s="611"/>
      <c r="CR318" s="56"/>
      <c r="CS318" s="56"/>
      <c r="CT318" s="56"/>
      <c r="CU318" s="56"/>
      <c r="CV318" s="611"/>
      <c r="CW318" s="56"/>
      <c r="CX318" s="56"/>
      <c r="CY318" s="56"/>
      <c r="CZ318" s="56"/>
      <c r="DA318" s="611"/>
      <c r="DB318" s="56"/>
      <c r="DC318" s="56"/>
      <c r="DD318" s="56"/>
      <c r="DE318" s="56"/>
      <c r="DF318" s="611"/>
      <c r="DG318" s="56"/>
      <c r="DH318" s="56"/>
      <c r="DI318" s="56"/>
      <c r="DJ318" s="56"/>
      <c r="DK318" s="611"/>
      <c r="DL318" s="56"/>
      <c r="DM318" s="56"/>
      <c r="DN318" s="56"/>
      <c r="DO318" s="56"/>
      <c r="DP318" s="611"/>
      <c r="DQ318" s="56"/>
      <c r="DR318" s="56"/>
      <c r="DS318" s="56"/>
      <c r="DT318" s="56"/>
      <c r="DU318" s="611"/>
      <c r="DV318" s="56"/>
      <c r="DW318" s="56"/>
      <c r="DX318" s="56"/>
      <c r="DY318" s="56"/>
      <c r="DZ318" s="611"/>
      <c r="EA318" s="56"/>
      <c r="EB318" s="56"/>
      <c r="EC318" s="56"/>
      <c r="ED318" s="56"/>
      <c r="EE318" s="611"/>
      <c r="EF318" s="56"/>
      <c r="EG318" s="56"/>
      <c r="EH318" s="56"/>
      <c r="EI318" s="56"/>
      <c r="EJ318" s="611"/>
      <c r="EK318" s="56"/>
      <c r="EL318" s="56"/>
      <c r="EM318" s="56"/>
      <c r="EN318" s="56"/>
      <c r="EO318" s="144"/>
      <c r="ER318" s="42"/>
      <c r="ES318" s="42"/>
    </row>
    <row r="319" spans="4:149" x14ac:dyDescent="0.3">
      <c r="D319" s="144" t="s">
        <v>337</v>
      </c>
      <c r="G319" s="56">
        <f>SUM(G320:G320)</f>
        <v>0</v>
      </c>
      <c r="H319" s="56"/>
      <c r="I319" s="56"/>
      <c r="J319" s="611"/>
      <c r="K319" s="56"/>
      <c r="L319" s="56">
        <f>SUM(L320:L320)</f>
        <v>0</v>
      </c>
      <c r="M319" s="56"/>
      <c r="N319" s="56"/>
      <c r="O319" s="611"/>
      <c r="P319" s="56"/>
      <c r="Q319" s="56">
        <f>SUM(Q320:Q320)</f>
        <v>0</v>
      </c>
      <c r="R319" s="56"/>
      <c r="S319" s="56"/>
      <c r="T319" s="611"/>
      <c r="U319" s="56"/>
      <c r="V319" s="56">
        <f>SUM(V320:V320)</f>
        <v>0</v>
      </c>
      <c r="W319" s="56"/>
      <c r="X319" s="56"/>
      <c r="Y319" s="611"/>
      <c r="Z319" s="56"/>
      <c r="AA319" s="56">
        <f>SUM(AA320:AA320)</f>
        <v>0</v>
      </c>
      <c r="AB319" s="56"/>
      <c r="AC319" s="56"/>
      <c r="AD319" s="611"/>
      <c r="AE319" s="56"/>
      <c r="AF319" s="56">
        <f>SUM(AF320:AF320)</f>
        <v>0</v>
      </c>
      <c r="AG319" s="56"/>
      <c r="AH319" s="56"/>
      <c r="AI319" s="611"/>
      <c r="AJ319" s="56"/>
      <c r="AK319" s="56">
        <f>SUM(AK320:AK320)</f>
        <v>0</v>
      </c>
      <c r="AL319" s="56"/>
      <c r="AM319" s="56"/>
      <c r="AN319" s="611"/>
      <c r="AO319" s="56"/>
      <c r="AP319" s="56">
        <f>SUM(AP320:AP320)</f>
        <v>0</v>
      </c>
      <c r="AQ319" s="56"/>
      <c r="AR319" s="56"/>
      <c r="AS319" s="611"/>
      <c r="AT319" s="56"/>
      <c r="AU319" s="56">
        <f>SUM(AU320:AU320)</f>
        <v>0</v>
      </c>
      <c r="AV319" s="56"/>
      <c r="AW319" s="56"/>
      <c r="AX319" s="611"/>
      <c r="AY319" s="56"/>
      <c r="AZ319" s="56">
        <f>SUM(AZ320:AZ320)</f>
        <v>0</v>
      </c>
      <c r="BA319" s="56"/>
      <c r="BB319" s="56"/>
      <c r="BC319" s="611"/>
      <c r="BD319" s="56"/>
      <c r="BE319" s="56">
        <f>SUM(BE320:BE320)</f>
        <v>0</v>
      </c>
      <c r="BF319" s="56"/>
      <c r="BG319" s="56"/>
      <c r="BH319" s="611"/>
      <c r="BI319" s="56"/>
      <c r="BJ319" s="56">
        <f>SUM(BJ320:BJ320)</f>
        <v>0</v>
      </c>
      <c r="BK319" s="56"/>
      <c r="BL319" s="56"/>
      <c r="BM319" s="611"/>
      <c r="BN319" s="56"/>
      <c r="BO319" s="56">
        <f>SUM(BO320:BO320)</f>
        <v>0</v>
      </c>
      <c r="BP319" s="56"/>
      <c r="BQ319" s="56"/>
      <c r="BR319" s="611"/>
      <c r="BS319" s="56"/>
      <c r="BT319" s="56">
        <f>SUM(BT320:BT320)</f>
        <v>0</v>
      </c>
      <c r="BU319" s="56"/>
      <c r="BV319" s="56"/>
      <c r="BW319" s="611"/>
      <c r="BX319" s="56"/>
      <c r="BY319" s="56">
        <f>SUM(BY320:BY320)</f>
        <v>42458</v>
      </c>
      <c r="BZ319" s="56"/>
      <c r="CA319" s="56"/>
      <c r="CB319" s="611"/>
      <c r="CC319" s="56"/>
      <c r="CD319" s="56">
        <f>SUM(CD320:CD320)</f>
        <v>0</v>
      </c>
      <c r="CE319" s="56"/>
      <c r="CF319" s="56"/>
      <c r="CG319" s="611"/>
      <c r="CH319" s="56"/>
      <c r="CI319" s="56">
        <f>SUM(CI320:CI320)</f>
        <v>0</v>
      </c>
      <c r="CJ319" s="56"/>
      <c r="CK319" s="56"/>
      <c r="CL319" s="611"/>
      <c r="CM319" s="56"/>
      <c r="CN319" s="56">
        <f>SUM(CN320:CN320)</f>
        <v>0</v>
      </c>
      <c r="CO319" s="56"/>
      <c r="CP319" s="56"/>
      <c r="CQ319" s="611"/>
      <c r="CR319" s="56"/>
      <c r="CS319" s="56">
        <f>SUM(CS320:CS320)</f>
        <v>0</v>
      </c>
      <c r="CT319" s="56"/>
      <c r="CU319" s="56"/>
      <c r="CV319" s="611"/>
      <c r="CW319" s="56"/>
      <c r="CX319" s="56">
        <f>SUM(CX320:CX320)</f>
        <v>0</v>
      </c>
      <c r="CY319" s="56"/>
      <c r="CZ319" s="56"/>
      <c r="DA319" s="611"/>
      <c r="DB319" s="56"/>
      <c r="DC319" s="56">
        <f>SUM(DC320:DC320)</f>
        <v>0</v>
      </c>
      <c r="DD319" s="56"/>
      <c r="DE319" s="56"/>
      <c r="DF319" s="611"/>
      <c r="DG319" s="56"/>
      <c r="DH319" s="56">
        <f>SUM(DH320:DH320)</f>
        <v>0</v>
      </c>
      <c r="DI319" s="56"/>
      <c r="DJ319" s="56"/>
      <c r="DK319" s="611"/>
      <c r="DL319" s="56"/>
      <c r="DM319" s="56">
        <f>SUM(DM320:DM320)</f>
        <v>0</v>
      </c>
      <c r="DN319" s="56"/>
      <c r="DO319" s="56"/>
      <c r="DP319" s="611"/>
      <c r="DQ319" s="56"/>
      <c r="DR319" s="56">
        <f>SUM(DR320:DR320)</f>
        <v>0</v>
      </c>
      <c r="DS319" s="56"/>
      <c r="DT319" s="56"/>
      <c r="DU319" s="611"/>
      <c r="DV319" s="56"/>
      <c r="DW319" s="56">
        <f>SUM(DW320:DW320)</f>
        <v>0</v>
      </c>
      <c r="DX319" s="56"/>
      <c r="DY319" s="56"/>
      <c r="DZ319" s="611"/>
      <c r="EA319" s="56"/>
      <c r="EB319" s="56">
        <f>SUM(EB320:EB320)</f>
        <v>0</v>
      </c>
      <c r="EC319" s="56"/>
      <c r="ED319" s="56"/>
      <c r="EE319" s="611"/>
      <c r="EF319" s="56"/>
      <c r="EG319" s="56">
        <f>SUM(EG320:EG320)</f>
        <v>42458</v>
      </c>
      <c r="EH319" s="56"/>
      <c r="EI319" s="56"/>
      <c r="EJ319" s="611"/>
      <c r="EK319" s="56"/>
      <c r="EL319" s="56">
        <f>SUM(EL320:EL320)</f>
        <v>0</v>
      </c>
      <c r="EM319" s="56"/>
      <c r="EN319" s="56"/>
      <c r="EO319" s="144"/>
      <c r="ER319" s="42"/>
      <c r="ES319" s="42"/>
    </row>
    <row r="320" spans="4:149" x14ac:dyDescent="0.3">
      <c r="D320" s="144" t="s">
        <v>335</v>
      </c>
      <c r="F320" s="614"/>
      <c r="G320" s="618">
        <v>0</v>
      </c>
      <c r="H320" s="616"/>
      <c r="I320" s="56"/>
      <c r="J320" s="611"/>
      <c r="K320" s="617"/>
      <c r="L320" s="618">
        <v>0</v>
      </c>
      <c r="M320" s="616"/>
      <c r="N320" s="56"/>
      <c r="O320" s="611"/>
      <c r="P320" s="617"/>
      <c r="Q320" s="618">
        <v>0</v>
      </c>
      <c r="R320" s="616"/>
      <c r="S320" s="56"/>
      <c r="T320" s="611"/>
      <c r="U320" s="617"/>
      <c r="V320" s="618">
        <v>0</v>
      </c>
      <c r="W320" s="616"/>
      <c r="X320" s="56"/>
      <c r="Y320" s="611"/>
      <c r="Z320" s="617"/>
      <c r="AA320" s="618">
        <v>0</v>
      </c>
      <c r="AB320" s="616"/>
      <c r="AC320" s="56"/>
      <c r="AD320" s="611"/>
      <c r="AE320" s="617"/>
      <c r="AF320" s="618">
        <v>0</v>
      </c>
      <c r="AG320" s="616"/>
      <c r="AH320" s="56"/>
      <c r="AI320" s="611"/>
      <c r="AJ320" s="617"/>
      <c r="AK320" s="618">
        <v>0</v>
      </c>
      <c r="AL320" s="616"/>
      <c r="AM320" s="56"/>
      <c r="AN320" s="611"/>
      <c r="AO320" s="617"/>
      <c r="AP320" s="618">
        <v>0</v>
      </c>
      <c r="AQ320" s="616"/>
      <c r="AR320" s="56"/>
      <c r="AS320" s="611"/>
      <c r="AT320" s="617"/>
      <c r="AU320" s="618">
        <v>0</v>
      </c>
      <c r="AV320" s="616"/>
      <c r="AW320" s="56"/>
      <c r="AX320" s="611"/>
      <c r="AY320" s="617"/>
      <c r="AZ320" s="618">
        <v>0</v>
      </c>
      <c r="BA320" s="616"/>
      <c r="BB320" s="56"/>
      <c r="BC320" s="611"/>
      <c r="BD320" s="617"/>
      <c r="BE320" s="618">
        <v>0</v>
      </c>
      <c r="BF320" s="616"/>
      <c r="BG320" s="56"/>
      <c r="BH320" s="611"/>
      <c r="BI320" s="617"/>
      <c r="BJ320" s="618">
        <v>0</v>
      </c>
      <c r="BK320" s="616"/>
      <c r="BL320" s="56"/>
      <c r="BM320" s="611"/>
      <c r="BN320" s="617"/>
      <c r="BO320" s="618">
        <v>0</v>
      </c>
      <c r="BP320" s="616"/>
      <c r="BQ320" s="56"/>
      <c r="BR320" s="611"/>
      <c r="BS320" s="617"/>
      <c r="BT320" s="618">
        <f>SUM(L320:BO320)</f>
        <v>0</v>
      </c>
      <c r="BU320" s="616"/>
      <c r="BV320" s="56"/>
      <c r="BW320" s="611"/>
      <c r="BX320" s="617"/>
      <c r="BY320" s="618">
        <v>42458</v>
      </c>
      <c r="BZ320" s="616"/>
      <c r="CA320" s="56"/>
      <c r="CB320" s="611"/>
      <c r="CC320" s="617"/>
      <c r="CD320" s="618">
        <v>0</v>
      </c>
      <c r="CE320" s="616"/>
      <c r="CF320" s="56"/>
      <c r="CG320" s="611"/>
      <c r="CH320" s="617"/>
      <c r="CI320" s="618">
        <v>0</v>
      </c>
      <c r="CJ320" s="616"/>
      <c r="CK320" s="56"/>
      <c r="CL320" s="611"/>
      <c r="CM320" s="617"/>
      <c r="CN320" s="618">
        <v>0</v>
      </c>
      <c r="CO320" s="616"/>
      <c r="CP320" s="56"/>
      <c r="CQ320" s="611"/>
      <c r="CR320" s="617"/>
      <c r="CS320" s="618">
        <v>0</v>
      </c>
      <c r="CT320" s="616"/>
      <c r="CU320" s="56"/>
      <c r="CV320" s="611"/>
      <c r="CW320" s="617"/>
      <c r="CX320" s="618">
        <v>0</v>
      </c>
      <c r="CY320" s="616"/>
      <c r="CZ320" s="56"/>
      <c r="DA320" s="611"/>
      <c r="DB320" s="617"/>
      <c r="DC320" s="618">
        <v>0</v>
      </c>
      <c r="DD320" s="616"/>
      <c r="DE320" s="56"/>
      <c r="DF320" s="611"/>
      <c r="DG320" s="617"/>
      <c r="DH320" s="618">
        <v>0</v>
      </c>
      <c r="DI320" s="616"/>
      <c r="DJ320" s="56"/>
      <c r="DK320" s="611"/>
      <c r="DL320" s="617"/>
      <c r="DM320" s="618">
        <v>0</v>
      </c>
      <c r="DN320" s="616"/>
      <c r="DO320" s="56"/>
      <c r="DP320" s="611"/>
      <c r="DQ320" s="617"/>
      <c r="DR320" s="618">
        <v>0</v>
      </c>
      <c r="DS320" s="616"/>
      <c r="DT320" s="56"/>
      <c r="DU320" s="611"/>
      <c r="DV320" s="617"/>
      <c r="DW320" s="618">
        <v>0</v>
      </c>
      <c r="DX320" s="616"/>
      <c r="DY320" s="56"/>
      <c r="DZ320" s="611"/>
      <c r="EA320" s="617"/>
      <c r="EB320" s="618">
        <v>0</v>
      </c>
      <c r="EC320" s="616"/>
      <c r="ED320" s="56"/>
      <c r="EE320" s="611"/>
      <c r="EF320" s="617"/>
      <c r="EG320" s="618">
        <v>42458</v>
      </c>
      <c r="EH320" s="616"/>
      <c r="EI320" s="56"/>
      <c r="EJ320" s="611"/>
      <c r="EK320" s="617"/>
      <c r="EL320" s="618">
        <f t="shared" ref="EL320" si="28">SUM(CD320:DW320)</f>
        <v>0</v>
      </c>
      <c r="EM320" s="616"/>
      <c r="EN320" s="56"/>
      <c r="EO320" s="144"/>
      <c r="ER320" s="42"/>
      <c r="ES320" s="42"/>
    </row>
    <row r="321" spans="4:149" hidden="1" x14ac:dyDescent="0.3">
      <c r="D321" s="144"/>
      <c r="G321" s="56"/>
      <c r="H321" s="56"/>
      <c r="I321" s="56"/>
      <c r="J321" s="611"/>
      <c r="K321" s="56"/>
      <c r="L321" s="56"/>
      <c r="M321" s="56"/>
      <c r="N321" s="56"/>
      <c r="O321" s="611"/>
      <c r="P321" s="56"/>
      <c r="Q321" s="56"/>
      <c r="R321" s="56"/>
      <c r="S321" s="56"/>
      <c r="T321" s="611"/>
      <c r="U321" s="56"/>
      <c r="V321" s="56"/>
      <c r="W321" s="56"/>
      <c r="X321" s="56"/>
      <c r="Y321" s="611"/>
      <c r="Z321" s="56"/>
      <c r="AA321" s="56"/>
      <c r="AB321" s="56"/>
      <c r="AC321" s="56"/>
      <c r="AD321" s="611"/>
      <c r="AE321" s="56"/>
      <c r="AF321" s="56"/>
      <c r="AG321" s="56"/>
      <c r="AH321" s="56"/>
      <c r="AI321" s="611"/>
      <c r="AJ321" s="56"/>
      <c r="AK321" s="56"/>
      <c r="AL321" s="56"/>
      <c r="AM321" s="56"/>
      <c r="AN321" s="611"/>
      <c r="AO321" s="56"/>
      <c r="AP321" s="56"/>
      <c r="AQ321" s="56"/>
      <c r="AR321" s="56"/>
      <c r="AS321" s="611"/>
      <c r="AT321" s="56"/>
      <c r="AU321" s="56"/>
      <c r="AV321" s="56"/>
      <c r="AW321" s="56"/>
      <c r="AX321" s="611"/>
      <c r="AY321" s="56"/>
      <c r="AZ321" s="56"/>
      <c r="BA321" s="56"/>
      <c r="BB321" s="56"/>
      <c r="BC321" s="611"/>
      <c r="BD321" s="56"/>
      <c r="BE321" s="56"/>
      <c r="BF321" s="56"/>
      <c r="BG321" s="56"/>
      <c r="BH321" s="611"/>
      <c r="BI321" s="56"/>
      <c r="BJ321" s="56"/>
      <c r="BK321" s="56"/>
      <c r="BL321" s="56"/>
      <c r="BM321" s="611"/>
      <c r="BN321" s="56"/>
      <c r="BO321" s="56"/>
      <c r="BP321" s="56"/>
      <c r="BQ321" s="56"/>
      <c r="BR321" s="611"/>
      <c r="BS321" s="56"/>
      <c r="BT321" s="56"/>
      <c r="BU321" s="56"/>
      <c r="BV321" s="56"/>
      <c r="BW321" s="611"/>
      <c r="BX321" s="56"/>
      <c r="BY321" s="56"/>
      <c r="BZ321" s="56"/>
      <c r="CA321" s="56"/>
      <c r="CB321" s="611"/>
      <c r="CC321" s="56"/>
      <c r="CD321" s="56"/>
      <c r="CE321" s="56"/>
      <c r="CF321" s="56"/>
      <c r="CG321" s="611"/>
      <c r="CH321" s="56"/>
      <c r="CI321" s="56"/>
      <c r="CJ321" s="56"/>
      <c r="CK321" s="56"/>
      <c r="CL321" s="611"/>
      <c r="CM321" s="56"/>
      <c r="CN321" s="56"/>
      <c r="CO321" s="56"/>
      <c r="CP321" s="56"/>
      <c r="CQ321" s="611"/>
      <c r="CR321" s="56"/>
      <c r="CS321" s="56"/>
      <c r="CT321" s="56"/>
      <c r="CU321" s="56"/>
      <c r="CV321" s="611"/>
      <c r="CW321" s="56"/>
      <c r="CX321" s="56"/>
      <c r="CY321" s="56"/>
      <c r="CZ321" s="56"/>
      <c r="DA321" s="611"/>
      <c r="DB321" s="56"/>
      <c r="DC321" s="56"/>
      <c r="DD321" s="56"/>
      <c r="DE321" s="56"/>
      <c r="DF321" s="611"/>
      <c r="DG321" s="56"/>
      <c r="DH321" s="56"/>
      <c r="DI321" s="56"/>
      <c r="DJ321" s="56"/>
      <c r="DK321" s="611"/>
      <c r="DL321" s="56"/>
      <c r="DM321" s="56"/>
      <c r="DN321" s="56"/>
      <c r="DO321" s="56"/>
      <c r="DP321" s="611"/>
      <c r="DQ321" s="56"/>
      <c r="DR321" s="56"/>
      <c r="DS321" s="56"/>
      <c r="DT321" s="56"/>
      <c r="DU321" s="611"/>
      <c r="DV321" s="56"/>
      <c r="DW321" s="56"/>
      <c r="DX321" s="56"/>
      <c r="DY321" s="56"/>
      <c r="DZ321" s="611"/>
      <c r="EA321" s="56"/>
      <c r="EB321" s="56"/>
      <c r="EC321" s="56"/>
      <c r="ED321" s="56"/>
      <c r="EE321" s="611"/>
      <c r="EF321" s="56"/>
      <c r="EG321" s="56"/>
      <c r="EH321" s="56"/>
      <c r="EI321" s="56"/>
      <c r="EJ321" s="611"/>
      <c r="EK321" s="56"/>
      <c r="EL321" s="56">
        <f t="shared" ref="EL321:EL322" si="29">SUM(CD321:DH321)</f>
        <v>0</v>
      </c>
      <c r="EM321" s="56"/>
      <c r="EN321" s="56"/>
      <c r="EO321" s="144"/>
      <c r="ER321" s="42"/>
      <c r="ES321" s="42"/>
    </row>
    <row r="322" spans="4:149" ht="12.75" hidden="1" customHeight="1" x14ac:dyDescent="0.3">
      <c r="D322" s="144" t="s">
        <v>341</v>
      </c>
      <c r="G322" s="56">
        <f>SUM(G323:G323)</f>
        <v>0</v>
      </c>
      <c r="H322" s="56"/>
      <c r="I322" s="56"/>
      <c r="J322" s="611"/>
      <c r="K322" s="56"/>
      <c r="L322" s="56">
        <f>SUM(L323:L323)</f>
        <v>0</v>
      </c>
      <c r="M322" s="56"/>
      <c r="N322" s="56"/>
      <c r="O322" s="611"/>
      <c r="P322" s="56"/>
      <c r="Q322" s="56">
        <f>SUM(Q323:Q323)</f>
        <v>0</v>
      </c>
      <c r="R322" s="56"/>
      <c r="S322" s="56"/>
      <c r="T322" s="611"/>
      <c r="U322" s="56"/>
      <c r="V322" s="56">
        <f>SUM(V323:V323)</f>
        <v>0</v>
      </c>
      <c r="W322" s="56"/>
      <c r="X322" s="56"/>
      <c r="Y322" s="611"/>
      <c r="Z322" s="56"/>
      <c r="AA322" s="56">
        <f>SUM(AA323:AA323)</f>
        <v>0</v>
      </c>
      <c r="AB322" s="56"/>
      <c r="AC322" s="56"/>
      <c r="AD322" s="611"/>
      <c r="AE322" s="56"/>
      <c r="AF322" s="56">
        <f>SUM(AF323:AF323)</f>
        <v>0</v>
      </c>
      <c r="AG322" s="56"/>
      <c r="AH322" s="56"/>
      <c r="AI322" s="611"/>
      <c r="AJ322" s="56"/>
      <c r="AK322" s="56">
        <f>SUM(AK323:AK323)</f>
        <v>0</v>
      </c>
      <c r="AL322" s="56"/>
      <c r="AM322" s="56"/>
      <c r="AN322" s="611"/>
      <c r="AO322" s="56"/>
      <c r="AP322" s="56">
        <f>SUM(AP323:AP323)</f>
        <v>0</v>
      </c>
      <c r="AQ322" s="56"/>
      <c r="AR322" s="56"/>
      <c r="AS322" s="611"/>
      <c r="AT322" s="56"/>
      <c r="AU322" s="56">
        <f>SUM(AU323:AU323)</f>
        <v>0</v>
      </c>
      <c r="AV322" s="56"/>
      <c r="AW322" s="56"/>
      <c r="AX322" s="611"/>
      <c r="AY322" s="56"/>
      <c r="AZ322" s="56">
        <f>SUM(AZ323:AZ323)</f>
        <v>0</v>
      </c>
      <c r="BA322" s="56"/>
      <c r="BB322" s="56"/>
      <c r="BC322" s="611"/>
      <c r="BD322" s="56"/>
      <c r="BE322" s="56">
        <f>SUM(BE323:BE323)</f>
        <v>0</v>
      </c>
      <c r="BF322" s="56"/>
      <c r="BG322" s="56"/>
      <c r="BH322" s="611"/>
      <c r="BI322" s="56"/>
      <c r="BJ322" s="56">
        <f>SUM(BJ323:BJ323)</f>
        <v>0</v>
      </c>
      <c r="BK322" s="56"/>
      <c r="BL322" s="56"/>
      <c r="BM322" s="611"/>
      <c r="BN322" s="56"/>
      <c r="BO322" s="56">
        <f>SUM(BO323:BO323)</f>
        <v>0</v>
      </c>
      <c r="BP322" s="56"/>
      <c r="BQ322" s="56"/>
      <c r="BR322" s="611"/>
      <c r="BS322" s="56"/>
      <c r="BT322" s="56">
        <f>SUM(BT323:BT323)</f>
        <v>0</v>
      </c>
      <c r="BU322" s="56"/>
      <c r="BV322" s="56"/>
      <c r="BW322" s="611"/>
      <c r="BX322" s="56"/>
      <c r="BY322" s="56">
        <f>SUM(BY323:BY323)</f>
        <v>0</v>
      </c>
      <c r="BZ322" s="56"/>
      <c r="CA322" s="56"/>
      <c r="CB322" s="611"/>
      <c r="CC322" s="56"/>
      <c r="CD322" s="56">
        <f>SUM(CD323:CD323)</f>
        <v>0</v>
      </c>
      <c r="CE322" s="56"/>
      <c r="CF322" s="56"/>
      <c r="CG322" s="611"/>
      <c r="CH322" s="56"/>
      <c r="CI322" s="56">
        <f>SUM(CI323:CI323)</f>
        <v>0</v>
      </c>
      <c r="CJ322" s="56"/>
      <c r="CK322" s="56"/>
      <c r="CL322" s="611"/>
      <c r="CM322" s="56"/>
      <c r="CN322" s="56">
        <f>SUM(CN323:CN323)</f>
        <v>0</v>
      </c>
      <c r="CO322" s="56"/>
      <c r="CP322" s="56"/>
      <c r="CQ322" s="611"/>
      <c r="CR322" s="56"/>
      <c r="CS322" s="56">
        <f>SUM(CS323:CS323)</f>
        <v>0</v>
      </c>
      <c r="CT322" s="56"/>
      <c r="CU322" s="56"/>
      <c r="CV322" s="611"/>
      <c r="CW322" s="56"/>
      <c r="CX322" s="56">
        <f>SUM(CX323:CX323)</f>
        <v>0</v>
      </c>
      <c r="CY322" s="56"/>
      <c r="CZ322" s="56"/>
      <c r="DA322" s="611"/>
      <c r="DB322" s="56"/>
      <c r="DC322" s="56">
        <f>SUM(DC323:DC323)</f>
        <v>0</v>
      </c>
      <c r="DD322" s="56"/>
      <c r="DE322" s="56"/>
      <c r="DF322" s="611"/>
      <c r="DG322" s="56"/>
      <c r="DH322" s="56">
        <f>SUM(DH323:DH323)</f>
        <v>0</v>
      </c>
      <c r="DI322" s="56"/>
      <c r="DJ322" s="56"/>
      <c r="DK322" s="611"/>
      <c r="DL322" s="56"/>
      <c r="DM322" s="56">
        <f>SUM(DM323:DM323)</f>
        <v>0</v>
      </c>
      <c r="DN322" s="56"/>
      <c r="DO322" s="56"/>
      <c r="DP322" s="611"/>
      <c r="DQ322" s="56"/>
      <c r="DR322" s="56">
        <f>SUM(DR323:DR323)</f>
        <v>0</v>
      </c>
      <c r="DS322" s="56"/>
      <c r="DT322" s="56"/>
      <c r="DU322" s="611"/>
      <c r="DV322" s="56"/>
      <c r="DW322" s="56">
        <f>SUM(DW323:DW323)</f>
        <v>0</v>
      </c>
      <c r="DX322" s="56"/>
      <c r="DY322" s="56"/>
      <c r="DZ322" s="611"/>
      <c r="EA322" s="56"/>
      <c r="EB322" s="56">
        <f>SUM(EB323:EB323)</f>
        <v>0</v>
      </c>
      <c r="EC322" s="56"/>
      <c r="ED322" s="56"/>
      <c r="EE322" s="611"/>
      <c r="EF322" s="56"/>
      <c r="EG322" s="56">
        <f>SUM(EG323:EG323)</f>
        <v>0</v>
      </c>
      <c r="EH322" s="56"/>
      <c r="EI322" s="56"/>
      <c r="EJ322" s="611"/>
      <c r="EK322" s="56"/>
      <c r="EL322" s="56">
        <f t="shared" si="29"/>
        <v>0</v>
      </c>
      <c r="EM322" s="56"/>
      <c r="EN322" s="56"/>
      <c r="EO322" s="144"/>
      <c r="ER322" s="42"/>
      <c r="ES322" s="42"/>
    </row>
    <row r="323" spans="4:149" ht="12.75" hidden="1" customHeight="1" x14ac:dyDescent="0.3">
      <c r="D323" s="144" t="s">
        <v>335</v>
      </c>
      <c r="F323" s="614"/>
      <c r="G323" s="618">
        <v>0</v>
      </c>
      <c r="H323" s="616"/>
      <c r="I323" s="56"/>
      <c r="J323" s="611"/>
      <c r="K323" s="617"/>
      <c r="L323" s="618">
        <v>0</v>
      </c>
      <c r="M323" s="616"/>
      <c r="N323" s="56"/>
      <c r="O323" s="611"/>
      <c r="P323" s="617"/>
      <c r="Q323" s="618">
        <v>0</v>
      </c>
      <c r="R323" s="616"/>
      <c r="S323" s="56"/>
      <c r="T323" s="611"/>
      <c r="U323" s="617"/>
      <c r="V323" s="618">
        <v>0</v>
      </c>
      <c r="W323" s="616"/>
      <c r="X323" s="56"/>
      <c r="Y323" s="611"/>
      <c r="Z323" s="617"/>
      <c r="AA323" s="618">
        <v>0</v>
      </c>
      <c r="AB323" s="616"/>
      <c r="AC323" s="56"/>
      <c r="AD323" s="611"/>
      <c r="AE323" s="617"/>
      <c r="AF323" s="618">
        <v>0</v>
      </c>
      <c r="AG323" s="616"/>
      <c r="AH323" s="56"/>
      <c r="AI323" s="611"/>
      <c r="AJ323" s="617"/>
      <c r="AK323" s="618">
        <v>0</v>
      </c>
      <c r="AL323" s="616"/>
      <c r="AM323" s="56"/>
      <c r="AN323" s="611"/>
      <c r="AO323" s="617"/>
      <c r="AP323" s="618">
        <v>0</v>
      </c>
      <c r="AQ323" s="616"/>
      <c r="AR323" s="56"/>
      <c r="AS323" s="611"/>
      <c r="AT323" s="617"/>
      <c r="AU323" s="618">
        <v>0</v>
      </c>
      <c r="AV323" s="616"/>
      <c r="AW323" s="56"/>
      <c r="AX323" s="611"/>
      <c r="AY323" s="617"/>
      <c r="AZ323" s="618">
        <v>0</v>
      </c>
      <c r="BA323" s="616"/>
      <c r="BB323" s="56"/>
      <c r="BC323" s="611"/>
      <c r="BD323" s="617"/>
      <c r="BE323" s="618">
        <v>0</v>
      </c>
      <c r="BF323" s="616"/>
      <c r="BG323" s="56"/>
      <c r="BH323" s="611"/>
      <c r="BI323" s="617"/>
      <c r="BJ323" s="618">
        <v>0</v>
      </c>
      <c r="BK323" s="616"/>
      <c r="BL323" s="56"/>
      <c r="BM323" s="611"/>
      <c r="BN323" s="617"/>
      <c r="BO323" s="618">
        <v>0</v>
      </c>
      <c r="BP323" s="616"/>
      <c r="BQ323" s="56"/>
      <c r="BR323" s="611"/>
      <c r="BS323" s="617"/>
      <c r="BT323" s="618">
        <f>SUM(L323:BO323)</f>
        <v>0</v>
      </c>
      <c r="BU323" s="616"/>
      <c r="BV323" s="56"/>
      <c r="BW323" s="611"/>
      <c r="BX323" s="617"/>
      <c r="BY323" s="618">
        <v>0</v>
      </c>
      <c r="BZ323" s="616"/>
      <c r="CA323" s="56"/>
      <c r="CB323" s="611"/>
      <c r="CC323" s="617"/>
      <c r="CD323" s="618">
        <v>0</v>
      </c>
      <c r="CE323" s="616"/>
      <c r="CF323" s="56"/>
      <c r="CG323" s="611"/>
      <c r="CH323" s="617"/>
      <c r="CI323" s="618">
        <v>0</v>
      </c>
      <c r="CJ323" s="616"/>
      <c r="CK323" s="56"/>
      <c r="CL323" s="611"/>
      <c r="CM323" s="617"/>
      <c r="CN323" s="618">
        <v>0</v>
      </c>
      <c r="CO323" s="616"/>
      <c r="CP323" s="56"/>
      <c r="CQ323" s="611"/>
      <c r="CR323" s="617"/>
      <c r="CS323" s="618">
        <v>0</v>
      </c>
      <c r="CT323" s="616"/>
      <c r="CU323" s="56"/>
      <c r="CV323" s="611"/>
      <c r="CW323" s="617"/>
      <c r="CX323" s="618">
        <v>0</v>
      </c>
      <c r="CY323" s="616"/>
      <c r="CZ323" s="56"/>
      <c r="DA323" s="611"/>
      <c r="DB323" s="617"/>
      <c r="DC323" s="618">
        <v>0</v>
      </c>
      <c r="DD323" s="616"/>
      <c r="DE323" s="56"/>
      <c r="DF323" s="611"/>
      <c r="DG323" s="617"/>
      <c r="DH323" s="618">
        <v>0</v>
      </c>
      <c r="DI323" s="616"/>
      <c r="DJ323" s="56"/>
      <c r="DK323" s="611"/>
      <c r="DL323" s="617"/>
      <c r="DM323" s="618">
        <v>0</v>
      </c>
      <c r="DN323" s="616"/>
      <c r="DO323" s="56"/>
      <c r="DP323" s="611"/>
      <c r="DQ323" s="617"/>
      <c r="DR323" s="618">
        <v>0</v>
      </c>
      <c r="DS323" s="616"/>
      <c r="DT323" s="56"/>
      <c r="DU323" s="611"/>
      <c r="DV323" s="617"/>
      <c r="DW323" s="618">
        <v>0</v>
      </c>
      <c r="DX323" s="616"/>
      <c r="DY323" s="56"/>
      <c r="DZ323" s="611"/>
      <c r="EA323" s="617"/>
      <c r="EB323" s="618">
        <v>0</v>
      </c>
      <c r="EC323" s="616"/>
      <c r="ED323" s="56"/>
      <c r="EE323" s="611"/>
      <c r="EF323" s="617"/>
      <c r="EG323" s="618">
        <v>0</v>
      </c>
      <c r="EH323" s="616"/>
      <c r="EI323" s="56"/>
      <c r="EJ323" s="611"/>
      <c r="EK323" s="617"/>
      <c r="EL323" s="618">
        <f>SUM(CD323:CD323)</f>
        <v>0</v>
      </c>
      <c r="EM323" s="616"/>
      <c r="EN323" s="56"/>
      <c r="EO323" s="144"/>
      <c r="ER323" s="42"/>
      <c r="ES323" s="42"/>
    </row>
    <row r="324" spans="4:149" ht="12.75" customHeight="1" x14ac:dyDescent="0.3">
      <c r="D324" s="144"/>
      <c r="G324" s="56"/>
      <c r="H324" s="56"/>
      <c r="I324" s="56"/>
      <c r="J324" s="611"/>
      <c r="K324" s="56"/>
      <c r="L324" s="56"/>
      <c r="M324" s="56"/>
      <c r="N324" s="56"/>
      <c r="O324" s="611"/>
      <c r="P324" s="56"/>
      <c r="Q324" s="56"/>
      <c r="R324" s="56"/>
      <c r="S324" s="56"/>
      <c r="T324" s="611"/>
      <c r="U324" s="56"/>
      <c r="V324" s="56"/>
      <c r="W324" s="56"/>
      <c r="X324" s="56"/>
      <c r="Y324" s="611"/>
      <c r="Z324" s="56"/>
      <c r="AA324" s="56"/>
      <c r="AB324" s="56"/>
      <c r="AC324" s="56"/>
      <c r="AD324" s="611"/>
      <c r="AE324" s="56"/>
      <c r="AF324" s="56"/>
      <c r="AG324" s="56"/>
      <c r="AH324" s="56"/>
      <c r="AI324" s="611"/>
      <c r="AJ324" s="56"/>
      <c r="AK324" s="56"/>
      <c r="AL324" s="56"/>
      <c r="AM324" s="56"/>
      <c r="AN324" s="611"/>
      <c r="AO324" s="56"/>
      <c r="AP324" s="56"/>
      <c r="AQ324" s="56"/>
      <c r="AR324" s="56"/>
      <c r="AS324" s="611"/>
      <c r="AT324" s="56"/>
      <c r="AU324" s="56"/>
      <c r="AV324" s="56"/>
      <c r="AW324" s="56"/>
      <c r="AX324" s="611"/>
      <c r="AY324" s="56"/>
      <c r="AZ324" s="56"/>
      <c r="BA324" s="56"/>
      <c r="BB324" s="56"/>
      <c r="BC324" s="611"/>
      <c r="BD324" s="56"/>
      <c r="BE324" s="56"/>
      <c r="BF324" s="56"/>
      <c r="BG324" s="56"/>
      <c r="BH324" s="611"/>
      <c r="BI324" s="56"/>
      <c r="BJ324" s="56"/>
      <c r="BK324" s="56"/>
      <c r="BL324" s="56"/>
      <c r="BM324" s="611"/>
      <c r="BN324" s="56"/>
      <c r="BO324" s="56"/>
      <c r="BP324" s="56"/>
      <c r="BQ324" s="56"/>
      <c r="BR324" s="611"/>
      <c r="BS324" s="56"/>
      <c r="BT324" s="56"/>
      <c r="BU324" s="56"/>
      <c r="BV324" s="56"/>
      <c r="BW324" s="611"/>
      <c r="BX324" s="56"/>
      <c r="BY324" s="56"/>
      <c r="BZ324" s="56"/>
      <c r="CA324" s="56"/>
      <c r="CB324" s="611"/>
      <c r="CC324" s="56"/>
      <c r="CD324" s="644"/>
      <c r="CE324" s="644"/>
      <c r="CF324" s="644"/>
      <c r="CG324" s="645"/>
      <c r="CH324" s="644"/>
      <c r="CI324" s="644"/>
      <c r="CJ324" s="644"/>
      <c r="CK324" s="644"/>
      <c r="CL324" s="645"/>
      <c r="CM324" s="644"/>
      <c r="CN324" s="644"/>
      <c r="CO324" s="644"/>
      <c r="CP324" s="644"/>
      <c r="CQ324" s="645"/>
      <c r="CR324" s="644"/>
      <c r="CS324" s="644"/>
      <c r="CT324" s="644"/>
      <c r="CU324" s="644"/>
      <c r="CV324" s="645"/>
      <c r="CW324" s="644"/>
      <c r="CX324" s="644"/>
      <c r="CY324" s="644"/>
      <c r="CZ324" s="644"/>
      <c r="DA324" s="645"/>
      <c r="DB324" s="644"/>
      <c r="DC324" s="644"/>
      <c r="DD324" s="644"/>
      <c r="DE324" s="644"/>
      <c r="DF324" s="645"/>
      <c r="DG324" s="644"/>
      <c r="DH324" s="644"/>
      <c r="DI324" s="644"/>
      <c r="DJ324" s="644"/>
      <c r="DK324" s="645"/>
      <c r="DL324" s="644"/>
      <c r="DM324" s="644"/>
      <c r="DN324" s="644"/>
      <c r="DO324" s="644"/>
      <c r="DP324" s="645"/>
      <c r="DQ324" s="644"/>
      <c r="DR324" s="644"/>
      <c r="DS324" s="644"/>
      <c r="DT324" s="644"/>
      <c r="DU324" s="645"/>
      <c r="DV324" s="644"/>
      <c r="DW324" s="644"/>
      <c r="DX324" s="644"/>
      <c r="DY324" s="644"/>
      <c r="DZ324" s="645"/>
      <c r="EA324" s="644"/>
      <c r="EB324" s="644"/>
      <c r="EC324" s="644"/>
      <c r="ED324" s="644"/>
      <c r="EE324" s="645"/>
      <c r="EF324" s="644"/>
      <c r="EG324" s="644"/>
      <c r="EH324" s="56"/>
      <c r="EI324" s="56"/>
      <c r="EJ324" s="611"/>
      <c r="EK324" s="56"/>
      <c r="EL324" s="56"/>
      <c r="EM324" s="56"/>
      <c r="EN324" s="56"/>
      <c r="EO324" s="144"/>
      <c r="ER324" s="42"/>
      <c r="ES324" s="42"/>
    </row>
    <row r="325" spans="4:149" x14ac:dyDescent="0.3">
      <c r="D325" s="144" t="s">
        <v>342</v>
      </c>
      <c r="G325" s="56">
        <f>SUM(G326:G326)</f>
        <v>994679</v>
      </c>
      <c r="H325" s="56"/>
      <c r="I325" s="56"/>
      <c r="J325" s="611"/>
      <c r="K325" s="56"/>
      <c r="L325" s="56">
        <f>SUM(L326:L326)</f>
        <v>0</v>
      </c>
      <c r="M325" s="56"/>
      <c r="N325" s="56"/>
      <c r="O325" s="611"/>
      <c r="P325" s="56"/>
      <c r="Q325" s="56">
        <f>SUM(Q326:Q326)</f>
        <v>0</v>
      </c>
      <c r="R325" s="56"/>
      <c r="S325" s="56"/>
      <c r="T325" s="611"/>
      <c r="U325" s="56"/>
      <c r="V325" s="56">
        <f>SUM(V326:V326)</f>
        <v>0</v>
      </c>
      <c r="W325" s="56"/>
      <c r="X325" s="56"/>
      <c r="Y325" s="611"/>
      <c r="Z325" s="56"/>
      <c r="AA325" s="56">
        <f>SUM(AA326:AA326)</f>
        <v>0</v>
      </c>
      <c r="AB325" s="56"/>
      <c r="AC325" s="56"/>
      <c r="AD325" s="611"/>
      <c r="AE325" s="56"/>
      <c r="AF325" s="56">
        <f>SUM(AF326:AF326)</f>
        <v>994679</v>
      </c>
      <c r="AG325" s="56"/>
      <c r="AH325" s="56"/>
      <c r="AI325" s="611"/>
      <c r="AJ325" s="56"/>
      <c r="AK325" s="56">
        <f>SUM(AK326:AK326)</f>
        <v>0</v>
      </c>
      <c r="AL325" s="56"/>
      <c r="AM325" s="56"/>
      <c r="AN325" s="611"/>
      <c r="AO325" s="56"/>
      <c r="AP325" s="56">
        <f>SUM(AP326:AP326)</f>
        <v>0</v>
      </c>
      <c r="AQ325" s="56"/>
      <c r="AR325" s="56"/>
      <c r="AS325" s="611"/>
      <c r="AT325" s="56"/>
      <c r="AU325" s="56">
        <f>SUM(AU326:AU326)</f>
        <v>200583</v>
      </c>
      <c r="AV325" s="56"/>
      <c r="AW325" s="56"/>
      <c r="AX325" s="611"/>
      <c r="AY325" s="56"/>
      <c r="AZ325" s="56">
        <f>SUM(AZ326:AZ326)</f>
        <v>0</v>
      </c>
      <c r="BA325" s="56"/>
      <c r="BB325" s="56"/>
      <c r="BC325" s="611"/>
      <c r="BD325" s="56"/>
      <c r="BE325" s="56">
        <f>SUM(BE326:BE326)</f>
        <v>0</v>
      </c>
      <c r="BF325" s="56"/>
      <c r="BG325" s="56"/>
      <c r="BH325" s="611"/>
      <c r="BI325" s="56"/>
      <c r="BJ325" s="56">
        <f>SUM(BJ326:BJ326)</f>
        <v>0</v>
      </c>
      <c r="BK325" s="56"/>
      <c r="BL325" s="56"/>
      <c r="BM325" s="611"/>
      <c r="BN325" s="56"/>
      <c r="BO325" s="56">
        <f>SUM(BO326:BO326)</f>
        <v>0</v>
      </c>
      <c r="BP325" s="56"/>
      <c r="BQ325" s="56"/>
      <c r="BR325" s="611"/>
      <c r="BS325" s="56"/>
      <c r="BT325" s="56">
        <f>SUM(BT326:BT326)</f>
        <v>1195262</v>
      </c>
      <c r="BU325" s="56"/>
      <c r="BV325" s="56"/>
      <c r="BW325" s="611"/>
      <c r="BX325" s="56"/>
      <c r="BY325" s="56">
        <f>SUM(BY326:BY326)</f>
        <v>0</v>
      </c>
      <c r="BZ325" s="56"/>
      <c r="CA325" s="56"/>
      <c r="CB325" s="611"/>
      <c r="CC325" s="56"/>
      <c r="CD325" s="56">
        <f>SUM(CD326:CD326)</f>
        <v>0</v>
      </c>
      <c r="CE325" s="56"/>
      <c r="CF325" s="56"/>
      <c r="CG325" s="611"/>
      <c r="CH325" s="56"/>
      <c r="CI325" s="56">
        <f>SUM(CI326:CI326)</f>
        <v>0</v>
      </c>
      <c r="CJ325" s="56"/>
      <c r="CK325" s="56"/>
      <c r="CL325" s="611"/>
      <c r="CM325" s="56"/>
      <c r="CN325" s="56">
        <f>SUM(CN326:CN326)</f>
        <v>0</v>
      </c>
      <c r="CO325" s="56"/>
      <c r="CP325" s="56"/>
      <c r="CQ325" s="611"/>
      <c r="CR325" s="56"/>
      <c r="CS325" s="56">
        <f>SUM(CS326:CS326)</f>
        <v>0</v>
      </c>
      <c r="CT325" s="56"/>
      <c r="CU325" s="56"/>
      <c r="CV325" s="611"/>
      <c r="CW325" s="56"/>
      <c r="CX325" s="56">
        <f>SUM(CX326:CX326)</f>
        <v>0</v>
      </c>
      <c r="CY325" s="56"/>
      <c r="CZ325" s="56"/>
      <c r="DA325" s="611"/>
      <c r="DB325" s="56"/>
      <c r="DC325" s="56">
        <f>SUM(DC326:DC326)</f>
        <v>0</v>
      </c>
      <c r="DD325" s="56"/>
      <c r="DE325" s="56"/>
      <c r="DF325" s="611"/>
      <c r="DG325" s="56"/>
      <c r="DH325" s="56">
        <f>SUM(DH326:DH326)</f>
        <v>0</v>
      </c>
      <c r="DI325" s="56"/>
      <c r="DJ325" s="56"/>
      <c r="DK325" s="611"/>
      <c r="DL325" s="56"/>
      <c r="DM325" s="56">
        <f>SUM(DM326:DM326)</f>
        <v>0</v>
      </c>
      <c r="DN325" s="56"/>
      <c r="DO325" s="56"/>
      <c r="DP325" s="611"/>
      <c r="DQ325" s="56"/>
      <c r="DR325" s="56">
        <f>SUM(DR326:DR326)</f>
        <v>0</v>
      </c>
      <c r="DS325" s="56"/>
      <c r="DT325" s="56"/>
      <c r="DU325" s="611"/>
      <c r="DV325" s="56"/>
      <c r="DW325" s="56">
        <f>SUM(DW326:DW326)</f>
        <v>0</v>
      </c>
      <c r="DX325" s="56"/>
      <c r="DY325" s="56"/>
      <c r="DZ325" s="611"/>
      <c r="EA325" s="56"/>
      <c r="EB325" s="56">
        <f>SUM(EB326:EB326)</f>
        <v>0</v>
      </c>
      <c r="EC325" s="56"/>
      <c r="ED325" s="56"/>
      <c r="EE325" s="611"/>
      <c r="EF325" s="56"/>
      <c r="EG325" s="56">
        <f>SUM(EG326:EG326)</f>
        <v>0</v>
      </c>
      <c r="EH325" s="56"/>
      <c r="EI325" s="56"/>
      <c r="EJ325" s="611"/>
      <c r="EK325" s="56"/>
      <c r="EL325" s="56">
        <f>SUM(EL326:EL326)</f>
        <v>0</v>
      </c>
      <c r="EM325" s="56"/>
      <c r="EN325" s="56"/>
      <c r="EO325" s="144"/>
      <c r="ER325" s="42"/>
      <c r="ES325" s="42"/>
    </row>
    <row r="326" spans="4:149" x14ac:dyDescent="0.3">
      <c r="D326" s="144" t="s">
        <v>335</v>
      </c>
      <c r="F326" s="614"/>
      <c r="G326" s="618">
        <v>994679</v>
      </c>
      <c r="H326" s="616"/>
      <c r="I326" s="56"/>
      <c r="J326" s="611"/>
      <c r="K326" s="617"/>
      <c r="L326" s="618">
        <v>0</v>
      </c>
      <c r="M326" s="616"/>
      <c r="N326" s="56"/>
      <c r="O326" s="611"/>
      <c r="P326" s="617"/>
      <c r="Q326" s="618">
        <v>0</v>
      </c>
      <c r="R326" s="616"/>
      <c r="S326" s="56"/>
      <c r="T326" s="611"/>
      <c r="U326" s="617"/>
      <c r="V326" s="618">
        <v>0</v>
      </c>
      <c r="W326" s="616"/>
      <c r="X326" s="56"/>
      <c r="Y326" s="611"/>
      <c r="Z326" s="617"/>
      <c r="AA326" s="618">
        <v>0</v>
      </c>
      <c r="AB326" s="616"/>
      <c r="AC326" s="56"/>
      <c r="AD326" s="611"/>
      <c r="AE326" s="617"/>
      <c r="AF326" s="618">
        <v>994679</v>
      </c>
      <c r="AG326" s="616"/>
      <c r="AH326" s="56"/>
      <c r="AI326" s="611"/>
      <c r="AJ326" s="617"/>
      <c r="AK326" s="618">
        <v>0</v>
      </c>
      <c r="AL326" s="616"/>
      <c r="AM326" s="56"/>
      <c r="AN326" s="611"/>
      <c r="AO326" s="617"/>
      <c r="AP326" s="618">
        <v>0</v>
      </c>
      <c r="AQ326" s="616"/>
      <c r="AR326" s="56"/>
      <c r="AS326" s="611"/>
      <c r="AT326" s="617"/>
      <c r="AU326" s="618">
        <v>200583</v>
      </c>
      <c r="AV326" s="616"/>
      <c r="AW326" s="56"/>
      <c r="AX326" s="611"/>
      <c r="AY326" s="617"/>
      <c r="AZ326" s="618">
        <v>0</v>
      </c>
      <c r="BA326" s="616"/>
      <c r="BB326" s="56"/>
      <c r="BC326" s="611"/>
      <c r="BD326" s="617"/>
      <c r="BE326" s="618">
        <v>0</v>
      </c>
      <c r="BF326" s="616"/>
      <c r="BG326" s="56"/>
      <c r="BH326" s="611"/>
      <c r="BI326" s="617"/>
      <c r="BJ326" s="618">
        <v>0</v>
      </c>
      <c r="BK326" s="616"/>
      <c r="BL326" s="56"/>
      <c r="BM326" s="611"/>
      <c r="BN326" s="617"/>
      <c r="BO326" s="618">
        <v>0</v>
      </c>
      <c r="BP326" s="616"/>
      <c r="BQ326" s="56"/>
      <c r="BR326" s="611"/>
      <c r="BS326" s="617"/>
      <c r="BT326" s="618">
        <f>SUM(L326:BO326)</f>
        <v>1195262</v>
      </c>
      <c r="BU326" s="616"/>
      <c r="BV326" s="56"/>
      <c r="BW326" s="611"/>
      <c r="BX326" s="617"/>
      <c r="BY326" s="618">
        <v>0</v>
      </c>
      <c r="BZ326" s="616"/>
      <c r="CA326" s="56"/>
      <c r="CB326" s="611"/>
      <c r="CC326" s="617"/>
      <c r="CD326" s="618">
        <v>0</v>
      </c>
      <c r="CE326" s="616"/>
      <c r="CF326" s="56"/>
      <c r="CG326" s="611"/>
      <c r="CH326" s="617"/>
      <c r="CI326" s="618">
        <v>0</v>
      </c>
      <c r="CJ326" s="616"/>
      <c r="CK326" s="56"/>
      <c r="CL326" s="611"/>
      <c r="CM326" s="617"/>
      <c r="CN326" s="618">
        <v>0</v>
      </c>
      <c r="CO326" s="616"/>
      <c r="CP326" s="56"/>
      <c r="CQ326" s="611"/>
      <c r="CR326" s="617"/>
      <c r="CS326" s="618">
        <v>0</v>
      </c>
      <c r="CT326" s="616"/>
      <c r="CU326" s="56"/>
      <c r="CV326" s="611"/>
      <c r="CW326" s="617"/>
      <c r="CX326" s="618">
        <v>0</v>
      </c>
      <c r="CY326" s="616"/>
      <c r="CZ326" s="56"/>
      <c r="DA326" s="611"/>
      <c r="DB326" s="617"/>
      <c r="DC326" s="618">
        <v>0</v>
      </c>
      <c r="DD326" s="616"/>
      <c r="DE326" s="56"/>
      <c r="DF326" s="611"/>
      <c r="DG326" s="617"/>
      <c r="DH326" s="618">
        <v>0</v>
      </c>
      <c r="DI326" s="616"/>
      <c r="DJ326" s="56"/>
      <c r="DK326" s="611"/>
      <c r="DL326" s="617"/>
      <c r="DM326" s="618">
        <v>0</v>
      </c>
      <c r="DN326" s="616"/>
      <c r="DO326" s="56"/>
      <c r="DP326" s="611"/>
      <c r="DQ326" s="617"/>
      <c r="DR326" s="618">
        <v>0</v>
      </c>
      <c r="DS326" s="616"/>
      <c r="DT326" s="56"/>
      <c r="DU326" s="611"/>
      <c r="DV326" s="617"/>
      <c r="DW326" s="618">
        <v>0</v>
      </c>
      <c r="DX326" s="616"/>
      <c r="DY326" s="56"/>
      <c r="DZ326" s="611"/>
      <c r="EA326" s="617"/>
      <c r="EB326" s="618">
        <v>0</v>
      </c>
      <c r="EC326" s="616"/>
      <c r="ED326" s="56"/>
      <c r="EE326" s="611"/>
      <c r="EF326" s="617"/>
      <c r="EG326" s="618">
        <v>0</v>
      </c>
      <c r="EH326" s="616"/>
      <c r="EI326" s="56"/>
      <c r="EJ326" s="611"/>
      <c r="EK326" s="617"/>
      <c r="EL326" s="618">
        <f t="shared" ref="EL326" si="30">SUM(CD326:DW326)</f>
        <v>0</v>
      </c>
      <c r="EM326" s="616"/>
      <c r="EN326" s="56"/>
      <c r="EO326" s="144"/>
      <c r="ER326" s="42"/>
      <c r="ES326" s="42"/>
    </row>
    <row r="327" spans="4:149" x14ac:dyDescent="0.3">
      <c r="D327" s="144"/>
      <c r="G327" s="56"/>
      <c r="H327" s="56"/>
      <c r="I327" s="56"/>
      <c r="J327" s="611"/>
      <c r="K327" s="56"/>
      <c r="L327" s="56"/>
      <c r="M327" s="56"/>
      <c r="N327" s="56"/>
      <c r="O327" s="611"/>
      <c r="P327" s="56"/>
      <c r="Q327" s="56"/>
      <c r="R327" s="56"/>
      <c r="S327" s="56"/>
      <c r="T327" s="611"/>
      <c r="U327" s="56"/>
      <c r="V327" s="56"/>
      <c r="W327" s="56"/>
      <c r="X327" s="56"/>
      <c r="Y327" s="611"/>
      <c r="Z327" s="56"/>
      <c r="AA327" s="56"/>
      <c r="AB327" s="56"/>
      <c r="AC327" s="56"/>
      <c r="AD327" s="611"/>
      <c r="AE327" s="56"/>
      <c r="AF327" s="56"/>
      <c r="AG327" s="56"/>
      <c r="AH327" s="56"/>
      <c r="AI327" s="611"/>
      <c r="AJ327" s="56"/>
      <c r="AK327" s="56"/>
      <c r="AL327" s="56"/>
      <c r="AM327" s="56"/>
      <c r="AN327" s="611"/>
      <c r="AO327" s="56"/>
      <c r="AP327" s="56"/>
      <c r="AQ327" s="56"/>
      <c r="AR327" s="56"/>
      <c r="AS327" s="611"/>
      <c r="AT327" s="56"/>
      <c r="AU327" s="56"/>
      <c r="AV327" s="56"/>
      <c r="AW327" s="56"/>
      <c r="AX327" s="611"/>
      <c r="AY327" s="56"/>
      <c r="AZ327" s="56"/>
      <c r="BA327" s="56"/>
      <c r="BB327" s="56"/>
      <c r="BC327" s="611"/>
      <c r="BD327" s="56"/>
      <c r="BE327" s="56"/>
      <c r="BF327" s="56"/>
      <c r="BG327" s="56"/>
      <c r="BH327" s="611"/>
      <c r="BI327" s="56"/>
      <c r="BJ327" s="56"/>
      <c r="BK327" s="56"/>
      <c r="BL327" s="56"/>
      <c r="BM327" s="611"/>
      <c r="BN327" s="56"/>
      <c r="BO327" s="56"/>
      <c r="BP327" s="56"/>
      <c r="BQ327" s="56"/>
      <c r="BR327" s="611"/>
      <c r="BS327" s="56"/>
      <c r="BT327" s="56"/>
      <c r="BU327" s="56"/>
      <c r="BV327" s="56"/>
      <c r="BW327" s="611"/>
      <c r="BX327" s="56"/>
      <c r="BY327" s="56"/>
      <c r="BZ327" s="56"/>
      <c r="CA327" s="56"/>
      <c r="CB327" s="611"/>
      <c r="CC327" s="56"/>
      <c r="CD327" s="644"/>
      <c r="CE327" s="644"/>
      <c r="CF327" s="644"/>
      <c r="CG327" s="645"/>
      <c r="CH327" s="644"/>
      <c r="CI327" s="644"/>
      <c r="CJ327" s="644"/>
      <c r="CK327" s="644"/>
      <c r="CL327" s="645"/>
      <c r="CM327" s="644"/>
      <c r="CN327" s="644"/>
      <c r="CO327" s="644"/>
      <c r="CP327" s="644"/>
      <c r="CQ327" s="645"/>
      <c r="CR327" s="644"/>
      <c r="CS327" s="644"/>
      <c r="CT327" s="644"/>
      <c r="CU327" s="644"/>
      <c r="CV327" s="645"/>
      <c r="CW327" s="644"/>
      <c r="CX327" s="644"/>
      <c r="CY327" s="644"/>
      <c r="CZ327" s="644"/>
      <c r="DA327" s="645"/>
      <c r="DB327" s="644"/>
      <c r="DC327" s="644"/>
      <c r="DD327" s="644"/>
      <c r="DE327" s="644"/>
      <c r="DF327" s="645"/>
      <c r="DG327" s="644"/>
      <c r="DH327" s="644"/>
      <c r="DI327" s="644"/>
      <c r="DJ327" s="644"/>
      <c r="DK327" s="645"/>
      <c r="DL327" s="644"/>
      <c r="DM327" s="644"/>
      <c r="DN327" s="644"/>
      <c r="DO327" s="644"/>
      <c r="DP327" s="645"/>
      <c r="DQ327" s="644"/>
      <c r="DR327" s="644"/>
      <c r="DS327" s="644"/>
      <c r="DT327" s="644"/>
      <c r="DU327" s="645"/>
      <c r="DV327" s="644"/>
      <c r="DW327" s="644"/>
      <c r="DX327" s="644"/>
      <c r="DY327" s="644"/>
      <c r="DZ327" s="645"/>
      <c r="EA327" s="644"/>
      <c r="EB327" s="644"/>
      <c r="EC327" s="644"/>
      <c r="ED327" s="644"/>
      <c r="EE327" s="645"/>
      <c r="EF327" s="644"/>
      <c r="EG327" s="644"/>
      <c r="EH327" s="56"/>
      <c r="EI327" s="56"/>
      <c r="EJ327" s="611"/>
      <c r="EK327" s="56"/>
      <c r="EL327" s="56"/>
      <c r="EM327" s="56"/>
      <c r="EN327" s="56"/>
      <c r="EO327" s="144"/>
      <c r="ER327" s="42"/>
      <c r="ES327" s="42"/>
    </row>
    <row r="328" spans="4:149" ht="12.75" customHeight="1" x14ac:dyDescent="0.3">
      <c r="D328" s="144" t="s">
        <v>343</v>
      </c>
      <c r="G328" s="56">
        <f>SUM(G329:G329)</f>
        <v>95339</v>
      </c>
      <c r="H328" s="56"/>
      <c r="I328" s="56"/>
      <c r="J328" s="611"/>
      <c r="K328" s="56"/>
      <c r="L328" s="56">
        <f>SUM(L329:L329)</f>
        <v>0</v>
      </c>
      <c r="M328" s="56"/>
      <c r="N328" s="56"/>
      <c r="O328" s="611"/>
      <c r="P328" s="56"/>
      <c r="Q328" s="56">
        <f>SUM(Q329:Q329)</f>
        <v>0</v>
      </c>
      <c r="R328" s="56"/>
      <c r="S328" s="56"/>
      <c r="T328" s="611"/>
      <c r="U328" s="56"/>
      <c r="V328" s="56">
        <f>SUM(V329:V329)</f>
        <v>0</v>
      </c>
      <c r="W328" s="56"/>
      <c r="X328" s="56"/>
      <c r="Y328" s="611"/>
      <c r="Z328" s="56"/>
      <c r="AA328" s="56">
        <f>SUM(AA329:AA329)</f>
        <v>95339</v>
      </c>
      <c r="AB328" s="56"/>
      <c r="AC328" s="56"/>
      <c r="AD328" s="611"/>
      <c r="AE328" s="56"/>
      <c r="AF328" s="56">
        <f>SUM(AF329:AF329)</f>
        <v>0</v>
      </c>
      <c r="AG328" s="56"/>
      <c r="AH328" s="56"/>
      <c r="AI328" s="611"/>
      <c r="AJ328" s="56"/>
      <c r="AK328" s="56">
        <f>SUM(AK329:AK329)</f>
        <v>0</v>
      </c>
      <c r="AL328" s="56"/>
      <c r="AM328" s="56"/>
      <c r="AN328" s="611"/>
      <c r="AO328" s="56"/>
      <c r="AP328" s="56">
        <f>SUM(AP329:AP329)</f>
        <v>0</v>
      </c>
      <c r="AQ328" s="56"/>
      <c r="AR328" s="56"/>
      <c r="AS328" s="611"/>
      <c r="AT328" s="56"/>
      <c r="AU328" s="56">
        <f>SUM(AU329:AU329)</f>
        <v>0</v>
      </c>
      <c r="AV328" s="56"/>
      <c r="AW328" s="56"/>
      <c r="AX328" s="611"/>
      <c r="AY328" s="56"/>
      <c r="AZ328" s="56">
        <f>SUM(AZ329:AZ329)</f>
        <v>0</v>
      </c>
      <c r="BA328" s="56"/>
      <c r="BB328" s="56"/>
      <c r="BC328" s="611"/>
      <c r="BD328" s="56"/>
      <c r="BE328" s="56">
        <f>SUM(BE329:BE329)</f>
        <v>29969</v>
      </c>
      <c r="BF328" s="56"/>
      <c r="BG328" s="56"/>
      <c r="BH328" s="611"/>
      <c r="BI328" s="56"/>
      <c r="BJ328" s="56">
        <f>SUM(BJ329:BJ329)</f>
        <v>0</v>
      </c>
      <c r="BK328" s="56"/>
      <c r="BL328" s="56"/>
      <c r="BM328" s="611"/>
      <c r="BN328" s="56"/>
      <c r="BO328" s="56">
        <f>SUM(BO329:BO329)</f>
        <v>0</v>
      </c>
      <c r="BP328" s="56"/>
      <c r="BQ328" s="56"/>
      <c r="BR328" s="611"/>
      <c r="BS328" s="56"/>
      <c r="BT328" s="56">
        <f>SUM(BT329:BT329)</f>
        <v>125308</v>
      </c>
      <c r="BU328" s="56"/>
      <c r="BV328" s="56"/>
      <c r="BW328" s="611"/>
      <c r="BX328" s="56"/>
      <c r="BY328" s="56">
        <f>SUM(BY329:BY329)</f>
        <v>1390857</v>
      </c>
      <c r="BZ328" s="56"/>
      <c r="CA328" s="56"/>
      <c r="CB328" s="611"/>
      <c r="CC328" s="56"/>
      <c r="CD328" s="56">
        <f>SUM(CD329:CD329)</f>
        <v>0</v>
      </c>
      <c r="CE328" s="56"/>
      <c r="CF328" s="56"/>
      <c r="CG328" s="611"/>
      <c r="CH328" s="56"/>
      <c r="CI328" s="56">
        <f>SUM(CI329:CI329)</f>
        <v>0</v>
      </c>
      <c r="CJ328" s="56"/>
      <c r="CK328" s="56"/>
      <c r="CL328" s="611"/>
      <c r="CM328" s="56"/>
      <c r="CN328" s="56">
        <f>SUM(CN329:CN329)</f>
        <v>743035</v>
      </c>
      <c r="CO328" s="56"/>
      <c r="CP328" s="56"/>
      <c r="CQ328" s="611"/>
      <c r="CR328" s="56"/>
      <c r="CS328" s="56">
        <f>SUM(CS329:CS329)</f>
        <v>113087</v>
      </c>
      <c r="CT328" s="56"/>
      <c r="CU328" s="56"/>
      <c r="CV328" s="611"/>
      <c r="CW328" s="56"/>
      <c r="CX328" s="56">
        <f>SUM(CX329:CX329)</f>
        <v>0</v>
      </c>
      <c r="CY328" s="56"/>
      <c r="CZ328" s="56"/>
      <c r="DA328" s="611"/>
      <c r="DB328" s="56"/>
      <c r="DC328" s="56">
        <f>SUM(DC329:DC329)</f>
        <v>27624</v>
      </c>
      <c r="DD328" s="56"/>
      <c r="DE328" s="56"/>
      <c r="DF328" s="611"/>
      <c r="DG328" s="56"/>
      <c r="DH328" s="56">
        <f>SUM(DH329:DH329)</f>
        <v>0</v>
      </c>
      <c r="DI328" s="56"/>
      <c r="DJ328" s="56"/>
      <c r="DK328" s="611"/>
      <c r="DL328" s="56"/>
      <c r="DM328" s="56">
        <f>SUM(DM329:DM329)</f>
        <v>171068</v>
      </c>
      <c r="DN328" s="56"/>
      <c r="DO328" s="56"/>
      <c r="DP328" s="611"/>
      <c r="DQ328" s="56"/>
      <c r="DR328" s="56">
        <f>SUM(DR329:DR329)</f>
        <v>0</v>
      </c>
      <c r="DS328" s="56"/>
      <c r="DT328" s="56"/>
      <c r="DU328" s="611"/>
      <c r="DV328" s="56"/>
      <c r="DW328" s="56">
        <f>SUM(DW329:DW329)</f>
        <v>0</v>
      </c>
      <c r="DX328" s="56"/>
      <c r="DY328" s="56"/>
      <c r="DZ328" s="611"/>
      <c r="EA328" s="56"/>
      <c r="EB328" s="56">
        <f>SUM(EB329:EB329)</f>
        <v>248416</v>
      </c>
      <c r="EC328" s="56"/>
      <c r="ED328" s="56"/>
      <c r="EE328" s="611"/>
      <c r="EF328" s="56"/>
      <c r="EG328" s="56">
        <f>SUM(EG329:EG329)</f>
        <v>87627</v>
      </c>
      <c r="EH328" s="56"/>
      <c r="EI328" s="56"/>
      <c r="EJ328" s="611"/>
      <c r="EK328" s="56"/>
      <c r="EL328" s="56">
        <f>SUM(EL329:EL329)</f>
        <v>1054814</v>
      </c>
      <c r="EM328" s="56"/>
      <c r="EN328" s="56"/>
      <c r="EO328" s="144"/>
      <c r="ER328" s="42"/>
      <c r="ES328" s="42"/>
    </row>
    <row r="329" spans="4:149" ht="12.75" customHeight="1" x14ac:dyDescent="0.3">
      <c r="D329" s="144" t="s">
        <v>335</v>
      </c>
      <c r="F329" s="614"/>
      <c r="G329" s="646">
        <v>95339</v>
      </c>
      <c r="H329" s="616"/>
      <c r="I329" s="56"/>
      <c r="J329" s="611"/>
      <c r="K329" s="617"/>
      <c r="L329" s="646">
        <v>0</v>
      </c>
      <c r="M329" s="616"/>
      <c r="N329" s="56"/>
      <c r="O329" s="611"/>
      <c r="P329" s="617"/>
      <c r="Q329" s="646">
        <v>0</v>
      </c>
      <c r="R329" s="616"/>
      <c r="S329" s="56"/>
      <c r="T329" s="611"/>
      <c r="U329" s="617"/>
      <c r="V329" s="646">
        <v>0</v>
      </c>
      <c r="W329" s="616"/>
      <c r="X329" s="55"/>
      <c r="Y329" s="611"/>
      <c r="Z329" s="617"/>
      <c r="AA329" s="646">
        <v>95339</v>
      </c>
      <c r="AB329" s="616"/>
      <c r="AC329" s="52"/>
      <c r="AD329" s="611"/>
      <c r="AE329" s="617"/>
      <c r="AF329" s="646">
        <v>0</v>
      </c>
      <c r="AG329" s="616"/>
      <c r="AH329" s="56"/>
      <c r="AI329" s="611"/>
      <c r="AJ329" s="617"/>
      <c r="AK329" s="646">
        <v>0</v>
      </c>
      <c r="AL329" s="616"/>
      <c r="AM329" s="56"/>
      <c r="AN329" s="611"/>
      <c r="AO329" s="617"/>
      <c r="AP329" s="646">
        <v>0</v>
      </c>
      <c r="AQ329" s="616"/>
      <c r="AR329" s="56"/>
      <c r="AS329" s="611"/>
      <c r="AT329" s="617"/>
      <c r="AU329" s="646">
        <v>0</v>
      </c>
      <c r="AV329" s="616"/>
      <c r="AW329" s="56"/>
      <c r="AX329" s="611"/>
      <c r="AY329" s="617"/>
      <c r="AZ329" s="646">
        <v>0</v>
      </c>
      <c r="BA329" s="616"/>
      <c r="BB329" s="56"/>
      <c r="BC329" s="611"/>
      <c r="BD329" s="617"/>
      <c r="BE329" s="646">
        <v>29969</v>
      </c>
      <c r="BF329" s="616"/>
      <c r="BG329" s="56"/>
      <c r="BH329" s="611"/>
      <c r="BI329" s="617"/>
      <c r="BJ329" s="646">
        <v>0</v>
      </c>
      <c r="BK329" s="616"/>
      <c r="BL329" s="56"/>
      <c r="BM329" s="611"/>
      <c r="BN329" s="617"/>
      <c r="BO329" s="646">
        <v>0</v>
      </c>
      <c r="BP329" s="616"/>
      <c r="BQ329" s="56"/>
      <c r="BR329" s="611"/>
      <c r="BS329" s="614"/>
      <c r="BT329" s="646">
        <f>SUM(L329:BO329)</f>
        <v>125308</v>
      </c>
      <c r="BU329" s="616"/>
      <c r="BV329" s="56"/>
      <c r="BW329" s="52"/>
      <c r="BX329" s="614"/>
      <c r="BY329" s="646">
        <v>1390857</v>
      </c>
      <c r="BZ329" s="616"/>
      <c r="CA329" s="56"/>
      <c r="CB329" s="611"/>
      <c r="CC329" s="617"/>
      <c r="CD329" s="618">
        <v>0</v>
      </c>
      <c r="CE329" s="616"/>
      <c r="CF329" s="56"/>
      <c r="CG329" s="611"/>
      <c r="CH329" s="617"/>
      <c r="CI329" s="618">
        <v>0</v>
      </c>
      <c r="CJ329" s="616"/>
      <c r="CK329" s="56"/>
      <c r="CL329" s="611"/>
      <c r="CM329" s="617"/>
      <c r="CN329" s="618">
        <v>743035</v>
      </c>
      <c r="CO329" s="616"/>
      <c r="CP329" s="56"/>
      <c r="CQ329" s="611"/>
      <c r="CR329" s="617"/>
      <c r="CS329" s="618">
        <v>113087</v>
      </c>
      <c r="CT329" s="616"/>
      <c r="CU329" s="56"/>
      <c r="CV329" s="611"/>
      <c r="CW329" s="617"/>
      <c r="CX329" s="618">
        <v>0</v>
      </c>
      <c r="CY329" s="616"/>
      <c r="CZ329" s="56"/>
      <c r="DA329" s="611"/>
      <c r="DB329" s="617"/>
      <c r="DC329" s="618">
        <v>27624</v>
      </c>
      <c r="DD329" s="616"/>
      <c r="DE329" s="56"/>
      <c r="DF329" s="611"/>
      <c r="DG329" s="617"/>
      <c r="DH329" s="618">
        <v>0</v>
      </c>
      <c r="DI329" s="616"/>
      <c r="DJ329" s="56"/>
      <c r="DK329" s="611"/>
      <c r="DL329" s="617"/>
      <c r="DM329" s="618">
        <v>171068</v>
      </c>
      <c r="DN329" s="616"/>
      <c r="DO329" s="56"/>
      <c r="DP329" s="611"/>
      <c r="DQ329" s="617"/>
      <c r="DR329" s="618">
        <v>0</v>
      </c>
      <c r="DS329" s="616"/>
      <c r="DT329" s="56"/>
      <c r="DU329" s="611"/>
      <c r="DV329" s="617"/>
      <c r="DW329" s="618">
        <v>0</v>
      </c>
      <c r="DX329" s="616"/>
      <c r="DY329" s="56"/>
      <c r="DZ329" s="611"/>
      <c r="EA329" s="617"/>
      <c r="EB329" s="618">
        <v>248416</v>
      </c>
      <c r="EC329" s="616"/>
      <c r="ED329" s="56"/>
      <c r="EE329" s="611"/>
      <c r="EF329" s="617"/>
      <c r="EG329" s="618">
        <v>87627</v>
      </c>
      <c r="EH329" s="616"/>
      <c r="EI329" s="56"/>
      <c r="EJ329" s="611"/>
      <c r="EK329" s="617"/>
      <c r="EL329" s="646">
        <f t="shared" ref="EL329" si="31">SUM(CD329:DW329)</f>
        <v>1054814</v>
      </c>
      <c r="EM329" s="616"/>
      <c r="EN329" s="647"/>
      <c r="EO329" s="144"/>
      <c r="ER329" s="42"/>
      <c r="ES329" s="42"/>
    </row>
    <row r="330" spans="4:149" ht="12.75" customHeight="1" x14ac:dyDescent="0.3">
      <c r="D330" s="144"/>
      <c r="G330" s="56"/>
      <c r="H330" s="56"/>
      <c r="I330" s="56"/>
      <c r="J330" s="611"/>
      <c r="K330" s="56"/>
      <c r="L330" s="56"/>
      <c r="M330" s="56"/>
      <c r="N330" s="56"/>
      <c r="O330" s="611"/>
      <c r="P330" s="56"/>
      <c r="Q330" s="56"/>
      <c r="R330" s="56"/>
      <c r="S330" s="56"/>
      <c r="T330" s="611"/>
      <c r="U330" s="56"/>
      <c r="V330" s="56"/>
      <c r="W330" s="56"/>
      <c r="X330" s="56"/>
      <c r="Y330" s="611"/>
      <c r="Z330" s="56"/>
      <c r="AA330" s="56"/>
      <c r="AB330" s="56"/>
      <c r="AC330" s="56"/>
      <c r="AD330" s="611"/>
      <c r="AE330" s="56"/>
      <c r="AF330" s="56"/>
      <c r="AG330" s="56"/>
      <c r="AH330" s="56"/>
      <c r="AI330" s="611"/>
      <c r="AJ330" s="56"/>
      <c r="AK330" s="56"/>
      <c r="AL330" s="56"/>
      <c r="AM330" s="56"/>
      <c r="AN330" s="611"/>
      <c r="AO330" s="56"/>
      <c r="AP330" s="56"/>
      <c r="AQ330" s="56"/>
      <c r="AR330" s="56"/>
      <c r="AS330" s="611"/>
      <c r="AT330" s="56"/>
      <c r="AU330" s="56"/>
      <c r="AV330" s="56"/>
      <c r="AW330" s="56"/>
      <c r="AX330" s="611"/>
      <c r="AY330" s="56"/>
      <c r="AZ330" s="56"/>
      <c r="BA330" s="56"/>
      <c r="BB330" s="56"/>
      <c r="BC330" s="611"/>
      <c r="BD330" s="56"/>
      <c r="BE330" s="56"/>
      <c r="BF330" s="56"/>
      <c r="BG330" s="56"/>
      <c r="BH330" s="611"/>
      <c r="BI330" s="56"/>
      <c r="BJ330" s="56"/>
      <c r="BK330" s="56"/>
      <c r="BL330" s="56"/>
      <c r="BM330" s="611"/>
      <c r="BN330" s="56"/>
      <c r="BO330" s="56"/>
      <c r="BP330" s="56"/>
      <c r="BQ330" s="56"/>
      <c r="BR330" s="611"/>
      <c r="BS330" s="56"/>
      <c r="BT330" s="56"/>
      <c r="BU330" s="56"/>
      <c r="BV330" s="56"/>
      <c r="BW330" s="611"/>
      <c r="BX330" s="56"/>
      <c r="BY330" s="56"/>
      <c r="BZ330" s="56"/>
      <c r="CA330" s="56"/>
      <c r="CB330" s="611"/>
      <c r="CC330" s="56"/>
      <c r="CD330" s="644"/>
      <c r="CE330" s="644"/>
      <c r="CF330" s="644"/>
      <c r="CG330" s="645"/>
      <c r="CH330" s="644"/>
      <c r="CI330" s="644"/>
      <c r="CJ330" s="644"/>
      <c r="CK330" s="644"/>
      <c r="CL330" s="645"/>
      <c r="CM330" s="644"/>
      <c r="CN330" s="644"/>
      <c r="CO330" s="644"/>
      <c r="CP330" s="644"/>
      <c r="CQ330" s="645"/>
      <c r="CR330" s="644"/>
      <c r="CS330" s="644"/>
      <c r="CT330" s="644"/>
      <c r="CU330" s="644"/>
      <c r="CV330" s="645"/>
      <c r="CW330" s="644"/>
      <c r="CX330" s="644"/>
      <c r="CY330" s="644"/>
      <c r="CZ330" s="644"/>
      <c r="DA330" s="645"/>
      <c r="DB330" s="644"/>
      <c r="DC330" s="644"/>
      <c r="DD330" s="644"/>
      <c r="DE330" s="644"/>
      <c r="DF330" s="645"/>
      <c r="DG330" s="644"/>
      <c r="DH330" s="644"/>
      <c r="DI330" s="644"/>
      <c r="DJ330" s="644"/>
      <c r="DK330" s="645"/>
      <c r="DL330" s="644"/>
      <c r="DM330" s="644"/>
      <c r="DN330" s="644"/>
      <c r="DO330" s="644"/>
      <c r="DP330" s="645"/>
      <c r="DQ330" s="644"/>
      <c r="DR330" s="644"/>
      <c r="DS330" s="644"/>
      <c r="DT330" s="644"/>
      <c r="DU330" s="645"/>
      <c r="DV330" s="644"/>
      <c r="DW330" s="644"/>
      <c r="DX330" s="644"/>
      <c r="DY330" s="644"/>
      <c r="DZ330" s="645"/>
      <c r="EA330" s="644"/>
      <c r="EB330" s="644"/>
      <c r="EC330" s="644"/>
      <c r="ED330" s="644"/>
      <c r="EE330" s="645"/>
      <c r="EF330" s="644"/>
      <c r="EG330" s="644"/>
      <c r="EH330" s="56"/>
      <c r="EI330" s="56"/>
      <c r="EJ330" s="611"/>
      <c r="EK330" s="56"/>
      <c r="EL330" s="56"/>
      <c r="EM330" s="56"/>
      <c r="EN330" s="56"/>
      <c r="EO330" s="144"/>
      <c r="ER330" s="42"/>
      <c r="ES330" s="42"/>
    </row>
    <row r="331" spans="4:149" x14ac:dyDescent="0.3">
      <c r="D331" s="144" t="s">
        <v>344</v>
      </c>
      <c r="G331" s="56">
        <f>SUM(G332:G332)</f>
        <v>161641</v>
      </c>
      <c r="H331" s="56"/>
      <c r="I331" s="56"/>
      <c r="J331" s="611"/>
      <c r="K331" s="56"/>
      <c r="L331" s="56">
        <f>SUM(L332:L332)</f>
        <v>161641</v>
      </c>
      <c r="M331" s="56"/>
      <c r="N331" s="56"/>
      <c r="O331" s="611"/>
      <c r="P331" s="56"/>
      <c r="Q331" s="56">
        <f>SUM(Q332:Q332)</f>
        <v>0</v>
      </c>
      <c r="R331" s="56"/>
      <c r="S331" s="56"/>
      <c r="T331" s="611"/>
      <c r="U331" s="56"/>
      <c r="V331" s="56">
        <f>SUM(V332:V332)</f>
        <v>0</v>
      </c>
      <c r="W331" s="56"/>
      <c r="X331" s="56"/>
      <c r="Y331" s="611"/>
      <c r="Z331" s="56"/>
      <c r="AA331" s="56">
        <f>SUM(AA332:AA332)</f>
        <v>0</v>
      </c>
      <c r="AB331" s="56"/>
      <c r="AC331" s="56"/>
      <c r="AD331" s="611"/>
      <c r="AE331" s="56"/>
      <c r="AF331" s="56">
        <f>SUM(AF332:AF332)</f>
        <v>0</v>
      </c>
      <c r="AG331" s="56"/>
      <c r="AH331" s="56"/>
      <c r="AI331" s="611"/>
      <c r="AJ331" s="56"/>
      <c r="AK331" s="56">
        <f>SUM(AK332:AK332)</f>
        <v>0</v>
      </c>
      <c r="AL331" s="56"/>
      <c r="AM331" s="56"/>
      <c r="AN331" s="611"/>
      <c r="AO331" s="56"/>
      <c r="AP331" s="56">
        <f>SUM(AP332:AP332)</f>
        <v>281536</v>
      </c>
      <c r="AQ331" s="56"/>
      <c r="AR331" s="56"/>
      <c r="AS331" s="611"/>
      <c r="AT331" s="56"/>
      <c r="AU331" s="56">
        <f>SUM(AU332:AU332)</f>
        <v>0</v>
      </c>
      <c r="AV331" s="56"/>
      <c r="AW331" s="56"/>
      <c r="AX331" s="611"/>
      <c r="AY331" s="56"/>
      <c r="AZ331" s="56">
        <f>SUM(AZ332:AZ332)</f>
        <v>0</v>
      </c>
      <c r="BA331" s="56"/>
      <c r="BB331" s="56"/>
      <c r="BC331" s="611"/>
      <c r="BD331" s="56"/>
      <c r="BE331" s="56">
        <f>SUM(BE332:BE332)</f>
        <v>0</v>
      </c>
      <c r="BF331" s="56"/>
      <c r="BG331" s="56"/>
      <c r="BH331" s="611"/>
      <c r="BI331" s="56"/>
      <c r="BJ331" s="56">
        <f>SUM(BJ332:BJ332)</f>
        <v>0</v>
      </c>
      <c r="BK331" s="56"/>
      <c r="BL331" s="56"/>
      <c r="BM331" s="611"/>
      <c r="BN331" s="56"/>
      <c r="BO331" s="56">
        <f>SUM(BO332:BO332)</f>
        <v>0</v>
      </c>
      <c r="BP331" s="56"/>
      <c r="BQ331" s="56"/>
      <c r="BR331" s="611"/>
      <c r="BS331" s="56"/>
      <c r="BT331" s="56">
        <f>SUM(BT332:BT332)</f>
        <v>443177</v>
      </c>
      <c r="BU331" s="56"/>
      <c r="BV331" s="56"/>
      <c r="BW331" s="611"/>
      <c r="BX331" s="56"/>
      <c r="BY331" s="56">
        <f>SUM(BY332:BY332)</f>
        <v>482070</v>
      </c>
      <c r="BZ331" s="56"/>
      <c r="CA331" s="56"/>
      <c r="CB331" s="611"/>
      <c r="CC331" s="56"/>
      <c r="CD331" s="56">
        <f>SUM(CD332:CD332)</f>
        <v>0</v>
      </c>
      <c r="CE331" s="56"/>
      <c r="CF331" s="56"/>
      <c r="CG331" s="611"/>
      <c r="CH331" s="56"/>
      <c r="CI331" s="56">
        <f>SUM(CI332:CI332)</f>
        <v>0</v>
      </c>
      <c r="CJ331" s="56"/>
      <c r="CK331" s="56"/>
      <c r="CL331" s="611"/>
      <c r="CM331" s="56"/>
      <c r="CN331" s="56">
        <f>SUM(CN332:CN332)</f>
        <v>0</v>
      </c>
      <c r="CO331" s="56"/>
      <c r="CP331" s="56"/>
      <c r="CQ331" s="611"/>
      <c r="CR331" s="56"/>
      <c r="CS331" s="56">
        <f>SUM(CS332:CS332)</f>
        <v>0</v>
      </c>
      <c r="CT331" s="56"/>
      <c r="CU331" s="56"/>
      <c r="CV331" s="611"/>
      <c r="CW331" s="56"/>
      <c r="CX331" s="56">
        <f>SUM(CX332:CX332)</f>
        <v>0</v>
      </c>
      <c r="CY331" s="56"/>
      <c r="CZ331" s="56"/>
      <c r="DA331" s="611"/>
      <c r="DB331" s="56"/>
      <c r="DC331" s="56">
        <f>SUM(DC332:DC332)</f>
        <v>0</v>
      </c>
      <c r="DD331" s="56"/>
      <c r="DE331" s="56"/>
      <c r="DF331" s="611"/>
      <c r="DG331" s="56"/>
      <c r="DH331" s="56">
        <f>SUM(DH332:DH332)</f>
        <v>425997</v>
      </c>
      <c r="DI331" s="56"/>
      <c r="DJ331" s="56"/>
      <c r="DK331" s="611"/>
      <c r="DL331" s="56"/>
      <c r="DM331" s="56">
        <f>SUM(DM332:DM332)</f>
        <v>0</v>
      </c>
      <c r="DN331" s="56"/>
      <c r="DO331" s="56"/>
      <c r="DP331" s="611"/>
      <c r="DQ331" s="56"/>
      <c r="DR331" s="56">
        <f>SUM(DR332:DR332)</f>
        <v>0</v>
      </c>
      <c r="DS331" s="56"/>
      <c r="DT331" s="56"/>
      <c r="DU331" s="611"/>
      <c r="DV331" s="56"/>
      <c r="DW331" s="56">
        <f>SUM(DW332:DW332)</f>
        <v>0</v>
      </c>
      <c r="DX331" s="56"/>
      <c r="DY331" s="56"/>
      <c r="DZ331" s="611"/>
      <c r="EA331" s="56"/>
      <c r="EB331" s="56">
        <f>SUM(EB332:EB332)</f>
        <v>56073</v>
      </c>
      <c r="EC331" s="56"/>
      <c r="ED331" s="56"/>
      <c r="EE331" s="611"/>
      <c r="EF331" s="56"/>
      <c r="EG331" s="56">
        <f>SUM(EG332:EG332)</f>
        <v>0</v>
      </c>
      <c r="EH331" s="56"/>
      <c r="EI331" s="56"/>
      <c r="EJ331" s="611"/>
      <c r="EK331" s="56"/>
      <c r="EL331" s="56">
        <f>SUM(EL332:EL332)</f>
        <v>425997</v>
      </c>
      <c r="EM331" s="56"/>
      <c r="EN331" s="56"/>
      <c r="EO331" s="144"/>
      <c r="ER331" s="42"/>
      <c r="ES331" s="42"/>
    </row>
    <row r="332" spans="4:149" x14ac:dyDescent="0.3">
      <c r="D332" s="144" t="s">
        <v>335</v>
      </c>
      <c r="F332" s="614"/>
      <c r="G332" s="646">
        <v>161641</v>
      </c>
      <c r="H332" s="616"/>
      <c r="I332" s="56"/>
      <c r="J332" s="611"/>
      <c r="K332" s="617"/>
      <c r="L332" s="646">
        <v>161641</v>
      </c>
      <c r="M332" s="616"/>
      <c r="N332" s="56"/>
      <c r="O332" s="611"/>
      <c r="P332" s="617"/>
      <c r="Q332" s="646">
        <v>0</v>
      </c>
      <c r="R332" s="616"/>
      <c r="S332" s="56"/>
      <c r="T332" s="611"/>
      <c r="U332" s="617"/>
      <c r="V332" s="646">
        <v>0</v>
      </c>
      <c r="W332" s="616"/>
      <c r="X332" s="55"/>
      <c r="Y332" s="611"/>
      <c r="Z332" s="617"/>
      <c r="AA332" s="646">
        <v>0</v>
      </c>
      <c r="AB332" s="616"/>
      <c r="AC332" s="52"/>
      <c r="AD332" s="611"/>
      <c r="AE332" s="617"/>
      <c r="AF332" s="646">
        <v>0</v>
      </c>
      <c r="AG332" s="616"/>
      <c r="AH332" s="56"/>
      <c r="AI332" s="611"/>
      <c r="AJ332" s="617"/>
      <c r="AK332" s="646">
        <v>0</v>
      </c>
      <c r="AL332" s="616"/>
      <c r="AM332" s="56"/>
      <c r="AN332" s="611"/>
      <c r="AO332" s="617"/>
      <c r="AP332" s="646">
        <v>281536</v>
      </c>
      <c r="AQ332" s="616"/>
      <c r="AR332" s="56"/>
      <c r="AS332" s="611"/>
      <c r="AT332" s="617"/>
      <c r="AU332" s="646">
        <v>0</v>
      </c>
      <c r="AV332" s="616"/>
      <c r="AW332" s="56"/>
      <c r="AX332" s="611"/>
      <c r="AY332" s="617"/>
      <c r="AZ332" s="646">
        <v>0</v>
      </c>
      <c r="BA332" s="616"/>
      <c r="BB332" s="56"/>
      <c r="BC332" s="611"/>
      <c r="BD332" s="617"/>
      <c r="BE332" s="646">
        <v>0</v>
      </c>
      <c r="BF332" s="616"/>
      <c r="BG332" s="56"/>
      <c r="BH332" s="611"/>
      <c r="BI332" s="617"/>
      <c r="BJ332" s="646">
        <v>0</v>
      </c>
      <c r="BK332" s="616"/>
      <c r="BL332" s="56"/>
      <c r="BM332" s="611"/>
      <c r="BN332" s="617"/>
      <c r="BO332" s="646">
        <v>0</v>
      </c>
      <c r="BP332" s="616"/>
      <c r="BQ332" s="56"/>
      <c r="BR332" s="611"/>
      <c r="BS332" s="614">
        <v>54207</v>
      </c>
      <c r="BT332" s="646">
        <f>SUM(L332:BO332)</f>
        <v>443177</v>
      </c>
      <c r="BU332" s="616">
        <v>0</v>
      </c>
      <c r="BV332" s="56"/>
      <c r="BW332" s="52"/>
      <c r="BX332" s="614"/>
      <c r="BY332" s="646">
        <v>482070</v>
      </c>
      <c r="BZ332" s="616"/>
      <c r="CA332" s="56"/>
      <c r="CB332" s="611"/>
      <c r="CC332" s="617"/>
      <c r="CD332" s="618">
        <v>0</v>
      </c>
      <c r="CE332" s="616"/>
      <c r="CF332" s="56"/>
      <c r="CG332" s="611"/>
      <c r="CH332" s="617"/>
      <c r="CI332" s="618">
        <v>0</v>
      </c>
      <c r="CJ332" s="616"/>
      <c r="CK332" s="56"/>
      <c r="CL332" s="611"/>
      <c r="CM332" s="617"/>
      <c r="CN332" s="618">
        <v>0</v>
      </c>
      <c r="CO332" s="616"/>
      <c r="CP332" s="56"/>
      <c r="CQ332" s="611"/>
      <c r="CR332" s="617"/>
      <c r="CS332" s="618">
        <v>0</v>
      </c>
      <c r="CT332" s="616"/>
      <c r="CU332" s="56"/>
      <c r="CV332" s="611"/>
      <c r="CW332" s="617"/>
      <c r="CX332" s="618">
        <v>0</v>
      </c>
      <c r="CY332" s="616"/>
      <c r="CZ332" s="56"/>
      <c r="DA332" s="611"/>
      <c r="DB332" s="617"/>
      <c r="DC332" s="618">
        <v>0</v>
      </c>
      <c r="DD332" s="616"/>
      <c r="DE332" s="56"/>
      <c r="DF332" s="611"/>
      <c r="DG332" s="617"/>
      <c r="DH332" s="618">
        <v>425997</v>
      </c>
      <c r="DI332" s="616"/>
      <c r="DJ332" s="56"/>
      <c r="DK332" s="611"/>
      <c r="DL332" s="617"/>
      <c r="DM332" s="618">
        <v>0</v>
      </c>
      <c r="DN332" s="616"/>
      <c r="DO332" s="56"/>
      <c r="DP332" s="611"/>
      <c r="DQ332" s="617"/>
      <c r="DR332" s="618">
        <v>0</v>
      </c>
      <c r="DS332" s="616"/>
      <c r="DT332" s="56"/>
      <c r="DU332" s="611"/>
      <c r="DV332" s="617"/>
      <c r="DW332" s="618">
        <v>0</v>
      </c>
      <c r="DX332" s="616"/>
      <c r="DY332" s="56"/>
      <c r="DZ332" s="611"/>
      <c r="EA332" s="617"/>
      <c r="EB332" s="618">
        <v>56073</v>
      </c>
      <c r="EC332" s="616"/>
      <c r="ED332" s="56"/>
      <c r="EE332" s="611"/>
      <c r="EF332" s="617"/>
      <c r="EG332" s="618">
        <v>0</v>
      </c>
      <c r="EH332" s="616">
        <v>0</v>
      </c>
      <c r="EI332" s="56"/>
      <c r="EJ332" s="611"/>
      <c r="EK332" s="617">
        <v>54207</v>
      </c>
      <c r="EL332" s="646">
        <f t="shared" ref="EL332" si="32">SUM(CD332:DW332)</f>
        <v>425997</v>
      </c>
      <c r="EM332" s="616">
        <v>0</v>
      </c>
      <c r="EN332" s="647"/>
      <c r="EO332" s="144"/>
      <c r="ER332" s="42"/>
      <c r="ES332" s="42"/>
    </row>
    <row r="333" spans="4:149" x14ac:dyDescent="0.3">
      <c r="D333" s="144"/>
      <c r="G333" s="56"/>
      <c r="H333" s="56"/>
      <c r="I333" s="56"/>
      <c r="J333" s="611"/>
      <c r="K333" s="56"/>
      <c r="L333" s="56"/>
      <c r="M333" s="56"/>
      <c r="N333" s="56"/>
      <c r="O333" s="611"/>
      <c r="P333" s="56"/>
      <c r="Q333" s="56"/>
      <c r="R333" s="56"/>
      <c r="S333" s="56"/>
      <c r="T333" s="611"/>
      <c r="U333" s="56"/>
      <c r="V333" s="56"/>
      <c r="W333" s="56"/>
      <c r="X333" s="56"/>
      <c r="Y333" s="611"/>
      <c r="Z333" s="56"/>
      <c r="AA333" s="56"/>
      <c r="AB333" s="56"/>
      <c r="AC333" s="56"/>
      <c r="AD333" s="611"/>
      <c r="AE333" s="56"/>
      <c r="AF333" s="56"/>
      <c r="AG333" s="56"/>
      <c r="AH333" s="56"/>
      <c r="AI333" s="611"/>
      <c r="AJ333" s="56"/>
      <c r="AK333" s="56"/>
      <c r="AL333" s="56"/>
      <c r="AM333" s="56"/>
      <c r="AN333" s="611"/>
      <c r="AO333" s="56"/>
      <c r="AP333" s="56"/>
      <c r="AQ333" s="56"/>
      <c r="AR333" s="56"/>
      <c r="AS333" s="611"/>
      <c r="AT333" s="56"/>
      <c r="AU333" s="56"/>
      <c r="AV333" s="56"/>
      <c r="AW333" s="56"/>
      <c r="AX333" s="611"/>
      <c r="AY333" s="56"/>
      <c r="AZ333" s="56"/>
      <c r="BA333" s="56"/>
      <c r="BB333" s="56"/>
      <c r="BC333" s="611"/>
      <c r="BD333" s="56"/>
      <c r="BE333" s="56"/>
      <c r="BF333" s="56"/>
      <c r="BG333" s="56"/>
      <c r="BH333" s="611"/>
      <c r="BI333" s="56"/>
      <c r="BJ333" s="56"/>
      <c r="BK333" s="56"/>
      <c r="BL333" s="56"/>
      <c r="BM333" s="611"/>
      <c r="BN333" s="56"/>
      <c r="BO333" s="56"/>
      <c r="BP333" s="56"/>
      <c r="BQ333" s="56"/>
      <c r="BR333" s="611"/>
      <c r="BS333" s="56"/>
      <c r="BT333" s="56"/>
      <c r="BU333" s="56"/>
      <c r="BV333" s="56"/>
      <c r="BW333" s="611"/>
      <c r="BX333" s="56"/>
      <c r="BY333" s="56"/>
      <c r="BZ333" s="56"/>
      <c r="CA333" s="56"/>
      <c r="CB333" s="611"/>
      <c r="CC333" s="56"/>
      <c r="CD333" s="56"/>
      <c r="CE333" s="56"/>
      <c r="CF333" s="56"/>
      <c r="CG333" s="611"/>
      <c r="CH333" s="56"/>
      <c r="CI333" s="56"/>
      <c r="CJ333" s="56"/>
      <c r="CK333" s="56"/>
      <c r="CL333" s="611"/>
      <c r="CM333" s="56"/>
      <c r="CN333" s="56"/>
      <c r="CO333" s="56"/>
      <c r="CP333" s="56"/>
      <c r="CQ333" s="611"/>
      <c r="CR333" s="56"/>
      <c r="CS333" s="56"/>
      <c r="CT333" s="56"/>
      <c r="CU333" s="56"/>
      <c r="CV333" s="611"/>
      <c r="CW333" s="56"/>
      <c r="CX333" s="56"/>
      <c r="CY333" s="56"/>
      <c r="CZ333" s="56"/>
      <c r="DA333" s="611"/>
      <c r="DB333" s="56"/>
      <c r="DC333" s="56"/>
      <c r="DD333" s="56"/>
      <c r="DE333" s="56"/>
      <c r="DF333" s="611"/>
      <c r="DG333" s="56"/>
      <c r="DH333" s="56"/>
      <c r="DI333" s="56"/>
      <c r="DJ333" s="56"/>
      <c r="DK333" s="611"/>
      <c r="DL333" s="56"/>
      <c r="DM333" s="56"/>
      <c r="DN333" s="56"/>
      <c r="DO333" s="56"/>
      <c r="DP333" s="611"/>
      <c r="DQ333" s="56"/>
      <c r="DR333" s="56"/>
      <c r="DS333" s="56"/>
      <c r="DT333" s="56"/>
      <c r="DU333" s="611"/>
      <c r="DV333" s="56"/>
      <c r="DW333" s="56"/>
      <c r="DX333" s="56"/>
      <c r="DY333" s="56"/>
      <c r="DZ333" s="611"/>
      <c r="EA333" s="56"/>
      <c r="EB333" s="56"/>
      <c r="EC333" s="56"/>
      <c r="ED333" s="56"/>
      <c r="EE333" s="611"/>
      <c r="EF333" s="56"/>
      <c r="EG333" s="56"/>
      <c r="EH333" s="56"/>
      <c r="EI333" s="56"/>
      <c r="EJ333" s="611"/>
      <c r="EK333" s="56"/>
      <c r="EL333" s="56"/>
      <c r="EM333" s="56"/>
      <c r="EN333" s="56"/>
      <c r="EO333" s="144"/>
      <c r="ER333" s="42"/>
      <c r="ES333" s="42"/>
    </row>
    <row r="334" spans="4:149" ht="12.75" hidden="1" customHeight="1" x14ac:dyDescent="0.3">
      <c r="D334" s="144" t="s">
        <v>345</v>
      </c>
      <c r="G334" s="56">
        <f>SUM(G335:G335)</f>
        <v>0</v>
      </c>
      <c r="H334" s="56"/>
      <c r="I334" s="56"/>
      <c r="J334" s="611"/>
      <c r="K334" s="56"/>
      <c r="L334" s="56">
        <f>SUM(L335:L335)</f>
        <v>0</v>
      </c>
      <c r="M334" s="56"/>
      <c r="N334" s="56"/>
      <c r="O334" s="611"/>
      <c r="P334" s="56"/>
      <c r="Q334" s="56">
        <f>SUM(Q335:Q335)</f>
        <v>0</v>
      </c>
      <c r="R334" s="56"/>
      <c r="S334" s="56"/>
      <c r="T334" s="611"/>
      <c r="U334" s="56"/>
      <c r="V334" s="56">
        <f>SUM(V335:V335)</f>
        <v>0</v>
      </c>
      <c r="W334" s="56"/>
      <c r="X334" s="56"/>
      <c r="Y334" s="611"/>
      <c r="Z334" s="56"/>
      <c r="AA334" s="56">
        <f>SUM(AA335:AA335)</f>
        <v>0</v>
      </c>
      <c r="AB334" s="56"/>
      <c r="AC334" s="56"/>
      <c r="AD334" s="611"/>
      <c r="AE334" s="56"/>
      <c r="AF334" s="56">
        <f>SUM(AF335:AF335)</f>
        <v>0</v>
      </c>
      <c r="AG334" s="56"/>
      <c r="AH334" s="56"/>
      <c r="AI334" s="611"/>
      <c r="AJ334" s="56"/>
      <c r="AK334" s="56">
        <f>SUM(AK335:AK335)</f>
        <v>0</v>
      </c>
      <c r="AL334" s="56"/>
      <c r="AM334" s="56"/>
      <c r="AN334" s="611"/>
      <c r="AO334" s="56"/>
      <c r="AP334" s="56">
        <f>SUM(AP335:AP335)</f>
        <v>0</v>
      </c>
      <c r="AQ334" s="56"/>
      <c r="AR334" s="56"/>
      <c r="AS334" s="611"/>
      <c r="AT334" s="56"/>
      <c r="AU334" s="56">
        <f>SUM(AU335:AU335)</f>
        <v>0</v>
      </c>
      <c r="AV334" s="56"/>
      <c r="AW334" s="56"/>
      <c r="AX334" s="611"/>
      <c r="AY334" s="56"/>
      <c r="AZ334" s="56">
        <f>SUM(AZ335:AZ335)</f>
        <v>0</v>
      </c>
      <c r="BA334" s="56"/>
      <c r="BB334" s="56"/>
      <c r="BC334" s="611"/>
      <c r="BD334" s="56"/>
      <c r="BE334" s="56">
        <f>SUM(BE335:BE335)</f>
        <v>0</v>
      </c>
      <c r="BF334" s="56"/>
      <c r="BG334" s="56"/>
      <c r="BH334" s="611"/>
      <c r="BI334" s="56"/>
      <c r="BJ334" s="56">
        <f>SUM(BJ335:BJ335)</f>
        <v>0</v>
      </c>
      <c r="BK334" s="56"/>
      <c r="BL334" s="56"/>
      <c r="BM334" s="611"/>
      <c r="BN334" s="56"/>
      <c r="BO334" s="56">
        <f>SUM(BO335:BO335)</f>
        <v>0</v>
      </c>
      <c r="BP334" s="56"/>
      <c r="BQ334" s="56"/>
      <c r="BR334" s="611"/>
      <c r="BS334" s="56"/>
      <c r="BT334" s="56">
        <f>SUM(BT335:BT335)</f>
        <v>0</v>
      </c>
      <c r="BU334" s="56"/>
      <c r="BV334" s="56"/>
      <c r="BW334" s="611"/>
      <c r="BX334" s="56"/>
      <c r="BY334" s="56">
        <f>SUM(BY335:BY335)</f>
        <v>0</v>
      </c>
      <c r="BZ334" s="56"/>
      <c r="CA334" s="56"/>
      <c r="CB334" s="611"/>
      <c r="CC334" s="56"/>
      <c r="CD334" s="136">
        <f>SUM(CD335:CD335)</f>
        <v>0</v>
      </c>
      <c r="CE334" s="56">
        <f>SUM(CE335:CE335)</f>
        <v>0</v>
      </c>
      <c r="CF334" s="56"/>
      <c r="CG334" s="611"/>
      <c r="CI334" s="136">
        <f>SUM(CI335:CI335)</f>
        <v>0</v>
      </c>
      <c r="CJ334" s="56"/>
      <c r="CK334" s="56"/>
      <c r="CL334" s="611"/>
      <c r="CN334" s="136">
        <f>SUM(CN335:CN335)</f>
        <v>0</v>
      </c>
      <c r="CO334" s="56"/>
      <c r="CP334" s="56"/>
      <c r="CQ334" s="611"/>
      <c r="CS334" s="136">
        <f>SUM(CS335:CS335)</f>
        <v>0</v>
      </c>
      <c r="CT334" s="56"/>
      <c r="CU334" s="56"/>
      <c r="CV334" s="611"/>
      <c r="CX334" s="136">
        <f>SUM(CX335:CX335)</f>
        <v>0</v>
      </c>
      <c r="CY334" s="56"/>
      <c r="CZ334" s="56"/>
      <c r="DA334" s="611"/>
      <c r="DC334" s="136">
        <f>SUM(DC335:DC335)</f>
        <v>0</v>
      </c>
      <c r="DD334" s="56"/>
      <c r="DE334" s="56"/>
      <c r="DF334" s="611"/>
      <c r="DH334" s="136">
        <f>SUM(DH335:DH335)</f>
        <v>0</v>
      </c>
      <c r="DI334" s="56"/>
      <c r="DJ334" s="56"/>
      <c r="DK334" s="611"/>
      <c r="DM334" s="136">
        <f>SUM(DM335:DM335)</f>
        <v>0</v>
      </c>
      <c r="DN334" s="56"/>
      <c r="DO334" s="56"/>
      <c r="DP334" s="611"/>
      <c r="DR334" s="136">
        <f>SUM(DR335:DR335)</f>
        <v>0</v>
      </c>
      <c r="DS334" s="56"/>
      <c r="DT334" s="56"/>
      <c r="DU334" s="611"/>
      <c r="DW334" s="136">
        <f>SUM(DW335:DW335)</f>
        <v>0</v>
      </c>
      <c r="DX334" s="56"/>
      <c r="DY334" s="56"/>
      <c r="DZ334" s="611"/>
      <c r="EB334" s="136">
        <f>SUM(EB335:EB335)</f>
        <v>0</v>
      </c>
      <c r="EC334" s="56"/>
      <c r="ED334" s="56"/>
      <c r="EE334" s="611"/>
      <c r="EG334" s="56">
        <f>SUM(EG335:EG335)</f>
        <v>0</v>
      </c>
      <c r="EH334" s="56"/>
      <c r="EI334" s="56"/>
      <c r="EJ334" s="611"/>
      <c r="EK334" s="56"/>
      <c r="EL334" s="56">
        <f>SUM(EL335:EL335)</f>
        <v>0</v>
      </c>
      <c r="EM334" s="56"/>
      <c r="EN334" s="56"/>
      <c r="EO334" s="144"/>
      <c r="ER334" s="42"/>
      <c r="ES334" s="42"/>
    </row>
    <row r="335" spans="4:149" ht="12.75" hidden="1" customHeight="1" x14ac:dyDescent="0.3">
      <c r="D335" s="144" t="s">
        <v>335</v>
      </c>
      <c r="F335" s="614"/>
      <c r="G335" s="618">
        <v>0</v>
      </c>
      <c r="H335" s="616"/>
      <c r="I335" s="56"/>
      <c r="J335" s="611"/>
      <c r="K335" s="617"/>
      <c r="L335" s="618">
        <v>0</v>
      </c>
      <c r="M335" s="616"/>
      <c r="N335" s="56"/>
      <c r="O335" s="611"/>
      <c r="P335" s="617"/>
      <c r="Q335" s="618">
        <v>0</v>
      </c>
      <c r="R335" s="616"/>
      <c r="S335" s="56"/>
      <c r="T335" s="611"/>
      <c r="U335" s="617"/>
      <c r="V335" s="618">
        <v>0</v>
      </c>
      <c r="W335" s="616"/>
      <c r="X335" s="56"/>
      <c r="Y335" s="611"/>
      <c r="Z335" s="617"/>
      <c r="AA335" s="618">
        <v>0</v>
      </c>
      <c r="AB335" s="616"/>
      <c r="AC335" s="56"/>
      <c r="AD335" s="611"/>
      <c r="AE335" s="617"/>
      <c r="AF335" s="618">
        <v>0</v>
      </c>
      <c r="AG335" s="616"/>
      <c r="AH335" s="56"/>
      <c r="AI335" s="611"/>
      <c r="AJ335" s="617"/>
      <c r="AK335" s="618">
        <v>0</v>
      </c>
      <c r="AL335" s="616"/>
      <c r="AM335" s="56"/>
      <c r="AN335" s="611"/>
      <c r="AO335" s="617"/>
      <c r="AP335" s="618">
        <v>0</v>
      </c>
      <c r="AQ335" s="616"/>
      <c r="AR335" s="56"/>
      <c r="AS335" s="611"/>
      <c r="AT335" s="617"/>
      <c r="AU335" s="618">
        <v>0</v>
      </c>
      <c r="AV335" s="616"/>
      <c r="AW335" s="56"/>
      <c r="AX335" s="611"/>
      <c r="AY335" s="617"/>
      <c r="AZ335" s="618">
        <v>0</v>
      </c>
      <c r="BA335" s="616"/>
      <c r="BB335" s="56"/>
      <c r="BC335" s="611"/>
      <c r="BD335" s="617"/>
      <c r="BE335" s="618">
        <v>0</v>
      </c>
      <c r="BF335" s="616"/>
      <c r="BG335" s="56"/>
      <c r="BH335" s="611"/>
      <c r="BI335" s="617"/>
      <c r="BJ335" s="618">
        <v>0</v>
      </c>
      <c r="BK335" s="616"/>
      <c r="BL335" s="56"/>
      <c r="BM335" s="611"/>
      <c r="BN335" s="617"/>
      <c r="BO335" s="618">
        <v>0</v>
      </c>
      <c r="BP335" s="616"/>
      <c r="BQ335" s="56"/>
      <c r="BR335" s="611"/>
      <c r="BS335" s="617"/>
      <c r="BT335" s="618">
        <f>SUM(L335:BO335)</f>
        <v>0</v>
      </c>
      <c r="BU335" s="616"/>
      <c r="BV335" s="56"/>
      <c r="BW335" s="611"/>
      <c r="BX335" s="617"/>
      <c r="BY335" s="618">
        <v>0</v>
      </c>
      <c r="BZ335" s="616"/>
      <c r="CA335" s="56"/>
      <c r="CB335" s="611"/>
      <c r="CC335" s="617"/>
      <c r="CD335" s="618">
        <v>0</v>
      </c>
      <c r="CE335" s="616"/>
      <c r="CF335" s="52"/>
      <c r="CG335" s="611"/>
      <c r="CH335" s="614"/>
      <c r="CI335" s="618">
        <v>0</v>
      </c>
      <c r="CJ335" s="616"/>
      <c r="CK335" s="56"/>
      <c r="CL335" s="611"/>
      <c r="CM335" s="614"/>
      <c r="CN335" s="618">
        <v>0</v>
      </c>
      <c r="CO335" s="616"/>
      <c r="CP335" s="56"/>
      <c r="CQ335" s="611"/>
      <c r="CR335" s="614"/>
      <c r="CS335" s="618">
        <v>0</v>
      </c>
      <c r="CT335" s="616"/>
      <c r="CU335" s="56"/>
      <c r="CV335" s="611"/>
      <c r="CW335" s="614"/>
      <c r="CX335" s="618">
        <v>0</v>
      </c>
      <c r="CY335" s="616"/>
      <c r="CZ335" s="56"/>
      <c r="DA335" s="611"/>
      <c r="DB335" s="614"/>
      <c r="DC335" s="618">
        <v>0</v>
      </c>
      <c r="DD335" s="616"/>
      <c r="DE335" s="56"/>
      <c r="DF335" s="611"/>
      <c r="DG335" s="614"/>
      <c r="DH335" s="618">
        <v>0</v>
      </c>
      <c r="DI335" s="616"/>
      <c r="DJ335" s="56"/>
      <c r="DK335" s="611"/>
      <c r="DL335" s="614"/>
      <c r="DM335" s="618">
        <v>0</v>
      </c>
      <c r="DN335" s="616"/>
      <c r="DO335" s="56"/>
      <c r="DP335" s="611"/>
      <c r="DQ335" s="614"/>
      <c r="DR335" s="618">
        <v>0</v>
      </c>
      <c r="DS335" s="616"/>
      <c r="DT335" s="56"/>
      <c r="DU335" s="611"/>
      <c r="DV335" s="614"/>
      <c r="DW335" s="618">
        <v>0</v>
      </c>
      <c r="DX335" s="616"/>
      <c r="DY335" s="56"/>
      <c r="DZ335" s="611"/>
      <c r="EA335" s="614"/>
      <c r="EB335" s="618">
        <v>0</v>
      </c>
      <c r="EC335" s="616"/>
      <c r="ED335" s="56"/>
      <c r="EE335" s="611"/>
      <c r="EF335" s="614"/>
      <c r="EG335" s="618">
        <v>0</v>
      </c>
      <c r="EH335" s="616"/>
      <c r="EI335" s="56"/>
      <c r="EJ335" s="611"/>
      <c r="EK335" s="617"/>
      <c r="EL335" s="618">
        <f>SUM(CD335:CD335)</f>
        <v>0</v>
      </c>
      <c r="EM335" s="616"/>
      <c r="EN335" s="56"/>
      <c r="EO335" s="144"/>
      <c r="ER335" s="42"/>
      <c r="ES335" s="42"/>
    </row>
    <row r="336" spans="4:149" ht="12.75" hidden="1" customHeight="1" x14ac:dyDescent="0.3">
      <c r="D336" s="144"/>
      <c r="G336" s="56"/>
      <c r="H336" s="56"/>
      <c r="I336" s="56"/>
      <c r="J336" s="611"/>
      <c r="K336" s="56"/>
      <c r="L336" s="56"/>
      <c r="M336" s="56"/>
      <c r="N336" s="56"/>
      <c r="O336" s="611"/>
      <c r="P336" s="56"/>
      <c r="Q336" s="56"/>
      <c r="R336" s="56"/>
      <c r="S336" s="56"/>
      <c r="T336" s="611"/>
      <c r="U336" s="56"/>
      <c r="V336" s="56"/>
      <c r="W336" s="56"/>
      <c r="X336" s="56"/>
      <c r="Y336" s="611"/>
      <c r="Z336" s="56"/>
      <c r="AA336" s="56"/>
      <c r="AB336" s="56"/>
      <c r="AC336" s="56"/>
      <c r="AD336" s="611"/>
      <c r="AE336" s="56"/>
      <c r="AF336" s="56"/>
      <c r="AG336" s="56"/>
      <c r="AH336" s="56"/>
      <c r="AI336" s="611"/>
      <c r="AJ336" s="56"/>
      <c r="AK336" s="56"/>
      <c r="AL336" s="56"/>
      <c r="AM336" s="56"/>
      <c r="AN336" s="611"/>
      <c r="AO336" s="56"/>
      <c r="AP336" s="56"/>
      <c r="AQ336" s="56"/>
      <c r="AR336" s="56"/>
      <c r="AS336" s="611"/>
      <c r="AT336" s="56"/>
      <c r="AU336" s="56"/>
      <c r="AV336" s="56"/>
      <c r="AW336" s="56"/>
      <c r="AX336" s="611"/>
      <c r="AY336" s="56"/>
      <c r="AZ336" s="56"/>
      <c r="BA336" s="56"/>
      <c r="BB336" s="56"/>
      <c r="BC336" s="611"/>
      <c r="BD336" s="56"/>
      <c r="BE336" s="56"/>
      <c r="BF336" s="56"/>
      <c r="BG336" s="56"/>
      <c r="BH336" s="611"/>
      <c r="BI336" s="56"/>
      <c r="BJ336" s="56"/>
      <c r="BK336" s="56"/>
      <c r="BL336" s="56"/>
      <c r="BM336" s="611"/>
      <c r="BN336" s="56"/>
      <c r="BO336" s="56"/>
      <c r="BP336" s="56"/>
      <c r="BQ336" s="56"/>
      <c r="BR336" s="611"/>
      <c r="BS336" s="56"/>
      <c r="BT336" s="56"/>
      <c r="BU336" s="56"/>
      <c r="BV336" s="56"/>
      <c r="BW336" s="611"/>
      <c r="BX336" s="56"/>
      <c r="BY336" s="56"/>
      <c r="BZ336" s="56"/>
      <c r="CA336" s="56"/>
      <c r="CB336" s="611"/>
      <c r="CC336" s="56"/>
      <c r="CD336" s="56"/>
      <c r="CE336" s="56"/>
      <c r="CF336" s="56"/>
      <c r="CG336" s="611"/>
      <c r="CH336" s="56"/>
      <c r="CI336" s="56"/>
      <c r="CJ336" s="56"/>
      <c r="CK336" s="56"/>
      <c r="CL336" s="611"/>
      <c r="CM336" s="56"/>
      <c r="CN336" s="56"/>
      <c r="CO336" s="56"/>
      <c r="CP336" s="56"/>
      <c r="CQ336" s="611"/>
      <c r="CR336" s="56"/>
      <c r="CS336" s="56"/>
      <c r="CT336" s="56"/>
      <c r="CU336" s="56"/>
      <c r="CV336" s="611"/>
      <c r="CW336" s="56"/>
      <c r="CX336" s="56"/>
      <c r="CY336" s="56"/>
      <c r="CZ336" s="56"/>
      <c r="DA336" s="611"/>
      <c r="DB336" s="56"/>
      <c r="DC336" s="56"/>
      <c r="DD336" s="56"/>
      <c r="DE336" s="56"/>
      <c r="DF336" s="611"/>
      <c r="DG336" s="56"/>
      <c r="DH336" s="56"/>
      <c r="DI336" s="56"/>
      <c r="DJ336" s="56"/>
      <c r="DK336" s="611"/>
      <c r="DL336" s="56"/>
      <c r="DM336" s="56"/>
      <c r="DN336" s="56"/>
      <c r="DO336" s="56"/>
      <c r="DP336" s="611"/>
      <c r="DQ336" s="56"/>
      <c r="DR336" s="56"/>
      <c r="DS336" s="56"/>
      <c r="DT336" s="56"/>
      <c r="DU336" s="611"/>
      <c r="DV336" s="56"/>
      <c r="DW336" s="56"/>
      <c r="DX336" s="56"/>
      <c r="DY336" s="56"/>
      <c r="DZ336" s="611"/>
      <c r="EA336" s="56"/>
      <c r="EB336" s="56"/>
      <c r="EC336" s="56"/>
      <c r="ED336" s="56"/>
      <c r="EE336" s="611"/>
      <c r="EF336" s="56"/>
      <c r="EG336" s="56"/>
      <c r="EH336" s="56"/>
      <c r="EI336" s="56"/>
      <c r="EJ336" s="611"/>
      <c r="EK336" s="56"/>
      <c r="EL336" s="56"/>
      <c r="EM336" s="56"/>
      <c r="EN336" s="56"/>
      <c r="EO336" s="144"/>
      <c r="ER336" s="42"/>
      <c r="ES336" s="42"/>
    </row>
    <row r="337" spans="4:149" x14ac:dyDescent="0.3">
      <c r="D337" s="144" t="s">
        <v>346</v>
      </c>
      <c r="G337" s="56">
        <f>SUM(G338)</f>
        <v>0</v>
      </c>
      <c r="H337" s="56"/>
      <c r="I337" s="56"/>
      <c r="J337" s="611"/>
      <c r="L337" s="56">
        <f>SUM(L338)</f>
        <v>0</v>
      </c>
      <c r="M337" s="56"/>
      <c r="N337" s="56"/>
      <c r="O337" s="611"/>
      <c r="Q337" s="56">
        <f>SUM(Q338)</f>
        <v>0</v>
      </c>
      <c r="R337" s="56"/>
      <c r="S337" s="56"/>
      <c r="T337" s="611"/>
      <c r="V337" s="56">
        <f>SUM(V338)</f>
        <v>0</v>
      </c>
      <c r="W337" s="56"/>
      <c r="X337" s="56"/>
      <c r="Y337" s="611"/>
      <c r="AA337" s="56">
        <f>SUM(AA338)</f>
        <v>0</v>
      </c>
      <c r="AB337" s="56"/>
      <c r="AC337" s="56"/>
      <c r="AD337" s="611"/>
      <c r="AF337" s="56">
        <f>SUM(AF338)</f>
        <v>0</v>
      </c>
      <c r="AG337" s="56"/>
      <c r="AH337" s="56"/>
      <c r="AI337" s="611"/>
      <c r="AK337" s="56">
        <f>SUM(AK338)</f>
        <v>0</v>
      </c>
      <c r="AL337" s="56"/>
      <c r="AM337" s="56"/>
      <c r="AN337" s="611"/>
      <c r="AP337" s="56">
        <f>SUM(AP338)</f>
        <v>0</v>
      </c>
      <c r="AQ337" s="56"/>
      <c r="AR337" s="56"/>
      <c r="AS337" s="611"/>
      <c r="AU337" s="56">
        <f>SUM(AU338)</f>
        <v>0</v>
      </c>
      <c r="AV337" s="56"/>
      <c r="AW337" s="56"/>
      <c r="AX337" s="611"/>
      <c r="AZ337" s="56">
        <f>SUM(AZ338)</f>
        <v>0</v>
      </c>
      <c r="BA337" s="56"/>
      <c r="BB337" s="56"/>
      <c r="BC337" s="611"/>
      <c r="BE337" s="56">
        <f>SUM(BE338)</f>
        <v>0</v>
      </c>
      <c r="BF337" s="56"/>
      <c r="BG337" s="56"/>
      <c r="BH337" s="611"/>
      <c r="BJ337" s="56">
        <f>SUM(BJ338)</f>
        <v>0</v>
      </c>
      <c r="BK337" s="56"/>
      <c r="BL337" s="56"/>
      <c r="BM337" s="611"/>
      <c r="BO337" s="56">
        <f>SUM(BO338)</f>
        <v>0</v>
      </c>
      <c r="BP337" s="56"/>
      <c r="BQ337" s="56"/>
      <c r="BR337" s="611"/>
      <c r="BT337" s="56">
        <f>SUM(BT338:BT338)</f>
        <v>0</v>
      </c>
      <c r="BU337" s="56"/>
      <c r="BV337" s="56"/>
      <c r="BW337" s="611"/>
      <c r="BY337" s="56">
        <f>SUM(BY338)</f>
        <v>90245</v>
      </c>
      <c r="BZ337" s="56"/>
      <c r="CA337" s="56"/>
      <c r="CB337" s="611"/>
      <c r="CD337" s="136">
        <f>SUM(CD338:CD338)</f>
        <v>0</v>
      </c>
      <c r="CE337" s="56">
        <f>SUM(CE338:CE338)</f>
        <v>0</v>
      </c>
      <c r="CF337" s="56"/>
      <c r="CG337" s="611"/>
      <c r="CI337" s="136">
        <f>SUM(CI338:CI338)</f>
        <v>0</v>
      </c>
      <c r="CJ337" s="56"/>
      <c r="CK337" s="56"/>
      <c r="CL337" s="611"/>
      <c r="CN337" s="136">
        <f>SUM(CN338:CN338)</f>
        <v>0</v>
      </c>
      <c r="CO337" s="56"/>
      <c r="CP337" s="56"/>
      <c r="CQ337" s="611"/>
      <c r="CS337" s="136">
        <f>SUM(CS338:CS338)</f>
        <v>0</v>
      </c>
      <c r="CT337" s="56"/>
      <c r="CU337" s="56"/>
      <c r="CV337" s="611"/>
      <c r="CX337" s="136">
        <f>SUM(CX338:CX338)</f>
        <v>0</v>
      </c>
      <c r="CY337" s="56"/>
      <c r="CZ337" s="56"/>
      <c r="DA337" s="611"/>
      <c r="DC337" s="136">
        <f>SUM(DC338:DC338)</f>
        <v>0</v>
      </c>
      <c r="DD337" s="56"/>
      <c r="DE337" s="56"/>
      <c r="DF337" s="611"/>
      <c r="DH337" s="136">
        <f>SUM(DH338:DH338)</f>
        <v>0</v>
      </c>
      <c r="DI337" s="56"/>
      <c r="DJ337" s="56"/>
      <c r="DK337" s="611"/>
      <c r="DM337" s="136">
        <f>SUM(DM338:DM338)</f>
        <v>0</v>
      </c>
      <c r="DN337" s="56"/>
      <c r="DO337" s="56"/>
      <c r="DP337" s="611"/>
      <c r="DR337" s="136">
        <f>SUM(DR338:DR338)</f>
        <v>0</v>
      </c>
      <c r="DS337" s="56"/>
      <c r="DT337" s="56"/>
      <c r="DU337" s="611"/>
      <c r="DW337" s="136">
        <f>SUM(DW338:DW338)</f>
        <v>0</v>
      </c>
      <c r="DX337" s="56"/>
      <c r="DY337" s="56"/>
      <c r="DZ337" s="611"/>
      <c r="EB337" s="136">
        <f>SUM(EB338:EB338)</f>
        <v>90245</v>
      </c>
      <c r="EC337" s="56"/>
      <c r="ED337" s="56"/>
      <c r="EE337" s="611"/>
      <c r="EG337" s="56">
        <f>SUM(EG338:EG338)</f>
        <v>0</v>
      </c>
      <c r="EH337" s="56"/>
      <c r="EI337" s="56"/>
      <c r="EJ337" s="611"/>
      <c r="EL337" s="56">
        <f>SUM(EL338:EL338)</f>
        <v>0</v>
      </c>
      <c r="EM337" s="56"/>
      <c r="EN337" s="56"/>
      <c r="EO337" s="144"/>
      <c r="ER337" s="42"/>
      <c r="ES337" s="42"/>
    </row>
    <row r="338" spans="4:149" x14ac:dyDescent="0.3">
      <c r="D338" s="144" t="s">
        <v>335</v>
      </c>
      <c r="F338" s="614"/>
      <c r="G338" s="618">
        <v>0</v>
      </c>
      <c r="H338" s="616"/>
      <c r="I338" s="56"/>
      <c r="J338" s="611"/>
      <c r="K338" s="614"/>
      <c r="L338" s="618">
        <v>0</v>
      </c>
      <c r="M338" s="616"/>
      <c r="N338" s="56"/>
      <c r="O338" s="611"/>
      <c r="P338" s="614"/>
      <c r="Q338" s="618">
        <v>0</v>
      </c>
      <c r="R338" s="616"/>
      <c r="S338" s="56"/>
      <c r="T338" s="611"/>
      <c r="U338" s="614"/>
      <c r="V338" s="618">
        <v>0</v>
      </c>
      <c r="W338" s="616"/>
      <c r="X338" s="56"/>
      <c r="Y338" s="611"/>
      <c r="Z338" s="614"/>
      <c r="AA338" s="618">
        <v>0</v>
      </c>
      <c r="AB338" s="616"/>
      <c r="AC338" s="56"/>
      <c r="AD338" s="611"/>
      <c r="AE338" s="614"/>
      <c r="AF338" s="618">
        <v>0</v>
      </c>
      <c r="AG338" s="616"/>
      <c r="AH338" s="56"/>
      <c r="AI338" s="611"/>
      <c r="AJ338" s="614"/>
      <c r="AK338" s="618">
        <v>0</v>
      </c>
      <c r="AL338" s="616"/>
      <c r="AM338" s="56"/>
      <c r="AN338" s="611"/>
      <c r="AO338" s="614"/>
      <c r="AP338" s="618">
        <v>0</v>
      </c>
      <c r="AQ338" s="616"/>
      <c r="AR338" s="56"/>
      <c r="AS338" s="611"/>
      <c r="AT338" s="614"/>
      <c r="AU338" s="618">
        <v>0</v>
      </c>
      <c r="AV338" s="616"/>
      <c r="AW338" s="56"/>
      <c r="AX338" s="611"/>
      <c r="AY338" s="614"/>
      <c r="AZ338" s="618">
        <v>0</v>
      </c>
      <c r="BA338" s="616"/>
      <c r="BB338" s="56"/>
      <c r="BC338" s="611"/>
      <c r="BD338" s="614"/>
      <c r="BE338" s="618">
        <v>0</v>
      </c>
      <c r="BF338" s="616"/>
      <c r="BG338" s="56"/>
      <c r="BH338" s="611"/>
      <c r="BI338" s="614"/>
      <c r="BJ338" s="618">
        <v>0</v>
      </c>
      <c r="BK338" s="616"/>
      <c r="BL338" s="56"/>
      <c r="BM338" s="611"/>
      <c r="BN338" s="614"/>
      <c r="BO338" s="618">
        <v>0</v>
      </c>
      <c r="BP338" s="616"/>
      <c r="BQ338" s="56"/>
      <c r="BR338" s="611"/>
      <c r="BS338" s="614"/>
      <c r="BT338" s="618">
        <f>SUM(L338:BO338)</f>
        <v>0</v>
      </c>
      <c r="BU338" s="616"/>
      <c r="BV338" s="56"/>
      <c r="BW338" s="611"/>
      <c r="BX338" s="614"/>
      <c r="BY338" s="618">
        <v>90245</v>
      </c>
      <c r="BZ338" s="616"/>
      <c r="CA338" s="56"/>
      <c r="CB338" s="611"/>
      <c r="CC338" s="614"/>
      <c r="CD338" s="618">
        <v>0</v>
      </c>
      <c r="CE338" s="616"/>
      <c r="CF338" s="52"/>
      <c r="CG338" s="611"/>
      <c r="CH338" s="614"/>
      <c r="CI338" s="618">
        <v>0</v>
      </c>
      <c r="CJ338" s="616"/>
      <c r="CK338" s="56"/>
      <c r="CL338" s="611"/>
      <c r="CM338" s="614"/>
      <c r="CN338" s="618">
        <v>0</v>
      </c>
      <c r="CO338" s="616"/>
      <c r="CP338" s="56"/>
      <c r="CQ338" s="611"/>
      <c r="CR338" s="614"/>
      <c r="CS338" s="618">
        <v>0</v>
      </c>
      <c r="CT338" s="616"/>
      <c r="CU338" s="56"/>
      <c r="CV338" s="611"/>
      <c r="CW338" s="614"/>
      <c r="CX338" s="618">
        <v>0</v>
      </c>
      <c r="CY338" s="616"/>
      <c r="CZ338" s="56"/>
      <c r="DA338" s="611"/>
      <c r="DB338" s="614"/>
      <c r="DC338" s="618">
        <v>0</v>
      </c>
      <c r="DD338" s="616"/>
      <c r="DE338" s="56"/>
      <c r="DF338" s="611"/>
      <c r="DG338" s="614"/>
      <c r="DH338" s="618">
        <v>0</v>
      </c>
      <c r="DI338" s="616"/>
      <c r="DJ338" s="56"/>
      <c r="DK338" s="611"/>
      <c r="DL338" s="614"/>
      <c r="DM338" s="618">
        <v>0</v>
      </c>
      <c r="DN338" s="616"/>
      <c r="DO338" s="56"/>
      <c r="DP338" s="611"/>
      <c r="DQ338" s="614"/>
      <c r="DR338" s="618">
        <v>0</v>
      </c>
      <c r="DS338" s="616"/>
      <c r="DT338" s="56"/>
      <c r="DU338" s="611"/>
      <c r="DV338" s="614"/>
      <c r="DW338" s="618">
        <v>0</v>
      </c>
      <c r="DX338" s="616"/>
      <c r="DY338" s="56"/>
      <c r="DZ338" s="611"/>
      <c r="EA338" s="614"/>
      <c r="EB338" s="618">
        <v>90245</v>
      </c>
      <c r="EC338" s="616"/>
      <c r="ED338" s="56"/>
      <c r="EE338" s="611"/>
      <c r="EF338" s="614"/>
      <c r="EG338" s="618">
        <v>0</v>
      </c>
      <c r="EH338" s="616"/>
      <c r="EI338" s="56"/>
      <c r="EJ338" s="611"/>
      <c r="EK338" s="614"/>
      <c r="EL338" s="618">
        <f t="shared" ref="EL338" si="33">SUM(CD338:DW338)</f>
        <v>0</v>
      </c>
      <c r="EM338" s="616"/>
      <c r="EN338" s="56"/>
      <c r="EO338" s="144"/>
      <c r="ER338" s="42"/>
      <c r="ES338" s="42"/>
    </row>
    <row r="339" spans="4:149" x14ac:dyDescent="0.3">
      <c r="D339" s="144"/>
      <c r="G339" s="56"/>
      <c r="H339" s="56"/>
      <c r="I339" s="56"/>
      <c r="J339" s="611"/>
      <c r="K339" s="56"/>
      <c r="L339" s="56"/>
      <c r="M339" s="56"/>
      <c r="N339" s="56"/>
      <c r="O339" s="611"/>
      <c r="P339" s="56"/>
      <c r="Q339" s="56"/>
      <c r="R339" s="56"/>
      <c r="S339" s="56"/>
      <c r="T339" s="611"/>
      <c r="U339" s="56"/>
      <c r="V339" s="56"/>
      <c r="W339" s="56"/>
      <c r="X339" s="56"/>
      <c r="Y339" s="611"/>
      <c r="Z339" s="56"/>
      <c r="AA339" s="56"/>
      <c r="AB339" s="56"/>
      <c r="AC339" s="56"/>
      <c r="AD339" s="611"/>
      <c r="AE339" s="56"/>
      <c r="AF339" s="56"/>
      <c r="AG339" s="56"/>
      <c r="AH339" s="56"/>
      <c r="AI339" s="611"/>
      <c r="AJ339" s="56"/>
      <c r="AK339" s="56"/>
      <c r="AL339" s="56"/>
      <c r="AM339" s="56"/>
      <c r="AN339" s="611"/>
      <c r="AO339" s="56"/>
      <c r="AP339" s="56"/>
      <c r="AQ339" s="56"/>
      <c r="AR339" s="56"/>
      <c r="AS339" s="611"/>
      <c r="AT339" s="56"/>
      <c r="AU339" s="56"/>
      <c r="AV339" s="56"/>
      <c r="AW339" s="56"/>
      <c r="AX339" s="611"/>
      <c r="AY339" s="56"/>
      <c r="AZ339" s="56"/>
      <c r="BA339" s="56"/>
      <c r="BB339" s="56"/>
      <c r="BC339" s="611"/>
      <c r="BD339" s="56"/>
      <c r="BE339" s="56"/>
      <c r="BF339" s="56"/>
      <c r="BG339" s="56"/>
      <c r="BH339" s="611"/>
      <c r="BI339" s="56"/>
      <c r="BJ339" s="56"/>
      <c r="BK339" s="56"/>
      <c r="BL339" s="56"/>
      <c r="BM339" s="611"/>
      <c r="BN339" s="56"/>
      <c r="BO339" s="56"/>
      <c r="BP339" s="56"/>
      <c r="BQ339" s="56"/>
      <c r="BR339" s="611"/>
      <c r="BS339" s="56"/>
      <c r="BT339" s="56"/>
      <c r="BU339" s="56"/>
      <c r="BV339" s="56"/>
      <c r="BW339" s="611"/>
      <c r="BX339" s="56"/>
      <c r="BY339" s="56"/>
      <c r="BZ339" s="56"/>
      <c r="CA339" s="56"/>
      <c r="CB339" s="611"/>
      <c r="CC339" s="56"/>
      <c r="CD339" s="56"/>
      <c r="CE339" s="56"/>
      <c r="CF339" s="56"/>
      <c r="CG339" s="611"/>
      <c r="CH339" s="56"/>
      <c r="CI339" s="56"/>
      <c r="CJ339" s="56"/>
      <c r="CK339" s="56"/>
      <c r="CL339" s="611"/>
      <c r="CM339" s="56"/>
      <c r="CN339" s="56"/>
      <c r="CO339" s="56"/>
      <c r="CP339" s="56"/>
      <c r="CQ339" s="611"/>
      <c r="CR339" s="56"/>
      <c r="CS339" s="56"/>
      <c r="CT339" s="56"/>
      <c r="CU339" s="56"/>
      <c r="CV339" s="611"/>
      <c r="CW339" s="56"/>
      <c r="CX339" s="56"/>
      <c r="CY339" s="56"/>
      <c r="CZ339" s="56"/>
      <c r="DA339" s="611"/>
      <c r="DB339" s="56"/>
      <c r="DC339" s="56"/>
      <c r="DD339" s="56"/>
      <c r="DE339" s="56"/>
      <c r="DF339" s="611"/>
      <c r="DG339" s="56"/>
      <c r="DH339" s="56"/>
      <c r="DI339" s="56"/>
      <c r="DJ339" s="56"/>
      <c r="DK339" s="611"/>
      <c r="DL339" s="56"/>
      <c r="DM339" s="56"/>
      <c r="DN339" s="56"/>
      <c r="DO339" s="56"/>
      <c r="DP339" s="611"/>
      <c r="DQ339" s="56"/>
      <c r="DR339" s="56"/>
      <c r="DS339" s="56"/>
      <c r="DT339" s="56"/>
      <c r="DU339" s="611"/>
      <c r="DV339" s="56"/>
      <c r="DW339" s="56"/>
      <c r="DX339" s="56"/>
      <c r="DY339" s="56"/>
      <c r="DZ339" s="611"/>
      <c r="EA339" s="56"/>
      <c r="EB339" s="56"/>
      <c r="EC339" s="56"/>
      <c r="ED339" s="56"/>
      <c r="EE339" s="611"/>
      <c r="EF339" s="56"/>
      <c r="EG339" s="56"/>
      <c r="EH339" s="56"/>
      <c r="EI339" s="56"/>
      <c r="EJ339" s="611"/>
      <c r="EK339" s="56"/>
      <c r="EL339" s="56"/>
      <c r="EM339" s="56"/>
      <c r="EN339" s="56"/>
      <c r="EO339" s="144"/>
      <c r="ER339" s="42"/>
      <c r="ES339" s="42"/>
    </row>
    <row r="340" spans="4:149" ht="12.75" hidden="1" customHeight="1" x14ac:dyDescent="0.3">
      <c r="D340" s="144" t="s">
        <v>347</v>
      </c>
      <c r="G340" s="56">
        <f>SUM(G341:G341)</f>
        <v>0</v>
      </c>
      <c r="H340" s="56"/>
      <c r="I340" s="56"/>
      <c r="J340" s="611"/>
      <c r="K340" s="56"/>
      <c r="L340" s="56">
        <f>SUM(L341:L341)</f>
        <v>0</v>
      </c>
      <c r="M340" s="56"/>
      <c r="N340" s="56"/>
      <c r="O340" s="611"/>
      <c r="P340" s="56"/>
      <c r="Q340" s="56">
        <f>SUM(Q341:Q341)</f>
        <v>0</v>
      </c>
      <c r="R340" s="56"/>
      <c r="S340" s="56"/>
      <c r="T340" s="611"/>
      <c r="U340" s="56"/>
      <c r="V340" s="56">
        <f>SUM(V341:V341)</f>
        <v>0</v>
      </c>
      <c r="W340" s="56"/>
      <c r="X340" s="56"/>
      <c r="Y340" s="611"/>
      <c r="Z340" s="56"/>
      <c r="AA340" s="56">
        <f>SUM(AA341:AA341)</f>
        <v>0</v>
      </c>
      <c r="AB340" s="56"/>
      <c r="AC340" s="56"/>
      <c r="AD340" s="611"/>
      <c r="AE340" s="56"/>
      <c r="AF340" s="56">
        <f>SUM(AF341:AF341)</f>
        <v>0</v>
      </c>
      <c r="AG340" s="56"/>
      <c r="AH340" s="56"/>
      <c r="AI340" s="611"/>
      <c r="AJ340" s="56"/>
      <c r="AK340" s="56">
        <f>SUM(AK341:AK341)</f>
        <v>0</v>
      </c>
      <c r="AL340" s="56"/>
      <c r="AM340" s="56"/>
      <c r="AN340" s="611"/>
      <c r="AO340" s="56"/>
      <c r="AP340" s="56">
        <f>SUM(AP341:AP341)</f>
        <v>0</v>
      </c>
      <c r="AQ340" s="56"/>
      <c r="AR340" s="56"/>
      <c r="AS340" s="611"/>
      <c r="AT340" s="56"/>
      <c r="AU340" s="56">
        <f>SUM(AU341:AU341)</f>
        <v>0</v>
      </c>
      <c r="AV340" s="56"/>
      <c r="AW340" s="56"/>
      <c r="AX340" s="611"/>
      <c r="AY340" s="56"/>
      <c r="AZ340" s="56">
        <f>SUM(AZ341:AZ341)</f>
        <v>0</v>
      </c>
      <c r="BA340" s="56"/>
      <c r="BB340" s="56"/>
      <c r="BC340" s="611"/>
      <c r="BD340" s="56"/>
      <c r="BE340" s="56">
        <f>SUM(BE341:BE341)</f>
        <v>0</v>
      </c>
      <c r="BF340" s="56"/>
      <c r="BG340" s="56"/>
      <c r="BH340" s="611"/>
      <c r="BI340" s="56"/>
      <c r="BJ340" s="56">
        <f>SUM(BJ341:BJ341)</f>
        <v>0</v>
      </c>
      <c r="BK340" s="56"/>
      <c r="BL340" s="56"/>
      <c r="BM340" s="611"/>
      <c r="BN340" s="56"/>
      <c r="BO340" s="56">
        <f>SUM(BO341:BO341)</f>
        <v>0</v>
      </c>
      <c r="BP340" s="56"/>
      <c r="BQ340" s="56"/>
      <c r="BR340" s="611"/>
      <c r="BS340" s="56"/>
      <c r="BT340" s="56">
        <f>SUM(BT341:BT341)</f>
        <v>0</v>
      </c>
      <c r="BU340" s="56"/>
      <c r="BV340" s="56"/>
      <c r="BW340" s="611"/>
      <c r="BX340" s="56"/>
      <c r="BY340" s="56">
        <f>SUM(BY341:BY341)</f>
        <v>0</v>
      </c>
      <c r="BZ340" s="56"/>
      <c r="CA340" s="56"/>
      <c r="CB340" s="611"/>
      <c r="CC340" s="56"/>
      <c r="CD340" s="56">
        <f>SUM(CD341:CD341)</f>
        <v>0</v>
      </c>
      <c r="CE340" s="56"/>
      <c r="CF340" s="56"/>
      <c r="CG340" s="611"/>
      <c r="CH340" s="56"/>
      <c r="CI340" s="56">
        <f>SUM(CI341:CI341)</f>
        <v>0</v>
      </c>
      <c r="CJ340" s="56"/>
      <c r="CK340" s="56"/>
      <c r="CL340" s="611"/>
      <c r="CM340" s="56"/>
      <c r="CN340" s="56">
        <f>SUM(CN341:CN341)</f>
        <v>0</v>
      </c>
      <c r="CO340" s="56"/>
      <c r="CP340" s="56"/>
      <c r="CQ340" s="611"/>
      <c r="CR340" s="56"/>
      <c r="CS340" s="56">
        <f>SUM(CS341:CS341)</f>
        <v>0</v>
      </c>
      <c r="CT340" s="56"/>
      <c r="CU340" s="56"/>
      <c r="CV340" s="611"/>
      <c r="CW340" s="56"/>
      <c r="CX340" s="56">
        <f>SUM(CX341:CX341)</f>
        <v>0</v>
      </c>
      <c r="CY340" s="56"/>
      <c r="CZ340" s="56"/>
      <c r="DA340" s="611"/>
      <c r="DB340" s="56"/>
      <c r="DC340" s="56">
        <f>SUM(DC341:DC341)</f>
        <v>0</v>
      </c>
      <c r="DD340" s="56"/>
      <c r="DE340" s="56"/>
      <c r="DF340" s="611"/>
      <c r="DG340" s="56"/>
      <c r="DH340" s="56">
        <f>SUM(DH341:DH341)</f>
        <v>0</v>
      </c>
      <c r="DI340" s="56"/>
      <c r="DJ340" s="56"/>
      <c r="DK340" s="611"/>
      <c r="DL340" s="56"/>
      <c r="DM340" s="56">
        <f>SUM(DM341:DM341)</f>
        <v>0</v>
      </c>
      <c r="DN340" s="56"/>
      <c r="DO340" s="56"/>
      <c r="DP340" s="611"/>
      <c r="DQ340" s="56"/>
      <c r="DR340" s="56">
        <f>SUM(DR341:DR341)</f>
        <v>0</v>
      </c>
      <c r="DS340" s="56"/>
      <c r="DT340" s="56"/>
      <c r="DU340" s="611"/>
      <c r="DV340" s="56"/>
      <c r="DW340" s="56">
        <f>SUM(DW341:DW341)</f>
        <v>0</v>
      </c>
      <c r="DX340" s="56"/>
      <c r="DY340" s="56"/>
      <c r="DZ340" s="611"/>
      <c r="EA340" s="56"/>
      <c r="EB340" s="56">
        <f>SUM(EB341:EB341)</f>
        <v>0</v>
      </c>
      <c r="EC340" s="56"/>
      <c r="ED340" s="56"/>
      <c r="EE340" s="611"/>
      <c r="EF340" s="56"/>
      <c r="EG340" s="56">
        <f>SUM(EG341:EG341)</f>
        <v>0</v>
      </c>
      <c r="EH340" s="56"/>
      <c r="EI340" s="56"/>
      <c r="EJ340" s="611"/>
      <c r="EK340" s="56"/>
      <c r="EL340" s="56">
        <f>SUM(EL341:EL341)</f>
        <v>0</v>
      </c>
      <c r="EM340" s="56"/>
      <c r="EN340" s="56"/>
      <c r="EO340" s="144"/>
      <c r="ER340" s="42"/>
      <c r="ES340" s="42"/>
    </row>
    <row r="341" spans="4:149" ht="12.75" hidden="1" customHeight="1" x14ac:dyDescent="0.3">
      <c r="D341" s="144" t="s">
        <v>335</v>
      </c>
      <c r="F341" s="614"/>
      <c r="G341" s="618">
        <v>0</v>
      </c>
      <c r="H341" s="616"/>
      <c r="I341" s="56"/>
      <c r="J341" s="611"/>
      <c r="K341" s="617"/>
      <c r="L341" s="618">
        <v>0</v>
      </c>
      <c r="M341" s="616"/>
      <c r="N341" s="56"/>
      <c r="O341" s="611"/>
      <c r="P341" s="617"/>
      <c r="Q341" s="618">
        <v>0</v>
      </c>
      <c r="R341" s="616"/>
      <c r="S341" s="56"/>
      <c r="T341" s="611"/>
      <c r="U341" s="617"/>
      <c r="V341" s="618">
        <v>0</v>
      </c>
      <c r="W341" s="616"/>
      <c r="X341" s="56"/>
      <c r="Y341" s="611"/>
      <c r="Z341" s="617"/>
      <c r="AA341" s="618">
        <v>0</v>
      </c>
      <c r="AB341" s="616"/>
      <c r="AC341" s="56"/>
      <c r="AD341" s="611"/>
      <c r="AE341" s="617"/>
      <c r="AF341" s="618">
        <v>0</v>
      </c>
      <c r="AG341" s="616"/>
      <c r="AH341" s="56"/>
      <c r="AI341" s="611"/>
      <c r="AJ341" s="617"/>
      <c r="AK341" s="618">
        <v>0</v>
      </c>
      <c r="AL341" s="616"/>
      <c r="AM341" s="56"/>
      <c r="AN341" s="611"/>
      <c r="AO341" s="617"/>
      <c r="AP341" s="618">
        <v>0</v>
      </c>
      <c r="AQ341" s="616"/>
      <c r="AR341" s="56"/>
      <c r="AS341" s="611"/>
      <c r="AT341" s="617"/>
      <c r="AU341" s="618">
        <v>0</v>
      </c>
      <c r="AV341" s="616"/>
      <c r="AW341" s="56"/>
      <c r="AX341" s="611"/>
      <c r="AY341" s="617"/>
      <c r="AZ341" s="618">
        <v>0</v>
      </c>
      <c r="BA341" s="616"/>
      <c r="BB341" s="56"/>
      <c r="BC341" s="611"/>
      <c r="BD341" s="617"/>
      <c r="BE341" s="618">
        <v>0</v>
      </c>
      <c r="BF341" s="616"/>
      <c r="BG341" s="56"/>
      <c r="BH341" s="611"/>
      <c r="BI341" s="617"/>
      <c r="BJ341" s="618">
        <v>0</v>
      </c>
      <c r="BK341" s="616"/>
      <c r="BL341" s="56"/>
      <c r="BM341" s="611"/>
      <c r="BN341" s="617"/>
      <c r="BO341" s="618">
        <v>0</v>
      </c>
      <c r="BP341" s="616"/>
      <c r="BQ341" s="56"/>
      <c r="BR341" s="611"/>
      <c r="BS341" s="617"/>
      <c r="BT341" s="618">
        <f>SUM(L341:BO341)</f>
        <v>0</v>
      </c>
      <c r="BU341" s="616"/>
      <c r="BV341" s="56"/>
      <c r="BW341" s="611"/>
      <c r="BX341" s="617"/>
      <c r="BY341" s="618">
        <v>0</v>
      </c>
      <c r="BZ341" s="616"/>
      <c r="CA341" s="56"/>
      <c r="CB341" s="611"/>
      <c r="CC341" s="617"/>
      <c r="CD341" s="618">
        <v>0</v>
      </c>
      <c r="CE341" s="616"/>
      <c r="CF341" s="56"/>
      <c r="CG341" s="611"/>
      <c r="CH341" s="617"/>
      <c r="CI341" s="618">
        <v>0</v>
      </c>
      <c r="CJ341" s="616"/>
      <c r="CK341" s="56"/>
      <c r="CL341" s="611"/>
      <c r="CM341" s="617"/>
      <c r="CN341" s="618">
        <v>0</v>
      </c>
      <c r="CO341" s="616"/>
      <c r="CP341" s="56"/>
      <c r="CQ341" s="611"/>
      <c r="CR341" s="617"/>
      <c r="CS341" s="618">
        <v>0</v>
      </c>
      <c r="CT341" s="616"/>
      <c r="CU341" s="56"/>
      <c r="CV341" s="611"/>
      <c r="CW341" s="617"/>
      <c r="CX341" s="618">
        <v>0</v>
      </c>
      <c r="CY341" s="616"/>
      <c r="CZ341" s="56"/>
      <c r="DA341" s="611"/>
      <c r="DB341" s="617"/>
      <c r="DC341" s="618">
        <v>0</v>
      </c>
      <c r="DD341" s="616"/>
      <c r="DE341" s="56"/>
      <c r="DF341" s="611"/>
      <c r="DG341" s="617"/>
      <c r="DH341" s="618">
        <v>0</v>
      </c>
      <c r="DI341" s="616"/>
      <c r="DJ341" s="56"/>
      <c r="DK341" s="611"/>
      <c r="DL341" s="617"/>
      <c r="DM341" s="618">
        <v>0</v>
      </c>
      <c r="DN341" s="616"/>
      <c r="DO341" s="56"/>
      <c r="DP341" s="611"/>
      <c r="DQ341" s="617"/>
      <c r="DR341" s="618">
        <v>0</v>
      </c>
      <c r="DS341" s="616"/>
      <c r="DT341" s="56"/>
      <c r="DU341" s="611"/>
      <c r="DV341" s="617"/>
      <c r="DW341" s="618">
        <v>0</v>
      </c>
      <c r="DX341" s="616"/>
      <c r="DY341" s="56"/>
      <c r="DZ341" s="611"/>
      <c r="EA341" s="617"/>
      <c r="EB341" s="618">
        <v>0</v>
      </c>
      <c r="EC341" s="616"/>
      <c r="ED341" s="56"/>
      <c r="EE341" s="611"/>
      <c r="EF341" s="617"/>
      <c r="EG341" s="618">
        <v>0</v>
      </c>
      <c r="EH341" s="616"/>
      <c r="EI341" s="56"/>
      <c r="EJ341" s="611"/>
      <c r="EK341" s="614"/>
      <c r="EL341" s="618">
        <f>SUM(CD341:CD341)</f>
        <v>0</v>
      </c>
      <c r="EM341" s="616"/>
      <c r="EN341" s="56"/>
      <c r="EO341" s="144"/>
      <c r="ER341" s="42"/>
      <c r="ES341" s="42"/>
    </row>
    <row r="342" spans="4:149" ht="12.75" hidden="1" customHeight="1" x14ac:dyDescent="0.3">
      <c r="D342" s="144"/>
      <c r="G342" s="56"/>
      <c r="H342" s="56"/>
      <c r="I342" s="56"/>
      <c r="J342" s="611"/>
      <c r="K342" s="56"/>
      <c r="L342" s="56"/>
      <c r="M342" s="56"/>
      <c r="N342" s="56"/>
      <c r="O342" s="611"/>
      <c r="P342" s="56"/>
      <c r="Q342" s="56"/>
      <c r="R342" s="56"/>
      <c r="S342" s="56"/>
      <c r="T342" s="611"/>
      <c r="U342" s="56"/>
      <c r="V342" s="56"/>
      <c r="W342" s="56"/>
      <c r="X342" s="56"/>
      <c r="Y342" s="611"/>
      <c r="Z342" s="56"/>
      <c r="AA342" s="56"/>
      <c r="AB342" s="56"/>
      <c r="AC342" s="56"/>
      <c r="AD342" s="611"/>
      <c r="AE342" s="56"/>
      <c r="AF342" s="56"/>
      <c r="AG342" s="56"/>
      <c r="AH342" s="56"/>
      <c r="AI342" s="611"/>
      <c r="AJ342" s="56"/>
      <c r="AK342" s="56"/>
      <c r="AL342" s="56"/>
      <c r="AM342" s="56"/>
      <c r="AN342" s="611"/>
      <c r="AO342" s="56"/>
      <c r="AP342" s="56"/>
      <c r="AQ342" s="56"/>
      <c r="AR342" s="56"/>
      <c r="AS342" s="611"/>
      <c r="AT342" s="56"/>
      <c r="AU342" s="56"/>
      <c r="AV342" s="56"/>
      <c r="AW342" s="56"/>
      <c r="AX342" s="611"/>
      <c r="AY342" s="56"/>
      <c r="AZ342" s="56"/>
      <c r="BA342" s="56"/>
      <c r="BB342" s="56"/>
      <c r="BC342" s="611"/>
      <c r="BD342" s="56"/>
      <c r="BE342" s="56"/>
      <c r="BF342" s="56"/>
      <c r="BG342" s="56"/>
      <c r="BH342" s="611"/>
      <c r="BI342" s="56"/>
      <c r="BJ342" s="56"/>
      <c r="BK342" s="56"/>
      <c r="BL342" s="56"/>
      <c r="BM342" s="611"/>
      <c r="BN342" s="56"/>
      <c r="BO342" s="56"/>
      <c r="BP342" s="56"/>
      <c r="BQ342" s="56"/>
      <c r="BR342" s="611"/>
      <c r="BS342" s="56"/>
      <c r="BT342" s="56"/>
      <c r="BU342" s="56"/>
      <c r="BV342" s="56"/>
      <c r="BW342" s="611"/>
      <c r="BX342" s="56"/>
      <c r="BY342" s="56"/>
      <c r="BZ342" s="56"/>
      <c r="CA342" s="56"/>
      <c r="CB342" s="611"/>
      <c r="CC342" s="56"/>
      <c r="CD342" s="644"/>
      <c r="CE342" s="644"/>
      <c r="CF342" s="644"/>
      <c r="CG342" s="645"/>
      <c r="CH342" s="644"/>
      <c r="CI342" s="644"/>
      <c r="CJ342" s="644"/>
      <c r="CK342" s="644"/>
      <c r="CL342" s="645"/>
      <c r="CM342" s="644"/>
      <c r="CN342" s="644"/>
      <c r="CO342" s="644"/>
      <c r="CP342" s="644"/>
      <c r="CQ342" s="645"/>
      <c r="CR342" s="644"/>
      <c r="CS342" s="644"/>
      <c r="CT342" s="644"/>
      <c r="CU342" s="644"/>
      <c r="CV342" s="645"/>
      <c r="CW342" s="644"/>
      <c r="CX342" s="644"/>
      <c r="CY342" s="644"/>
      <c r="CZ342" s="644"/>
      <c r="DA342" s="645"/>
      <c r="DB342" s="644"/>
      <c r="DC342" s="644"/>
      <c r="DD342" s="644"/>
      <c r="DE342" s="644"/>
      <c r="DF342" s="645"/>
      <c r="DG342" s="644"/>
      <c r="DH342" s="644"/>
      <c r="DI342" s="644"/>
      <c r="DJ342" s="644"/>
      <c r="DK342" s="645"/>
      <c r="DL342" s="644"/>
      <c r="DM342" s="644"/>
      <c r="DN342" s="644"/>
      <c r="DO342" s="644"/>
      <c r="DP342" s="645"/>
      <c r="DQ342" s="644"/>
      <c r="DR342" s="644"/>
      <c r="DS342" s="644"/>
      <c r="DT342" s="644"/>
      <c r="DU342" s="645"/>
      <c r="DV342" s="644"/>
      <c r="DW342" s="644"/>
      <c r="DX342" s="644"/>
      <c r="DY342" s="644"/>
      <c r="DZ342" s="645"/>
      <c r="EA342" s="644"/>
      <c r="EB342" s="644"/>
      <c r="EC342" s="644"/>
      <c r="ED342" s="644"/>
      <c r="EE342" s="645"/>
      <c r="EF342" s="644"/>
      <c r="EG342" s="644"/>
      <c r="EH342" s="56"/>
      <c r="EI342" s="56"/>
      <c r="EJ342" s="611"/>
      <c r="EK342" s="56"/>
      <c r="EL342" s="56"/>
      <c r="EM342" s="56"/>
      <c r="EN342" s="56"/>
      <c r="EO342" s="144"/>
      <c r="ER342" s="42"/>
      <c r="ES342" s="42"/>
    </row>
    <row r="343" spans="4:149" s="42" customFormat="1" ht="12.75" hidden="1" customHeight="1" x14ac:dyDescent="0.3">
      <c r="D343" s="275" t="s">
        <v>348</v>
      </c>
      <c r="E343" s="641"/>
      <c r="F343" s="233"/>
      <c r="G343" s="56">
        <f>SUM(G344:G344)</f>
        <v>0</v>
      </c>
      <c r="H343" s="56"/>
      <c r="I343" s="56"/>
      <c r="J343" s="611"/>
      <c r="K343" s="56"/>
      <c r="L343" s="56">
        <f>SUM(L344:L344)</f>
        <v>0</v>
      </c>
      <c r="M343" s="56"/>
      <c r="N343" s="56"/>
      <c r="O343" s="611"/>
      <c r="P343" s="56"/>
      <c r="Q343" s="56">
        <f>SUM(Q344:Q344)</f>
        <v>0</v>
      </c>
      <c r="R343" s="56"/>
      <c r="S343" s="56"/>
      <c r="T343" s="611"/>
      <c r="U343" s="56"/>
      <c r="V343" s="56">
        <f>SUM(V344:V344)</f>
        <v>0</v>
      </c>
      <c r="W343" s="56"/>
      <c r="X343" s="56"/>
      <c r="Y343" s="611"/>
      <c r="Z343" s="56"/>
      <c r="AA343" s="56">
        <f>SUM(AA344:AA344)</f>
        <v>0</v>
      </c>
      <c r="AB343" s="56"/>
      <c r="AC343" s="56"/>
      <c r="AD343" s="611"/>
      <c r="AE343" s="56"/>
      <c r="AF343" s="56">
        <f>SUM(AF344:AF344)</f>
        <v>0</v>
      </c>
      <c r="AG343" s="56"/>
      <c r="AH343" s="56"/>
      <c r="AI343" s="611"/>
      <c r="AJ343" s="56"/>
      <c r="AK343" s="56">
        <f>SUM(AK344:AK344)</f>
        <v>0</v>
      </c>
      <c r="AL343" s="56"/>
      <c r="AM343" s="56"/>
      <c r="AN343" s="611"/>
      <c r="AO343" s="56"/>
      <c r="AP343" s="56">
        <f>SUM(AP344:AP344)</f>
        <v>0</v>
      </c>
      <c r="AQ343" s="56"/>
      <c r="AR343" s="56"/>
      <c r="AS343" s="611"/>
      <c r="AT343" s="56"/>
      <c r="AU343" s="56">
        <f>SUM(AU344:AU344)</f>
        <v>0</v>
      </c>
      <c r="AV343" s="56"/>
      <c r="AW343" s="56"/>
      <c r="AX343" s="611"/>
      <c r="AY343" s="56"/>
      <c r="AZ343" s="56">
        <f>SUM(AZ344:AZ344)</f>
        <v>0</v>
      </c>
      <c r="BA343" s="56"/>
      <c r="BB343" s="56"/>
      <c r="BC343" s="611"/>
      <c r="BD343" s="56"/>
      <c r="BE343" s="56">
        <f>SUM(BE344:BE344)</f>
        <v>0</v>
      </c>
      <c r="BF343" s="56"/>
      <c r="BG343" s="56"/>
      <c r="BH343" s="611"/>
      <c r="BI343" s="56"/>
      <c r="BJ343" s="56">
        <f>SUM(BJ344:BJ344)</f>
        <v>0</v>
      </c>
      <c r="BK343" s="56"/>
      <c r="BL343" s="56"/>
      <c r="BM343" s="611"/>
      <c r="BN343" s="56"/>
      <c r="BO343" s="56">
        <f>SUM(BO344:BO344)</f>
        <v>0</v>
      </c>
      <c r="BP343" s="56"/>
      <c r="BQ343" s="56"/>
      <c r="BR343" s="611"/>
      <c r="BS343" s="56"/>
      <c r="BT343" s="56">
        <f>SUM(BT344:BT344)</f>
        <v>0</v>
      </c>
      <c r="BU343" s="56"/>
      <c r="BV343" s="56"/>
      <c r="BW343" s="611"/>
      <c r="BX343" s="56"/>
      <c r="BY343" s="56">
        <f>SUM(BY344:BY344)</f>
        <v>0</v>
      </c>
      <c r="BZ343" s="56"/>
      <c r="CA343" s="56"/>
      <c r="CB343" s="611"/>
      <c r="CC343" s="56"/>
      <c r="CD343" s="56">
        <f>SUM(CD344:CD344)</f>
        <v>0</v>
      </c>
      <c r="CE343" s="56"/>
      <c r="CF343" s="56"/>
      <c r="CG343" s="611"/>
      <c r="CH343" s="56"/>
      <c r="CI343" s="56">
        <f>SUM(CI344:CI344)</f>
        <v>0</v>
      </c>
      <c r="CJ343" s="56"/>
      <c r="CK343" s="56"/>
      <c r="CL343" s="611"/>
      <c r="CM343" s="56"/>
      <c r="CN343" s="56">
        <f>SUM(CN344:CN344)</f>
        <v>0</v>
      </c>
      <c r="CO343" s="56"/>
      <c r="CP343" s="56"/>
      <c r="CQ343" s="611"/>
      <c r="CR343" s="56"/>
      <c r="CS343" s="56">
        <f>SUM(CS344:CS344)</f>
        <v>0</v>
      </c>
      <c r="CT343" s="56"/>
      <c r="CU343" s="56"/>
      <c r="CV343" s="611"/>
      <c r="CW343" s="56"/>
      <c r="CX343" s="56">
        <f>SUM(CX344:CX344)</f>
        <v>0</v>
      </c>
      <c r="CY343" s="56"/>
      <c r="CZ343" s="56"/>
      <c r="DA343" s="611"/>
      <c r="DB343" s="56"/>
      <c r="DC343" s="56">
        <f>SUM(DC344:DC344)</f>
        <v>0</v>
      </c>
      <c r="DD343" s="56"/>
      <c r="DE343" s="56"/>
      <c r="DF343" s="611"/>
      <c r="DG343" s="56"/>
      <c r="DH343" s="56">
        <f>SUM(DH344:DH344)</f>
        <v>0</v>
      </c>
      <c r="DI343" s="56"/>
      <c r="DJ343" s="56"/>
      <c r="DK343" s="611"/>
      <c r="DL343" s="56"/>
      <c r="DM343" s="56">
        <f>SUM(DM344:DM344)</f>
        <v>0</v>
      </c>
      <c r="DN343" s="56"/>
      <c r="DO343" s="56"/>
      <c r="DP343" s="611"/>
      <c r="DQ343" s="56"/>
      <c r="DR343" s="56">
        <f>SUM(DR344:DR344)</f>
        <v>0</v>
      </c>
      <c r="DS343" s="56"/>
      <c r="DT343" s="56"/>
      <c r="DU343" s="611"/>
      <c r="DV343" s="56"/>
      <c r="DW343" s="56">
        <f>SUM(DW344:DW344)</f>
        <v>0</v>
      </c>
      <c r="DX343" s="56"/>
      <c r="DY343" s="56"/>
      <c r="DZ343" s="611"/>
      <c r="EA343" s="56"/>
      <c r="EB343" s="56">
        <f>SUM(EB344:EB344)</f>
        <v>0</v>
      </c>
      <c r="EC343" s="56"/>
      <c r="ED343" s="56"/>
      <c r="EE343" s="611"/>
      <c r="EF343" s="56"/>
      <c r="EG343" s="56">
        <f>SUM(EG344:EG344)</f>
        <v>0</v>
      </c>
      <c r="EH343" s="56"/>
      <c r="EI343" s="56"/>
      <c r="EJ343" s="611"/>
      <c r="EK343" s="56"/>
      <c r="EL343" s="56">
        <f>SUM(EL344:EL344)</f>
        <v>0</v>
      </c>
      <c r="EM343" s="56"/>
      <c r="EN343" s="44"/>
      <c r="EO343" s="234"/>
      <c r="EQ343" s="136"/>
    </row>
    <row r="344" spans="4:149" ht="12.75" hidden="1" customHeight="1" x14ac:dyDescent="0.3">
      <c r="D344" s="144" t="s">
        <v>335</v>
      </c>
      <c r="E344" s="635"/>
      <c r="F344" s="642"/>
      <c r="G344" s="618">
        <f>G347</f>
        <v>0</v>
      </c>
      <c r="H344" s="616"/>
      <c r="I344" s="56"/>
      <c r="J344" s="611"/>
      <c r="K344" s="617"/>
      <c r="L344" s="618">
        <f>L347</f>
        <v>0</v>
      </c>
      <c r="M344" s="616"/>
      <c r="N344" s="56"/>
      <c r="O344" s="611"/>
      <c r="P344" s="617"/>
      <c r="Q344" s="618">
        <f>Q347</f>
        <v>0</v>
      </c>
      <c r="R344" s="616"/>
      <c r="S344" s="56"/>
      <c r="T344" s="611"/>
      <c r="U344" s="617"/>
      <c r="V344" s="618">
        <f>V347</f>
        <v>0</v>
      </c>
      <c r="W344" s="616"/>
      <c r="X344" s="56"/>
      <c r="Y344" s="611"/>
      <c r="Z344" s="617"/>
      <c r="AA344" s="618">
        <f>AA347</f>
        <v>0</v>
      </c>
      <c r="AB344" s="616"/>
      <c r="AC344" s="56"/>
      <c r="AD344" s="611"/>
      <c r="AE344" s="617"/>
      <c r="AF344" s="618">
        <f>AF347</f>
        <v>0</v>
      </c>
      <c r="AG344" s="616"/>
      <c r="AH344" s="56"/>
      <c r="AI344" s="611"/>
      <c r="AJ344" s="617"/>
      <c r="AK344" s="618">
        <f>AK347</f>
        <v>0</v>
      </c>
      <c r="AL344" s="616"/>
      <c r="AM344" s="56"/>
      <c r="AN344" s="611"/>
      <c r="AO344" s="617"/>
      <c r="AP344" s="618">
        <f>AP347</f>
        <v>0</v>
      </c>
      <c r="AQ344" s="616"/>
      <c r="AR344" s="56"/>
      <c r="AS344" s="611"/>
      <c r="AT344" s="617"/>
      <c r="AU344" s="618">
        <f>AU347</f>
        <v>0</v>
      </c>
      <c r="AV344" s="616"/>
      <c r="AW344" s="56"/>
      <c r="AX344" s="611"/>
      <c r="AY344" s="617"/>
      <c r="AZ344" s="618">
        <f>AZ347</f>
        <v>0</v>
      </c>
      <c r="BA344" s="616"/>
      <c r="BB344" s="56"/>
      <c r="BC344" s="611"/>
      <c r="BD344" s="617"/>
      <c r="BE344" s="618">
        <f>BE347</f>
        <v>0</v>
      </c>
      <c r="BF344" s="616"/>
      <c r="BG344" s="56"/>
      <c r="BH344" s="611"/>
      <c r="BI344" s="617"/>
      <c r="BJ344" s="618">
        <f>BJ347</f>
        <v>0</v>
      </c>
      <c r="BK344" s="616"/>
      <c r="BL344" s="56"/>
      <c r="BM344" s="611"/>
      <c r="BN344" s="617"/>
      <c r="BO344" s="618">
        <f>BO347</f>
        <v>0</v>
      </c>
      <c r="BP344" s="616"/>
      <c r="BQ344" s="56"/>
      <c r="BR344" s="611"/>
      <c r="BS344" s="617"/>
      <c r="BT344" s="618">
        <f>SUM(L344:BO344)</f>
        <v>0</v>
      </c>
      <c r="BU344" s="616"/>
      <c r="BV344" s="56"/>
      <c r="BW344" s="611"/>
      <c r="BX344" s="617"/>
      <c r="BY344" s="618">
        <f>BY347</f>
        <v>0</v>
      </c>
      <c r="BZ344" s="616"/>
      <c r="CA344" s="56"/>
      <c r="CB344" s="611"/>
      <c r="CC344" s="617"/>
      <c r="CD344" s="618">
        <v>0</v>
      </c>
      <c r="CE344" s="616"/>
      <c r="CF344" s="56"/>
      <c r="CG344" s="611"/>
      <c r="CH344" s="617"/>
      <c r="CI344" s="618">
        <v>0</v>
      </c>
      <c r="CJ344" s="616"/>
      <c r="CK344" s="56"/>
      <c r="CL344" s="611"/>
      <c r="CM344" s="617"/>
      <c r="CN344" s="618">
        <v>0</v>
      </c>
      <c r="CO344" s="616"/>
      <c r="CP344" s="56"/>
      <c r="CQ344" s="611"/>
      <c r="CR344" s="617"/>
      <c r="CS344" s="618">
        <v>0</v>
      </c>
      <c r="CT344" s="616"/>
      <c r="CU344" s="56"/>
      <c r="CV344" s="611"/>
      <c r="CW344" s="617"/>
      <c r="CX344" s="618">
        <v>0</v>
      </c>
      <c r="CY344" s="616"/>
      <c r="CZ344" s="56"/>
      <c r="DA344" s="611"/>
      <c r="DB344" s="617"/>
      <c r="DC344" s="618">
        <v>0</v>
      </c>
      <c r="DD344" s="616"/>
      <c r="DE344" s="56"/>
      <c r="DF344" s="611"/>
      <c r="DG344" s="617"/>
      <c r="DH344" s="618">
        <v>0</v>
      </c>
      <c r="DI344" s="616"/>
      <c r="DJ344" s="56"/>
      <c r="DK344" s="611"/>
      <c r="DL344" s="617"/>
      <c r="DM344" s="618">
        <v>0</v>
      </c>
      <c r="DN344" s="616"/>
      <c r="DO344" s="56"/>
      <c r="DP344" s="611"/>
      <c r="DQ344" s="617"/>
      <c r="DR344" s="618">
        <v>0</v>
      </c>
      <c r="DS344" s="616"/>
      <c r="DT344" s="56"/>
      <c r="DU344" s="611"/>
      <c r="DV344" s="617"/>
      <c r="DW344" s="618">
        <v>0</v>
      </c>
      <c r="DX344" s="616"/>
      <c r="DY344" s="56"/>
      <c r="DZ344" s="611"/>
      <c r="EA344" s="617"/>
      <c r="EB344" s="618">
        <v>0</v>
      </c>
      <c r="EC344" s="616"/>
      <c r="ED344" s="56"/>
      <c r="EE344" s="611"/>
      <c r="EF344" s="617"/>
      <c r="EG344" s="618">
        <v>0</v>
      </c>
      <c r="EH344" s="616"/>
      <c r="EI344" s="56"/>
      <c r="EJ344" s="611"/>
      <c r="EK344" s="617"/>
      <c r="EL344" s="618">
        <f>SUM(CD344:CD344)</f>
        <v>0</v>
      </c>
      <c r="EM344" s="616"/>
      <c r="EN344" s="56"/>
      <c r="EO344" s="144"/>
      <c r="ER344" s="42"/>
      <c r="ES344" s="42"/>
    </row>
    <row r="345" spans="4:149" ht="12.75" hidden="1" customHeight="1" x14ac:dyDescent="0.3">
      <c r="D345" s="144"/>
      <c r="H345" s="56"/>
      <c r="I345" s="56"/>
      <c r="J345" s="611"/>
      <c r="K345" s="56"/>
      <c r="O345" s="494"/>
      <c r="T345" s="494"/>
      <c r="Y345" s="494"/>
      <c r="AD345" s="494"/>
      <c r="AI345" s="494"/>
      <c r="AN345" s="494"/>
      <c r="AS345" s="494"/>
      <c r="AX345" s="494"/>
      <c r="BC345" s="494"/>
      <c r="BH345" s="494"/>
      <c r="BM345" s="494"/>
      <c r="BR345" s="494"/>
      <c r="BW345" s="494"/>
      <c r="BZ345" s="56"/>
      <c r="CA345" s="56"/>
      <c r="CB345" s="611"/>
      <c r="CC345" s="56"/>
      <c r="CD345" s="644"/>
      <c r="CE345" s="644"/>
      <c r="CF345" s="644"/>
      <c r="CG345" s="645"/>
      <c r="CH345" s="644"/>
      <c r="CI345" s="644"/>
      <c r="CJ345" s="644"/>
      <c r="CK345" s="644"/>
      <c r="CL345" s="645"/>
      <c r="CM345" s="644"/>
      <c r="CN345" s="644"/>
      <c r="CO345" s="644"/>
      <c r="CP345" s="644"/>
      <c r="CQ345" s="645"/>
      <c r="CR345" s="644"/>
      <c r="CS345" s="644"/>
      <c r="CT345" s="644"/>
      <c r="CU345" s="644"/>
      <c r="CV345" s="645"/>
      <c r="CW345" s="644"/>
      <c r="CX345" s="644"/>
      <c r="CY345" s="644"/>
      <c r="CZ345" s="644"/>
      <c r="DA345" s="645"/>
      <c r="DB345" s="644"/>
      <c r="DC345" s="644"/>
      <c r="DD345" s="644"/>
      <c r="DE345" s="644"/>
      <c r="DF345" s="645"/>
      <c r="DG345" s="644"/>
      <c r="DH345" s="644"/>
      <c r="DI345" s="644"/>
      <c r="DJ345" s="644"/>
      <c r="DK345" s="645"/>
      <c r="DL345" s="644"/>
      <c r="DM345" s="644"/>
      <c r="DN345" s="644"/>
      <c r="DO345" s="644"/>
      <c r="DP345" s="645"/>
      <c r="DQ345" s="644"/>
      <c r="DR345" s="644"/>
      <c r="DS345" s="644"/>
      <c r="DT345" s="644"/>
      <c r="DU345" s="645"/>
      <c r="DV345" s="644"/>
      <c r="DW345" s="644"/>
      <c r="DX345" s="644"/>
      <c r="DY345" s="644"/>
      <c r="DZ345" s="645"/>
      <c r="EA345" s="644"/>
      <c r="EB345" s="644"/>
      <c r="EC345" s="644"/>
      <c r="ED345" s="644"/>
      <c r="EE345" s="645"/>
      <c r="EF345" s="644"/>
      <c r="EG345" s="644"/>
      <c r="EJ345" s="494"/>
      <c r="EO345" s="144"/>
      <c r="ER345" s="42"/>
      <c r="ES345" s="42"/>
    </row>
    <row r="346" spans="4:149" ht="12.75" hidden="1" customHeight="1" x14ac:dyDescent="0.3">
      <c r="D346" s="144" t="s">
        <v>377</v>
      </c>
      <c r="G346" s="56">
        <f>SUM(G347:G347)</f>
        <v>0</v>
      </c>
      <c r="H346" s="56"/>
      <c r="I346" s="56"/>
      <c r="J346" s="611"/>
      <c r="K346" s="56"/>
      <c r="L346" s="56">
        <f>SUM(L347:L347)</f>
        <v>0</v>
      </c>
      <c r="M346" s="56"/>
      <c r="N346" s="56"/>
      <c r="O346" s="611"/>
      <c r="P346" s="56"/>
      <c r="Q346" s="56">
        <f>SUM(Q347:Q347)</f>
        <v>0</v>
      </c>
      <c r="R346" s="56"/>
      <c r="S346" s="56"/>
      <c r="T346" s="611"/>
      <c r="U346" s="56"/>
      <c r="V346" s="56">
        <f>SUM(V347:V347)</f>
        <v>0</v>
      </c>
      <c r="W346" s="56"/>
      <c r="X346" s="56"/>
      <c r="Y346" s="611"/>
      <c r="Z346" s="56"/>
      <c r="AA346" s="56">
        <f>SUM(AA347:AA347)</f>
        <v>0</v>
      </c>
      <c r="AB346" s="56"/>
      <c r="AC346" s="56"/>
      <c r="AD346" s="611"/>
      <c r="AE346" s="56"/>
      <c r="AF346" s="56">
        <f>SUM(AF347:AF347)</f>
        <v>0</v>
      </c>
      <c r="AG346" s="56"/>
      <c r="AH346" s="56"/>
      <c r="AI346" s="611"/>
      <c r="AJ346" s="56"/>
      <c r="AK346" s="56">
        <f>SUM(AK347:AK347)</f>
        <v>0</v>
      </c>
      <c r="AL346" s="56"/>
      <c r="AM346" s="56"/>
      <c r="AN346" s="611"/>
      <c r="AO346" s="56"/>
      <c r="AP346" s="56">
        <f>SUM(AP347:AP347)</f>
        <v>0</v>
      </c>
      <c r="AQ346" s="56"/>
      <c r="AR346" s="56"/>
      <c r="AS346" s="611"/>
      <c r="AT346" s="56"/>
      <c r="AU346" s="56">
        <f>SUM(AU347:AU347)</f>
        <v>0</v>
      </c>
      <c r="AV346" s="56"/>
      <c r="AW346" s="56"/>
      <c r="AX346" s="611"/>
      <c r="AY346" s="56"/>
      <c r="AZ346" s="56">
        <f>SUM(AZ347:AZ347)</f>
        <v>0</v>
      </c>
      <c r="BA346" s="56"/>
      <c r="BB346" s="56"/>
      <c r="BC346" s="611"/>
      <c r="BD346" s="56"/>
      <c r="BE346" s="56">
        <f>SUM(BE347:BE347)</f>
        <v>0</v>
      </c>
      <c r="BF346" s="56"/>
      <c r="BG346" s="56"/>
      <c r="BH346" s="611"/>
      <c r="BI346" s="56"/>
      <c r="BJ346" s="56">
        <f>SUM(BJ347:BJ347)</f>
        <v>0</v>
      </c>
      <c r="BK346" s="56"/>
      <c r="BL346" s="56"/>
      <c r="BM346" s="611"/>
      <c r="BN346" s="56"/>
      <c r="BO346" s="56">
        <f>SUM(BO347:BO347)</f>
        <v>0</v>
      </c>
      <c r="BP346" s="56"/>
      <c r="BQ346" s="56"/>
      <c r="BR346" s="611"/>
      <c r="BS346" s="56"/>
      <c r="BT346" s="56">
        <f>SUM(BT347:BT347)</f>
        <v>0</v>
      </c>
      <c r="BU346" s="56"/>
      <c r="BV346" s="56"/>
      <c r="BW346" s="611"/>
      <c r="BX346" s="56"/>
      <c r="BY346" s="56">
        <f>SUM(BY347:BY347)</f>
        <v>0</v>
      </c>
      <c r="BZ346" s="56"/>
      <c r="CA346" s="56"/>
      <c r="CB346" s="611"/>
      <c r="CC346" s="56"/>
      <c r="CD346" s="56">
        <f>SUM(CD347:CD347)</f>
        <v>0</v>
      </c>
      <c r="CE346" s="56"/>
      <c r="CF346" s="56"/>
      <c r="CG346" s="611"/>
      <c r="CH346" s="56"/>
      <c r="CI346" s="56">
        <f>SUM(CI347:CI347)</f>
        <v>0</v>
      </c>
      <c r="CJ346" s="56"/>
      <c r="CK346" s="56"/>
      <c r="CL346" s="611"/>
      <c r="CM346" s="56"/>
      <c r="CN346" s="56">
        <f>SUM(CN347:CN347)</f>
        <v>0</v>
      </c>
      <c r="CO346" s="56"/>
      <c r="CP346" s="56"/>
      <c r="CQ346" s="611"/>
      <c r="CR346" s="56"/>
      <c r="CS346" s="56">
        <f>SUM(CS347:CS347)</f>
        <v>0</v>
      </c>
      <c r="CT346" s="56"/>
      <c r="CU346" s="56"/>
      <c r="CV346" s="611"/>
      <c r="CW346" s="56"/>
      <c r="CX346" s="56">
        <f>SUM(CX347:CX347)</f>
        <v>0</v>
      </c>
      <c r="CY346" s="56"/>
      <c r="CZ346" s="56"/>
      <c r="DA346" s="611"/>
      <c r="DB346" s="56"/>
      <c r="DC346" s="56">
        <f>SUM(DC347:DC347)</f>
        <v>0</v>
      </c>
      <c r="DD346" s="56"/>
      <c r="DE346" s="56"/>
      <c r="DF346" s="611"/>
      <c r="DG346" s="56"/>
      <c r="DH346" s="56">
        <f>SUM(DH347:DH347)</f>
        <v>0</v>
      </c>
      <c r="DI346" s="56"/>
      <c r="DJ346" s="56"/>
      <c r="DK346" s="611"/>
      <c r="DL346" s="56"/>
      <c r="DM346" s="56">
        <f>SUM(DM347:DM347)</f>
        <v>0</v>
      </c>
      <c r="DN346" s="56"/>
      <c r="DO346" s="56"/>
      <c r="DP346" s="611"/>
      <c r="DQ346" s="56"/>
      <c r="DR346" s="56">
        <f>SUM(DR347:DR347)</f>
        <v>0</v>
      </c>
      <c r="DS346" s="56"/>
      <c r="DT346" s="56"/>
      <c r="DU346" s="611"/>
      <c r="DV346" s="56"/>
      <c r="DW346" s="56">
        <f>SUM(DW347:DW347)</f>
        <v>0</v>
      </c>
      <c r="DX346" s="56"/>
      <c r="DY346" s="56"/>
      <c r="DZ346" s="611"/>
      <c r="EA346" s="56"/>
      <c r="EB346" s="56">
        <f>SUM(EB347:EB347)</f>
        <v>0</v>
      </c>
      <c r="EC346" s="56"/>
      <c r="ED346" s="56"/>
      <c r="EE346" s="611"/>
      <c r="EF346" s="56"/>
      <c r="EG346" s="56">
        <f>SUM(EG347:EG347)</f>
        <v>0</v>
      </c>
      <c r="EH346" s="56"/>
      <c r="EI346" s="56"/>
      <c r="EJ346" s="611"/>
      <c r="EK346" s="56"/>
      <c r="EL346" s="56">
        <f>SUM(EL347:EL347)</f>
        <v>0</v>
      </c>
      <c r="EM346" s="56"/>
      <c r="EN346" s="56"/>
      <c r="EO346" s="144"/>
      <c r="ER346" s="42"/>
      <c r="ES346" s="42"/>
    </row>
    <row r="347" spans="4:149" ht="12.75" hidden="1" customHeight="1" x14ac:dyDescent="0.3">
      <c r="D347" s="144" t="s">
        <v>335</v>
      </c>
      <c r="F347" s="614"/>
      <c r="G347" s="618">
        <v>0</v>
      </c>
      <c r="H347" s="616"/>
      <c r="I347" s="56"/>
      <c r="J347" s="611"/>
      <c r="K347" s="617"/>
      <c r="L347" s="618">
        <v>0</v>
      </c>
      <c r="M347" s="616"/>
      <c r="N347" s="56"/>
      <c r="O347" s="611"/>
      <c r="P347" s="617"/>
      <c r="Q347" s="618">
        <v>0</v>
      </c>
      <c r="R347" s="616"/>
      <c r="S347" s="56"/>
      <c r="T347" s="611"/>
      <c r="U347" s="617"/>
      <c r="V347" s="618">
        <v>0</v>
      </c>
      <c r="W347" s="616"/>
      <c r="X347" s="56"/>
      <c r="Y347" s="611"/>
      <c r="Z347" s="617"/>
      <c r="AA347" s="618">
        <v>0</v>
      </c>
      <c r="AB347" s="616"/>
      <c r="AC347" s="56"/>
      <c r="AD347" s="611"/>
      <c r="AE347" s="617"/>
      <c r="AF347" s="618">
        <v>0</v>
      </c>
      <c r="AG347" s="616"/>
      <c r="AH347" s="56"/>
      <c r="AI347" s="611"/>
      <c r="AJ347" s="617"/>
      <c r="AK347" s="618">
        <v>0</v>
      </c>
      <c r="AL347" s="616"/>
      <c r="AM347" s="56"/>
      <c r="AN347" s="611"/>
      <c r="AO347" s="617"/>
      <c r="AP347" s="618">
        <v>0</v>
      </c>
      <c r="AQ347" s="616"/>
      <c r="AR347" s="56"/>
      <c r="AS347" s="611"/>
      <c r="AT347" s="617"/>
      <c r="AU347" s="618">
        <v>0</v>
      </c>
      <c r="AV347" s="616"/>
      <c r="AW347" s="56"/>
      <c r="AX347" s="611"/>
      <c r="AY347" s="617"/>
      <c r="AZ347" s="618">
        <v>0</v>
      </c>
      <c r="BA347" s="616"/>
      <c r="BB347" s="56"/>
      <c r="BC347" s="611"/>
      <c r="BD347" s="617"/>
      <c r="BE347" s="618">
        <v>0</v>
      </c>
      <c r="BF347" s="616"/>
      <c r="BG347" s="56"/>
      <c r="BH347" s="611"/>
      <c r="BI347" s="617"/>
      <c r="BJ347" s="618">
        <v>0</v>
      </c>
      <c r="BK347" s="616"/>
      <c r="BL347" s="56"/>
      <c r="BM347" s="611"/>
      <c r="BN347" s="617"/>
      <c r="BO347" s="618">
        <v>0</v>
      </c>
      <c r="BP347" s="616"/>
      <c r="BQ347" s="56"/>
      <c r="BR347" s="611"/>
      <c r="BS347" s="617"/>
      <c r="BT347" s="618">
        <f>SUM(L347:BO347)</f>
        <v>0</v>
      </c>
      <c r="BU347" s="616"/>
      <c r="BV347" s="56"/>
      <c r="BW347" s="611"/>
      <c r="BX347" s="617"/>
      <c r="BY347" s="618">
        <v>0</v>
      </c>
      <c r="BZ347" s="616"/>
      <c r="CA347" s="56"/>
      <c r="CB347" s="611"/>
      <c r="CC347" s="617"/>
      <c r="CD347" s="618">
        <v>0</v>
      </c>
      <c r="CE347" s="616"/>
      <c r="CF347" s="56"/>
      <c r="CG347" s="611"/>
      <c r="CH347" s="617"/>
      <c r="CI347" s="618">
        <v>0</v>
      </c>
      <c r="CJ347" s="616"/>
      <c r="CK347" s="56"/>
      <c r="CL347" s="611"/>
      <c r="CM347" s="617"/>
      <c r="CN347" s="618">
        <v>0</v>
      </c>
      <c r="CO347" s="616"/>
      <c r="CP347" s="56"/>
      <c r="CQ347" s="611"/>
      <c r="CR347" s="617"/>
      <c r="CS347" s="618">
        <v>0</v>
      </c>
      <c r="CT347" s="616"/>
      <c r="CU347" s="56"/>
      <c r="CV347" s="611"/>
      <c r="CW347" s="617"/>
      <c r="CX347" s="618">
        <v>0</v>
      </c>
      <c r="CY347" s="616"/>
      <c r="CZ347" s="56"/>
      <c r="DA347" s="611"/>
      <c r="DB347" s="617"/>
      <c r="DC347" s="618">
        <v>0</v>
      </c>
      <c r="DD347" s="616"/>
      <c r="DE347" s="56"/>
      <c r="DF347" s="611"/>
      <c r="DG347" s="617"/>
      <c r="DH347" s="618">
        <v>0</v>
      </c>
      <c r="DI347" s="616"/>
      <c r="DJ347" s="56"/>
      <c r="DK347" s="611"/>
      <c r="DL347" s="617"/>
      <c r="DM347" s="618">
        <v>0</v>
      </c>
      <c r="DN347" s="616"/>
      <c r="DO347" s="56"/>
      <c r="DP347" s="611"/>
      <c r="DQ347" s="617"/>
      <c r="DR347" s="618">
        <v>0</v>
      </c>
      <c r="DS347" s="616"/>
      <c r="DT347" s="56"/>
      <c r="DU347" s="611"/>
      <c r="DV347" s="617"/>
      <c r="DW347" s="618">
        <v>0</v>
      </c>
      <c r="DX347" s="616"/>
      <c r="DY347" s="56"/>
      <c r="DZ347" s="611"/>
      <c r="EA347" s="617"/>
      <c r="EB347" s="618">
        <v>0</v>
      </c>
      <c r="EC347" s="616"/>
      <c r="ED347" s="56"/>
      <c r="EE347" s="611"/>
      <c r="EF347" s="617"/>
      <c r="EG347" s="618">
        <v>0</v>
      </c>
      <c r="EH347" s="616"/>
      <c r="EI347" s="56"/>
      <c r="EJ347" s="611"/>
      <c r="EK347" s="617"/>
      <c r="EL347" s="618">
        <f>SUM(CD347:CN347)</f>
        <v>0</v>
      </c>
      <c r="EM347" s="616"/>
      <c r="EN347" s="56"/>
      <c r="EO347" s="144"/>
      <c r="ER347" s="42"/>
      <c r="ES347" s="42"/>
    </row>
    <row r="348" spans="4:149" ht="12.75" hidden="1" customHeight="1" x14ac:dyDescent="0.3">
      <c r="D348" s="144"/>
      <c r="G348" s="56"/>
      <c r="H348" s="56"/>
      <c r="I348" s="56"/>
      <c r="J348" s="611"/>
      <c r="K348" s="56"/>
      <c r="L348" s="56"/>
      <c r="M348" s="56"/>
      <c r="N348" s="56"/>
      <c r="O348" s="611"/>
      <c r="P348" s="56"/>
      <c r="Q348" s="56"/>
      <c r="R348" s="56"/>
      <c r="S348" s="56"/>
      <c r="T348" s="611"/>
      <c r="U348" s="56"/>
      <c r="V348" s="56"/>
      <c r="W348" s="56"/>
      <c r="X348" s="56"/>
      <c r="Y348" s="611"/>
      <c r="Z348" s="56"/>
      <c r="AA348" s="56"/>
      <c r="AB348" s="56"/>
      <c r="AC348" s="56"/>
      <c r="AD348" s="611"/>
      <c r="AE348" s="56"/>
      <c r="AF348" s="56"/>
      <c r="AG348" s="56"/>
      <c r="AH348" s="56"/>
      <c r="AI348" s="611"/>
      <c r="AJ348" s="56"/>
      <c r="AK348" s="56"/>
      <c r="AL348" s="56"/>
      <c r="AM348" s="56"/>
      <c r="AN348" s="611"/>
      <c r="AO348" s="56"/>
      <c r="AP348" s="56"/>
      <c r="AQ348" s="56"/>
      <c r="AR348" s="56"/>
      <c r="AS348" s="611"/>
      <c r="AT348" s="56"/>
      <c r="AU348" s="56"/>
      <c r="AV348" s="56"/>
      <c r="AW348" s="56"/>
      <c r="AX348" s="611"/>
      <c r="AY348" s="56"/>
      <c r="AZ348" s="56"/>
      <c r="BA348" s="56"/>
      <c r="BB348" s="56"/>
      <c r="BC348" s="611"/>
      <c r="BD348" s="56"/>
      <c r="BE348" s="56"/>
      <c r="BF348" s="56"/>
      <c r="BG348" s="56"/>
      <c r="BH348" s="611"/>
      <c r="BI348" s="56"/>
      <c r="BJ348" s="56"/>
      <c r="BK348" s="56"/>
      <c r="BL348" s="56"/>
      <c r="BM348" s="611"/>
      <c r="BN348" s="56"/>
      <c r="BO348" s="56"/>
      <c r="BP348" s="56"/>
      <c r="BQ348" s="56"/>
      <c r="BR348" s="611"/>
      <c r="BS348" s="56"/>
      <c r="BT348" s="56"/>
      <c r="BU348" s="56"/>
      <c r="BV348" s="56"/>
      <c r="BW348" s="611"/>
      <c r="BX348" s="56"/>
      <c r="BY348" s="56"/>
      <c r="BZ348" s="56"/>
      <c r="CA348" s="56"/>
      <c r="CB348" s="611"/>
      <c r="CC348" s="56"/>
      <c r="CD348" s="56"/>
      <c r="CE348" s="56"/>
      <c r="CF348" s="56"/>
      <c r="CG348" s="611"/>
      <c r="CH348" s="56"/>
      <c r="CI348" s="56"/>
      <c r="CJ348" s="56"/>
      <c r="CK348" s="56"/>
      <c r="CL348" s="611"/>
      <c r="CM348" s="56"/>
      <c r="CN348" s="56"/>
      <c r="CO348" s="56"/>
      <c r="CP348" s="56"/>
      <c r="CQ348" s="611"/>
      <c r="CR348" s="56"/>
      <c r="CS348" s="56"/>
      <c r="CT348" s="56"/>
      <c r="CU348" s="56"/>
      <c r="CV348" s="611"/>
      <c r="CW348" s="56"/>
      <c r="CX348" s="56"/>
      <c r="CY348" s="56"/>
      <c r="CZ348" s="56"/>
      <c r="DA348" s="611"/>
      <c r="DB348" s="56"/>
      <c r="DC348" s="56"/>
      <c r="DD348" s="56"/>
      <c r="DE348" s="56"/>
      <c r="DF348" s="611"/>
      <c r="DG348" s="56"/>
      <c r="DH348" s="56"/>
      <c r="DI348" s="56"/>
      <c r="DJ348" s="56"/>
      <c r="DK348" s="611"/>
      <c r="DL348" s="56"/>
      <c r="DM348" s="56"/>
      <c r="DN348" s="56"/>
      <c r="DO348" s="56"/>
      <c r="DP348" s="611"/>
      <c r="DQ348" s="56"/>
      <c r="DR348" s="56"/>
      <c r="DS348" s="56"/>
      <c r="DT348" s="56"/>
      <c r="DU348" s="611"/>
      <c r="DV348" s="56"/>
      <c r="DW348" s="56"/>
      <c r="DX348" s="56"/>
      <c r="DY348" s="56"/>
      <c r="DZ348" s="611"/>
      <c r="EA348" s="56"/>
      <c r="EB348" s="56"/>
      <c r="EC348" s="56"/>
      <c r="ED348" s="56"/>
      <c r="EE348" s="611"/>
      <c r="EF348" s="56"/>
      <c r="EG348" s="56"/>
      <c r="EH348" s="56"/>
      <c r="EI348" s="56"/>
      <c r="EJ348" s="611"/>
      <c r="EK348" s="56"/>
      <c r="EL348" s="56"/>
      <c r="EM348" s="56"/>
      <c r="EN348" s="56"/>
      <c r="EO348" s="144"/>
      <c r="ER348" s="42"/>
      <c r="ES348" s="42"/>
    </row>
    <row r="349" spans="4:149" ht="12.75" hidden="1" customHeight="1" x14ac:dyDescent="0.3">
      <c r="D349" s="144" t="s">
        <v>377</v>
      </c>
      <c r="G349" s="56">
        <f>SUM(G350:G350)</f>
        <v>0</v>
      </c>
      <c r="H349" s="56"/>
      <c r="I349" s="56"/>
      <c r="J349" s="611"/>
      <c r="K349" s="56"/>
      <c r="L349" s="56">
        <f>SUM(L350:L350)</f>
        <v>0</v>
      </c>
      <c r="M349" s="56"/>
      <c r="N349" s="56"/>
      <c r="O349" s="611"/>
      <c r="P349" s="56"/>
      <c r="Q349" s="56">
        <f>SUM(Q350:Q350)</f>
        <v>0</v>
      </c>
      <c r="R349" s="56"/>
      <c r="S349" s="56"/>
      <c r="T349" s="611"/>
      <c r="U349" s="56"/>
      <c r="V349" s="56">
        <f>SUM(V350:V350)</f>
        <v>0</v>
      </c>
      <c r="W349" s="56"/>
      <c r="X349" s="56"/>
      <c r="Y349" s="611"/>
      <c r="Z349" s="56">
        <f t="shared" ref="Z349:BQ349" si="34">SUM(Z350:Z350)</f>
        <v>0</v>
      </c>
      <c r="AA349" s="56">
        <f>SUM(AA350:AA350)</f>
        <v>0</v>
      </c>
      <c r="AB349" s="56">
        <f t="shared" si="34"/>
        <v>0</v>
      </c>
      <c r="AC349" s="56">
        <f t="shared" si="34"/>
        <v>0</v>
      </c>
      <c r="AD349" s="611">
        <f t="shared" si="34"/>
        <v>0</v>
      </c>
      <c r="AE349" s="56">
        <f t="shared" si="34"/>
        <v>0</v>
      </c>
      <c r="AF349" s="56">
        <f>SUM(AF350:AF350)</f>
        <v>0</v>
      </c>
      <c r="AG349" s="56">
        <f t="shared" si="34"/>
        <v>0</v>
      </c>
      <c r="AH349" s="56">
        <f t="shared" si="34"/>
        <v>0</v>
      </c>
      <c r="AI349" s="611">
        <f t="shared" si="34"/>
        <v>0</v>
      </c>
      <c r="AJ349" s="56">
        <f t="shared" si="34"/>
        <v>0</v>
      </c>
      <c r="AK349" s="56">
        <f>SUM(AK350:AK350)</f>
        <v>0</v>
      </c>
      <c r="AL349" s="56">
        <f t="shared" si="34"/>
        <v>0</v>
      </c>
      <c r="AM349" s="56">
        <f t="shared" si="34"/>
        <v>0</v>
      </c>
      <c r="AN349" s="611">
        <f t="shared" si="34"/>
        <v>0</v>
      </c>
      <c r="AO349" s="56">
        <f t="shared" si="34"/>
        <v>0</v>
      </c>
      <c r="AP349" s="56">
        <f>SUM(AP350:AP350)</f>
        <v>0</v>
      </c>
      <c r="AQ349" s="56">
        <f t="shared" si="34"/>
        <v>0</v>
      </c>
      <c r="AR349" s="56">
        <f t="shared" si="34"/>
        <v>0</v>
      </c>
      <c r="AS349" s="611">
        <f t="shared" si="34"/>
        <v>0</v>
      </c>
      <c r="AT349" s="56">
        <f t="shared" si="34"/>
        <v>0</v>
      </c>
      <c r="AU349" s="56">
        <f>SUM(AU350:AU350)</f>
        <v>0</v>
      </c>
      <c r="AV349" s="56">
        <f t="shared" si="34"/>
        <v>0</v>
      </c>
      <c r="AW349" s="56">
        <f t="shared" si="34"/>
        <v>0</v>
      </c>
      <c r="AX349" s="611">
        <f t="shared" si="34"/>
        <v>0</v>
      </c>
      <c r="AY349" s="56">
        <f t="shared" si="34"/>
        <v>0</v>
      </c>
      <c r="AZ349" s="56">
        <f>SUM(AZ350:AZ350)</f>
        <v>0</v>
      </c>
      <c r="BA349" s="56">
        <f t="shared" si="34"/>
        <v>0</v>
      </c>
      <c r="BB349" s="56">
        <f t="shared" si="34"/>
        <v>0</v>
      </c>
      <c r="BC349" s="611">
        <f t="shared" si="34"/>
        <v>0</v>
      </c>
      <c r="BD349" s="56">
        <f t="shared" si="34"/>
        <v>0</v>
      </c>
      <c r="BE349" s="56">
        <f>SUM(BE350:BE350)</f>
        <v>0</v>
      </c>
      <c r="BF349" s="56">
        <f t="shared" si="34"/>
        <v>0</v>
      </c>
      <c r="BG349" s="56">
        <f t="shared" si="34"/>
        <v>0</v>
      </c>
      <c r="BH349" s="611">
        <f t="shared" si="34"/>
        <v>0</v>
      </c>
      <c r="BI349" s="56">
        <f t="shared" si="34"/>
        <v>0</v>
      </c>
      <c r="BJ349" s="56">
        <f>SUM(BJ350:BJ350)</f>
        <v>0</v>
      </c>
      <c r="BK349" s="56">
        <f t="shared" si="34"/>
        <v>0</v>
      </c>
      <c r="BL349" s="56">
        <f t="shared" si="34"/>
        <v>0</v>
      </c>
      <c r="BM349" s="611">
        <f t="shared" si="34"/>
        <v>0</v>
      </c>
      <c r="BN349" s="56">
        <f t="shared" si="34"/>
        <v>0</v>
      </c>
      <c r="BO349" s="56">
        <f>SUM(BO350:BO350)</f>
        <v>0</v>
      </c>
      <c r="BP349" s="56">
        <f t="shared" si="34"/>
        <v>0</v>
      </c>
      <c r="BQ349" s="56">
        <f t="shared" si="34"/>
        <v>0</v>
      </c>
      <c r="BR349" s="611"/>
      <c r="BS349" s="56"/>
      <c r="BT349" s="56">
        <f>SUM(BT350:BT350)</f>
        <v>0</v>
      </c>
      <c r="BU349" s="56"/>
      <c r="BV349" s="56"/>
      <c r="BW349" s="611"/>
      <c r="BX349" s="56"/>
      <c r="BY349" s="56">
        <f>SUM(BY350:BY350)</f>
        <v>0</v>
      </c>
      <c r="BZ349" s="56"/>
      <c r="CA349" s="56"/>
      <c r="CB349" s="611"/>
      <c r="CC349" s="56"/>
      <c r="CD349" s="136">
        <f>SUM(CD350:CD350)</f>
        <v>0</v>
      </c>
      <c r="CE349" s="56">
        <f>SUM(CE350:CE350)</f>
        <v>0</v>
      </c>
      <c r="CF349" s="56"/>
      <c r="CG349" s="611"/>
      <c r="CI349" s="136">
        <f>SUM(CI350:CI350)</f>
        <v>0</v>
      </c>
      <c r="CJ349" s="56"/>
      <c r="CK349" s="56"/>
      <c r="CL349" s="611"/>
      <c r="CN349" s="136">
        <f>SUM(CN350:CN350)</f>
        <v>0</v>
      </c>
      <c r="CO349" s="56"/>
      <c r="CP349" s="56"/>
      <c r="CQ349" s="611"/>
      <c r="CS349" s="136">
        <f>SUM(CS350:CS350)</f>
        <v>0</v>
      </c>
      <c r="CT349" s="56"/>
      <c r="CU349" s="56"/>
      <c r="CV349" s="611"/>
      <c r="CX349" s="136">
        <f>SUM(CX350:CX350)</f>
        <v>0</v>
      </c>
      <c r="CY349" s="56"/>
      <c r="CZ349" s="56"/>
      <c r="DA349" s="611"/>
      <c r="DC349" s="136">
        <f>SUM(DC350:DC350)</f>
        <v>0</v>
      </c>
      <c r="DD349" s="56"/>
      <c r="DE349" s="56"/>
      <c r="DF349" s="611"/>
      <c r="DH349" s="136">
        <f>SUM(DH350:DH350)</f>
        <v>0</v>
      </c>
      <c r="DI349" s="56"/>
      <c r="DJ349" s="56"/>
      <c r="DK349" s="611"/>
      <c r="DM349" s="136">
        <f>SUM(DM350:DM350)</f>
        <v>0</v>
      </c>
      <c r="DN349" s="56"/>
      <c r="DO349" s="56"/>
      <c r="DP349" s="611"/>
      <c r="DR349" s="136">
        <f>SUM(DR350:DR350)</f>
        <v>0</v>
      </c>
      <c r="DS349" s="56"/>
      <c r="DT349" s="56"/>
      <c r="DU349" s="611"/>
      <c r="DW349" s="136">
        <f>SUM(DW350:DW350)</f>
        <v>0</v>
      </c>
      <c r="DX349" s="56"/>
      <c r="DY349" s="56"/>
      <c r="DZ349" s="611"/>
      <c r="EB349" s="136">
        <f>SUM(EB350:EB350)</f>
        <v>0</v>
      </c>
      <c r="EC349" s="56"/>
      <c r="ED349" s="56"/>
      <c r="EE349" s="611"/>
      <c r="EG349" s="56">
        <f>SUM(EG350:EG350)</f>
        <v>0</v>
      </c>
      <c r="EH349" s="56">
        <f>SUM(EH350:EH350)</f>
        <v>0</v>
      </c>
      <c r="EI349" s="56">
        <f>SUM(EI350:EI350)</f>
        <v>0</v>
      </c>
      <c r="EJ349" s="611"/>
      <c r="EK349" s="56"/>
      <c r="EL349" s="56">
        <f>SUM(EL350:EL350)</f>
        <v>0</v>
      </c>
      <c r="EM349" s="56"/>
      <c r="EN349" s="56"/>
      <c r="EO349" s="144"/>
      <c r="ER349" s="42"/>
      <c r="ES349" s="42"/>
    </row>
    <row r="350" spans="4:149" ht="12.75" hidden="1" customHeight="1" x14ac:dyDescent="0.3">
      <c r="D350" s="144" t="s">
        <v>335</v>
      </c>
      <c r="F350" s="614"/>
      <c r="G350" s="618">
        <v>0</v>
      </c>
      <c r="H350" s="616"/>
      <c r="I350" s="56"/>
      <c r="J350" s="611"/>
      <c r="K350" s="617"/>
      <c r="L350" s="618">
        <v>0</v>
      </c>
      <c r="M350" s="616"/>
      <c r="N350" s="56"/>
      <c r="O350" s="611"/>
      <c r="P350" s="617"/>
      <c r="Q350" s="618">
        <v>0</v>
      </c>
      <c r="R350" s="616"/>
      <c r="S350" s="56"/>
      <c r="T350" s="611"/>
      <c r="U350" s="617"/>
      <c r="V350" s="618">
        <v>0</v>
      </c>
      <c r="W350" s="616"/>
      <c r="X350" s="56"/>
      <c r="Y350" s="611"/>
      <c r="Z350" s="617"/>
      <c r="AA350" s="618">
        <v>0</v>
      </c>
      <c r="AB350" s="616"/>
      <c r="AC350" s="56"/>
      <c r="AD350" s="611"/>
      <c r="AE350" s="617"/>
      <c r="AF350" s="618">
        <v>0</v>
      </c>
      <c r="AG350" s="616"/>
      <c r="AH350" s="56"/>
      <c r="AI350" s="611"/>
      <c r="AJ350" s="617"/>
      <c r="AK350" s="618">
        <v>0</v>
      </c>
      <c r="AL350" s="616"/>
      <c r="AM350" s="56"/>
      <c r="AN350" s="611"/>
      <c r="AO350" s="617"/>
      <c r="AP350" s="618">
        <v>0</v>
      </c>
      <c r="AQ350" s="616"/>
      <c r="AR350" s="56"/>
      <c r="AS350" s="611"/>
      <c r="AT350" s="617"/>
      <c r="AU350" s="618">
        <v>0</v>
      </c>
      <c r="AV350" s="616"/>
      <c r="AW350" s="56"/>
      <c r="AX350" s="611"/>
      <c r="AY350" s="617"/>
      <c r="AZ350" s="618">
        <v>0</v>
      </c>
      <c r="BA350" s="616"/>
      <c r="BB350" s="56"/>
      <c r="BC350" s="611"/>
      <c r="BD350" s="617"/>
      <c r="BE350" s="618">
        <v>0</v>
      </c>
      <c r="BF350" s="616"/>
      <c r="BG350" s="56"/>
      <c r="BH350" s="611"/>
      <c r="BI350" s="617"/>
      <c r="BJ350" s="618">
        <v>0</v>
      </c>
      <c r="BK350" s="616"/>
      <c r="BL350" s="56"/>
      <c r="BM350" s="611"/>
      <c r="BN350" s="617"/>
      <c r="BO350" s="618">
        <v>0</v>
      </c>
      <c r="BP350" s="616"/>
      <c r="BQ350" s="56"/>
      <c r="BR350" s="611"/>
      <c r="BS350" s="617"/>
      <c r="BT350" s="618">
        <f>SUM(L350:BO350)</f>
        <v>0</v>
      </c>
      <c r="BU350" s="616"/>
      <c r="BV350" s="56"/>
      <c r="BW350" s="611"/>
      <c r="BX350" s="617"/>
      <c r="BY350" s="618">
        <v>0</v>
      </c>
      <c r="BZ350" s="616"/>
      <c r="CA350" s="56"/>
      <c r="CB350" s="611"/>
      <c r="CC350" s="617"/>
      <c r="CD350" s="618">
        <v>0</v>
      </c>
      <c r="CE350" s="616"/>
      <c r="CF350" s="52"/>
      <c r="CG350" s="611"/>
      <c r="CH350" s="614"/>
      <c r="CI350" s="618">
        <v>0</v>
      </c>
      <c r="CJ350" s="616"/>
      <c r="CK350" s="56"/>
      <c r="CL350" s="611"/>
      <c r="CM350" s="614"/>
      <c r="CN350" s="618">
        <v>0</v>
      </c>
      <c r="CO350" s="616"/>
      <c r="CP350" s="56"/>
      <c r="CQ350" s="611"/>
      <c r="CR350" s="614"/>
      <c r="CS350" s="618">
        <v>0</v>
      </c>
      <c r="CT350" s="616"/>
      <c r="CU350" s="56"/>
      <c r="CV350" s="611"/>
      <c r="CW350" s="614"/>
      <c r="CX350" s="618">
        <v>0</v>
      </c>
      <c r="CY350" s="616"/>
      <c r="CZ350" s="56"/>
      <c r="DA350" s="611"/>
      <c r="DB350" s="614"/>
      <c r="DC350" s="618">
        <v>0</v>
      </c>
      <c r="DD350" s="616"/>
      <c r="DE350" s="56"/>
      <c r="DF350" s="611"/>
      <c r="DG350" s="614"/>
      <c r="DH350" s="618">
        <v>0</v>
      </c>
      <c r="DI350" s="616"/>
      <c r="DJ350" s="56"/>
      <c r="DK350" s="611"/>
      <c r="DL350" s="614"/>
      <c r="DM350" s="618">
        <v>0</v>
      </c>
      <c r="DN350" s="616"/>
      <c r="DO350" s="56"/>
      <c r="DP350" s="611"/>
      <c r="DQ350" s="614"/>
      <c r="DR350" s="618">
        <v>0</v>
      </c>
      <c r="DS350" s="616"/>
      <c r="DT350" s="56"/>
      <c r="DU350" s="611"/>
      <c r="DV350" s="614"/>
      <c r="DW350" s="618">
        <v>0</v>
      </c>
      <c r="DX350" s="616"/>
      <c r="DY350" s="56"/>
      <c r="DZ350" s="611"/>
      <c r="EA350" s="614"/>
      <c r="EB350" s="618">
        <v>0</v>
      </c>
      <c r="EC350" s="616"/>
      <c r="ED350" s="56"/>
      <c r="EE350" s="611"/>
      <c r="EF350" s="614"/>
      <c r="EG350" s="618">
        <v>0</v>
      </c>
      <c r="EH350" s="616"/>
      <c r="EI350" s="56"/>
      <c r="EJ350" s="611"/>
      <c r="EK350" s="617"/>
      <c r="EL350" s="618">
        <f>SUM(CD350:CN350)</f>
        <v>0</v>
      </c>
      <c r="EM350" s="616"/>
      <c r="EN350" s="56"/>
      <c r="EO350" s="144"/>
      <c r="ER350" s="42"/>
      <c r="ES350" s="42"/>
    </row>
    <row r="351" spans="4:149" ht="12.75" hidden="1" customHeight="1" x14ac:dyDescent="0.3">
      <c r="D351" s="144"/>
      <c r="G351" s="56"/>
      <c r="H351" s="56"/>
      <c r="I351" s="56"/>
      <c r="J351" s="611"/>
      <c r="K351" s="56"/>
      <c r="L351" s="56"/>
      <c r="M351" s="56"/>
      <c r="N351" s="56"/>
      <c r="O351" s="611"/>
      <c r="P351" s="56"/>
      <c r="Q351" s="56"/>
      <c r="R351" s="56"/>
      <c r="S351" s="56"/>
      <c r="T351" s="611"/>
      <c r="U351" s="56"/>
      <c r="V351" s="56"/>
      <c r="W351" s="56"/>
      <c r="X351" s="56"/>
      <c r="Y351" s="611"/>
      <c r="Z351" s="56"/>
      <c r="AA351" s="56"/>
      <c r="AB351" s="56"/>
      <c r="AC351" s="56"/>
      <c r="AD351" s="611"/>
      <c r="AE351" s="56"/>
      <c r="AF351" s="56"/>
      <c r="AG351" s="56"/>
      <c r="AH351" s="56"/>
      <c r="AI351" s="611"/>
      <c r="AJ351" s="56"/>
      <c r="AK351" s="56"/>
      <c r="AL351" s="56"/>
      <c r="AM351" s="56"/>
      <c r="AN351" s="611"/>
      <c r="AO351" s="56"/>
      <c r="AP351" s="56"/>
      <c r="AQ351" s="56"/>
      <c r="AR351" s="56"/>
      <c r="AS351" s="611"/>
      <c r="AT351" s="56"/>
      <c r="AU351" s="56"/>
      <c r="AV351" s="56"/>
      <c r="AW351" s="56"/>
      <c r="AX351" s="611"/>
      <c r="AY351" s="56"/>
      <c r="AZ351" s="56"/>
      <c r="BA351" s="56"/>
      <c r="BB351" s="56"/>
      <c r="BC351" s="611"/>
      <c r="BD351" s="56"/>
      <c r="BE351" s="56"/>
      <c r="BF351" s="56"/>
      <c r="BG351" s="56"/>
      <c r="BH351" s="611"/>
      <c r="BI351" s="56"/>
      <c r="BJ351" s="56"/>
      <c r="BK351" s="56"/>
      <c r="BL351" s="56"/>
      <c r="BM351" s="611"/>
      <c r="BN351" s="56"/>
      <c r="BO351" s="56"/>
      <c r="BP351" s="56"/>
      <c r="BQ351" s="56"/>
      <c r="BR351" s="611"/>
      <c r="BS351" s="56"/>
      <c r="BT351" s="56"/>
      <c r="BU351" s="56"/>
      <c r="BV351" s="56"/>
      <c r="BW351" s="611"/>
      <c r="BX351" s="56"/>
      <c r="BY351" s="56"/>
      <c r="BZ351" s="56"/>
      <c r="CA351" s="56"/>
      <c r="CB351" s="611"/>
      <c r="CC351" s="56"/>
      <c r="CD351" s="644"/>
      <c r="CE351" s="644"/>
      <c r="CF351" s="644"/>
      <c r="CG351" s="645"/>
      <c r="CH351" s="644"/>
      <c r="CI351" s="644"/>
      <c r="CJ351" s="644"/>
      <c r="CK351" s="644"/>
      <c r="CL351" s="645"/>
      <c r="CM351" s="644"/>
      <c r="CN351" s="644"/>
      <c r="CO351" s="644"/>
      <c r="CP351" s="644"/>
      <c r="CQ351" s="645"/>
      <c r="CR351" s="644"/>
      <c r="CS351" s="644"/>
      <c r="CT351" s="644"/>
      <c r="CU351" s="644"/>
      <c r="CV351" s="645"/>
      <c r="CW351" s="644"/>
      <c r="CX351" s="644"/>
      <c r="CY351" s="644"/>
      <c r="CZ351" s="644"/>
      <c r="DA351" s="645"/>
      <c r="DB351" s="644"/>
      <c r="DC351" s="644"/>
      <c r="DD351" s="644"/>
      <c r="DE351" s="644"/>
      <c r="DF351" s="645"/>
      <c r="DG351" s="644"/>
      <c r="DH351" s="644"/>
      <c r="DI351" s="644"/>
      <c r="DJ351" s="644"/>
      <c r="DK351" s="645"/>
      <c r="DL351" s="644"/>
      <c r="DM351" s="644"/>
      <c r="DN351" s="644"/>
      <c r="DO351" s="644"/>
      <c r="DP351" s="645"/>
      <c r="DQ351" s="644"/>
      <c r="DR351" s="644"/>
      <c r="DS351" s="644"/>
      <c r="DT351" s="644"/>
      <c r="DU351" s="645"/>
      <c r="DV351" s="644"/>
      <c r="DW351" s="644"/>
      <c r="DX351" s="644"/>
      <c r="DY351" s="644"/>
      <c r="DZ351" s="645"/>
      <c r="EA351" s="644"/>
      <c r="EB351" s="644"/>
      <c r="EC351" s="644"/>
      <c r="ED351" s="644"/>
      <c r="EE351" s="645"/>
      <c r="EF351" s="644"/>
      <c r="EG351" s="644"/>
      <c r="EH351" s="56"/>
      <c r="EI351" s="56"/>
      <c r="EJ351" s="611"/>
      <c r="EK351" s="56"/>
      <c r="EL351" s="56"/>
      <c r="EM351" s="56"/>
      <c r="EN351" s="56"/>
      <c r="EO351" s="144"/>
      <c r="ER351" s="42"/>
      <c r="ES351" s="42"/>
    </row>
    <row r="352" spans="4:149" ht="12.75" customHeight="1" x14ac:dyDescent="0.3">
      <c r="D352" s="144" t="s">
        <v>379</v>
      </c>
      <c r="G352" s="56">
        <f>SUM(G353:G353)</f>
        <v>1705406</v>
      </c>
      <c r="H352" s="56"/>
      <c r="I352" s="56"/>
      <c r="J352" s="611"/>
      <c r="K352" s="56"/>
      <c r="L352" s="56">
        <f>SUM(L353:L353)</f>
        <v>51405</v>
      </c>
      <c r="M352" s="56"/>
      <c r="N352" s="56"/>
      <c r="O352" s="611"/>
      <c r="P352" s="56"/>
      <c r="Q352" s="56">
        <f>SUM(Q353:Q353)</f>
        <v>1238921</v>
      </c>
      <c r="R352" s="56"/>
      <c r="S352" s="56"/>
      <c r="T352" s="611"/>
      <c r="U352" s="56"/>
      <c r="V352" s="56">
        <f>SUM(V353:V353)</f>
        <v>93254</v>
      </c>
      <c r="W352" s="56"/>
      <c r="X352" s="56"/>
      <c r="Y352" s="611"/>
      <c r="Z352" s="56"/>
      <c r="AA352" s="56">
        <f>SUM(AA353:AA353)</f>
        <v>0</v>
      </c>
      <c r="AB352" s="56"/>
      <c r="AC352" s="56"/>
      <c r="AD352" s="611"/>
      <c r="AE352" s="56"/>
      <c r="AF352" s="56">
        <f>SUM(AF353:AF353)</f>
        <v>246512</v>
      </c>
      <c r="AG352" s="56"/>
      <c r="AH352" s="56"/>
      <c r="AI352" s="611"/>
      <c r="AJ352" s="56"/>
      <c r="AK352" s="56">
        <f>SUM(AK353:AK353)</f>
        <v>75314</v>
      </c>
      <c r="AL352" s="56"/>
      <c r="AM352" s="56"/>
      <c r="AN352" s="611"/>
      <c r="AO352" s="56"/>
      <c r="AP352" s="56">
        <f>SUM(AP353:AP353)</f>
        <v>0</v>
      </c>
      <c r="AQ352" s="56"/>
      <c r="AR352" s="56"/>
      <c r="AS352" s="611"/>
      <c r="AT352" s="56"/>
      <c r="AU352" s="56">
        <f>SUM(AU353:AU353)</f>
        <v>0</v>
      </c>
      <c r="AV352" s="56"/>
      <c r="AW352" s="56"/>
      <c r="AX352" s="611"/>
      <c r="AY352" s="56"/>
      <c r="AZ352" s="56">
        <f>SUM(AZ353:AZ353)</f>
        <v>0</v>
      </c>
      <c r="BA352" s="56"/>
      <c r="BB352" s="56"/>
      <c r="BC352" s="611"/>
      <c r="BD352" s="56"/>
      <c r="BE352" s="56">
        <f>SUM(BE353:BE353)</f>
        <v>0</v>
      </c>
      <c r="BF352" s="56"/>
      <c r="BG352" s="56"/>
      <c r="BH352" s="611"/>
      <c r="BI352" s="56"/>
      <c r="BJ352" s="56">
        <f>SUM(BJ353:BJ353)</f>
        <v>0</v>
      </c>
      <c r="BK352" s="56"/>
      <c r="BL352" s="56"/>
      <c r="BM352" s="611"/>
      <c r="BN352" s="56"/>
      <c r="BO352" s="56">
        <f>SUM(BO353:BO353)</f>
        <v>0</v>
      </c>
      <c r="BP352" s="56"/>
      <c r="BQ352" s="56"/>
      <c r="BR352" s="611"/>
      <c r="BS352" s="56"/>
      <c r="BT352" s="56">
        <f>SUM(BT353:BT353)</f>
        <v>1705406</v>
      </c>
      <c r="BU352" s="56"/>
      <c r="BV352" s="56"/>
      <c r="BW352" s="611"/>
      <c r="BX352" s="56"/>
      <c r="BY352" s="56">
        <f>SUM(BY353:BY353)</f>
        <v>864052</v>
      </c>
      <c r="BZ352" s="56"/>
      <c r="CA352" s="56"/>
      <c r="CB352" s="611"/>
      <c r="CC352" s="56"/>
      <c r="CD352" s="56">
        <f>SUM(CD353:CD353)</f>
        <v>137929</v>
      </c>
      <c r="CE352" s="56"/>
      <c r="CF352" s="56"/>
      <c r="CG352" s="611"/>
      <c r="CH352" s="56"/>
      <c r="CI352" s="56">
        <f>SUM(CI353:CI353)</f>
        <v>0</v>
      </c>
      <c r="CJ352" s="56"/>
      <c r="CK352" s="56"/>
      <c r="CL352" s="611"/>
      <c r="CM352" s="56"/>
      <c r="CN352" s="56">
        <f>SUM(CN353:CN353)</f>
        <v>0</v>
      </c>
      <c r="CO352" s="56"/>
      <c r="CP352" s="56"/>
      <c r="CQ352" s="611"/>
      <c r="CR352" s="56"/>
      <c r="CS352" s="56">
        <f>SUM(CS353:CS353)</f>
        <v>480357</v>
      </c>
      <c r="CT352" s="56"/>
      <c r="CU352" s="56"/>
      <c r="CV352" s="611"/>
      <c r="CW352" s="56"/>
      <c r="CX352" s="56">
        <f>SUM(CX353:CX353)</f>
        <v>0</v>
      </c>
      <c r="CY352" s="56"/>
      <c r="CZ352" s="56"/>
      <c r="DA352" s="611"/>
      <c r="DB352" s="56"/>
      <c r="DC352" s="56">
        <f>SUM(DC353:DC353)</f>
        <v>0</v>
      </c>
      <c r="DD352" s="56"/>
      <c r="DE352" s="56"/>
      <c r="DF352" s="611"/>
      <c r="DG352" s="56"/>
      <c r="DH352" s="56">
        <f>SUM(DH353:DH353)</f>
        <v>0</v>
      </c>
      <c r="DI352" s="56"/>
      <c r="DJ352" s="56"/>
      <c r="DK352" s="611"/>
      <c r="DL352" s="56"/>
      <c r="DM352" s="56">
        <f>SUM(DM353:DM353)</f>
        <v>192876</v>
      </c>
      <c r="DN352" s="56"/>
      <c r="DO352" s="56"/>
      <c r="DP352" s="611"/>
      <c r="DQ352" s="56"/>
      <c r="DR352" s="56">
        <f>SUM(DR353:DR353)</f>
        <v>0</v>
      </c>
      <c r="DS352" s="56"/>
      <c r="DT352" s="56"/>
      <c r="DU352" s="611"/>
      <c r="DV352" s="56"/>
      <c r="DW352" s="56">
        <f>SUM(DW353:DW353)</f>
        <v>0</v>
      </c>
      <c r="DX352" s="56"/>
      <c r="DY352" s="56"/>
      <c r="DZ352" s="611"/>
      <c r="EA352" s="56"/>
      <c r="EB352" s="56">
        <f>SUM(EB353:EB353)</f>
        <v>52890</v>
      </c>
      <c r="EC352" s="56"/>
      <c r="ED352" s="56"/>
      <c r="EE352" s="611"/>
      <c r="EF352" s="56"/>
      <c r="EG352" s="56">
        <f>SUM(EG353:EG353)</f>
        <v>0</v>
      </c>
      <c r="EH352" s="56"/>
      <c r="EI352" s="56"/>
      <c r="EJ352" s="611"/>
      <c r="EK352" s="56"/>
      <c r="EL352" s="56">
        <f>SUM(EL353:EL353)</f>
        <v>811162</v>
      </c>
      <c r="EN352" s="625"/>
      <c r="EO352" s="144"/>
      <c r="EP352" s="42"/>
      <c r="EQ352" s="42"/>
      <c r="ER352" s="42"/>
      <c r="ES352" s="42"/>
    </row>
    <row r="353" spans="4:149" ht="12.75" customHeight="1" x14ac:dyDescent="0.3">
      <c r="D353" s="144" t="s">
        <v>335</v>
      </c>
      <c r="F353" s="614"/>
      <c r="G353" s="618">
        <v>1705406</v>
      </c>
      <c r="H353" s="616"/>
      <c r="I353" s="56"/>
      <c r="J353" s="611"/>
      <c r="K353" s="617"/>
      <c r="L353" s="618">
        <v>51405</v>
      </c>
      <c r="M353" s="616"/>
      <c r="N353" s="56"/>
      <c r="O353" s="611"/>
      <c r="P353" s="617"/>
      <c r="Q353" s="618">
        <v>1238921</v>
      </c>
      <c r="R353" s="616"/>
      <c r="S353" s="56"/>
      <c r="T353" s="611"/>
      <c r="U353" s="617"/>
      <c r="V353" s="618">
        <v>93254</v>
      </c>
      <c r="W353" s="616"/>
      <c r="X353" s="56"/>
      <c r="Y353" s="611"/>
      <c r="Z353" s="617"/>
      <c r="AA353" s="618">
        <v>0</v>
      </c>
      <c r="AB353" s="616"/>
      <c r="AC353" s="56"/>
      <c r="AD353" s="611"/>
      <c r="AE353" s="617"/>
      <c r="AF353" s="618">
        <v>246512</v>
      </c>
      <c r="AG353" s="616"/>
      <c r="AH353" s="56"/>
      <c r="AI353" s="611"/>
      <c r="AJ353" s="617"/>
      <c r="AK353" s="618">
        <v>75314</v>
      </c>
      <c r="AL353" s="616"/>
      <c r="AM353" s="56"/>
      <c r="AN353" s="611"/>
      <c r="AO353" s="617"/>
      <c r="AP353" s="618">
        <v>0</v>
      </c>
      <c r="AQ353" s="616"/>
      <c r="AR353" s="56"/>
      <c r="AS353" s="611"/>
      <c r="AT353" s="617"/>
      <c r="AU353" s="618">
        <v>0</v>
      </c>
      <c r="AV353" s="616"/>
      <c r="AW353" s="56"/>
      <c r="AX353" s="611"/>
      <c r="AY353" s="617"/>
      <c r="AZ353" s="618">
        <v>0</v>
      </c>
      <c r="BA353" s="616"/>
      <c r="BB353" s="56"/>
      <c r="BC353" s="611"/>
      <c r="BD353" s="617"/>
      <c r="BE353" s="618">
        <v>0</v>
      </c>
      <c r="BF353" s="616"/>
      <c r="BG353" s="56"/>
      <c r="BH353" s="611"/>
      <c r="BI353" s="617"/>
      <c r="BJ353" s="618">
        <v>0</v>
      </c>
      <c r="BK353" s="616"/>
      <c r="BL353" s="56"/>
      <c r="BM353" s="611"/>
      <c r="BN353" s="617"/>
      <c r="BO353" s="618">
        <v>0</v>
      </c>
      <c r="BP353" s="616"/>
      <c r="BQ353" s="56"/>
      <c r="BR353" s="611"/>
      <c r="BS353" s="617"/>
      <c r="BT353" s="618">
        <f>SUM(L353:BO353)</f>
        <v>1705406</v>
      </c>
      <c r="BU353" s="616"/>
      <c r="BV353" s="56"/>
      <c r="BW353" s="611"/>
      <c r="BX353" s="617"/>
      <c r="BY353" s="618">
        <v>864052</v>
      </c>
      <c r="BZ353" s="616"/>
      <c r="CA353" s="56"/>
      <c r="CB353" s="611"/>
      <c r="CC353" s="617"/>
      <c r="CD353" s="618">
        <v>137929</v>
      </c>
      <c r="CE353" s="616"/>
      <c r="CF353" s="56"/>
      <c r="CG353" s="611"/>
      <c r="CH353" s="617"/>
      <c r="CI353" s="618">
        <v>0</v>
      </c>
      <c r="CJ353" s="616"/>
      <c r="CK353" s="56"/>
      <c r="CL353" s="611"/>
      <c r="CM353" s="617"/>
      <c r="CN353" s="618">
        <v>0</v>
      </c>
      <c r="CO353" s="616"/>
      <c r="CP353" s="56"/>
      <c r="CQ353" s="611"/>
      <c r="CR353" s="617"/>
      <c r="CS353" s="618">
        <v>480357</v>
      </c>
      <c r="CT353" s="616"/>
      <c r="CU353" s="56"/>
      <c r="CV353" s="611"/>
      <c r="CW353" s="617"/>
      <c r="CX353" s="618">
        <v>0</v>
      </c>
      <c r="CY353" s="616"/>
      <c r="CZ353" s="56"/>
      <c r="DA353" s="611"/>
      <c r="DB353" s="617"/>
      <c r="DC353" s="618">
        <v>0</v>
      </c>
      <c r="DD353" s="616"/>
      <c r="DE353" s="56"/>
      <c r="DF353" s="611"/>
      <c r="DG353" s="617"/>
      <c r="DH353" s="618">
        <v>0</v>
      </c>
      <c r="DI353" s="616"/>
      <c r="DJ353" s="56"/>
      <c r="DK353" s="611"/>
      <c r="DL353" s="617"/>
      <c r="DM353" s="618">
        <v>192876</v>
      </c>
      <c r="DN353" s="616"/>
      <c r="DO353" s="56"/>
      <c r="DP353" s="611"/>
      <c r="DQ353" s="617"/>
      <c r="DR353" s="618">
        <v>0</v>
      </c>
      <c r="DS353" s="616"/>
      <c r="DT353" s="56"/>
      <c r="DU353" s="611"/>
      <c r="DV353" s="617"/>
      <c r="DW353" s="618">
        <v>0</v>
      </c>
      <c r="DX353" s="616"/>
      <c r="DY353" s="56"/>
      <c r="DZ353" s="611"/>
      <c r="EA353" s="617"/>
      <c r="EB353" s="618">
        <v>52890</v>
      </c>
      <c r="EC353" s="616"/>
      <c r="ED353" s="56"/>
      <c r="EE353" s="611"/>
      <c r="EF353" s="617"/>
      <c r="EG353" s="618">
        <v>0</v>
      </c>
      <c r="EH353" s="616"/>
      <c r="EI353" s="56"/>
      <c r="EJ353" s="611"/>
      <c r="EK353" s="617"/>
      <c r="EL353" s="618">
        <f t="shared" ref="EL353" si="35">SUM(CD353:DW353)</f>
        <v>811162</v>
      </c>
      <c r="EM353" s="648"/>
      <c r="EO353" s="144"/>
      <c r="EP353" s="42"/>
      <c r="EQ353" s="42"/>
      <c r="ER353" s="42"/>
      <c r="ES353" s="42"/>
    </row>
    <row r="354" spans="4:149" ht="12.75" customHeight="1" x14ac:dyDescent="0.3">
      <c r="D354" s="144"/>
      <c r="G354" s="56"/>
      <c r="H354" s="56"/>
      <c r="I354" s="56"/>
      <c r="J354" s="611"/>
      <c r="K354" s="56"/>
      <c r="L354" s="56"/>
      <c r="M354" s="56"/>
      <c r="N354" s="56"/>
      <c r="O354" s="611"/>
      <c r="P354" s="56"/>
      <c r="Q354" s="56"/>
      <c r="R354" s="56"/>
      <c r="S354" s="56"/>
      <c r="T354" s="611"/>
      <c r="U354" s="56"/>
      <c r="V354" s="56"/>
      <c r="W354" s="56"/>
      <c r="X354" s="56"/>
      <c r="Y354" s="611"/>
      <c r="Z354" s="56"/>
      <c r="AA354" s="56"/>
      <c r="AB354" s="56"/>
      <c r="AC354" s="56"/>
      <c r="AD354" s="611"/>
      <c r="AE354" s="56"/>
      <c r="AF354" s="56"/>
      <c r="AG354" s="56"/>
      <c r="AH354" s="56"/>
      <c r="AI354" s="611"/>
      <c r="AJ354" s="56"/>
      <c r="AK354" s="56"/>
      <c r="AL354" s="56"/>
      <c r="AM354" s="56"/>
      <c r="AN354" s="611"/>
      <c r="AO354" s="56"/>
      <c r="AP354" s="56"/>
      <c r="AQ354" s="56"/>
      <c r="AR354" s="56"/>
      <c r="AS354" s="611"/>
      <c r="AT354" s="56"/>
      <c r="AU354" s="56"/>
      <c r="AV354" s="56"/>
      <c r="AW354" s="56"/>
      <c r="AX354" s="611"/>
      <c r="AY354" s="56"/>
      <c r="AZ354" s="56"/>
      <c r="BA354" s="56"/>
      <c r="BB354" s="56"/>
      <c r="BC354" s="611"/>
      <c r="BD354" s="56"/>
      <c r="BE354" s="56"/>
      <c r="BF354" s="56"/>
      <c r="BG354" s="56"/>
      <c r="BH354" s="611"/>
      <c r="BI354" s="56"/>
      <c r="BJ354" s="56"/>
      <c r="BK354" s="56"/>
      <c r="BL354" s="56"/>
      <c r="BM354" s="611"/>
      <c r="BN354" s="56"/>
      <c r="BO354" s="56"/>
      <c r="BP354" s="56"/>
      <c r="BQ354" s="56"/>
      <c r="BR354" s="611"/>
      <c r="BS354" s="56"/>
      <c r="BT354" s="56"/>
      <c r="BU354" s="56"/>
      <c r="BV354" s="56"/>
      <c r="BW354" s="611"/>
      <c r="BX354" s="56"/>
      <c r="BY354" s="56"/>
      <c r="BZ354" s="56"/>
      <c r="CA354" s="56"/>
      <c r="CB354" s="611"/>
      <c r="CC354" s="56"/>
      <c r="CD354" s="644"/>
      <c r="CE354" s="644"/>
      <c r="CF354" s="644"/>
      <c r="CG354" s="645"/>
      <c r="CH354" s="644"/>
      <c r="CI354" s="644"/>
      <c r="CJ354" s="644"/>
      <c r="CK354" s="644"/>
      <c r="CL354" s="645"/>
      <c r="CM354" s="644"/>
      <c r="CN354" s="644"/>
      <c r="CO354" s="644"/>
      <c r="CP354" s="644"/>
      <c r="CQ354" s="645"/>
      <c r="CR354" s="644"/>
      <c r="CS354" s="644"/>
      <c r="CT354" s="644"/>
      <c r="CU354" s="644"/>
      <c r="CV354" s="645"/>
      <c r="CW354" s="644"/>
      <c r="CX354" s="644"/>
      <c r="CY354" s="644"/>
      <c r="CZ354" s="644"/>
      <c r="DA354" s="645"/>
      <c r="DB354" s="644"/>
      <c r="DC354" s="644"/>
      <c r="DD354" s="644"/>
      <c r="DE354" s="644"/>
      <c r="DF354" s="645"/>
      <c r="DG354" s="644"/>
      <c r="DH354" s="644"/>
      <c r="DI354" s="644"/>
      <c r="DJ354" s="644"/>
      <c r="DK354" s="645"/>
      <c r="DL354" s="644"/>
      <c r="DM354" s="644"/>
      <c r="DN354" s="644"/>
      <c r="DO354" s="644"/>
      <c r="DP354" s="645"/>
      <c r="DQ354" s="644"/>
      <c r="DR354" s="644"/>
      <c r="DS354" s="644"/>
      <c r="DT354" s="644"/>
      <c r="DU354" s="645"/>
      <c r="DV354" s="644"/>
      <c r="DW354" s="644"/>
      <c r="DX354" s="644"/>
      <c r="DY354" s="644"/>
      <c r="DZ354" s="645"/>
      <c r="EA354" s="644"/>
      <c r="EB354" s="644"/>
      <c r="EC354" s="644"/>
      <c r="ED354" s="644"/>
      <c r="EE354" s="645"/>
      <c r="EF354" s="644"/>
      <c r="EG354" s="644"/>
      <c r="EH354" s="56"/>
      <c r="EI354" s="56"/>
      <c r="EJ354" s="611"/>
      <c r="EK354" s="56"/>
      <c r="EL354" s="56"/>
      <c r="EM354" s="56"/>
      <c r="EN354" s="56"/>
      <c r="EO354" s="144"/>
      <c r="ER354" s="42"/>
      <c r="ES354" s="42"/>
    </row>
    <row r="355" spans="4:149" ht="12.75" customHeight="1" x14ac:dyDescent="0.3">
      <c r="D355" s="144" t="s">
        <v>351</v>
      </c>
      <c r="G355" s="56">
        <f>SUM(G356:G356)</f>
        <v>2340630</v>
      </c>
      <c r="H355" s="56"/>
      <c r="I355" s="56"/>
      <c r="J355" s="611"/>
      <c r="K355" s="56"/>
      <c r="L355" s="56">
        <f>SUM(L356:L356)</f>
        <v>354961</v>
      </c>
      <c r="M355" s="56"/>
      <c r="N355" s="56"/>
      <c r="O355" s="611"/>
      <c r="P355" s="56"/>
      <c r="Q355" s="56">
        <f>SUM(Q356:Q356)</f>
        <v>1469964</v>
      </c>
      <c r="R355" s="56"/>
      <c r="S355" s="56"/>
      <c r="T355" s="611"/>
      <c r="U355" s="56"/>
      <c r="V355" s="56">
        <f>SUM(V356:V356)</f>
        <v>362091</v>
      </c>
      <c r="W355" s="56"/>
      <c r="X355" s="56"/>
      <c r="Y355" s="611"/>
      <c r="Z355" s="56"/>
      <c r="AA355" s="56">
        <f>SUM(AA356:AA356)</f>
        <v>0</v>
      </c>
      <c r="AB355" s="56"/>
      <c r="AC355" s="56"/>
      <c r="AD355" s="611"/>
      <c r="AE355" s="56"/>
      <c r="AF355" s="56">
        <f>SUM(AF356:AF356)</f>
        <v>107401</v>
      </c>
      <c r="AG355" s="56"/>
      <c r="AH355" s="56"/>
      <c r="AI355" s="611"/>
      <c r="AJ355" s="56"/>
      <c r="AK355" s="56">
        <f>SUM(AK356:AK356)</f>
        <v>46213</v>
      </c>
      <c r="AL355" s="56"/>
      <c r="AM355" s="56"/>
      <c r="AN355" s="611"/>
      <c r="AO355" s="56"/>
      <c r="AP355" s="56">
        <f>SUM(AP356:AP356)</f>
        <v>0</v>
      </c>
      <c r="AQ355" s="56"/>
      <c r="AR355" s="56"/>
      <c r="AS355" s="611"/>
      <c r="AT355" s="56"/>
      <c r="AU355" s="56">
        <f>SUM(AU356:AU356)</f>
        <v>0</v>
      </c>
      <c r="AV355" s="56"/>
      <c r="AW355" s="56"/>
      <c r="AX355" s="611"/>
      <c r="AY355" s="56"/>
      <c r="AZ355" s="56">
        <f>SUM(AZ356:AZ356)</f>
        <v>328260</v>
      </c>
      <c r="BA355" s="56"/>
      <c r="BB355" s="56"/>
      <c r="BC355" s="611"/>
      <c r="BD355" s="56"/>
      <c r="BE355" s="56">
        <f>SUM(BE356:BE356)</f>
        <v>0</v>
      </c>
      <c r="BF355" s="56"/>
      <c r="BG355" s="56"/>
      <c r="BH355" s="611"/>
      <c r="BI355" s="56"/>
      <c r="BJ355" s="56">
        <f>SUM(BJ356:BJ356)</f>
        <v>0</v>
      </c>
      <c r="BK355" s="56"/>
      <c r="BL355" s="56"/>
      <c r="BM355" s="611"/>
      <c r="BN355" s="56"/>
      <c r="BO355" s="56">
        <f>SUM(BO356:BO356)</f>
        <v>0</v>
      </c>
      <c r="BP355" s="56"/>
      <c r="BQ355" s="56"/>
      <c r="BR355" s="611"/>
      <c r="BS355" s="56"/>
      <c r="BT355" s="56">
        <f>SUM(BT356:BT356)</f>
        <v>2668890</v>
      </c>
      <c r="BU355" s="56"/>
      <c r="BV355" s="56"/>
      <c r="BW355" s="611"/>
      <c r="BX355" s="56"/>
      <c r="BY355" s="56">
        <f>SUM(BY356:BY356)</f>
        <v>633846</v>
      </c>
      <c r="BZ355" s="56"/>
      <c r="CA355" s="56"/>
      <c r="CB355" s="611"/>
      <c r="CC355" s="56"/>
      <c r="CD355" s="56">
        <f>SUM(CD356:CD356)</f>
        <v>0</v>
      </c>
      <c r="CE355" s="56"/>
      <c r="CF355" s="56"/>
      <c r="CG355" s="611"/>
      <c r="CH355" s="56"/>
      <c r="CI355" s="56">
        <f>SUM(CI356:CI356)</f>
        <v>0</v>
      </c>
      <c r="CJ355" s="56"/>
      <c r="CK355" s="56"/>
      <c r="CL355" s="611"/>
      <c r="CM355" s="56"/>
      <c r="CN355" s="56">
        <f>SUM(CN356:CN356)</f>
        <v>0</v>
      </c>
      <c r="CO355" s="56"/>
      <c r="CP355" s="56"/>
      <c r="CQ355" s="611"/>
      <c r="CR355" s="56"/>
      <c r="CS355" s="56">
        <f>SUM(CS356:CS356)</f>
        <v>0</v>
      </c>
      <c r="CT355" s="56"/>
      <c r="CU355" s="56"/>
      <c r="CV355" s="611"/>
      <c r="CW355" s="56"/>
      <c r="CX355" s="56">
        <f>SUM(CX356:CX356)</f>
        <v>0</v>
      </c>
      <c r="CY355" s="56"/>
      <c r="CZ355" s="56"/>
      <c r="DA355" s="611"/>
      <c r="DB355" s="56"/>
      <c r="DC355" s="56">
        <f>SUM(DC356:DC356)</f>
        <v>0</v>
      </c>
      <c r="DD355" s="56"/>
      <c r="DE355" s="56"/>
      <c r="DF355" s="611"/>
      <c r="DG355" s="56"/>
      <c r="DH355" s="56">
        <f>SUM(DH356:DH356)</f>
        <v>0</v>
      </c>
      <c r="DI355" s="56"/>
      <c r="DJ355" s="56"/>
      <c r="DK355" s="611"/>
      <c r="DL355" s="56"/>
      <c r="DM355" s="56">
        <f>SUM(DM356:DM356)</f>
        <v>0</v>
      </c>
      <c r="DN355" s="56"/>
      <c r="DO355" s="56"/>
      <c r="DP355" s="611"/>
      <c r="DQ355" s="56"/>
      <c r="DR355" s="56">
        <f>SUM(DR356:DR356)</f>
        <v>115323</v>
      </c>
      <c r="DS355" s="56"/>
      <c r="DT355" s="56"/>
      <c r="DU355" s="611"/>
      <c r="DV355" s="56"/>
      <c r="DW355" s="56">
        <f>SUM(DW356:DW356)</f>
        <v>0</v>
      </c>
      <c r="DX355" s="56"/>
      <c r="DY355" s="56"/>
      <c r="DZ355" s="611"/>
      <c r="EA355" s="56"/>
      <c r="EB355" s="56">
        <f>SUM(EB356:EB356)</f>
        <v>0</v>
      </c>
      <c r="EC355" s="56"/>
      <c r="ED355" s="56"/>
      <c r="EE355" s="611"/>
      <c r="EF355" s="56"/>
      <c r="EG355" s="56">
        <f>SUM(EG356:EG356)</f>
        <v>518523</v>
      </c>
      <c r="EH355" s="56"/>
      <c r="EI355" s="56"/>
      <c r="EJ355" s="611"/>
      <c r="EK355" s="56"/>
      <c r="EL355" s="56">
        <f>SUM(EL356:EL356)</f>
        <v>115323</v>
      </c>
      <c r="EM355" s="56"/>
      <c r="EN355" s="56"/>
      <c r="EO355" s="144"/>
      <c r="ER355" s="42"/>
      <c r="ES355" s="42"/>
    </row>
    <row r="356" spans="4:149" ht="12.75" customHeight="1" x14ac:dyDescent="0.3">
      <c r="D356" s="144" t="s">
        <v>335</v>
      </c>
      <c r="F356" s="614"/>
      <c r="G356" s="618">
        <v>2340630</v>
      </c>
      <c r="H356" s="616"/>
      <c r="I356" s="56"/>
      <c r="J356" s="611"/>
      <c r="K356" s="617"/>
      <c r="L356" s="618">
        <v>354961</v>
      </c>
      <c r="M356" s="616"/>
      <c r="N356" s="56"/>
      <c r="O356" s="611"/>
      <c r="P356" s="617"/>
      <c r="Q356" s="618">
        <v>1469964</v>
      </c>
      <c r="R356" s="616"/>
      <c r="S356" s="56"/>
      <c r="T356" s="611"/>
      <c r="U356" s="617"/>
      <c r="V356" s="618">
        <v>362091</v>
      </c>
      <c r="W356" s="616"/>
      <c r="X356" s="56"/>
      <c r="Y356" s="611"/>
      <c r="Z356" s="617"/>
      <c r="AA356" s="618">
        <v>0</v>
      </c>
      <c r="AB356" s="616"/>
      <c r="AC356" s="56"/>
      <c r="AD356" s="611"/>
      <c r="AE356" s="617"/>
      <c r="AF356" s="618">
        <v>107401</v>
      </c>
      <c r="AG356" s="616"/>
      <c r="AH356" s="56"/>
      <c r="AI356" s="611"/>
      <c r="AJ356" s="617"/>
      <c r="AK356" s="618">
        <v>46213</v>
      </c>
      <c r="AL356" s="616"/>
      <c r="AM356" s="56"/>
      <c r="AN356" s="611"/>
      <c r="AO356" s="617"/>
      <c r="AP356" s="618">
        <v>0</v>
      </c>
      <c r="AQ356" s="616"/>
      <c r="AR356" s="56"/>
      <c r="AS356" s="611"/>
      <c r="AT356" s="617"/>
      <c r="AU356" s="618">
        <v>0</v>
      </c>
      <c r="AV356" s="616"/>
      <c r="AW356" s="56"/>
      <c r="AX356" s="611"/>
      <c r="AY356" s="617"/>
      <c r="AZ356" s="618">
        <v>328260</v>
      </c>
      <c r="BA356" s="616"/>
      <c r="BB356" s="56"/>
      <c r="BC356" s="611"/>
      <c r="BD356" s="617"/>
      <c r="BE356" s="618">
        <v>0</v>
      </c>
      <c r="BF356" s="616"/>
      <c r="BG356" s="56"/>
      <c r="BH356" s="611"/>
      <c r="BI356" s="617"/>
      <c r="BJ356" s="618">
        <v>0</v>
      </c>
      <c r="BK356" s="616"/>
      <c r="BL356" s="56"/>
      <c r="BM356" s="611"/>
      <c r="BN356" s="617"/>
      <c r="BO356" s="618">
        <v>0</v>
      </c>
      <c r="BP356" s="616"/>
      <c r="BQ356" s="56"/>
      <c r="BR356" s="611"/>
      <c r="BS356" s="617"/>
      <c r="BT356" s="618">
        <f>SUM(L356:BO356)</f>
        <v>2668890</v>
      </c>
      <c r="BU356" s="616"/>
      <c r="BV356" s="56"/>
      <c r="BW356" s="611"/>
      <c r="BX356" s="617"/>
      <c r="BY356" s="618">
        <v>633846</v>
      </c>
      <c r="BZ356" s="616"/>
      <c r="CA356" s="56"/>
      <c r="CB356" s="611"/>
      <c r="CC356" s="617"/>
      <c r="CD356" s="618">
        <v>0</v>
      </c>
      <c r="CE356" s="616"/>
      <c r="CF356" s="56"/>
      <c r="CG356" s="611"/>
      <c r="CH356" s="617"/>
      <c r="CI356" s="618">
        <v>0</v>
      </c>
      <c r="CJ356" s="616"/>
      <c r="CK356" s="56"/>
      <c r="CL356" s="611"/>
      <c r="CM356" s="617"/>
      <c r="CN356" s="618">
        <v>0</v>
      </c>
      <c r="CO356" s="616"/>
      <c r="CP356" s="56"/>
      <c r="CQ356" s="611"/>
      <c r="CR356" s="617"/>
      <c r="CS356" s="618">
        <v>0</v>
      </c>
      <c r="CT356" s="616"/>
      <c r="CU356" s="56"/>
      <c r="CV356" s="611"/>
      <c r="CW356" s="617"/>
      <c r="CX356" s="618">
        <v>0</v>
      </c>
      <c r="CY356" s="616"/>
      <c r="CZ356" s="56"/>
      <c r="DA356" s="611"/>
      <c r="DB356" s="617"/>
      <c r="DC356" s="618">
        <v>0</v>
      </c>
      <c r="DD356" s="616"/>
      <c r="DE356" s="56"/>
      <c r="DF356" s="611"/>
      <c r="DG356" s="617"/>
      <c r="DH356" s="618">
        <v>0</v>
      </c>
      <c r="DI356" s="616"/>
      <c r="DJ356" s="56"/>
      <c r="DK356" s="611"/>
      <c r="DL356" s="617"/>
      <c r="DM356" s="618">
        <v>0</v>
      </c>
      <c r="DN356" s="616"/>
      <c r="DO356" s="56"/>
      <c r="DP356" s="611"/>
      <c r="DQ356" s="617"/>
      <c r="DR356" s="618">
        <v>115323</v>
      </c>
      <c r="DS356" s="616"/>
      <c r="DT356" s="56"/>
      <c r="DU356" s="611"/>
      <c r="DV356" s="617"/>
      <c r="DW356" s="618">
        <v>0</v>
      </c>
      <c r="DX356" s="616"/>
      <c r="DY356" s="56"/>
      <c r="DZ356" s="611"/>
      <c r="EA356" s="617"/>
      <c r="EB356" s="618">
        <v>0</v>
      </c>
      <c r="EC356" s="616"/>
      <c r="ED356" s="56"/>
      <c r="EE356" s="611"/>
      <c r="EF356" s="617"/>
      <c r="EG356" s="618">
        <v>518523</v>
      </c>
      <c r="EH356" s="616"/>
      <c r="EI356" s="56"/>
      <c r="EJ356" s="611"/>
      <c r="EK356" s="617"/>
      <c r="EL356" s="618">
        <f t="shared" ref="EL356" si="36">SUM(CD356:DW356)</f>
        <v>115323</v>
      </c>
      <c r="EM356" s="616"/>
      <c r="EN356" s="56"/>
      <c r="EO356" s="144"/>
      <c r="ER356" s="42"/>
      <c r="ES356" s="42"/>
    </row>
    <row r="357" spans="4:149" ht="12.75" customHeight="1" x14ac:dyDescent="0.3">
      <c r="D357" s="144"/>
      <c r="G357" s="56"/>
      <c r="H357" s="56"/>
      <c r="I357" s="56"/>
      <c r="J357" s="611"/>
      <c r="K357" s="56"/>
      <c r="L357" s="56"/>
      <c r="M357" s="56"/>
      <c r="N357" s="56"/>
      <c r="O357" s="611"/>
      <c r="P357" s="56"/>
      <c r="Q357" s="56"/>
      <c r="R357" s="56"/>
      <c r="S357" s="56"/>
      <c r="T357" s="611"/>
      <c r="U357" s="56"/>
      <c r="V357" s="56"/>
      <c r="W357" s="56"/>
      <c r="X357" s="56"/>
      <c r="Y357" s="611"/>
      <c r="Z357" s="56"/>
      <c r="AA357" s="56"/>
      <c r="AB357" s="56"/>
      <c r="AC357" s="56"/>
      <c r="AD357" s="611"/>
      <c r="AE357" s="56"/>
      <c r="AF357" s="56"/>
      <c r="AG357" s="56"/>
      <c r="AH357" s="56"/>
      <c r="AI357" s="611"/>
      <c r="AJ357" s="56"/>
      <c r="AK357" s="56"/>
      <c r="AL357" s="56"/>
      <c r="AM357" s="56"/>
      <c r="AN357" s="611"/>
      <c r="AO357" s="56"/>
      <c r="AP357" s="56"/>
      <c r="AQ357" s="56"/>
      <c r="AR357" s="56"/>
      <c r="AS357" s="611"/>
      <c r="AT357" s="56"/>
      <c r="AU357" s="56"/>
      <c r="AV357" s="56"/>
      <c r="AW357" s="56"/>
      <c r="AX357" s="611"/>
      <c r="AY357" s="56"/>
      <c r="AZ357" s="56"/>
      <c r="BA357" s="56"/>
      <c r="BB357" s="56"/>
      <c r="BC357" s="611"/>
      <c r="BD357" s="56"/>
      <c r="BE357" s="56"/>
      <c r="BF357" s="56"/>
      <c r="BG357" s="56"/>
      <c r="BH357" s="611"/>
      <c r="BI357" s="56"/>
      <c r="BJ357" s="56"/>
      <c r="BK357" s="56"/>
      <c r="BL357" s="56"/>
      <c r="BM357" s="611"/>
      <c r="BN357" s="56"/>
      <c r="BO357" s="56"/>
      <c r="BP357" s="56"/>
      <c r="BQ357" s="56"/>
      <c r="BR357" s="611"/>
      <c r="BS357" s="56"/>
      <c r="BT357" s="56"/>
      <c r="BU357" s="56"/>
      <c r="BV357" s="56"/>
      <c r="BW357" s="611"/>
      <c r="BX357" s="56"/>
      <c r="BY357" s="56"/>
      <c r="BZ357" s="56"/>
      <c r="CA357" s="56"/>
      <c r="CB357" s="611"/>
      <c r="CC357" s="56"/>
      <c r="CD357" s="56"/>
      <c r="CE357" s="56"/>
      <c r="CF357" s="56"/>
      <c r="CG357" s="611"/>
      <c r="CH357" s="56"/>
      <c r="CI357" s="56"/>
      <c r="CJ357" s="56"/>
      <c r="CK357" s="56"/>
      <c r="CL357" s="611"/>
      <c r="CM357" s="56"/>
      <c r="CN357" s="56"/>
      <c r="CO357" s="56"/>
      <c r="CP357" s="56"/>
      <c r="CQ357" s="611"/>
      <c r="CR357" s="56"/>
      <c r="CS357" s="56"/>
      <c r="CT357" s="56"/>
      <c r="CU357" s="56"/>
      <c r="CV357" s="611"/>
      <c r="CW357" s="56"/>
      <c r="CX357" s="56"/>
      <c r="CY357" s="56"/>
      <c r="CZ357" s="56"/>
      <c r="DA357" s="611"/>
      <c r="DB357" s="56"/>
      <c r="DC357" s="56"/>
      <c r="DD357" s="56"/>
      <c r="DE357" s="56"/>
      <c r="DF357" s="611"/>
      <c r="DG357" s="56"/>
      <c r="DH357" s="56"/>
      <c r="DI357" s="56"/>
      <c r="DJ357" s="56"/>
      <c r="DK357" s="611"/>
      <c r="DL357" s="56"/>
      <c r="DM357" s="56"/>
      <c r="DN357" s="56"/>
      <c r="DO357" s="56"/>
      <c r="DP357" s="611"/>
      <c r="DQ357" s="56"/>
      <c r="DR357" s="56"/>
      <c r="DS357" s="56"/>
      <c r="DT357" s="56"/>
      <c r="DU357" s="611"/>
      <c r="DV357" s="56"/>
      <c r="DW357" s="56"/>
      <c r="DX357" s="56"/>
      <c r="DY357" s="56"/>
      <c r="DZ357" s="611"/>
      <c r="EA357" s="56"/>
      <c r="EB357" s="56"/>
      <c r="EC357" s="56"/>
      <c r="ED357" s="56"/>
      <c r="EE357" s="611"/>
      <c r="EF357" s="56"/>
      <c r="EG357" s="56"/>
      <c r="EH357" s="56"/>
      <c r="EI357" s="56"/>
      <c r="EJ357" s="611"/>
      <c r="EK357" s="56"/>
      <c r="EL357" s="56"/>
      <c r="EM357" s="56"/>
      <c r="EN357" s="56"/>
      <c r="EO357" s="144"/>
      <c r="ER357" s="42"/>
      <c r="ES357" s="42"/>
    </row>
    <row r="358" spans="4:149" ht="12.75" customHeight="1" x14ac:dyDescent="0.3">
      <c r="D358" s="144" t="s">
        <v>353</v>
      </c>
      <c r="G358" s="56">
        <f>SUM(G359:G359)</f>
        <v>392001</v>
      </c>
      <c r="H358" s="56"/>
      <c r="I358" s="56"/>
      <c r="J358" s="611"/>
      <c r="K358" s="56"/>
      <c r="L358" s="56">
        <f>SUM(L359:L359)</f>
        <v>0</v>
      </c>
      <c r="M358" s="56"/>
      <c r="N358" s="56"/>
      <c r="O358" s="611"/>
      <c r="P358" s="56"/>
      <c r="Q358" s="56">
        <f>SUM(Q359:Q359)</f>
        <v>55166</v>
      </c>
      <c r="R358" s="56"/>
      <c r="S358" s="56"/>
      <c r="T358" s="611"/>
      <c r="U358" s="56"/>
      <c r="V358" s="56">
        <f>SUM(V359:V359)</f>
        <v>230067</v>
      </c>
      <c r="W358" s="56"/>
      <c r="X358" s="56"/>
      <c r="Y358" s="611"/>
      <c r="Z358" s="56"/>
      <c r="AA358" s="56">
        <f>SUM(AA359:AA359)</f>
        <v>0</v>
      </c>
      <c r="AB358" s="56"/>
      <c r="AC358" s="56"/>
      <c r="AD358" s="611"/>
      <c r="AE358" s="56"/>
      <c r="AF358" s="56">
        <f>SUM(AF359:AF359)</f>
        <v>106768</v>
      </c>
      <c r="AG358" s="56"/>
      <c r="AH358" s="56"/>
      <c r="AI358" s="611"/>
      <c r="AJ358" s="56"/>
      <c r="AK358" s="56">
        <f>SUM(AK359:AK359)</f>
        <v>0</v>
      </c>
      <c r="AL358" s="56"/>
      <c r="AM358" s="56"/>
      <c r="AN358" s="611"/>
      <c r="AO358" s="56"/>
      <c r="AP358" s="56">
        <f>SUM(AP359:AP359)</f>
        <v>176497</v>
      </c>
      <c r="AQ358" s="56"/>
      <c r="AR358" s="56"/>
      <c r="AS358" s="611"/>
      <c r="AT358" s="56"/>
      <c r="AU358" s="56">
        <f>SUM(AU359:AU359)</f>
        <v>211593</v>
      </c>
      <c r="AV358" s="56"/>
      <c r="AW358" s="56"/>
      <c r="AX358" s="611"/>
      <c r="AY358" s="56"/>
      <c r="AZ358" s="56">
        <f>SUM(AZ359:AZ359)</f>
        <v>0</v>
      </c>
      <c r="BA358" s="56"/>
      <c r="BB358" s="56"/>
      <c r="BC358" s="611"/>
      <c r="BD358" s="56"/>
      <c r="BE358" s="56">
        <f>SUM(BE359:BE359)</f>
        <v>0</v>
      </c>
      <c r="BF358" s="56"/>
      <c r="BG358" s="56"/>
      <c r="BH358" s="611"/>
      <c r="BI358" s="56"/>
      <c r="BJ358" s="56">
        <f>SUM(BJ359:BJ359)</f>
        <v>0</v>
      </c>
      <c r="BK358" s="56"/>
      <c r="BL358" s="56"/>
      <c r="BM358" s="611"/>
      <c r="BN358" s="56"/>
      <c r="BO358" s="56">
        <f>SUM(BO359:BO359)</f>
        <v>0</v>
      </c>
      <c r="BP358" s="56"/>
      <c r="BQ358" s="56"/>
      <c r="BR358" s="611"/>
      <c r="BS358" s="56"/>
      <c r="BT358" s="56">
        <f>SUM(BT359:BT359)</f>
        <v>780091</v>
      </c>
      <c r="BU358" s="56"/>
      <c r="BV358" s="56"/>
      <c r="BW358" s="611"/>
      <c r="BX358" s="56"/>
      <c r="BY358" s="56">
        <f>SUM(BY359:BY359)</f>
        <v>1256940</v>
      </c>
      <c r="BZ358" s="56"/>
      <c r="CA358" s="56"/>
      <c r="CB358" s="611"/>
      <c r="CC358" s="56"/>
      <c r="CD358" s="56">
        <f>SUM(CD359:CD359)</f>
        <v>15296</v>
      </c>
      <c r="CE358" s="56"/>
      <c r="CF358" s="56"/>
      <c r="CG358" s="611"/>
      <c r="CH358" s="56"/>
      <c r="CI358" s="56">
        <f>SUM(CI359:CI359)</f>
        <v>0</v>
      </c>
      <c r="CJ358" s="56"/>
      <c r="CK358" s="56"/>
      <c r="CL358" s="611"/>
      <c r="CM358" s="56"/>
      <c r="CN358" s="56">
        <f>SUM(CN359:CN359)</f>
        <v>213073</v>
      </c>
      <c r="CO358" s="56"/>
      <c r="CP358" s="56"/>
      <c r="CQ358" s="611"/>
      <c r="CR358" s="56"/>
      <c r="CS358" s="56">
        <f>SUM(CS359:CS359)</f>
        <v>-213073</v>
      </c>
      <c r="CT358" s="56"/>
      <c r="CU358" s="56"/>
      <c r="CV358" s="611"/>
      <c r="CW358" s="56"/>
      <c r="CX358" s="56">
        <f>SUM(CX359:CX359)</f>
        <v>0</v>
      </c>
      <c r="CY358" s="56"/>
      <c r="CZ358" s="56"/>
      <c r="DA358" s="611"/>
      <c r="DB358" s="56"/>
      <c r="DC358" s="56">
        <f>SUM(DC359:DC359)</f>
        <v>0</v>
      </c>
      <c r="DD358" s="56"/>
      <c r="DE358" s="56"/>
      <c r="DF358" s="611"/>
      <c r="DG358" s="56"/>
      <c r="DH358" s="56">
        <f>SUM(DH359:DH359)</f>
        <v>0</v>
      </c>
      <c r="DI358" s="56"/>
      <c r="DJ358" s="56"/>
      <c r="DK358" s="611"/>
      <c r="DL358" s="56"/>
      <c r="DM358" s="56">
        <f>SUM(DM359:DM359)</f>
        <v>0</v>
      </c>
      <c r="DN358" s="56"/>
      <c r="DO358" s="56"/>
      <c r="DP358" s="611"/>
      <c r="DQ358" s="56"/>
      <c r="DR358" s="56">
        <f>SUM(DR359:DR359)</f>
        <v>227461</v>
      </c>
      <c r="DS358" s="56"/>
      <c r="DT358" s="56"/>
      <c r="DU358" s="611"/>
      <c r="DV358" s="56"/>
      <c r="DW358" s="56">
        <f>SUM(DW359:DW359)</f>
        <v>0</v>
      </c>
      <c r="DX358" s="56"/>
      <c r="DY358" s="56"/>
      <c r="DZ358" s="611"/>
      <c r="EA358" s="56"/>
      <c r="EB358" s="56">
        <f>SUM(EB359:EB359)</f>
        <v>232101</v>
      </c>
      <c r="EC358" s="56"/>
      <c r="ED358" s="56"/>
      <c r="EE358" s="611"/>
      <c r="EF358" s="56"/>
      <c r="EG358" s="56">
        <f>SUM(EG359:EG359)</f>
        <v>782082</v>
      </c>
      <c r="EH358" s="56"/>
      <c r="EI358" s="56"/>
      <c r="EJ358" s="611"/>
      <c r="EK358" s="56"/>
      <c r="EL358" s="56">
        <f>SUM(EL359:EL359)</f>
        <v>242757</v>
      </c>
      <c r="EM358" s="56"/>
      <c r="EN358" s="56"/>
      <c r="EO358" s="144"/>
      <c r="ER358" s="42"/>
      <c r="ES358" s="42"/>
    </row>
    <row r="359" spans="4:149" ht="12.75" customHeight="1" x14ac:dyDescent="0.3">
      <c r="D359" s="144" t="s">
        <v>335</v>
      </c>
      <c r="F359" s="614"/>
      <c r="G359" s="618">
        <v>392001</v>
      </c>
      <c r="H359" s="616"/>
      <c r="I359" s="56"/>
      <c r="J359" s="611"/>
      <c r="K359" s="617"/>
      <c r="L359" s="618">
        <v>0</v>
      </c>
      <c r="M359" s="616"/>
      <c r="N359" s="56"/>
      <c r="O359" s="611"/>
      <c r="P359" s="617"/>
      <c r="Q359" s="618">
        <v>55166</v>
      </c>
      <c r="R359" s="616"/>
      <c r="S359" s="56"/>
      <c r="T359" s="611"/>
      <c r="U359" s="617"/>
      <c r="V359" s="618">
        <v>230067</v>
      </c>
      <c r="W359" s="616"/>
      <c r="X359" s="56"/>
      <c r="Y359" s="611"/>
      <c r="Z359" s="617"/>
      <c r="AA359" s="618">
        <v>0</v>
      </c>
      <c r="AB359" s="616"/>
      <c r="AC359" s="56"/>
      <c r="AD359" s="611"/>
      <c r="AE359" s="617"/>
      <c r="AF359" s="618">
        <v>106768</v>
      </c>
      <c r="AG359" s="616"/>
      <c r="AH359" s="56"/>
      <c r="AI359" s="611"/>
      <c r="AJ359" s="617"/>
      <c r="AK359" s="618">
        <v>0</v>
      </c>
      <c r="AL359" s="616"/>
      <c r="AM359" s="56"/>
      <c r="AN359" s="611"/>
      <c r="AO359" s="617"/>
      <c r="AP359" s="618">
        <v>176497</v>
      </c>
      <c r="AQ359" s="616"/>
      <c r="AR359" s="56"/>
      <c r="AS359" s="611"/>
      <c r="AT359" s="617"/>
      <c r="AU359" s="618">
        <v>211593</v>
      </c>
      <c r="AV359" s="616"/>
      <c r="AW359" s="56"/>
      <c r="AX359" s="611"/>
      <c r="AY359" s="617"/>
      <c r="AZ359" s="618">
        <v>0</v>
      </c>
      <c r="BA359" s="616"/>
      <c r="BB359" s="56"/>
      <c r="BC359" s="611"/>
      <c r="BD359" s="617"/>
      <c r="BE359" s="618">
        <v>0</v>
      </c>
      <c r="BF359" s="616"/>
      <c r="BG359" s="56"/>
      <c r="BH359" s="611"/>
      <c r="BI359" s="617"/>
      <c r="BJ359" s="618">
        <v>0</v>
      </c>
      <c r="BK359" s="616"/>
      <c r="BL359" s="56"/>
      <c r="BM359" s="611"/>
      <c r="BN359" s="617"/>
      <c r="BO359" s="618">
        <v>0</v>
      </c>
      <c r="BP359" s="616"/>
      <c r="BQ359" s="56"/>
      <c r="BR359" s="611"/>
      <c r="BS359" s="617"/>
      <c r="BT359" s="618">
        <f>SUM(L359:BO359)</f>
        <v>780091</v>
      </c>
      <c r="BU359" s="616"/>
      <c r="BV359" s="56"/>
      <c r="BW359" s="611"/>
      <c r="BX359" s="617"/>
      <c r="BY359" s="618">
        <v>1256940</v>
      </c>
      <c r="BZ359" s="616"/>
      <c r="CA359" s="56"/>
      <c r="CB359" s="611"/>
      <c r="CC359" s="617"/>
      <c r="CD359" s="618">
        <v>15296</v>
      </c>
      <c r="CE359" s="616"/>
      <c r="CF359" s="56"/>
      <c r="CG359" s="611"/>
      <c r="CH359" s="617"/>
      <c r="CI359" s="618">
        <v>0</v>
      </c>
      <c r="CJ359" s="616"/>
      <c r="CK359" s="56"/>
      <c r="CL359" s="611"/>
      <c r="CM359" s="617"/>
      <c r="CN359" s="618">
        <v>213073</v>
      </c>
      <c r="CO359" s="616"/>
      <c r="CP359" s="56"/>
      <c r="CQ359" s="611"/>
      <c r="CR359" s="617"/>
      <c r="CS359" s="618">
        <v>-213073</v>
      </c>
      <c r="CT359" s="616"/>
      <c r="CU359" s="56"/>
      <c r="CV359" s="611"/>
      <c r="CW359" s="617"/>
      <c r="CX359" s="618">
        <v>0</v>
      </c>
      <c r="CY359" s="616"/>
      <c r="CZ359" s="56"/>
      <c r="DA359" s="611"/>
      <c r="DB359" s="617"/>
      <c r="DC359" s="618">
        <v>0</v>
      </c>
      <c r="DD359" s="616"/>
      <c r="DE359" s="56"/>
      <c r="DF359" s="611"/>
      <c r="DG359" s="617"/>
      <c r="DH359" s="618">
        <v>0</v>
      </c>
      <c r="DI359" s="616"/>
      <c r="DJ359" s="56"/>
      <c r="DK359" s="611"/>
      <c r="DL359" s="617"/>
      <c r="DM359" s="618">
        <v>0</v>
      </c>
      <c r="DN359" s="616"/>
      <c r="DO359" s="56"/>
      <c r="DP359" s="611"/>
      <c r="DQ359" s="617"/>
      <c r="DR359" s="618">
        <v>227461</v>
      </c>
      <c r="DS359" s="616"/>
      <c r="DT359" s="56"/>
      <c r="DU359" s="611"/>
      <c r="DV359" s="617"/>
      <c r="DW359" s="618">
        <v>0</v>
      </c>
      <c r="DX359" s="616"/>
      <c r="DY359" s="56"/>
      <c r="DZ359" s="611"/>
      <c r="EA359" s="617"/>
      <c r="EB359" s="618">
        <v>232101</v>
      </c>
      <c r="EC359" s="616"/>
      <c r="ED359" s="56"/>
      <c r="EE359" s="611"/>
      <c r="EF359" s="617"/>
      <c r="EG359" s="618">
        <v>782082</v>
      </c>
      <c r="EH359" s="616"/>
      <c r="EI359" s="56"/>
      <c r="EJ359" s="611"/>
      <c r="EK359" s="617"/>
      <c r="EL359" s="618">
        <f t="shared" ref="EL359" si="37">SUM(CD359:DW359)</f>
        <v>242757</v>
      </c>
      <c r="EM359" s="616"/>
      <c r="EN359" s="56"/>
      <c r="EO359" s="144"/>
      <c r="ER359" s="42"/>
      <c r="ES359" s="42"/>
    </row>
    <row r="360" spans="4:149" ht="12.75" customHeight="1" x14ac:dyDescent="0.3">
      <c r="D360" s="144"/>
      <c r="G360" s="56"/>
      <c r="H360" s="56"/>
      <c r="I360" s="56"/>
      <c r="J360" s="611"/>
      <c r="K360" s="56"/>
      <c r="L360" s="56"/>
      <c r="M360" s="56"/>
      <c r="N360" s="56"/>
      <c r="O360" s="611"/>
      <c r="P360" s="56"/>
      <c r="Q360" s="56"/>
      <c r="R360" s="56"/>
      <c r="S360" s="56"/>
      <c r="T360" s="611"/>
      <c r="U360" s="56"/>
      <c r="V360" s="56"/>
      <c r="W360" s="56"/>
      <c r="X360" s="56"/>
      <c r="Y360" s="611"/>
      <c r="Z360" s="56"/>
      <c r="AA360" s="56"/>
      <c r="AB360" s="56"/>
      <c r="AC360" s="56"/>
      <c r="AD360" s="611"/>
      <c r="AE360" s="56"/>
      <c r="AF360" s="56"/>
      <c r="AG360" s="56"/>
      <c r="AH360" s="56"/>
      <c r="AI360" s="611"/>
      <c r="AJ360" s="56"/>
      <c r="AK360" s="56"/>
      <c r="AL360" s="56"/>
      <c r="AM360" s="56"/>
      <c r="AN360" s="611"/>
      <c r="AO360" s="56"/>
      <c r="AP360" s="56"/>
      <c r="AQ360" s="56"/>
      <c r="AR360" s="56"/>
      <c r="AS360" s="611"/>
      <c r="AT360" s="56"/>
      <c r="AU360" s="56"/>
      <c r="AV360" s="56"/>
      <c r="AW360" s="56"/>
      <c r="AX360" s="611"/>
      <c r="AY360" s="56"/>
      <c r="AZ360" s="56"/>
      <c r="BA360" s="56"/>
      <c r="BB360" s="56"/>
      <c r="BC360" s="611"/>
      <c r="BD360" s="56"/>
      <c r="BE360" s="56"/>
      <c r="BF360" s="56"/>
      <c r="BG360" s="56"/>
      <c r="BH360" s="611"/>
      <c r="BI360" s="56"/>
      <c r="BJ360" s="56"/>
      <c r="BK360" s="56"/>
      <c r="BL360" s="56"/>
      <c r="BM360" s="611"/>
      <c r="BN360" s="56"/>
      <c r="BO360" s="56"/>
      <c r="BP360" s="56"/>
      <c r="BQ360" s="56"/>
      <c r="BR360" s="611"/>
      <c r="BS360" s="56"/>
      <c r="BT360" s="56"/>
      <c r="BU360" s="56"/>
      <c r="BV360" s="56"/>
      <c r="BW360" s="611"/>
      <c r="BX360" s="56"/>
      <c r="BY360" s="56"/>
      <c r="BZ360" s="56"/>
      <c r="CA360" s="56"/>
      <c r="CB360" s="611"/>
      <c r="CC360" s="56"/>
      <c r="CD360" s="56"/>
      <c r="CE360" s="56"/>
      <c r="CF360" s="56"/>
      <c r="CG360" s="611"/>
      <c r="CH360" s="56"/>
      <c r="CI360" s="56"/>
      <c r="CJ360" s="56"/>
      <c r="CK360" s="56"/>
      <c r="CL360" s="611"/>
      <c r="CM360" s="56"/>
      <c r="CN360" s="56"/>
      <c r="CO360" s="56"/>
      <c r="CP360" s="56"/>
      <c r="CQ360" s="611"/>
      <c r="CR360" s="56"/>
      <c r="CS360" s="56"/>
      <c r="CT360" s="56"/>
      <c r="CU360" s="56"/>
      <c r="CV360" s="611"/>
      <c r="CW360" s="56"/>
      <c r="CX360" s="56"/>
      <c r="CY360" s="56"/>
      <c r="CZ360" s="56"/>
      <c r="DA360" s="611"/>
      <c r="DB360" s="56"/>
      <c r="DC360" s="56"/>
      <c r="DD360" s="56"/>
      <c r="DE360" s="56"/>
      <c r="DF360" s="611"/>
      <c r="DG360" s="56"/>
      <c r="DH360" s="56"/>
      <c r="DI360" s="56"/>
      <c r="DJ360" s="56"/>
      <c r="DK360" s="611"/>
      <c r="DL360" s="56"/>
      <c r="DM360" s="56"/>
      <c r="DN360" s="56"/>
      <c r="DO360" s="56"/>
      <c r="DP360" s="611"/>
      <c r="DQ360" s="56"/>
      <c r="DR360" s="56"/>
      <c r="DS360" s="56"/>
      <c r="DT360" s="56"/>
      <c r="DU360" s="611"/>
      <c r="DV360" s="56"/>
      <c r="DW360" s="56"/>
      <c r="DX360" s="56"/>
      <c r="DY360" s="56"/>
      <c r="DZ360" s="611"/>
      <c r="EA360" s="56"/>
      <c r="EB360" s="56"/>
      <c r="EC360" s="56"/>
      <c r="ED360" s="56"/>
      <c r="EE360" s="611"/>
      <c r="EF360" s="56"/>
      <c r="EG360" s="56"/>
      <c r="EH360" s="56"/>
      <c r="EI360" s="56"/>
      <c r="EJ360" s="611"/>
      <c r="EK360" s="56"/>
      <c r="EL360" s="56"/>
      <c r="EM360" s="56"/>
      <c r="EN360" s="56"/>
      <c r="EO360" s="144"/>
      <c r="ER360" s="42"/>
      <c r="ES360" s="42"/>
    </row>
    <row r="361" spans="4:149" ht="12.75" customHeight="1" x14ac:dyDescent="0.3">
      <c r="D361" s="144" t="s">
        <v>354</v>
      </c>
      <c r="G361" s="56">
        <f>SUM(G362:G362)</f>
        <v>0</v>
      </c>
      <c r="H361" s="56"/>
      <c r="I361" s="56"/>
      <c r="J361" s="611"/>
      <c r="K361" s="56"/>
      <c r="L361" s="56">
        <f>SUM(L362:L362)</f>
        <v>0</v>
      </c>
      <c r="M361" s="56"/>
      <c r="N361" s="56"/>
      <c r="O361" s="611"/>
      <c r="P361" s="56"/>
      <c r="Q361" s="56">
        <f>SUM(Q362:Q362)</f>
        <v>0</v>
      </c>
      <c r="R361" s="56"/>
      <c r="S361" s="56"/>
      <c r="T361" s="611"/>
      <c r="U361" s="56"/>
      <c r="V361" s="56">
        <f>SUM(V362:V362)</f>
        <v>0</v>
      </c>
      <c r="W361" s="56"/>
      <c r="X361" s="56"/>
      <c r="Y361" s="611"/>
      <c r="Z361" s="56"/>
      <c r="AA361" s="56">
        <f>SUM(AA362:AA362)</f>
        <v>0</v>
      </c>
      <c r="AB361" s="56"/>
      <c r="AC361" s="56"/>
      <c r="AD361" s="611"/>
      <c r="AE361" s="56"/>
      <c r="AF361" s="56">
        <f>SUM(AF362:AF362)</f>
        <v>0</v>
      </c>
      <c r="AG361" s="56"/>
      <c r="AH361" s="56"/>
      <c r="AI361" s="611"/>
      <c r="AJ361" s="56"/>
      <c r="AK361" s="56">
        <f>SUM(AK362:AK362)</f>
        <v>0</v>
      </c>
      <c r="AL361" s="56"/>
      <c r="AM361" s="56"/>
      <c r="AN361" s="611"/>
      <c r="AO361" s="56"/>
      <c r="AP361" s="56">
        <f>SUM(AP362:AP362)</f>
        <v>0</v>
      </c>
      <c r="AQ361" s="56"/>
      <c r="AR361" s="56"/>
      <c r="AS361" s="611"/>
      <c r="AT361" s="56"/>
      <c r="AU361" s="56">
        <f>SUM(AU362:AU362)</f>
        <v>0</v>
      </c>
      <c r="AV361" s="56"/>
      <c r="AW361" s="56"/>
      <c r="AX361" s="611"/>
      <c r="AY361" s="56"/>
      <c r="AZ361" s="56">
        <f>SUM(AZ362:AZ362)</f>
        <v>0</v>
      </c>
      <c r="BA361" s="56"/>
      <c r="BB361" s="56"/>
      <c r="BC361" s="611"/>
      <c r="BD361" s="56"/>
      <c r="BE361" s="56">
        <f>SUM(BE362:BE362)</f>
        <v>0</v>
      </c>
      <c r="BF361" s="56"/>
      <c r="BG361" s="56"/>
      <c r="BH361" s="611"/>
      <c r="BI361" s="56"/>
      <c r="BJ361" s="56">
        <f>SUM(BJ362:BJ362)</f>
        <v>0</v>
      </c>
      <c r="BK361" s="56"/>
      <c r="BL361" s="56"/>
      <c r="BM361" s="611"/>
      <c r="BN361" s="56"/>
      <c r="BO361" s="56">
        <f>SUM(BO362:BO362)</f>
        <v>0</v>
      </c>
      <c r="BP361" s="56"/>
      <c r="BQ361" s="56"/>
      <c r="BR361" s="611"/>
      <c r="BS361" s="56"/>
      <c r="BT361" s="56">
        <f>SUM(BT362:BT362)</f>
        <v>0</v>
      </c>
      <c r="BU361" s="56"/>
      <c r="BV361" s="56"/>
      <c r="BW361" s="611"/>
      <c r="BX361" s="56"/>
      <c r="BY361" s="56">
        <f>SUM(BY362:BY362)</f>
        <v>203060</v>
      </c>
      <c r="BZ361" s="56"/>
      <c r="CA361" s="56"/>
      <c r="CB361" s="611"/>
      <c r="CC361" s="56"/>
      <c r="CD361" s="56">
        <f>SUM(CD362:CD362)</f>
        <v>41836</v>
      </c>
      <c r="CE361" s="56"/>
      <c r="CF361" s="56"/>
      <c r="CG361" s="611"/>
      <c r="CH361" s="56"/>
      <c r="CI361" s="56">
        <f>SUM(CI362:CI362)</f>
        <v>0</v>
      </c>
      <c r="CJ361" s="56"/>
      <c r="CK361" s="56"/>
      <c r="CL361" s="611"/>
      <c r="CM361" s="56"/>
      <c r="CN361" s="56">
        <f>SUM(CN362:CN362)</f>
        <v>0</v>
      </c>
      <c r="CO361" s="56"/>
      <c r="CP361" s="56"/>
      <c r="CQ361" s="611"/>
      <c r="CR361" s="56"/>
      <c r="CS361" s="56">
        <f>SUM(CS362:CS362)</f>
        <v>0</v>
      </c>
      <c r="CT361" s="56"/>
      <c r="CU361" s="56"/>
      <c r="CV361" s="611"/>
      <c r="CW361" s="56"/>
      <c r="CX361" s="56">
        <f>SUM(CX362:CX362)</f>
        <v>0</v>
      </c>
      <c r="CY361" s="56"/>
      <c r="CZ361" s="56"/>
      <c r="DA361" s="611"/>
      <c r="DB361" s="56"/>
      <c r="DC361" s="56">
        <f>SUM(DC362:DC362)</f>
        <v>0</v>
      </c>
      <c r="DD361" s="56"/>
      <c r="DE361" s="56"/>
      <c r="DF361" s="611"/>
      <c r="DG361" s="56"/>
      <c r="DH361" s="56">
        <f>SUM(DH362:DH362)</f>
        <v>0</v>
      </c>
      <c r="DI361" s="56"/>
      <c r="DJ361" s="56"/>
      <c r="DK361" s="611"/>
      <c r="DL361" s="56"/>
      <c r="DM361" s="56">
        <f>SUM(DM362:DM362)</f>
        <v>0</v>
      </c>
      <c r="DN361" s="56"/>
      <c r="DO361" s="56"/>
      <c r="DP361" s="611"/>
      <c r="DQ361" s="56"/>
      <c r="DR361" s="56">
        <f>SUM(DR362:DR362)</f>
        <v>0</v>
      </c>
      <c r="DS361" s="56"/>
      <c r="DT361" s="56"/>
      <c r="DU361" s="611"/>
      <c r="DV361" s="56"/>
      <c r="DW361" s="56">
        <f>SUM(DW362:DW362)</f>
        <v>0</v>
      </c>
      <c r="DX361" s="56"/>
      <c r="DY361" s="56"/>
      <c r="DZ361" s="611"/>
      <c r="EA361" s="56"/>
      <c r="EB361" s="56">
        <f>SUM(EB362:EB362)</f>
        <v>0</v>
      </c>
      <c r="EC361" s="56"/>
      <c r="ED361" s="56"/>
      <c r="EE361" s="611"/>
      <c r="EF361" s="56"/>
      <c r="EG361" s="56">
        <f>SUM(EG362:EG362)</f>
        <v>161224</v>
      </c>
      <c r="EH361" s="56"/>
      <c r="EI361" s="56"/>
      <c r="EJ361" s="611"/>
      <c r="EK361" s="56"/>
      <c r="EL361" s="56">
        <f>SUM(EL362:EL362)</f>
        <v>41836</v>
      </c>
      <c r="EM361" s="56"/>
      <c r="EN361" s="56"/>
      <c r="EO361" s="144"/>
      <c r="ER361" s="42"/>
      <c r="ES361" s="42"/>
    </row>
    <row r="362" spans="4:149" ht="12.75" customHeight="1" x14ac:dyDescent="0.3">
      <c r="D362" s="144" t="s">
        <v>335</v>
      </c>
      <c r="F362" s="614"/>
      <c r="G362" s="618">
        <v>0</v>
      </c>
      <c r="H362" s="616"/>
      <c r="I362" s="56"/>
      <c r="J362" s="611"/>
      <c r="K362" s="617"/>
      <c r="L362" s="618">
        <v>0</v>
      </c>
      <c r="M362" s="616"/>
      <c r="N362" s="56"/>
      <c r="O362" s="611"/>
      <c r="P362" s="617"/>
      <c r="Q362" s="618">
        <v>0</v>
      </c>
      <c r="R362" s="616"/>
      <c r="S362" s="56"/>
      <c r="T362" s="611"/>
      <c r="U362" s="617"/>
      <c r="V362" s="618">
        <v>0</v>
      </c>
      <c r="W362" s="616"/>
      <c r="X362" s="56"/>
      <c r="Y362" s="611"/>
      <c r="Z362" s="617"/>
      <c r="AA362" s="618">
        <v>0</v>
      </c>
      <c r="AB362" s="616"/>
      <c r="AC362" s="56"/>
      <c r="AD362" s="611"/>
      <c r="AE362" s="617"/>
      <c r="AF362" s="618">
        <v>0</v>
      </c>
      <c r="AG362" s="616"/>
      <c r="AH362" s="56"/>
      <c r="AI362" s="611"/>
      <c r="AJ362" s="617"/>
      <c r="AK362" s="618">
        <v>0</v>
      </c>
      <c r="AL362" s="616"/>
      <c r="AM362" s="56"/>
      <c r="AN362" s="611"/>
      <c r="AO362" s="617"/>
      <c r="AP362" s="618">
        <v>0</v>
      </c>
      <c r="AQ362" s="616"/>
      <c r="AR362" s="56"/>
      <c r="AS362" s="611"/>
      <c r="AT362" s="617"/>
      <c r="AU362" s="618">
        <v>0</v>
      </c>
      <c r="AV362" s="616"/>
      <c r="AW362" s="56"/>
      <c r="AX362" s="611"/>
      <c r="AY362" s="617"/>
      <c r="AZ362" s="618">
        <v>0</v>
      </c>
      <c r="BA362" s="616"/>
      <c r="BB362" s="56"/>
      <c r="BC362" s="611"/>
      <c r="BD362" s="617"/>
      <c r="BE362" s="618">
        <v>0</v>
      </c>
      <c r="BF362" s="616"/>
      <c r="BG362" s="56"/>
      <c r="BH362" s="611"/>
      <c r="BI362" s="617"/>
      <c r="BJ362" s="618">
        <v>0</v>
      </c>
      <c r="BK362" s="616"/>
      <c r="BL362" s="56"/>
      <c r="BM362" s="611"/>
      <c r="BN362" s="617"/>
      <c r="BO362" s="618">
        <v>0</v>
      </c>
      <c r="BP362" s="616"/>
      <c r="BQ362" s="56"/>
      <c r="BR362" s="611"/>
      <c r="BS362" s="617"/>
      <c r="BT362" s="618">
        <f>SUM(L362:BO362)</f>
        <v>0</v>
      </c>
      <c r="BU362" s="616"/>
      <c r="BV362" s="56"/>
      <c r="BW362" s="611"/>
      <c r="BX362" s="617"/>
      <c r="BY362" s="618">
        <v>203060</v>
      </c>
      <c r="BZ362" s="616"/>
      <c r="CA362" s="56"/>
      <c r="CB362" s="611"/>
      <c r="CC362" s="617"/>
      <c r="CD362" s="618">
        <v>41836</v>
      </c>
      <c r="CE362" s="616"/>
      <c r="CF362" s="56"/>
      <c r="CG362" s="611"/>
      <c r="CH362" s="617"/>
      <c r="CI362" s="618">
        <v>0</v>
      </c>
      <c r="CJ362" s="616"/>
      <c r="CK362" s="56"/>
      <c r="CL362" s="611"/>
      <c r="CM362" s="617"/>
      <c r="CN362" s="618">
        <v>0</v>
      </c>
      <c r="CO362" s="616"/>
      <c r="CP362" s="56"/>
      <c r="CQ362" s="611"/>
      <c r="CR362" s="617"/>
      <c r="CS362" s="618">
        <v>0</v>
      </c>
      <c r="CT362" s="616"/>
      <c r="CU362" s="56"/>
      <c r="CV362" s="611"/>
      <c r="CW362" s="617"/>
      <c r="CX362" s="618">
        <v>0</v>
      </c>
      <c r="CY362" s="616"/>
      <c r="CZ362" s="56"/>
      <c r="DA362" s="611"/>
      <c r="DB362" s="617"/>
      <c r="DC362" s="618">
        <v>0</v>
      </c>
      <c r="DD362" s="616"/>
      <c r="DE362" s="56"/>
      <c r="DF362" s="611"/>
      <c r="DG362" s="617"/>
      <c r="DH362" s="618">
        <v>0</v>
      </c>
      <c r="DI362" s="616"/>
      <c r="DJ362" s="56"/>
      <c r="DK362" s="611"/>
      <c r="DL362" s="617"/>
      <c r="DM362" s="618">
        <v>0</v>
      </c>
      <c r="DN362" s="616"/>
      <c r="DO362" s="56"/>
      <c r="DP362" s="611"/>
      <c r="DQ362" s="617"/>
      <c r="DR362" s="618">
        <v>0</v>
      </c>
      <c r="DS362" s="616"/>
      <c r="DT362" s="56"/>
      <c r="DU362" s="611"/>
      <c r="DV362" s="617"/>
      <c r="DW362" s="618">
        <v>0</v>
      </c>
      <c r="DX362" s="616"/>
      <c r="DY362" s="56"/>
      <c r="DZ362" s="611"/>
      <c r="EA362" s="617"/>
      <c r="EB362" s="618">
        <v>0</v>
      </c>
      <c r="EC362" s="616"/>
      <c r="ED362" s="56"/>
      <c r="EE362" s="611"/>
      <c r="EF362" s="617"/>
      <c r="EG362" s="618">
        <v>161224</v>
      </c>
      <c r="EH362" s="616"/>
      <c r="EI362" s="56"/>
      <c r="EJ362" s="611"/>
      <c r="EK362" s="617"/>
      <c r="EL362" s="618">
        <f t="shared" ref="EL362" si="38">SUM(CD362:DW362)</f>
        <v>41836</v>
      </c>
      <c r="EM362" s="616"/>
      <c r="EN362" s="56"/>
      <c r="EO362" s="144"/>
      <c r="ER362" s="42"/>
      <c r="ES362" s="42"/>
    </row>
    <row r="363" spans="4:149" ht="12.75" customHeight="1" x14ac:dyDescent="0.3">
      <c r="D363" s="144"/>
      <c r="G363" s="56"/>
      <c r="H363" s="56"/>
      <c r="I363" s="56"/>
      <c r="J363" s="611"/>
      <c r="K363" s="56"/>
      <c r="L363" s="56"/>
      <c r="M363" s="56"/>
      <c r="N363" s="56"/>
      <c r="O363" s="611"/>
      <c r="P363" s="56"/>
      <c r="Q363" s="56"/>
      <c r="R363" s="56"/>
      <c r="S363" s="56"/>
      <c r="T363" s="611"/>
      <c r="U363" s="56"/>
      <c r="V363" s="56"/>
      <c r="W363" s="56"/>
      <c r="X363" s="56"/>
      <c r="Y363" s="611"/>
      <c r="Z363" s="56"/>
      <c r="AA363" s="56"/>
      <c r="AB363" s="56"/>
      <c r="AC363" s="56"/>
      <c r="AD363" s="611"/>
      <c r="AE363" s="56"/>
      <c r="AF363" s="56"/>
      <c r="AG363" s="56"/>
      <c r="AH363" s="56"/>
      <c r="AI363" s="611"/>
      <c r="AJ363" s="56"/>
      <c r="AK363" s="56"/>
      <c r="AL363" s="56"/>
      <c r="AM363" s="56"/>
      <c r="AN363" s="611"/>
      <c r="AO363" s="56"/>
      <c r="AP363" s="56"/>
      <c r="AQ363" s="56"/>
      <c r="AR363" s="56"/>
      <c r="AS363" s="611"/>
      <c r="AT363" s="56"/>
      <c r="AU363" s="56"/>
      <c r="AV363" s="56"/>
      <c r="AW363" s="56"/>
      <c r="AX363" s="611"/>
      <c r="AY363" s="56"/>
      <c r="AZ363" s="56"/>
      <c r="BA363" s="56"/>
      <c r="BB363" s="56"/>
      <c r="BC363" s="611"/>
      <c r="BD363" s="56"/>
      <c r="BE363" s="56"/>
      <c r="BF363" s="56"/>
      <c r="BG363" s="56"/>
      <c r="BH363" s="611"/>
      <c r="BI363" s="56"/>
      <c r="BJ363" s="56"/>
      <c r="BK363" s="56"/>
      <c r="BL363" s="56"/>
      <c r="BM363" s="611"/>
      <c r="BN363" s="56"/>
      <c r="BO363" s="56"/>
      <c r="BP363" s="56"/>
      <c r="BQ363" s="56"/>
      <c r="BR363" s="611"/>
      <c r="BS363" s="56"/>
      <c r="BT363" s="56"/>
      <c r="BU363" s="56"/>
      <c r="BV363" s="56"/>
      <c r="BW363" s="611"/>
      <c r="BX363" s="56"/>
      <c r="BY363" s="56"/>
      <c r="BZ363" s="56"/>
      <c r="CA363" s="56"/>
      <c r="CB363" s="611"/>
      <c r="CC363" s="56"/>
      <c r="CD363" s="56"/>
      <c r="CE363" s="56"/>
      <c r="CF363" s="56"/>
      <c r="CG363" s="611"/>
      <c r="CH363" s="56"/>
      <c r="CI363" s="56"/>
      <c r="CJ363" s="56"/>
      <c r="CK363" s="56"/>
      <c r="CL363" s="611"/>
      <c r="CM363" s="56"/>
      <c r="CN363" s="56"/>
      <c r="CO363" s="56"/>
      <c r="CP363" s="56"/>
      <c r="CQ363" s="611"/>
      <c r="CR363" s="56"/>
      <c r="CS363" s="56"/>
      <c r="CT363" s="56"/>
      <c r="CU363" s="56"/>
      <c r="CV363" s="611"/>
      <c r="CW363" s="56"/>
      <c r="CX363" s="56"/>
      <c r="CY363" s="56"/>
      <c r="CZ363" s="56"/>
      <c r="DA363" s="611"/>
      <c r="DB363" s="56"/>
      <c r="DC363" s="56"/>
      <c r="DD363" s="56"/>
      <c r="DE363" s="56"/>
      <c r="DF363" s="611"/>
      <c r="DG363" s="56"/>
      <c r="DH363" s="56"/>
      <c r="DI363" s="56"/>
      <c r="DJ363" s="56"/>
      <c r="DK363" s="611"/>
      <c r="DL363" s="56"/>
      <c r="DM363" s="56"/>
      <c r="DN363" s="56"/>
      <c r="DO363" s="56"/>
      <c r="DP363" s="611"/>
      <c r="DQ363" s="56"/>
      <c r="DR363" s="56"/>
      <c r="DS363" s="56"/>
      <c r="DT363" s="56"/>
      <c r="DU363" s="611"/>
      <c r="DV363" s="56"/>
      <c r="DW363" s="56"/>
      <c r="DX363" s="56"/>
      <c r="DY363" s="56"/>
      <c r="DZ363" s="611"/>
      <c r="EA363" s="56"/>
      <c r="EB363" s="56"/>
      <c r="EC363" s="56"/>
      <c r="ED363" s="56"/>
      <c r="EE363" s="611"/>
      <c r="EF363" s="56"/>
      <c r="EG363" s="56"/>
      <c r="EH363" s="56"/>
      <c r="EI363" s="56"/>
      <c r="EJ363" s="611"/>
      <c r="EK363" s="56"/>
      <c r="EL363" s="56"/>
      <c r="EM363" s="56"/>
      <c r="EN363" s="56"/>
      <c r="EO363" s="144"/>
      <c r="ER363" s="42"/>
      <c r="ES363" s="42"/>
    </row>
    <row r="364" spans="4:149" x14ac:dyDescent="0.3">
      <c r="D364" s="144" t="s">
        <v>355</v>
      </c>
      <c r="G364" s="56">
        <f>SUM(G365)</f>
        <v>87218</v>
      </c>
      <c r="H364" s="56"/>
      <c r="I364" s="56"/>
      <c r="J364" s="611"/>
      <c r="L364" s="56">
        <f>SUM(L365)</f>
        <v>0</v>
      </c>
      <c r="M364" s="56"/>
      <c r="N364" s="56"/>
      <c r="O364" s="611"/>
      <c r="Q364" s="56">
        <f>SUM(Q365:Q365)</f>
        <v>87218</v>
      </c>
      <c r="R364" s="56"/>
      <c r="S364" s="56"/>
      <c r="T364" s="611"/>
      <c r="V364" s="56">
        <f>SUM(V365)</f>
        <v>0</v>
      </c>
      <c r="W364" s="56"/>
      <c r="X364" s="56"/>
      <c r="Y364" s="611"/>
      <c r="AA364" s="56">
        <f>SUM(AA365)</f>
        <v>0</v>
      </c>
      <c r="AB364" s="56"/>
      <c r="AC364" s="56"/>
      <c r="AD364" s="611"/>
      <c r="AF364" s="56">
        <f>SUM(AF365)</f>
        <v>0</v>
      </c>
      <c r="AG364" s="56"/>
      <c r="AH364" s="56"/>
      <c r="AI364" s="611"/>
      <c r="AK364" s="56">
        <f>SUM(AK365)</f>
        <v>0</v>
      </c>
      <c r="AL364" s="56"/>
      <c r="AM364" s="56"/>
      <c r="AN364" s="611"/>
      <c r="AP364" s="56">
        <f>SUM(AP365)</f>
        <v>0</v>
      </c>
      <c r="AQ364" s="56"/>
      <c r="AR364" s="56"/>
      <c r="AS364" s="611"/>
      <c r="AU364" s="56">
        <f>SUM(AU365)</f>
        <v>0</v>
      </c>
      <c r="AV364" s="56"/>
      <c r="AW364" s="56"/>
      <c r="AX364" s="611"/>
      <c r="AZ364" s="56">
        <f>SUM(AZ365)</f>
        <v>0</v>
      </c>
      <c r="BA364" s="56"/>
      <c r="BB364" s="56"/>
      <c r="BC364" s="611"/>
      <c r="BE364" s="56">
        <f>SUM(BE365)</f>
        <v>0</v>
      </c>
      <c r="BF364" s="56"/>
      <c r="BG364" s="56"/>
      <c r="BH364" s="611"/>
      <c r="BJ364" s="56">
        <f>SUM(BJ365)</f>
        <v>0</v>
      </c>
      <c r="BK364" s="56"/>
      <c r="BL364" s="56"/>
      <c r="BM364" s="611"/>
      <c r="BO364" s="56">
        <f>SUM(BO365)</f>
        <v>0</v>
      </c>
      <c r="BP364" s="56"/>
      <c r="BQ364" s="56"/>
      <c r="BR364" s="611"/>
      <c r="BT364" s="56">
        <f>SUM(BT365:BT365)</f>
        <v>87218</v>
      </c>
      <c r="BU364" s="56"/>
      <c r="BV364" s="56"/>
      <c r="BW364" s="611"/>
      <c r="BY364" s="56">
        <f>SUM(BY365)</f>
        <v>530579</v>
      </c>
      <c r="BZ364" s="56"/>
      <c r="CA364" s="56"/>
      <c r="CB364" s="611"/>
      <c r="CD364" s="56">
        <f>SUM(CD365:CD365)</f>
        <v>0</v>
      </c>
      <c r="CE364" s="56"/>
      <c r="CF364" s="56"/>
      <c r="CG364" s="611"/>
      <c r="CH364" s="56"/>
      <c r="CI364" s="56">
        <f>SUM(CI365:CI365)</f>
        <v>0</v>
      </c>
      <c r="CJ364" s="56"/>
      <c r="CK364" s="56"/>
      <c r="CL364" s="611"/>
      <c r="CM364" s="56"/>
      <c r="CN364" s="56">
        <f>SUM(CN365:CN365)</f>
        <v>0</v>
      </c>
      <c r="CO364" s="56"/>
      <c r="CP364" s="56"/>
      <c r="CQ364" s="611"/>
      <c r="CR364" s="56"/>
      <c r="CS364" s="56">
        <f>SUM(CS365:CS365)</f>
        <v>0</v>
      </c>
      <c r="CT364" s="56"/>
      <c r="CU364" s="56"/>
      <c r="CV364" s="611"/>
      <c r="CW364" s="56"/>
      <c r="CX364" s="56">
        <f>SUM(CX365:CX365)</f>
        <v>0</v>
      </c>
      <c r="CY364" s="56"/>
      <c r="CZ364" s="56"/>
      <c r="DA364" s="611"/>
      <c r="DB364" s="56"/>
      <c r="DC364" s="56">
        <f>SUM(DC365:DC365)</f>
        <v>0</v>
      </c>
      <c r="DD364" s="56"/>
      <c r="DE364" s="56"/>
      <c r="DF364" s="611"/>
      <c r="DG364" s="56"/>
      <c r="DH364" s="56">
        <f>SUM(DH365:DH365)</f>
        <v>0</v>
      </c>
      <c r="DI364" s="56"/>
      <c r="DJ364" s="56"/>
      <c r="DK364" s="611"/>
      <c r="DL364" s="56"/>
      <c r="DM364" s="56">
        <f>SUM(DM365:DM365)</f>
        <v>530579</v>
      </c>
      <c r="DN364" s="56"/>
      <c r="DO364" s="56"/>
      <c r="DP364" s="611"/>
      <c r="DQ364" s="56"/>
      <c r="DR364" s="56">
        <f>SUM(DR365:DR365)</f>
        <v>0</v>
      </c>
      <c r="DS364" s="56"/>
      <c r="DT364" s="56"/>
      <c r="DU364" s="611"/>
      <c r="DV364" s="56"/>
      <c r="DW364" s="56">
        <f>SUM(DW365:DW365)</f>
        <v>0</v>
      </c>
      <c r="DX364" s="56"/>
      <c r="DY364" s="56"/>
      <c r="DZ364" s="611"/>
      <c r="EA364" s="56"/>
      <c r="EB364" s="56">
        <f>SUM(EB365:EB365)</f>
        <v>0</v>
      </c>
      <c r="EC364" s="56"/>
      <c r="ED364" s="56"/>
      <c r="EE364" s="611"/>
      <c r="EF364" s="56"/>
      <c r="EG364" s="56">
        <f>SUM(EG365:EG365)</f>
        <v>0</v>
      </c>
      <c r="EH364" s="56"/>
      <c r="EI364" s="56"/>
      <c r="EJ364" s="611"/>
      <c r="EL364" s="56">
        <f>SUM(EL365:EL365)</f>
        <v>530579</v>
      </c>
      <c r="EM364" s="56"/>
      <c r="EN364" s="56"/>
      <c r="EO364" s="144"/>
      <c r="ER364" s="42"/>
      <c r="ES364" s="42"/>
    </row>
    <row r="365" spans="4:149" x14ac:dyDescent="0.3">
      <c r="D365" s="144" t="s">
        <v>335</v>
      </c>
      <c r="F365" s="614"/>
      <c r="G365" s="618">
        <v>87218</v>
      </c>
      <c r="H365" s="616"/>
      <c r="I365" s="56"/>
      <c r="J365" s="611"/>
      <c r="K365" s="614"/>
      <c r="L365" s="618">
        <v>0</v>
      </c>
      <c r="M365" s="616"/>
      <c r="N365" s="56"/>
      <c r="O365" s="611"/>
      <c r="P365" s="614"/>
      <c r="Q365" s="618">
        <v>87218</v>
      </c>
      <c r="R365" s="616"/>
      <c r="S365" s="56"/>
      <c r="T365" s="611"/>
      <c r="U365" s="614"/>
      <c r="V365" s="618">
        <v>0</v>
      </c>
      <c r="W365" s="616"/>
      <c r="X365" s="56"/>
      <c r="Y365" s="611"/>
      <c r="Z365" s="614"/>
      <c r="AA365" s="618">
        <v>0</v>
      </c>
      <c r="AB365" s="616"/>
      <c r="AC365" s="56"/>
      <c r="AD365" s="611"/>
      <c r="AE365" s="614"/>
      <c r="AF365" s="618">
        <v>0</v>
      </c>
      <c r="AG365" s="616"/>
      <c r="AH365" s="56"/>
      <c r="AI365" s="611"/>
      <c r="AJ365" s="614"/>
      <c r="AK365" s="618">
        <v>0</v>
      </c>
      <c r="AL365" s="616"/>
      <c r="AM365" s="56"/>
      <c r="AN365" s="611"/>
      <c r="AO365" s="614"/>
      <c r="AP365" s="618">
        <v>0</v>
      </c>
      <c r="AQ365" s="616"/>
      <c r="AR365" s="56"/>
      <c r="AS365" s="611"/>
      <c r="AT365" s="614"/>
      <c r="AU365" s="618">
        <v>0</v>
      </c>
      <c r="AV365" s="616"/>
      <c r="AW365" s="56"/>
      <c r="AX365" s="611"/>
      <c r="AY365" s="614"/>
      <c r="AZ365" s="618">
        <v>0</v>
      </c>
      <c r="BA365" s="616"/>
      <c r="BB365" s="56"/>
      <c r="BC365" s="611"/>
      <c r="BD365" s="614"/>
      <c r="BE365" s="618">
        <v>0</v>
      </c>
      <c r="BF365" s="616"/>
      <c r="BG365" s="56"/>
      <c r="BH365" s="611"/>
      <c r="BI365" s="614"/>
      <c r="BJ365" s="618">
        <v>0</v>
      </c>
      <c r="BK365" s="616"/>
      <c r="BL365" s="56"/>
      <c r="BM365" s="611"/>
      <c r="BN365" s="614"/>
      <c r="BO365" s="618">
        <v>0</v>
      </c>
      <c r="BP365" s="616"/>
      <c r="BQ365" s="56"/>
      <c r="BR365" s="611"/>
      <c r="BS365" s="614"/>
      <c r="BT365" s="618">
        <f>SUM(L365:BO365)</f>
        <v>87218</v>
      </c>
      <c r="BU365" s="616"/>
      <c r="BV365" s="56"/>
      <c r="BW365" s="611"/>
      <c r="BX365" s="614"/>
      <c r="BY365" s="618">
        <v>530579</v>
      </c>
      <c r="BZ365" s="616"/>
      <c r="CA365" s="56"/>
      <c r="CB365" s="611"/>
      <c r="CC365" s="614"/>
      <c r="CD365" s="618">
        <v>0</v>
      </c>
      <c r="CE365" s="616"/>
      <c r="CF365" s="56"/>
      <c r="CG365" s="611"/>
      <c r="CH365" s="617"/>
      <c r="CI365" s="618">
        <v>0</v>
      </c>
      <c r="CJ365" s="616"/>
      <c r="CK365" s="56"/>
      <c r="CL365" s="611"/>
      <c r="CM365" s="617"/>
      <c r="CN365" s="618">
        <v>0</v>
      </c>
      <c r="CO365" s="616"/>
      <c r="CP365" s="56"/>
      <c r="CQ365" s="611"/>
      <c r="CR365" s="617"/>
      <c r="CS365" s="618">
        <v>0</v>
      </c>
      <c r="CT365" s="616"/>
      <c r="CU365" s="56"/>
      <c r="CV365" s="611"/>
      <c r="CW365" s="617"/>
      <c r="CX365" s="618">
        <v>0</v>
      </c>
      <c r="CY365" s="616"/>
      <c r="CZ365" s="56"/>
      <c r="DA365" s="611"/>
      <c r="DB365" s="617"/>
      <c r="DC365" s="618">
        <v>0</v>
      </c>
      <c r="DD365" s="616"/>
      <c r="DE365" s="56"/>
      <c r="DF365" s="611"/>
      <c r="DG365" s="617"/>
      <c r="DH365" s="618">
        <v>0</v>
      </c>
      <c r="DI365" s="616"/>
      <c r="DJ365" s="56"/>
      <c r="DK365" s="611"/>
      <c r="DL365" s="617"/>
      <c r="DM365" s="618">
        <v>530579</v>
      </c>
      <c r="DN365" s="616"/>
      <c r="DO365" s="56"/>
      <c r="DP365" s="611"/>
      <c r="DQ365" s="617"/>
      <c r="DR365" s="618">
        <v>0</v>
      </c>
      <c r="DS365" s="616"/>
      <c r="DT365" s="56"/>
      <c r="DU365" s="611"/>
      <c r="DV365" s="617"/>
      <c r="DW365" s="618">
        <v>0</v>
      </c>
      <c r="DX365" s="616"/>
      <c r="DY365" s="56"/>
      <c r="DZ365" s="611"/>
      <c r="EA365" s="617"/>
      <c r="EB365" s="618">
        <v>0</v>
      </c>
      <c r="EC365" s="616"/>
      <c r="ED365" s="56"/>
      <c r="EE365" s="611"/>
      <c r="EF365" s="617"/>
      <c r="EG365" s="618">
        <v>0</v>
      </c>
      <c r="EH365" s="616"/>
      <c r="EI365" s="56"/>
      <c r="EJ365" s="611"/>
      <c r="EK365" s="614"/>
      <c r="EL365" s="618">
        <f t="shared" ref="EL365" si="39">SUM(CD365:DW365)</f>
        <v>530579</v>
      </c>
      <c r="EM365" s="616"/>
      <c r="EN365" s="56"/>
      <c r="EO365" s="144"/>
      <c r="ER365" s="42"/>
      <c r="ES365" s="42"/>
    </row>
    <row r="366" spans="4:149" x14ac:dyDescent="0.3">
      <c r="D366" s="144"/>
      <c r="G366" s="56"/>
      <c r="H366" s="56"/>
      <c r="I366" s="56"/>
      <c r="J366" s="611"/>
      <c r="K366" s="56"/>
      <c r="L366" s="56"/>
      <c r="M366" s="56"/>
      <c r="N366" s="56"/>
      <c r="O366" s="611"/>
      <c r="P366" s="56"/>
      <c r="Q366" s="56"/>
      <c r="R366" s="56"/>
      <c r="S366" s="56"/>
      <c r="T366" s="611"/>
      <c r="U366" s="56"/>
      <c r="V366" s="56"/>
      <c r="W366" s="56"/>
      <c r="X366" s="56"/>
      <c r="Y366" s="611"/>
      <c r="Z366" s="56"/>
      <c r="AA366" s="56"/>
      <c r="AB366" s="56"/>
      <c r="AC366" s="56"/>
      <c r="AD366" s="611"/>
      <c r="AE366" s="56"/>
      <c r="AF366" s="56"/>
      <c r="AG366" s="56"/>
      <c r="AH366" s="56"/>
      <c r="AI366" s="611"/>
      <c r="AJ366" s="56"/>
      <c r="AK366" s="56"/>
      <c r="AL366" s="56"/>
      <c r="AM366" s="56"/>
      <c r="AN366" s="611"/>
      <c r="AO366" s="56"/>
      <c r="AP366" s="56"/>
      <c r="AQ366" s="56"/>
      <c r="AR366" s="56"/>
      <c r="AS366" s="611"/>
      <c r="AT366" s="56"/>
      <c r="AU366" s="56"/>
      <c r="AV366" s="56"/>
      <c r="AW366" s="56"/>
      <c r="AX366" s="611"/>
      <c r="AY366" s="56"/>
      <c r="AZ366" s="56"/>
      <c r="BA366" s="56"/>
      <c r="BB366" s="56"/>
      <c r="BC366" s="611"/>
      <c r="BD366" s="56"/>
      <c r="BE366" s="56"/>
      <c r="BF366" s="56"/>
      <c r="BG366" s="56"/>
      <c r="BH366" s="611"/>
      <c r="BI366" s="56"/>
      <c r="BJ366" s="56"/>
      <c r="BK366" s="56"/>
      <c r="BL366" s="56"/>
      <c r="BM366" s="611"/>
      <c r="BN366" s="56"/>
      <c r="BO366" s="56"/>
      <c r="BP366" s="56"/>
      <c r="BQ366" s="56"/>
      <c r="BR366" s="611"/>
      <c r="BS366" s="56"/>
      <c r="BT366" s="56"/>
      <c r="BU366" s="56"/>
      <c r="BV366" s="56"/>
      <c r="BW366" s="611"/>
      <c r="BX366" s="56"/>
      <c r="BY366" s="56"/>
      <c r="BZ366" s="56"/>
      <c r="CA366" s="56"/>
      <c r="CB366" s="611"/>
      <c r="CC366" s="56"/>
      <c r="CD366" s="56"/>
      <c r="CE366" s="56"/>
      <c r="CF366" s="56"/>
      <c r="CG366" s="611"/>
      <c r="CH366" s="56"/>
      <c r="CI366" s="56"/>
      <c r="CJ366" s="56"/>
      <c r="CK366" s="56"/>
      <c r="CL366" s="611"/>
      <c r="CM366" s="56"/>
      <c r="CN366" s="56"/>
      <c r="CO366" s="56"/>
      <c r="CP366" s="56"/>
      <c r="CQ366" s="611"/>
      <c r="CR366" s="56"/>
      <c r="CS366" s="56"/>
      <c r="CT366" s="56"/>
      <c r="CU366" s="56"/>
      <c r="CV366" s="611"/>
      <c r="CW366" s="56"/>
      <c r="CX366" s="56"/>
      <c r="CY366" s="56"/>
      <c r="CZ366" s="56"/>
      <c r="DA366" s="611"/>
      <c r="DB366" s="56"/>
      <c r="DC366" s="56"/>
      <c r="DD366" s="56"/>
      <c r="DE366" s="56"/>
      <c r="DF366" s="611"/>
      <c r="DG366" s="56"/>
      <c r="DH366" s="56"/>
      <c r="DI366" s="56"/>
      <c r="DJ366" s="56"/>
      <c r="DK366" s="611"/>
      <c r="DL366" s="56"/>
      <c r="DM366" s="56"/>
      <c r="DN366" s="56"/>
      <c r="DO366" s="56"/>
      <c r="DP366" s="611"/>
      <c r="DQ366" s="56"/>
      <c r="DR366" s="56"/>
      <c r="DS366" s="56"/>
      <c r="DT366" s="56"/>
      <c r="DU366" s="611"/>
      <c r="DV366" s="56"/>
      <c r="DW366" s="56"/>
      <c r="DX366" s="56"/>
      <c r="DY366" s="56"/>
      <c r="DZ366" s="611"/>
      <c r="EA366" s="56"/>
      <c r="EB366" s="56"/>
      <c r="EC366" s="56"/>
      <c r="ED366" s="56"/>
      <c r="EE366" s="611"/>
      <c r="EF366" s="56"/>
      <c r="EG366" s="56"/>
      <c r="EH366" s="56"/>
      <c r="EI366" s="56"/>
      <c r="EJ366" s="611"/>
      <c r="EK366" s="56"/>
      <c r="EL366" s="56"/>
      <c r="EM366" s="56"/>
      <c r="EN366" s="56"/>
      <c r="EO366" s="144"/>
      <c r="ER366" s="42"/>
      <c r="ES366" s="42"/>
    </row>
    <row r="367" spans="4:149" x14ac:dyDescent="0.3">
      <c r="D367" s="144" t="s">
        <v>356</v>
      </c>
      <c r="G367" s="56">
        <f>SUM(G368:G368)</f>
        <v>346817</v>
      </c>
      <c r="I367" s="56"/>
      <c r="J367" s="611"/>
      <c r="K367" s="56"/>
      <c r="L367" s="56">
        <f>SUM(L368:L368)</f>
        <v>0</v>
      </c>
      <c r="M367" s="56"/>
      <c r="N367" s="56"/>
      <c r="O367" s="611"/>
      <c r="P367" s="56"/>
      <c r="Q367" s="56">
        <f>SUM(Q368:Q368)</f>
        <v>88771</v>
      </c>
      <c r="R367" s="56"/>
      <c r="S367" s="56"/>
      <c r="T367" s="611"/>
      <c r="U367" s="56"/>
      <c r="V367" s="56">
        <f>SUM(V368:V368)</f>
        <v>0</v>
      </c>
      <c r="W367" s="56"/>
      <c r="X367" s="56"/>
      <c r="Y367" s="611"/>
      <c r="Z367" s="56"/>
      <c r="AA367" s="56">
        <f>SUM(AA368:AA368)</f>
        <v>0</v>
      </c>
      <c r="AB367" s="56"/>
      <c r="AC367" s="56"/>
      <c r="AD367" s="611"/>
      <c r="AE367" s="56"/>
      <c r="AF367" s="56">
        <f>SUM(AF368:AF368)</f>
        <v>0</v>
      </c>
      <c r="AG367" s="56"/>
      <c r="AH367" s="56"/>
      <c r="AI367" s="611"/>
      <c r="AJ367" s="56"/>
      <c r="AK367" s="56">
        <f>SUM(AK368:AK368)</f>
        <v>258046</v>
      </c>
      <c r="AL367" s="56"/>
      <c r="AM367" s="56"/>
      <c r="AN367" s="611"/>
      <c r="AO367" s="56"/>
      <c r="AP367" s="56">
        <f>SUM(AP368:AP368)</f>
        <v>0</v>
      </c>
      <c r="AQ367" s="56"/>
      <c r="AR367" s="56"/>
      <c r="AS367" s="611"/>
      <c r="AT367" s="56"/>
      <c r="AU367" s="56">
        <f>SUM(AU368:AU368)</f>
        <v>0</v>
      </c>
      <c r="AV367" s="56"/>
      <c r="AW367" s="56"/>
      <c r="AX367" s="611"/>
      <c r="AY367" s="56"/>
      <c r="AZ367" s="56">
        <f>SUM(AZ368:AZ368)</f>
        <v>0</v>
      </c>
      <c r="BA367" s="56"/>
      <c r="BB367" s="56"/>
      <c r="BC367" s="611"/>
      <c r="BD367" s="56"/>
      <c r="BE367" s="56">
        <f>SUM(BE368:BE368)</f>
        <v>0</v>
      </c>
      <c r="BF367" s="56"/>
      <c r="BG367" s="56"/>
      <c r="BH367" s="611"/>
      <c r="BI367" s="56"/>
      <c r="BJ367" s="56">
        <f>SUM(BJ368:BJ368)</f>
        <v>0</v>
      </c>
      <c r="BK367" s="56"/>
      <c r="BL367" s="56"/>
      <c r="BM367" s="611"/>
      <c r="BN367" s="56"/>
      <c r="BO367" s="56">
        <f>SUM(BO368:BO368)</f>
        <v>0</v>
      </c>
      <c r="BP367" s="56"/>
      <c r="BQ367" s="56"/>
      <c r="BR367" s="611"/>
      <c r="BS367" s="56"/>
      <c r="BT367" s="56">
        <f>SUM(BT368:BT368)</f>
        <v>346817</v>
      </c>
      <c r="BU367" s="56"/>
      <c r="BV367" s="56"/>
      <c r="BW367" s="611"/>
      <c r="BX367" s="56"/>
      <c r="BY367" s="56">
        <f>SUM(BY368:BY368)</f>
        <v>881202</v>
      </c>
      <c r="CA367" s="56"/>
      <c r="CB367" s="611"/>
      <c r="CC367" s="56"/>
      <c r="CD367" s="56">
        <f>SUM(CD368:CD368)</f>
        <v>0</v>
      </c>
      <c r="CE367" s="56"/>
      <c r="CF367" s="56"/>
      <c r="CG367" s="611"/>
      <c r="CH367" s="56"/>
      <c r="CI367" s="56">
        <f>SUM(CI368:CI368)</f>
        <v>0</v>
      </c>
      <c r="CJ367" s="56"/>
      <c r="CK367" s="56"/>
      <c r="CL367" s="611"/>
      <c r="CM367" s="56"/>
      <c r="CN367" s="56">
        <f>SUM(CN368:CN368)</f>
        <v>0</v>
      </c>
      <c r="CO367" s="56"/>
      <c r="CP367" s="56"/>
      <c r="CQ367" s="611"/>
      <c r="CR367" s="56"/>
      <c r="CS367" s="56">
        <f>SUM(CS368:CS368)</f>
        <v>0</v>
      </c>
      <c r="CT367" s="56"/>
      <c r="CU367" s="56"/>
      <c r="CV367" s="611"/>
      <c r="CW367" s="56"/>
      <c r="CX367" s="56">
        <f>SUM(CX368:CX368)</f>
        <v>0</v>
      </c>
      <c r="CY367" s="56"/>
      <c r="CZ367" s="56"/>
      <c r="DA367" s="611"/>
      <c r="DB367" s="56"/>
      <c r="DC367" s="56">
        <f>SUM(DC368:DC368)</f>
        <v>0</v>
      </c>
      <c r="DD367" s="56"/>
      <c r="DE367" s="56"/>
      <c r="DF367" s="611"/>
      <c r="DG367" s="56"/>
      <c r="DH367" s="56">
        <f>SUM(DH368:DH368)</f>
        <v>0</v>
      </c>
      <c r="DI367" s="56"/>
      <c r="DJ367" s="56"/>
      <c r="DK367" s="611"/>
      <c r="DL367" s="56"/>
      <c r="DM367" s="56">
        <f>SUM(DM368:DM368)</f>
        <v>179611</v>
      </c>
      <c r="DN367" s="56"/>
      <c r="DO367" s="56"/>
      <c r="DP367" s="611"/>
      <c r="DQ367" s="56"/>
      <c r="DR367" s="56">
        <f>SUM(DR368:DR368)</f>
        <v>0</v>
      </c>
      <c r="DS367" s="56"/>
      <c r="DT367" s="56"/>
      <c r="DU367" s="611"/>
      <c r="DV367" s="56"/>
      <c r="DW367" s="56">
        <f>SUM(DW368:DW368)</f>
        <v>0</v>
      </c>
      <c r="DX367" s="56"/>
      <c r="DY367" s="56"/>
      <c r="DZ367" s="611"/>
      <c r="EA367" s="56"/>
      <c r="EB367" s="56">
        <f>SUM(EB368:EB368)</f>
        <v>0</v>
      </c>
      <c r="EC367" s="56"/>
      <c r="ED367" s="56"/>
      <c r="EE367" s="611"/>
      <c r="EF367" s="56"/>
      <c r="EG367" s="56">
        <f>SUM(EG368:EG368)</f>
        <v>701591</v>
      </c>
      <c r="EH367" s="56"/>
      <c r="EI367" s="56"/>
      <c r="EJ367" s="611"/>
      <c r="EK367" s="56"/>
      <c r="EL367" s="56">
        <f>SUM(EL368:EL368)</f>
        <v>179611</v>
      </c>
      <c r="EM367" s="56"/>
      <c r="EN367" s="56"/>
      <c r="EO367" s="144"/>
      <c r="ER367" s="42"/>
      <c r="ES367" s="42"/>
    </row>
    <row r="368" spans="4:149" x14ac:dyDescent="0.3">
      <c r="D368" s="144" t="s">
        <v>335</v>
      </c>
      <c r="F368" s="614"/>
      <c r="G368" s="618">
        <v>346817</v>
      </c>
      <c r="H368" s="616"/>
      <c r="I368" s="56"/>
      <c r="J368" s="611"/>
      <c r="K368" s="614"/>
      <c r="L368" s="618">
        <v>0</v>
      </c>
      <c r="M368" s="616"/>
      <c r="N368" s="56"/>
      <c r="O368" s="611"/>
      <c r="P368" s="614"/>
      <c r="Q368" s="618">
        <v>88771</v>
      </c>
      <c r="R368" s="616"/>
      <c r="S368" s="56"/>
      <c r="T368" s="611"/>
      <c r="U368" s="614"/>
      <c r="V368" s="618">
        <v>0</v>
      </c>
      <c r="W368" s="616"/>
      <c r="X368" s="56"/>
      <c r="Y368" s="611"/>
      <c r="Z368" s="614"/>
      <c r="AA368" s="618">
        <v>0</v>
      </c>
      <c r="AB368" s="616"/>
      <c r="AC368" s="56"/>
      <c r="AD368" s="611"/>
      <c r="AE368" s="614"/>
      <c r="AF368" s="618">
        <v>0</v>
      </c>
      <c r="AG368" s="616"/>
      <c r="AH368" s="56"/>
      <c r="AI368" s="611"/>
      <c r="AJ368" s="614"/>
      <c r="AK368" s="618">
        <v>258046</v>
      </c>
      <c r="AL368" s="616"/>
      <c r="AM368" s="56"/>
      <c r="AN368" s="611"/>
      <c r="AO368" s="614"/>
      <c r="AP368" s="618">
        <v>0</v>
      </c>
      <c r="AQ368" s="616"/>
      <c r="AR368" s="56"/>
      <c r="AS368" s="611"/>
      <c r="AT368" s="614"/>
      <c r="AU368" s="618">
        <v>0</v>
      </c>
      <c r="AV368" s="616"/>
      <c r="AW368" s="56"/>
      <c r="AX368" s="611"/>
      <c r="AY368" s="614"/>
      <c r="AZ368" s="618">
        <v>0</v>
      </c>
      <c r="BA368" s="616"/>
      <c r="BB368" s="56"/>
      <c r="BC368" s="611"/>
      <c r="BD368" s="614"/>
      <c r="BE368" s="618">
        <v>0</v>
      </c>
      <c r="BF368" s="616"/>
      <c r="BG368" s="56"/>
      <c r="BH368" s="611"/>
      <c r="BI368" s="614"/>
      <c r="BJ368" s="618">
        <v>0</v>
      </c>
      <c r="BK368" s="616"/>
      <c r="BL368" s="56"/>
      <c r="BM368" s="611"/>
      <c r="BN368" s="614"/>
      <c r="BO368" s="618">
        <v>0</v>
      </c>
      <c r="BP368" s="616"/>
      <c r="BQ368" s="56"/>
      <c r="BR368" s="611"/>
      <c r="BS368" s="614"/>
      <c r="BT368" s="618">
        <f>SUM(L368:BO368)</f>
        <v>346817</v>
      </c>
      <c r="BU368" s="616"/>
      <c r="BV368" s="56"/>
      <c r="BW368" s="611"/>
      <c r="BX368" s="614"/>
      <c r="BY368" s="618">
        <v>881202</v>
      </c>
      <c r="BZ368" s="616"/>
      <c r="CA368" s="56"/>
      <c r="CB368" s="611"/>
      <c r="CC368" s="614"/>
      <c r="CD368" s="618">
        <v>0</v>
      </c>
      <c r="CE368" s="616"/>
      <c r="CF368" s="56"/>
      <c r="CG368" s="611"/>
      <c r="CH368" s="617"/>
      <c r="CI368" s="618">
        <v>0</v>
      </c>
      <c r="CJ368" s="616"/>
      <c r="CK368" s="56"/>
      <c r="CL368" s="611"/>
      <c r="CM368" s="617"/>
      <c r="CN368" s="618">
        <v>0</v>
      </c>
      <c r="CO368" s="616"/>
      <c r="CP368" s="56"/>
      <c r="CQ368" s="611"/>
      <c r="CR368" s="617"/>
      <c r="CS368" s="618">
        <v>0</v>
      </c>
      <c r="CT368" s="616"/>
      <c r="CU368" s="56"/>
      <c r="CV368" s="611"/>
      <c r="CW368" s="617"/>
      <c r="CX368" s="618">
        <v>0</v>
      </c>
      <c r="CY368" s="616"/>
      <c r="CZ368" s="56"/>
      <c r="DA368" s="611"/>
      <c r="DB368" s="617"/>
      <c r="DC368" s="618">
        <v>0</v>
      </c>
      <c r="DD368" s="616"/>
      <c r="DE368" s="56"/>
      <c r="DF368" s="611"/>
      <c r="DG368" s="617"/>
      <c r="DH368" s="618">
        <v>0</v>
      </c>
      <c r="DI368" s="616"/>
      <c r="DJ368" s="56"/>
      <c r="DK368" s="611"/>
      <c r="DL368" s="617"/>
      <c r="DM368" s="618">
        <v>179611</v>
      </c>
      <c r="DN368" s="616"/>
      <c r="DO368" s="56"/>
      <c r="DP368" s="611"/>
      <c r="DQ368" s="617"/>
      <c r="DR368" s="618">
        <v>0</v>
      </c>
      <c r="DS368" s="616"/>
      <c r="DT368" s="56"/>
      <c r="DU368" s="611"/>
      <c r="DV368" s="617"/>
      <c r="DW368" s="618">
        <v>0</v>
      </c>
      <c r="DX368" s="616"/>
      <c r="DY368" s="56"/>
      <c r="DZ368" s="611"/>
      <c r="EA368" s="617"/>
      <c r="EB368" s="618">
        <v>0</v>
      </c>
      <c r="EC368" s="616"/>
      <c r="ED368" s="56"/>
      <c r="EE368" s="611"/>
      <c r="EF368" s="617"/>
      <c r="EG368" s="618">
        <v>701591</v>
      </c>
      <c r="EH368" s="616"/>
      <c r="EI368" s="56"/>
      <c r="EJ368" s="611"/>
      <c r="EK368" s="614"/>
      <c r="EL368" s="618">
        <f t="shared" ref="EL368" si="40">SUM(CD368:DW368)</f>
        <v>179611</v>
      </c>
      <c r="EM368" s="616"/>
      <c r="EN368" s="56"/>
      <c r="EO368" s="144"/>
      <c r="ER368" s="42"/>
      <c r="ES368" s="42"/>
    </row>
    <row r="369" spans="4:149" x14ac:dyDescent="0.3">
      <c r="D369" s="144"/>
      <c r="G369" s="56"/>
      <c r="H369" s="56"/>
      <c r="I369" s="56"/>
      <c r="J369" s="611"/>
      <c r="L369" s="56"/>
      <c r="M369" s="56"/>
      <c r="N369" s="56"/>
      <c r="O369" s="611"/>
      <c r="Q369" s="56"/>
      <c r="R369" s="56"/>
      <c r="S369" s="56"/>
      <c r="T369" s="611"/>
      <c r="V369" s="56"/>
      <c r="W369" s="56"/>
      <c r="X369" s="56"/>
      <c r="Y369" s="611"/>
      <c r="AA369" s="56"/>
      <c r="AB369" s="56"/>
      <c r="AC369" s="56"/>
      <c r="AD369" s="611"/>
      <c r="AF369" s="56"/>
      <c r="AG369" s="56"/>
      <c r="AH369" s="56"/>
      <c r="AI369" s="611"/>
      <c r="AK369" s="56"/>
      <c r="AL369" s="56"/>
      <c r="AM369" s="56"/>
      <c r="AN369" s="611"/>
      <c r="AP369" s="56"/>
      <c r="AQ369" s="56"/>
      <c r="AR369" s="56"/>
      <c r="AS369" s="611"/>
      <c r="AU369" s="56"/>
      <c r="AV369" s="56"/>
      <c r="AW369" s="56"/>
      <c r="AX369" s="611"/>
      <c r="AZ369" s="56"/>
      <c r="BA369" s="56"/>
      <c r="BB369" s="56"/>
      <c r="BC369" s="611"/>
      <c r="BE369" s="56"/>
      <c r="BF369" s="56"/>
      <c r="BG369" s="56"/>
      <c r="BH369" s="611"/>
      <c r="BJ369" s="56"/>
      <c r="BK369" s="56"/>
      <c r="BL369" s="56"/>
      <c r="BM369" s="611"/>
      <c r="BO369" s="56"/>
      <c r="BP369" s="56"/>
      <c r="BQ369" s="56"/>
      <c r="BR369" s="611"/>
      <c r="BT369" s="56"/>
      <c r="BU369" s="56"/>
      <c r="BV369" s="56"/>
      <c r="BW369" s="611"/>
      <c r="BY369" s="56"/>
      <c r="BZ369" s="56"/>
      <c r="CA369" s="56"/>
      <c r="CB369" s="611"/>
      <c r="CD369" s="56"/>
      <c r="CE369" s="56"/>
      <c r="CF369" s="56"/>
      <c r="CG369" s="611"/>
      <c r="CH369" s="56"/>
      <c r="CI369" s="56"/>
      <c r="CJ369" s="56"/>
      <c r="CK369" s="56"/>
      <c r="CL369" s="611"/>
      <c r="CM369" s="56"/>
      <c r="CN369" s="56"/>
      <c r="CO369" s="56"/>
      <c r="CP369" s="56"/>
      <c r="CQ369" s="611"/>
      <c r="CR369" s="56"/>
      <c r="CS369" s="56"/>
      <c r="CT369" s="56"/>
      <c r="CU369" s="56"/>
      <c r="CV369" s="611"/>
      <c r="CW369" s="56"/>
      <c r="CX369" s="56"/>
      <c r="CY369" s="56"/>
      <c r="CZ369" s="56"/>
      <c r="DA369" s="611"/>
      <c r="DB369" s="56"/>
      <c r="DC369" s="56"/>
      <c r="DD369" s="56"/>
      <c r="DE369" s="56"/>
      <c r="DF369" s="611"/>
      <c r="DG369" s="56"/>
      <c r="DH369" s="56"/>
      <c r="DI369" s="56"/>
      <c r="DJ369" s="56"/>
      <c r="DK369" s="611"/>
      <c r="DL369" s="56"/>
      <c r="DM369" s="56"/>
      <c r="DN369" s="56"/>
      <c r="DO369" s="56"/>
      <c r="DP369" s="611"/>
      <c r="DQ369" s="56"/>
      <c r="DR369" s="56"/>
      <c r="DS369" s="56"/>
      <c r="DT369" s="56"/>
      <c r="DU369" s="611"/>
      <c r="DV369" s="56"/>
      <c r="DW369" s="56"/>
      <c r="DX369" s="56"/>
      <c r="DY369" s="56"/>
      <c r="DZ369" s="611"/>
      <c r="EA369" s="56"/>
      <c r="EB369" s="56"/>
      <c r="EC369" s="56"/>
      <c r="ED369" s="56"/>
      <c r="EE369" s="611"/>
      <c r="EF369" s="56"/>
      <c r="EG369" s="56"/>
      <c r="EH369" s="56"/>
      <c r="EI369" s="56"/>
      <c r="EJ369" s="611"/>
      <c r="EL369" s="56"/>
      <c r="EM369" s="56"/>
      <c r="EN369" s="56"/>
      <c r="EO369" s="144"/>
      <c r="ER369" s="42"/>
      <c r="ES369" s="42"/>
    </row>
    <row r="370" spans="4:149" x14ac:dyDescent="0.3">
      <c r="D370" s="144" t="s">
        <v>357</v>
      </c>
      <c r="G370" s="56">
        <f>SUM(G371:G371)</f>
        <v>0</v>
      </c>
      <c r="I370" s="56"/>
      <c r="J370" s="611"/>
      <c r="K370" s="56"/>
      <c r="L370" s="56">
        <f>SUM(L371:L371)</f>
        <v>0</v>
      </c>
      <c r="M370" s="56"/>
      <c r="N370" s="56"/>
      <c r="O370" s="611"/>
      <c r="P370" s="56"/>
      <c r="Q370" s="56">
        <f>SUM(Q371:Q371)</f>
        <v>0</v>
      </c>
      <c r="R370" s="56"/>
      <c r="S370" s="56"/>
      <c r="T370" s="611"/>
      <c r="U370" s="56"/>
      <c r="V370" s="56">
        <f>SUM(V371:V371)</f>
        <v>0</v>
      </c>
      <c r="W370" s="56"/>
      <c r="X370" s="56"/>
      <c r="Y370" s="611"/>
      <c r="Z370" s="56"/>
      <c r="AA370" s="56">
        <f>SUM(AA371:AA371)</f>
        <v>0</v>
      </c>
      <c r="AB370" s="56"/>
      <c r="AC370" s="56"/>
      <c r="AD370" s="611"/>
      <c r="AE370" s="56"/>
      <c r="AF370" s="56">
        <f>SUM(AF371:AF371)</f>
        <v>0</v>
      </c>
      <c r="AG370" s="56"/>
      <c r="AH370" s="56"/>
      <c r="AI370" s="611"/>
      <c r="AJ370" s="56"/>
      <c r="AK370" s="56">
        <f>SUM(AK371:AK371)</f>
        <v>0</v>
      </c>
      <c r="AL370" s="56"/>
      <c r="AM370" s="56"/>
      <c r="AN370" s="611"/>
      <c r="AO370" s="56"/>
      <c r="AP370" s="56">
        <f>SUM(AP371:AP371)</f>
        <v>0</v>
      </c>
      <c r="AQ370" s="56"/>
      <c r="AR370" s="56"/>
      <c r="AS370" s="611"/>
      <c r="AT370" s="56"/>
      <c r="AU370" s="56">
        <f>SUM(AU371:AU371)</f>
        <v>0</v>
      </c>
      <c r="AV370" s="56"/>
      <c r="AW370" s="56"/>
      <c r="AX370" s="611"/>
      <c r="AY370" s="56"/>
      <c r="AZ370" s="56">
        <f>SUM(AZ371:AZ371)</f>
        <v>0</v>
      </c>
      <c r="BA370" s="56"/>
      <c r="BB370" s="56"/>
      <c r="BC370" s="611"/>
      <c r="BD370" s="56"/>
      <c r="BE370" s="56">
        <f>SUM(BE371:BE371)</f>
        <v>0</v>
      </c>
      <c r="BF370" s="56"/>
      <c r="BG370" s="56"/>
      <c r="BH370" s="611"/>
      <c r="BI370" s="56"/>
      <c r="BJ370" s="56">
        <f>SUM(BJ371:BJ371)</f>
        <v>0</v>
      </c>
      <c r="BK370" s="56"/>
      <c r="BL370" s="56"/>
      <c r="BM370" s="611"/>
      <c r="BN370" s="56"/>
      <c r="BO370" s="56">
        <f>SUM(BO371:BO371)</f>
        <v>0</v>
      </c>
      <c r="BP370" s="56"/>
      <c r="BQ370" s="56"/>
      <c r="BR370" s="611"/>
      <c r="BT370" s="56">
        <f>SUM(BT371:BT371)</f>
        <v>0</v>
      </c>
      <c r="BU370" s="56"/>
      <c r="BV370" s="56"/>
      <c r="BW370" s="611"/>
      <c r="BY370" s="56">
        <f>SUM(BY371:BY371)</f>
        <v>185576</v>
      </c>
      <c r="CA370" s="56"/>
      <c r="CB370" s="611"/>
      <c r="CC370" s="56"/>
      <c r="CD370" s="56">
        <f>SUM(CD371:CD371)</f>
        <v>0</v>
      </c>
      <c r="CE370" s="56"/>
      <c r="CF370" s="56"/>
      <c r="CG370" s="611"/>
      <c r="CH370" s="56"/>
      <c r="CI370" s="56">
        <f>SUM(CI371:CI371)</f>
        <v>0</v>
      </c>
      <c r="CJ370" s="56"/>
      <c r="CK370" s="56"/>
      <c r="CL370" s="611"/>
      <c r="CM370" s="56"/>
      <c r="CN370" s="56">
        <f>SUM(CN371:CN371)</f>
        <v>0</v>
      </c>
      <c r="CO370" s="56"/>
      <c r="CP370" s="56"/>
      <c r="CQ370" s="611"/>
      <c r="CR370" s="56"/>
      <c r="CS370" s="56">
        <f>SUM(CS371:CS371)</f>
        <v>0</v>
      </c>
      <c r="CT370" s="56"/>
      <c r="CU370" s="56"/>
      <c r="CV370" s="611"/>
      <c r="CW370" s="56"/>
      <c r="CX370" s="56">
        <f>SUM(CX371:CX371)</f>
        <v>0</v>
      </c>
      <c r="CY370" s="56"/>
      <c r="CZ370" s="56"/>
      <c r="DA370" s="611"/>
      <c r="DB370" s="56"/>
      <c r="DC370" s="56">
        <f>SUM(DC371:DC371)</f>
        <v>0</v>
      </c>
      <c r="DD370" s="56"/>
      <c r="DE370" s="56"/>
      <c r="DF370" s="611"/>
      <c r="DG370" s="56"/>
      <c r="DH370" s="56">
        <f>SUM(DH371:DH371)</f>
        <v>55605</v>
      </c>
      <c r="DI370" s="56"/>
      <c r="DJ370" s="56"/>
      <c r="DK370" s="611"/>
      <c r="DL370" s="56"/>
      <c r="DM370" s="56">
        <f>SUM(DM371:DM371)</f>
        <v>129971</v>
      </c>
      <c r="DN370" s="56"/>
      <c r="DO370" s="56"/>
      <c r="DP370" s="611"/>
      <c r="DQ370" s="56"/>
      <c r="DR370" s="56">
        <f>SUM(DR371:DR371)</f>
        <v>0</v>
      </c>
      <c r="DS370" s="56"/>
      <c r="DT370" s="56"/>
      <c r="DU370" s="611"/>
      <c r="DV370" s="56"/>
      <c r="DW370" s="56">
        <f>SUM(DW371:DW371)</f>
        <v>0</v>
      </c>
      <c r="DX370" s="56"/>
      <c r="DY370" s="56"/>
      <c r="DZ370" s="611"/>
      <c r="EA370" s="56"/>
      <c r="EB370" s="56">
        <f>SUM(EB371:EB371)</f>
        <v>0</v>
      </c>
      <c r="EC370" s="56"/>
      <c r="ED370" s="56"/>
      <c r="EE370" s="611"/>
      <c r="EF370" s="56"/>
      <c r="EG370" s="56">
        <f>SUM(EG371:EG371)</f>
        <v>0</v>
      </c>
      <c r="EH370" s="56"/>
      <c r="EI370" s="56"/>
      <c r="EJ370" s="611"/>
      <c r="EL370" s="56">
        <f>SUM(EL371:EL371)</f>
        <v>185576</v>
      </c>
      <c r="EM370" s="56"/>
      <c r="EN370" s="56"/>
      <c r="EO370" s="144"/>
      <c r="ER370" s="42"/>
      <c r="ES370" s="42"/>
    </row>
    <row r="371" spans="4:149" x14ac:dyDescent="0.3">
      <c r="D371" s="144" t="s">
        <v>335</v>
      </c>
      <c r="F371" s="614"/>
      <c r="G371" s="618">
        <v>0</v>
      </c>
      <c r="H371" s="616"/>
      <c r="I371" s="56"/>
      <c r="J371" s="611"/>
      <c r="K371" s="614"/>
      <c r="L371" s="618">
        <v>0</v>
      </c>
      <c r="M371" s="616"/>
      <c r="N371" s="56"/>
      <c r="O371" s="611"/>
      <c r="P371" s="614"/>
      <c r="Q371" s="618">
        <v>0</v>
      </c>
      <c r="R371" s="616"/>
      <c r="S371" s="56"/>
      <c r="T371" s="611"/>
      <c r="U371" s="614"/>
      <c r="V371" s="618">
        <v>0</v>
      </c>
      <c r="W371" s="616"/>
      <c r="X371" s="56"/>
      <c r="Y371" s="611"/>
      <c r="Z371" s="614"/>
      <c r="AA371" s="618">
        <v>0</v>
      </c>
      <c r="AB371" s="616"/>
      <c r="AC371" s="56"/>
      <c r="AD371" s="611"/>
      <c r="AE371" s="614"/>
      <c r="AF371" s="618">
        <v>0</v>
      </c>
      <c r="AG371" s="616"/>
      <c r="AH371" s="56"/>
      <c r="AI371" s="611"/>
      <c r="AJ371" s="614"/>
      <c r="AK371" s="618">
        <v>0</v>
      </c>
      <c r="AL371" s="616"/>
      <c r="AM371" s="56"/>
      <c r="AN371" s="611"/>
      <c r="AO371" s="614"/>
      <c r="AP371" s="618">
        <v>0</v>
      </c>
      <c r="AQ371" s="616"/>
      <c r="AR371" s="56"/>
      <c r="AS371" s="611"/>
      <c r="AT371" s="614"/>
      <c r="AU371" s="618">
        <v>0</v>
      </c>
      <c r="AV371" s="616"/>
      <c r="AW371" s="56"/>
      <c r="AX371" s="611"/>
      <c r="AY371" s="614"/>
      <c r="AZ371" s="618">
        <v>0</v>
      </c>
      <c r="BA371" s="616"/>
      <c r="BB371" s="56"/>
      <c r="BC371" s="611"/>
      <c r="BD371" s="614"/>
      <c r="BE371" s="618">
        <v>0</v>
      </c>
      <c r="BF371" s="616"/>
      <c r="BG371" s="56"/>
      <c r="BH371" s="611"/>
      <c r="BI371" s="614"/>
      <c r="BJ371" s="618">
        <v>0</v>
      </c>
      <c r="BK371" s="616"/>
      <c r="BL371" s="56"/>
      <c r="BM371" s="611"/>
      <c r="BN371" s="614"/>
      <c r="BO371" s="618">
        <v>0</v>
      </c>
      <c r="BP371" s="616"/>
      <c r="BQ371" s="56"/>
      <c r="BR371" s="611"/>
      <c r="BS371" s="614"/>
      <c r="BT371" s="618">
        <f>SUM(L371:BO371)</f>
        <v>0</v>
      </c>
      <c r="BU371" s="616"/>
      <c r="BV371" s="56"/>
      <c r="BW371" s="611"/>
      <c r="BX371" s="614"/>
      <c r="BY371" s="618">
        <v>185576</v>
      </c>
      <c r="BZ371" s="616"/>
      <c r="CA371" s="56"/>
      <c r="CB371" s="611"/>
      <c r="CC371" s="614"/>
      <c r="CD371" s="618">
        <v>0</v>
      </c>
      <c r="CE371" s="616"/>
      <c r="CF371" s="56"/>
      <c r="CG371" s="611"/>
      <c r="CH371" s="617"/>
      <c r="CI371" s="618">
        <v>0</v>
      </c>
      <c r="CJ371" s="616"/>
      <c r="CK371" s="56"/>
      <c r="CL371" s="611"/>
      <c r="CM371" s="617"/>
      <c r="CN371" s="618">
        <v>0</v>
      </c>
      <c r="CO371" s="616"/>
      <c r="CP371" s="56"/>
      <c r="CQ371" s="611"/>
      <c r="CR371" s="617"/>
      <c r="CS371" s="618">
        <v>0</v>
      </c>
      <c r="CT371" s="616"/>
      <c r="CU371" s="56"/>
      <c r="CV371" s="611"/>
      <c r="CW371" s="617"/>
      <c r="CX371" s="618">
        <v>0</v>
      </c>
      <c r="CY371" s="616"/>
      <c r="CZ371" s="56"/>
      <c r="DA371" s="611"/>
      <c r="DB371" s="617"/>
      <c r="DC371" s="618">
        <v>0</v>
      </c>
      <c r="DD371" s="616"/>
      <c r="DE371" s="56"/>
      <c r="DF371" s="611"/>
      <c r="DG371" s="617"/>
      <c r="DH371" s="618">
        <v>55605</v>
      </c>
      <c r="DI371" s="616"/>
      <c r="DJ371" s="56"/>
      <c r="DK371" s="611"/>
      <c r="DL371" s="617"/>
      <c r="DM371" s="618">
        <v>129971</v>
      </c>
      <c r="DN371" s="616"/>
      <c r="DO371" s="56"/>
      <c r="DP371" s="611"/>
      <c r="DQ371" s="617"/>
      <c r="DR371" s="618">
        <v>0</v>
      </c>
      <c r="DS371" s="616"/>
      <c r="DT371" s="56"/>
      <c r="DU371" s="611"/>
      <c r="DV371" s="617"/>
      <c r="DW371" s="618">
        <v>0</v>
      </c>
      <c r="DX371" s="616"/>
      <c r="DY371" s="56"/>
      <c r="DZ371" s="611"/>
      <c r="EA371" s="617"/>
      <c r="EB371" s="618">
        <v>0</v>
      </c>
      <c r="EC371" s="616"/>
      <c r="ED371" s="56"/>
      <c r="EE371" s="611"/>
      <c r="EF371" s="617"/>
      <c r="EG371" s="618">
        <v>0</v>
      </c>
      <c r="EH371" s="616"/>
      <c r="EI371" s="56"/>
      <c r="EJ371" s="611"/>
      <c r="EK371" s="614"/>
      <c r="EL371" s="618">
        <f t="shared" ref="EL371" si="41">SUM(CD371:DW371)</f>
        <v>185576</v>
      </c>
      <c r="EM371" s="616"/>
      <c r="EN371" s="56"/>
      <c r="EO371" s="144"/>
      <c r="ER371" s="42"/>
      <c r="ES371" s="42"/>
    </row>
    <row r="372" spans="4:149" x14ac:dyDescent="0.3">
      <c r="D372" s="144"/>
      <c r="G372" s="56"/>
      <c r="H372" s="56"/>
      <c r="I372" s="56"/>
      <c r="J372" s="611"/>
      <c r="L372" s="56"/>
      <c r="M372" s="56"/>
      <c r="N372" s="56"/>
      <c r="O372" s="611"/>
      <c r="Q372" s="56"/>
      <c r="R372" s="56"/>
      <c r="S372" s="56"/>
      <c r="T372" s="611"/>
      <c r="V372" s="56"/>
      <c r="W372" s="56"/>
      <c r="X372" s="56"/>
      <c r="Y372" s="611"/>
      <c r="AA372" s="56"/>
      <c r="AB372" s="56"/>
      <c r="AC372" s="56"/>
      <c r="AD372" s="611"/>
      <c r="AF372" s="56"/>
      <c r="AG372" s="56"/>
      <c r="AH372" s="56"/>
      <c r="AI372" s="611"/>
      <c r="AK372" s="56"/>
      <c r="AL372" s="56"/>
      <c r="AM372" s="56"/>
      <c r="AN372" s="611"/>
      <c r="AP372" s="56"/>
      <c r="AQ372" s="56"/>
      <c r="AR372" s="56"/>
      <c r="AS372" s="611"/>
      <c r="AU372" s="56"/>
      <c r="AV372" s="56"/>
      <c r="AW372" s="56"/>
      <c r="AX372" s="611"/>
      <c r="AZ372" s="56"/>
      <c r="BA372" s="56"/>
      <c r="BB372" s="56"/>
      <c r="BC372" s="611"/>
      <c r="BE372" s="56"/>
      <c r="BF372" s="56"/>
      <c r="BG372" s="56"/>
      <c r="BH372" s="611"/>
      <c r="BJ372" s="56"/>
      <c r="BK372" s="56"/>
      <c r="BL372" s="56"/>
      <c r="BM372" s="611"/>
      <c r="BO372" s="56"/>
      <c r="BP372" s="56"/>
      <c r="BQ372" s="56"/>
      <c r="BR372" s="611"/>
      <c r="BT372" s="56"/>
      <c r="BU372" s="56"/>
      <c r="BV372" s="56"/>
      <c r="BW372" s="611"/>
      <c r="BY372" s="56"/>
      <c r="BZ372" s="56"/>
      <c r="CA372" s="56"/>
      <c r="CB372" s="611"/>
      <c r="CD372" s="56"/>
      <c r="CE372" s="56"/>
      <c r="CF372" s="56"/>
      <c r="CG372" s="611"/>
      <c r="CH372" s="56"/>
      <c r="CI372" s="56"/>
      <c r="CJ372" s="56"/>
      <c r="CK372" s="56"/>
      <c r="CL372" s="611"/>
      <c r="CM372" s="56"/>
      <c r="CN372" s="56"/>
      <c r="CO372" s="56"/>
      <c r="CP372" s="56"/>
      <c r="CQ372" s="611"/>
      <c r="CR372" s="56"/>
      <c r="CS372" s="56"/>
      <c r="CT372" s="56"/>
      <c r="CU372" s="56"/>
      <c r="CV372" s="611"/>
      <c r="CW372" s="56"/>
      <c r="CX372" s="56"/>
      <c r="CY372" s="56"/>
      <c r="CZ372" s="56"/>
      <c r="DA372" s="611"/>
      <c r="DB372" s="56"/>
      <c r="DC372" s="56"/>
      <c r="DD372" s="56"/>
      <c r="DE372" s="56"/>
      <c r="DF372" s="611"/>
      <c r="DG372" s="56"/>
      <c r="DH372" s="56"/>
      <c r="DI372" s="56"/>
      <c r="DJ372" s="56"/>
      <c r="DK372" s="611"/>
      <c r="DL372" s="56"/>
      <c r="DM372" s="56"/>
      <c r="DN372" s="56"/>
      <c r="DO372" s="56"/>
      <c r="DP372" s="611"/>
      <c r="DQ372" s="56"/>
      <c r="DR372" s="56"/>
      <c r="DS372" s="56"/>
      <c r="DT372" s="56"/>
      <c r="DU372" s="611"/>
      <c r="DV372" s="56"/>
      <c r="DW372" s="56"/>
      <c r="DX372" s="56"/>
      <c r="DY372" s="56"/>
      <c r="DZ372" s="611"/>
      <c r="EA372" s="56"/>
      <c r="EB372" s="56"/>
      <c r="EC372" s="56"/>
      <c r="ED372" s="56"/>
      <c r="EE372" s="611"/>
      <c r="EF372" s="56"/>
      <c r="EG372" s="56"/>
      <c r="EH372" s="56"/>
      <c r="EI372" s="56"/>
      <c r="EJ372" s="611"/>
      <c r="EL372" s="56"/>
      <c r="EM372" s="56"/>
      <c r="EN372" s="56"/>
      <c r="EO372" s="144"/>
      <c r="ER372" s="42"/>
      <c r="ES372" s="42"/>
    </row>
    <row r="373" spans="4:149" ht="12.75" customHeight="1" x14ac:dyDescent="0.3">
      <c r="D373" s="144" t="s">
        <v>358</v>
      </c>
      <c r="G373" s="56">
        <f>SUM(G374:G374)</f>
        <v>92637</v>
      </c>
      <c r="I373" s="56"/>
      <c r="J373" s="611"/>
      <c r="K373" s="56"/>
      <c r="L373" s="56">
        <f>SUM(L374:L374)</f>
        <v>0</v>
      </c>
      <c r="M373" s="56"/>
      <c r="N373" s="56"/>
      <c r="O373" s="611"/>
      <c r="P373" s="56"/>
      <c r="Q373" s="56">
        <f>SUM(Q374:Q374)</f>
        <v>46261</v>
      </c>
      <c r="R373" s="56"/>
      <c r="S373" s="56"/>
      <c r="T373" s="611"/>
      <c r="U373" s="56"/>
      <c r="V373" s="56">
        <f>SUM(V374:V374)</f>
        <v>46376</v>
      </c>
      <c r="W373" s="56"/>
      <c r="X373" s="56"/>
      <c r="Y373" s="611"/>
      <c r="Z373" s="56"/>
      <c r="AA373" s="56">
        <f>SUM(AA374:AA374)</f>
        <v>0</v>
      </c>
      <c r="AB373" s="56"/>
      <c r="AC373" s="56"/>
      <c r="AD373" s="611"/>
      <c r="AE373" s="56"/>
      <c r="AF373" s="56">
        <f>SUM(AF374:AF374)</f>
        <v>0</v>
      </c>
      <c r="AG373" s="56"/>
      <c r="AH373" s="56"/>
      <c r="AI373" s="611"/>
      <c r="AJ373" s="56"/>
      <c r="AK373" s="56">
        <f>SUM(AK374:AK374)</f>
        <v>0</v>
      </c>
      <c r="AL373" s="56"/>
      <c r="AM373" s="56"/>
      <c r="AN373" s="611"/>
      <c r="AO373" s="56"/>
      <c r="AP373" s="56">
        <f>SUM(AP374:AP374)</f>
        <v>0</v>
      </c>
      <c r="AQ373" s="56"/>
      <c r="AR373" s="56"/>
      <c r="AS373" s="611"/>
      <c r="AT373" s="56"/>
      <c r="AU373" s="56">
        <f>SUM(AU374:AU374)</f>
        <v>0</v>
      </c>
      <c r="AV373" s="56"/>
      <c r="AW373" s="56"/>
      <c r="AX373" s="611"/>
      <c r="AY373" s="56"/>
      <c r="AZ373" s="56">
        <f>SUM(AZ374:AZ374)</f>
        <v>0</v>
      </c>
      <c r="BA373" s="56"/>
      <c r="BB373" s="56"/>
      <c r="BC373" s="611"/>
      <c r="BD373" s="56"/>
      <c r="BE373" s="56">
        <f>SUM(BE374:BE374)</f>
        <v>0</v>
      </c>
      <c r="BF373" s="56"/>
      <c r="BG373" s="56"/>
      <c r="BH373" s="611"/>
      <c r="BI373" s="56"/>
      <c r="BJ373" s="56">
        <f>SUM(BJ374:BJ374)</f>
        <v>0</v>
      </c>
      <c r="BK373" s="56"/>
      <c r="BL373" s="56"/>
      <c r="BM373" s="611"/>
      <c r="BN373" s="56"/>
      <c r="BO373" s="56">
        <f>SUM(BO374:BO374)</f>
        <v>0</v>
      </c>
      <c r="BP373" s="56"/>
      <c r="BQ373" s="56"/>
      <c r="BR373" s="611"/>
      <c r="BT373" s="56">
        <f>SUM(BT374:BT374)</f>
        <v>92637</v>
      </c>
      <c r="BU373" s="56"/>
      <c r="BV373" s="56"/>
      <c r="BW373" s="611"/>
      <c r="BY373" s="56">
        <f>SUM(BY374:BY374)</f>
        <v>56461</v>
      </c>
      <c r="CA373" s="56"/>
      <c r="CB373" s="611"/>
      <c r="CC373" s="56"/>
      <c r="CD373" s="56">
        <f>SUM(CD374:CD374)</f>
        <v>0</v>
      </c>
      <c r="CE373" s="56"/>
      <c r="CF373" s="56"/>
      <c r="CG373" s="611"/>
      <c r="CH373" s="56"/>
      <c r="CI373" s="56">
        <f>SUM(CI374:CI374)</f>
        <v>0</v>
      </c>
      <c r="CJ373" s="56"/>
      <c r="CK373" s="56"/>
      <c r="CL373" s="611"/>
      <c r="CM373" s="56"/>
      <c r="CN373" s="56">
        <f>SUM(CN374:CN374)</f>
        <v>0</v>
      </c>
      <c r="CO373" s="56"/>
      <c r="CP373" s="56"/>
      <c r="CQ373" s="611"/>
      <c r="CR373" s="56"/>
      <c r="CS373" s="56">
        <f>SUM(CS374:CS374)</f>
        <v>0</v>
      </c>
      <c r="CT373" s="56"/>
      <c r="CU373" s="56"/>
      <c r="CV373" s="611"/>
      <c r="CW373" s="56"/>
      <c r="CX373" s="56">
        <f>SUM(CX374:CX374)</f>
        <v>0</v>
      </c>
      <c r="CY373" s="56"/>
      <c r="CZ373" s="56"/>
      <c r="DA373" s="611"/>
      <c r="DB373" s="56"/>
      <c r="DC373" s="56">
        <f>SUM(DC374:DC374)</f>
        <v>0</v>
      </c>
      <c r="DD373" s="56"/>
      <c r="DE373" s="56"/>
      <c r="DF373" s="611"/>
      <c r="DG373" s="56"/>
      <c r="DH373" s="56">
        <f>SUM(DH374:DH374)</f>
        <v>0</v>
      </c>
      <c r="DI373" s="56"/>
      <c r="DJ373" s="56"/>
      <c r="DK373" s="611"/>
      <c r="DL373" s="56"/>
      <c r="DM373" s="56">
        <f>SUM(DM374:DM374)</f>
        <v>0</v>
      </c>
      <c r="DN373" s="56"/>
      <c r="DO373" s="56"/>
      <c r="DP373" s="611"/>
      <c r="DQ373" s="56"/>
      <c r="DR373" s="56">
        <f>SUM(DR374:DR374)</f>
        <v>0</v>
      </c>
      <c r="DS373" s="56"/>
      <c r="DT373" s="56"/>
      <c r="DU373" s="611"/>
      <c r="DV373" s="56"/>
      <c r="DW373" s="56">
        <f>SUM(DW374:DW374)</f>
        <v>0</v>
      </c>
      <c r="DX373" s="56"/>
      <c r="DY373" s="56"/>
      <c r="DZ373" s="611"/>
      <c r="EA373" s="56"/>
      <c r="EB373" s="56">
        <f>SUM(EB374:EB374)</f>
        <v>0</v>
      </c>
      <c r="EC373" s="56"/>
      <c r="ED373" s="56"/>
      <c r="EE373" s="611"/>
      <c r="EF373" s="56"/>
      <c r="EG373" s="56">
        <f>SUM(EG374:EG374)</f>
        <v>56461</v>
      </c>
      <c r="EH373" s="56"/>
      <c r="EI373" s="56"/>
      <c r="EJ373" s="611"/>
      <c r="EL373" s="56">
        <f>SUM(EL374:EL374)</f>
        <v>0</v>
      </c>
      <c r="EM373" s="56"/>
      <c r="EN373" s="56"/>
      <c r="EO373" s="144"/>
      <c r="ER373" s="42"/>
      <c r="ES373" s="42"/>
    </row>
    <row r="374" spans="4:149" ht="12.75" customHeight="1" x14ac:dyDescent="0.3">
      <c r="D374" s="144" t="s">
        <v>335</v>
      </c>
      <c r="F374" s="614"/>
      <c r="G374" s="618">
        <v>92637</v>
      </c>
      <c r="H374" s="616"/>
      <c r="I374" s="56"/>
      <c r="J374" s="611"/>
      <c r="K374" s="614"/>
      <c r="L374" s="618">
        <v>0</v>
      </c>
      <c r="M374" s="616"/>
      <c r="N374" s="56"/>
      <c r="O374" s="611"/>
      <c r="P374" s="614"/>
      <c r="Q374" s="618">
        <v>46261</v>
      </c>
      <c r="R374" s="616"/>
      <c r="S374" s="56"/>
      <c r="T374" s="611"/>
      <c r="U374" s="614"/>
      <c r="V374" s="618">
        <v>46376</v>
      </c>
      <c r="W374" s="616"/>
      <c r="X374" s="56"/>
      <c r="Y374" s="611"/>
      <c r="Z374" s="614"/>
      <c r="AA374" s="618">
        <v>0</v>
      </c>
      <c r="AB374" s="616"/>
      <c r="AC374" s="56"/>
      <c r="AD374" s="611"/>
      <c r="AE374" s="614"/>
      <c r="AF374" s="618">
        <v>0</v>
      </c>
      <c r="AG374" s="616"/>
      <c r="AH374" s="56"/>
      <c r="AI374" s="611"/>
      <c r="AJ374" s="614"/>
      <c r="AK374" s="618">
        <v>0</v>
      </c>
      <c r="AL374" s="616"/>
      <c r="AM374" s="56"/>
      <c r="AN374" s="611"/>
      <c r="AO374" s="614"/>
      <c r="AP374" s="618">
        <v>0</v>
      </c>
      <c r="AQ374" s="616"/>
      <c r="AR374" s="56"/>
      <c r="AS374" s="611"/>
      <c r="AT374" s="614"/>
      <c r="AU374" s="618">
        <v>0</v>
      </c>
      <c r="AV374" s="616"/>
      <c r="AW374" s="56"/>
      <c r="AX374" s="611"/>
      <c r="AY374" s="614"/>
      <c r="AZ374" s="618">
        <v>0</v>
      </c>
      <c r="BA374" s="616"/>
      <c r="BB374" s="56"/>
      <c r="BC374" s="611"/>
      <c r="BD374" s="614"/>
      <c r="BE374" s="618">
        <v>0</v>
      </c>
      <c r="BF374" s="616"/>
      <c r="BG374" s="56"/>
      <c r="BH374" s="611"/>
      <c r="BI374" s="614"/>
      <c r="BJ374" s="618">
        <v>0</v>
      </c>
      <c r="BK374" s="616"/>
      <c r="BL374" s="56"/>
      <c r="BM374" s="611"/>
      <c r="BN374" s="614"/>
      <c r="BO374" s="618">
        <v>0</v>
      </c>
      <c r="BP374" s="616"/>
      <c r="BQ374" s="56"/>
      <c r="BR374" s="611"/>
      <c r="BS374" s="614"/>
      <c r="BT374" s="618">
        <f>SUM(L374:BO374)</f>
        <v>92637</v>
      </c>
      <c r="BU374" s="616"/>
      <c r="BV374" s="56"/>
      <c r="BW374" s="611"/>
      <c r="BX374" s="614"/>
      <c r="BY374" s="618">
        <v>56461</v>
      </c>
      <c r="BZ374" s="616"/>
      <c r="CA374" s="56"/>
      <c r="CB374" s="611"/>
      <c r="CC374" s="614"/>
      <c r="CD374" s="618">
        <v>0</v>
      </c>
      <c r="CE374" s="616"/>
      <c r="CF374" s="56"/>
      <c r="CG374" s="611"/>
      <c r="CH374" s="617"/>
      <c r="CI374" s="618">
        <v>0</v>
      </c>
      <c r="CJ374" s="616"/>
      <c r="CK374" s="56"/>
      <c r="CL374" s="611"/>
      <c r="CM374" s="617"/>
      <c r="CN374" s="618">
        <v>0</v>
      </c>
      <c r="CO374" s="616"/>
      <c r="CP374" s="56"/>
      <c r="CQ374" s="611"/>
      <c r="CR374" s="617"/>
      <c r="CS374" s="618">
        <v>0</v>
      </c>
      <c r="CT374" s="616"/>
      <c r="CU374" s="56"/>
      <c r="CV374" s="611"/>
      <c r="CW374" s="617"/>
      <c r="CX374" s="618">
        <v>0</v>
      </c>
      <c r="CY374" s="616"/>
      <c r="CZ374" s="56"/>
      <c r="DA374" s="611"/>
      <c r="DB374" s="617"/>
      <c r="DC374" s="618">
        <v>0</v>
      </c>
      <c r="DD374" s="616"/>
      <c r="DE374" s="56"/>
      <c r="DF374" s="611"/>
      <c r="DG374" s="617"/>
      <c r="DH374" s="618">
        <v>0</v>
      </c>
      <c r="DI374" s="616"/>
      <c r="DJ374" s="56"/>
      <c r="DK374" s="611"/>
      <c r="DL374" s="617"/>
      <c r="DM374" s="618">
        <v>0</v>
      </c>
      <c r="DN374" s="616"/>
      <c r="DO374" s="56"/>
      <c r="DP374" s="611"/>
      <c r="DQ374" s="617"/>
      <c r="DR374" s="618">
        <v>0</v>
      </c>
      <c r="DS374" s="616"/>
      <c r="DT374" s="56"/>
      <c r="DU374" s="611"/>
      <c r="DV374" s="617"/>
      <c r="DW374" s="618">
        <v>0</v>
      </c>
      <c r="DX374" s="616"/>
      <c r="DY374" s="56"/>
      <c r="DZ374" s="611"/>
      <c r="EA374" s="617"/>
      <c r="EB374" s="618">
        <v>0</v>
      </c>
      <c r="EC374" s="616"/>
      <c r="ED374" s="56"/>
      <c r="EE374" s="611"/>
      <c r="EF374" s="617"/>
      <c r="EG374" s="618">
        <v>56461</v>
      </c>
      <c r="EH374" s="616"/>
      <c r="EI374" s="56"/>
      <c r="EJ374" s="611"/>
      <c r="EK374" s="614"/>
      <c r="EL374" s="618">
        <f t="shared" ref="EL374" si="42">SUM(CD374:DW374)</f>
        <v>0</v>
      </c>
      <c r="EM374" s="616"/>
      <c r="EN374" s="56"/>
      <c r="EO374" s="144"/>
      <c r="ER374" s="42"/>
      <c r="ES374" s="42"/>
    </row>
    <row r="375" spans="4:149" ht="12.75" customHeight="1" x14ac:dyDescent="0.3">
      <c r="D375" s="144"/>
      <c r="G375" s="56"/>
      <c r="H375" s="56"/>
      <c r="I375" s="56"/>
      <c r="J375" s="611"/>
      <c r="L375" s="56"/>
      <c r="M375" s="56"/>
      <c r="N375" s="56"/>
      <c r="O375" s="611"/>
      <c r="Q375" s="56"/>
      <c r="R375" s="56"/>
      <c r="S375" s="56"/>
      <c r="T375" s="611"/>
      <c r="V375" s="56"/>
      <c r="W375" s="56"/>
      <c r="X375" s="56"/>
      <c r="Y375" s="611"/>
      <c r="AA375" s="56"/>
      <c r="AB375" s="56"/>
      <c r="AC375" s="56"/>
      <c r="AD375" s="611"/>
      <c r="AF375" s="56"/>
      <c r="AG375" s="56"/>
      <c r="AH375" s="56"/>
      <c r="AI375" s="611"/>
      <c r="AK375" s="56"/>
      <c r="AL375" s="56"/>
      <c r="AM375" s="56"/>
      <c r="AN375" s="611"/>
      <c r="AP375" s="56"/>
      <c r="AQ375" s="56"/>
      <c r="AR375" s="56"/>
      <c r="AS375" s="611"/>
      <c r="AU375" s="56"/>
      <c r="AV375" s="56"/>
      <c r="AW375" s="56"/>
      <c r="AX375" s="611"/>
      <c r="AZ375" s="56"/>
      <c r="BA375" s="56"/>
      <c r="BB375" s="56"/>
      <c r="BC375" s="611"/>
      <c r="BE375" s="56"/>
      <c r="BF375" s="56"/>
      <c r="BG375" s="56"/>
      <c r="BH375" s="611"/>
      <c r="BJ375" s="56"/>
      <c r="BK375" s="56"/>
      <c r="BL375" s="56"/>
      <c r="BM375" s="611"/>
      <c r="BO375" s="56"/>
      <c r="BP375" s="56"/>
      <c r="BQ375" s="56"/>
      <c r="BR375" s="611"/>
      <c r="BT375" s="56"/>
      <c r="BU375" s="56"/>
      <c r="BV375" s="56"/>
      <c r="BW375" s="611"/>
      <c r="BY375" s="56"/>
      <c r="BZ375" s="56"/>
      <c r="CA375" s="56"/>
      <c r="CB375" s="611"/>
      <c r="CD375" s="56"/>
      <c r="CE375" s="56"/>
      <c r="CF375" s="56"/>
      <c r="CG375" s="611"/>
      <c r="CH375" s="56"/>
      <c r="CI375" s="56"/>
      <c r="CJ375" s="56"/>
      <c r="CK375" s="56"/>
      <c r="CL375" s="611"/>
      <c r="CM375" s="56"/>
      <c r="CN375" s="56"/>
      <c r="CO375" s="56"/>
      <c r="CP375" s="56"/>
      <c r="CQ375" s="611"/>
      <c r="CR375" s="56"/>
      <c r="CS375" s="56"/>
      <c r="CT375" s="56"/>
      <c r="CU375" s="56"/>
      <c r="CV375" s="611"/>
      <c r="CW375" s="56"/>
      <c r="CX375" s="56"/>
      <c r="CY375" s="56"/>
      <c r="CZ375" s="56"/>
      <c r="DA375" s="611"/>
      <c r="DB375" s="56"/>
      <c r="DC375" s="56"/>
      <c r="DD375" s="56"/>
      <c r="DE375" s="56"/>
      <c r="DF375" s="611"/>
      <c r="DG375" s="56"/>
      <c r="DH375" s="56"/>
      <c r="DI375" s="56"/>
      <c r="DJ375" s="56"/>
      <c r="DK375" s="611"/>
      <c r="DL375" s="56"/>
      <c r="DM375" s="56"/>
      <c r="DN375" s="56"/>
      <c r="DO375" s="56"/>
      <c r="DP375" s="611"/>
      <c r="DQ375" s="56"/>
      <c r="DR375" s="56"/>
      <c r="DS375" s="56"/>
      <c r="DT375" s="56"/>
      <c r="DU375" s="611"/>
      <c r="DV375" s="56"/>
      <c r="DW375" s="56"/>
      <c r="DX375" s="56"/>
      <c r="DY375" s="56"/>
      <c r="DZ375" s="611"/>
      <c r="EA375" s="56"/>
      <c r="EB375" s="56"/>
      <c r="EC375" s="56"/>
      <c r="ED375" s="56"/>
      <c r="EE375" s="611"/>
      <c r="EF375" s="56"/>
      <c r="EG375" s="56"/>
      <c r="EH375" s="56"/>
      <c r="EI375" s="56"/>
      <c r="EJ375" s="611"/>
      <c r="EL375" s="56"/>
      <c r="EM375" s="56"/>
      <c r="EN375" s="56"/>
      <c r="EO375" s="144"/>
      <c r="ER375" s="42"/>
      <c r="ES375" s="42"/>
    </row>
    <row r="376" spans="4:149" x14ac:dyDescent="0.3">
      <c r="D376" s="144" t="s">
        <v>359</v>
      </c>
      <c r="G376" s="56">
        <f>SUM(G377:G377)</f>
        <v>385938</v>
      </c>
      <c r="I376" s="56"/>
      <c r="J376" s="611"/>
      <c r="K376" s="56"/>
      <c r="L376" s="56">
        <f>SUM(L377:L377)</f>
        <v>259191</v>
      </c>
      <c r="M376" s="56"/>
      <c r="N376" s="56"/>
      <c r="O376" s="611"/>
      <c r="P376" s="56"/>
      <c r="Q376" s="56">
        <f>SUM(Q377:Q377)</f>
        <v>0</v>
      </c>
      <c r="R376" s="56"/>
      <c r="S376" s="56"/>
      <c r="T376" s="611"/>
      <c r="U376" s="56"/>
      <c r="V376" s="56">
        <f>SUM(V377:V377)</f>
        <v>0</v>
      </c>
      <c r="W376" s="56"/>
      <c r="X376" s="56"/>
      <c r="Y376" s="611"/>
      <c r="Z376" s="56"/>
      <c r="AA376" s="56">
        <f>SUM(AA377:AA377)</f>
        <v>0</v>
      </c>
      <c r="AB376" s="56"/>
      <c r="AC376" s="56"/>
      <c r="AD376" s="611"/>
      <c r="AE376" s="56"/>
      <c r="AF376" s="56">
        <f>SUM(AF377:AF377)</f>
        <v>0</v>
      </c>
      <c r="AG376" s="56"/>
      <c r="AH376" s="56"/>
      <c r="AI376" s="611"/>
      <c r="AJ376" s="56"/>
      <c r="AK376" s="56">
        <f>SUM(AK377:AK377)</f>
        <v>126747</v>
      </c>
      <c r="AL376" s="56"/>
      <c r="AM376" s="56"/>
      <c r="AN376" s="611"/>
      <c r="AO376" s="56"/>
      <c r="AP376" s="56">
        <f>SUM(AP377:AP377)</f>
        <v>55193</v>
      </c>
      <c r="AQ376" s="56"/>
      <c r="AR376" s="56"/>
      <c r="AS376" s="611"/>
      <c r="AT376" s="56"/>
      <c r="AU376" s="56">
        <f>SUM(AU377:AU377)</f>
        <v>0</v>
      </c>
      <c r="AV376" s="56"/>
      <c r="AW376" s="56"/>
      <c r="AX376" s="611"/>
      <c r="AY376" s="56"/>
      <c r="AZ376" s="56">
        <f>SUM(AZ377:AZ377)</f>
        <v>0</v>
      </c>
      <c r="BA376" s="56"/>
      <c r="BB376" s="56"/>
      <c r="BC376" s="611"/>
      <c r="BD376" s="56"/>
      <c r="BE376" s="56">
        <f>SUM(BE377:BE377)</f>
        <v>0</v>
      </c>
      <c r="BF376" s="56"/>
      <c r="BG376" s="56"/>
      <c r="BH376" s="611"/>
      <c r="BI376" s="56"/>
      <c r="BJ376" s="56">
        <f>SUM(BJ377:BJ377)</f>
        <v>0</v>
      </c>
      <c r="BK376" s="56"/>
      <c r="BL376" s="56"/>
      <c r="BM376" s="611"/>
      <c r="BN376" s="56"/>
      <c r="BO376" s="56">
        <f>SUM(BO377:BO377)</f>
        <v>0</v>
      </c>
      <c r="BP376" s="56"/>
      <c r="BQ376" s="56"/>
      <c r="BR376" s="611"/>
      <c r="BT376" s="56">
        <f>SUM(BT377:BT377)</f>
        <v>441131</v>
      </c>
      <c r="BU376" s="56"/>
      <c r="BV376" s="56"/>
      <c r="BW376" s="611"/>
      <c r="BY376" s="56">
        <f>SUM(BY377:BY377)</f>
        <v>410666</v>
      </c>
      <c r="CA376" s="56"/>
      <c r="CB376" s="611"/>
      <c r="CC376" s="56"/>
      <c r="CD376" s="56">
        <f>SUM(CD377:CD377)</f>
        <v>0</v>
      </c>
      <c r="CE376" s="56"/>
      <c r="CF376" s="56"/>
      <c r="CG376" s="611"/>
      <c r="CH376" s="56"/>
      <c r="CI376" s="56">
        <f>SUM(CI377:CI377)</f>
        <v>0</v>
      </c>
      <c r="CJ376" s="56"/>
      <c r="CK376" s="56"/>
      <c r="CL376" s="611"/>
      <c r="CM376" s="56"/>
      <c r="CN376" s="56">
        <f>SUM(CN377:CN377)</f>
        <v>0</v>
      </c>
      <c r="CO376" s="56"/>
      <c r="CP376" s="56"/>
      <c r="CQ376" s="611"/>
      <c r="CR376" s="56"/>
      <c r="CS376" s="56">
        <f>SUM(CS377:CS377)</f>
        <v>0</v>
      </c>
      <c r="CT376" s="56"/>
      <c r="CU376" s="56"/>
      <c r="CV376" s="611"/>
      <c r="CW376" s="56"/>
      <c r="CX376" s="56">
        <f>SUM(CX377:CX377)</f>
        <v>0</v>
      </c>
      <c r="CY376" s="56"/>
      <c r="CZ376" s="56"/>
      <c r="DA376" s="611"/>
      <c r="DB376" s="56"/>
      <c r="DC376" s="56">
        <f>SUM(DC377:DC377)</f>
        <v>0</v>
      </c>
      <c r="DD376" s="56"/>
      <c r="DE376" s="56"/>
      <c r="DF376" s="611"/>
      <c r="DG376" s="56"/>
      <c r="DH376" s="56">
        <f>SUM(DH377:DH377)</f>
        <v>0</v>
      </c>
      <c r="DI376" s="56"/>
      <c r="DJ376" s="56"/>
      <c r="DK376" s="611"/>
      <c r="DL376" s="56"/>
      <c r="DM376" s="56">
        <f>SUM(DM377:DM377)</f>
        <v>0</v>
      </c>
      <c r="DN376" s="56"/>
      <c r="DO376" s="56"/>
      <c r="DP376" s="611"/>
      <c r="DQ376" s="56"/>
      <c r="DR376" s="56">
        <f>SUM(DR377:DR377)</f>
        <v>0</v>
      </c>
      <c r="DS376" s="56"/>
      <c r="DT376" s="56"/>
      <c r="DU376" s="611"/>
      <c r="DV376" s="56"/>
      <c r="DW376" s="56">
        <f>SUM(DW377:DW377)</f>
        <v>0</v>
      </c>
      <c r="DX376" s="56"/>
      <c r="DY376" s="56"/>
      <c r="DZ376" s="611"/>
      <c r="EA376" s="56"/>
      <c r="EB376" s="56">
        <f>SUM(EB377:EB377)</f>
        <v>0</v>
      </c>
      <c r="EC376" s="56"/>
      <c r="ED376" s="56"/>
      <c r="EE376" s="611"/>
      <c r="EF376" s="56"/>
      <c r="EG376" s="56">
        <f>SUM(EG377:EG377)</f>
        <v>410666</v>
      </c>
      <c r="EH376" s="56"/>
      <c r="EI376" s="56"/>
      <c r="EJ376" s="611"/>
      <c r="EL376" s="56">
        <f>SUM(EL377:EL377)</f>
        <v>0</v>
      </c>
      <c r="EM376" s="56"/>
      <c r="EN376" s="56"/>
      <c r="EO376" s="144"/>
      <c r="ER376" s="42"/>
      <c r="ES376" s="42"/>
    </row>
    <row r="377" spans="4:149" x14ac:dyDescent="0.3">
      <c r="D377" s="144" t="s">
        <v>335</v>
      </c>
      <c r="F377" s="614"/>
      <c r="G377" s="618">
        <v>385938</v>
      </c>
      <c r="H377" s="616"/>
      <c r="I377" s="56"/>
      <c r="J377" s="611"/>
      <c r="K377" s="614"/>
      <c r="L377" s="618">
        <v>259191</v>
      </c>
      <c r="M377" s="616"/>
      <c r="N377" s="56"/>
      <c r="O377" s="611"/>
      <c r="P377" s="614"/>
      <c r="Q377" s="618">
        <v>0</v>
      </c>
      <c r="R377" s="616"/>
      <c r="S377" s="56"/>
      <c r="T377" s="611"/>
      <c r="U377" s="614"/>
      <c r="V377" s="618">
        <v>0</v>
      </c>
      <c r="W377" s="616"/>
      <c r="X377" s="56"/>
      <c r="Y377" s="611"/>
      <c r="Z377" s="614"/>
      <c r="AA377" s="618">
        <v>0</v>
      </c>
      <c r="AB377" s="616"/>
      <c r="AC377" s="56"/>
      <c r="AD377" s="611"/>
      <c r="AE377" s="614"/>
      <c r="AF377" s="618">
        <v>0</v>
      </c>
      <c r="AG377" s="616"/>
      <c r="AH377" s="56"/>
      <c r="AI377" s="611"/>
      <c r="AJ377" s="614"/>
      <c r="AK377" s="618">
        <v>126747</v>
      </c>
      <c r="AL377" s="616"/>
      <c r="AM377" s="56"/>
      <c r="AN377" s="611"/>
      <c r="AO377" s="614"/>
      <c r="AP377" s="618">
        <v>55193</v>
      </c>
      <c r="AQ377" s="616"/>
      <c r="AR377" s="56"/>
      <c r="AS377" s="611"/>
      <c r="AT377" s="614"/>
      <c r="AU377" s="618">
        <v>0</v>
      </c>
      <c r="AV377" s="616"/>
      <c r="AW377" s="56"/>
      <c r="AX377" s="611"/>
      <c r="AY377" s="614"/>
      <c r="AZ377" s="618">
        <v>0</v>
      </c>
      <c r="BA377" s="616"/>
      <c r="BB377" s="56"/>
      <c r="BC377" s="611"/>
      <c r="BD377" s="614"/>
      <c r="BE377" s="618">
        <v>0</v>
      </c>
      <c r="BF377" s="616"/>
      <c r="BG377" s="56"/>
      <c r="BH377" s="611"/>
      <c r="BI377" s="614"/>
      <c r="BJ377" s="618">
        <v>0</v>
      </c>
      <c r="BK377" s="616"/>
      <c r="BL377" s="56"/>
      <c r="BM377" s="611"/>
      <c r="BN377" s="614"/>
      <c r="BO377" s="618">
        <v>0</v>
      </c>
      <c r="BP377" s="616"/>
      <c r="BQ377" s="56"/>
      <c r="BR377" s="611"/>
      <c r="BS377" s="614"/>
      <c r="BT377" s="618">
        <f>SUM(L377:BO377)</f>
        <v>441131</v>
      </c>
      <c r="BU377" s="616"/>
      <c r="BV377" s="56"/>
      <c r="BW377" s="611"/>
      <c r="BX377" s="614"/>
      <c r="BY377" s="618">
        <v>410666</v>
      </c>
      <c r="BZ377" s="616"/>
      <c r="CA377" s="56"/>
      <c r="CB377" s="611"/>
      <c r="CC377" s="614"/>
      <c r="CD377" s="618">
        <v>0</v>
      </c>
      <c r="CE377" s="616"/>
      <c r="CF377" s="56"/>
      <c r="CG377" s="611"/>
      <c r="CH377" s="617"/>
      <c r="CI377" s="618">
        <v>0</v>
      </c>
      <c r="CJ377" s="616"/>
      <c r="CK377" s="56"/>
      <c r="CL377" s="611"/>
      <c r="CM377" s="617"/>
      <c r="CN377" s="618">
        <v>0</v>
      </c>
      <c r="CO377" s="616"/>
      <c r="CP377" s="56"/>
      <c r="CQ377" s="611"/>
      <c r="CR377" s="617"/>
      <c r="CS377" s="618">
        <v>0</v>
      </c>
      <c r="CT377" s="616"/>
      <c r="CU377" s="56"/>
      <c r="CV377" s="611"/>
      <c r="CW377" s="617"/>
      <c r="CX377" s="618">
        <v>0</v>
      </c>
      <c r="CY377" s="616"/>
      <c r="CZ377" s="56"/>
      <c r="DA377" s="611"/>
      <c r="DB377" s="617"/>
      <c r="DC377" s="618">
        <v>0</v>
      </c>
      <c r="DD377" s="616"/>
      <c r="DE377" s="56"/>
      <c r="DF377" s="611"/>
      <c r="DG377" s="617"/>
      <c r="DH377" s="618">
        <v>0</v>
      </c>
      <c r="DI377" s="616"/>
      <c r="DJ377" s="56"/>
      <c r="DK377" s="611"/>
      <c r="DL377" s="617"/>
      <c r="DM377" s="618">
        <v>0</v>
      </c>
      <c r="DN377" s="616"/>
      <c r="DO377" s="56"/>
      <c r="DP377" s="611"/>
      <c r="DQ377" s="617"/>
      <c r="DR377" s="618">
        <v>0</v>
      </c>
      <c r="DS377" s="616"/>
      <c r="DT377" s="56"/>
      <c r="DU377" s="611"/>
      <c r="DV377" s="617"/>
      <c r="DW377" s="618">
        <v>0</v>
      </c>
      <c r="DX377" s="616"/>
      <c r="DY377" s="56"/>
      <c r="DZ377" s="611"/>
      <c r="EA377" s="617"/>
      <c r="EB377" s="618">
        <v>0</v>
      </c>
      <c r="EC377" s="616"/>
      <c r="ED377" s="56"/>
      <c r="EE377" s="611"/>
      <c r="EF377" s="617"/>
      <c r="EG377" s="618">
        <v>410666</v>
      </c>
      <c r="EH377" s="616"/>
      <c r="EI377" s="56"/>
      <c r="EJ377" s="611"/>
      <c r="EK377" s="614"/>
      <c r="EL377" s="618">
        <f t="shared" ref="EL377" si="43">SUM(CD377:DW377)</f>
        <v>0</v>
      </c>
      <c r="EM377" s="616"/>
      <c r="EN377" s="56"/>
      <c r="EO377" s="144"/>
      <c r="ER377" s="42"/>
      <c r="ES377" s="42"/>
    </row>
    <row r="378" spans="4:149" x14ac:dyDescent="0.3">
      <c r="D378" s="144"/>
      <c r="G378" s="56"/>
      <c r="H378" s="56"/>
      <c r="I378" s="56"/>
      <c r="J378" s="611"/>
      <c r="L378" s="56"/>
      <c r="M378" s="56"/>
      <c r="N378" s="56"/>
      <c r="O378" s="611"/>
      <c r="Q378" s="56"/>
      <c r="R378" s="56"/>
      <c r="S378" s="56"/>
      <c r="T378" s="611"/>
      <c r="V378" s="56"/>
      <c r="W378" s="56"/>
      <c r="X378" s="56"/>
      <c r="Y378" s="611"/>
      <c r="AA378" s="56"/>
      <c r="AB378" s="56"/>
      <c r="AC378" s="56"/>
      <c r="AD378" s="611"/>
      <c r="AF378" s="56"/>
      <c r="AG378" s="56"/>
      <c r="AH378" s="56"/>
      <c r="AI378" s="611"/>
      <c r="AK378" s="56"/>
      <c r="AL378" s="56"/>
      <c r="AM378" s="56"/>
      <c r="AN378" s="611"/>
      <c r="AP378" s="56"/>
      <c r="AQ378" s="56"/>
      <c r="AR378" s="56"/>
      <c r="AS378" s="611"/>
      <c r="AU378" s="56"/>
      <c r="AV378" s="56"/>
      <c r="AW378" s="56"/>
      <c r="AX378" s="611"/>
      <c r="AZ378" s="56"/>
      <c r="BA378" s="56"/>
      <c r="BB378" s="56"/>
      <c r="BC378" s="611"/>
      <c r="BE378" s="56"/>
      <c r="BF378" s="56"/>
      <c r="BG378" s="56"/>
      <c r="BH378" s="611"/>
      <c r="BJ378" s="56"/>
      <c r="BK378" s="56"/>
      <c r="BL378" s="56"/>
      <c r="BM378" s="611"/>
      <c r="BO378" s="56"/>
      <c r="BP378" s="56"/>
      <c r="BQ378" s="56"/>
      <c r="BR378" s="611"/>
      <c r="BT378" s="56"/>
      <c r="BU378" s="56"/>
      <c r="BV378" s="56"/>
      <c r="BW378" s="611"/>
      <c r="BY378" s="56"/>
      <c r="BZ378" s="56"/>
      <c r="CA378" s="56"/>
      <c r="CB378" s="611"/>
      <c r="CD378" s="56"/>
      <c r="CE378" s="56"/>
      <c r="CF378" s="56"/>
      <c r="CG378" s="611"/>
      <c r="CH378" s="56"/>
      <c r="CI378" s="56"/>
      <c r="CJ378" s="56"/>
      <c r="CK378" s="56"/>
      <c r="CL378" s="611"/>
      <c r="CM378" s="56"/>
      <c r="CN378" s="56"/>
      <c r="CO378" s="56"/>
      <c r="CP378" s="56"/>
      <c r="CQ378" s="611"/>
      <c r="CR378" s="56"/>
      <c r="CS378" s="56"/>
      <c r="CT378" s="56"/>
      <c r="CU378" s="56"/>
      <c r="CV378" s="611"/>
      <c r="CW378" s="56"/>
      <c r="CX378" s="56"/>
      <c r="CY378" s="56"/>
      <c r="CZ378" s="56"/>
      <c r="DA378" s="611"/>
      <c r="DB378" s="56"/>
      <c r="DC378" s="56"/>
      <c r="DD378" s="56"/>
      <c r="DE378" s="56"/>
      <c r="DF378" s="611"/>
      <c r="DG378" s="56"/>
      <c r="DH378" s="56"/>
      <c r="DI378" s="56"/>
      <c r="DJ378" s="56"/>
      <c r="DK378" s="611"/>
      <c r="DL378" s="56"/>
      <c r="DM378" s="56"/>
      <c r="DN378" s="56"/>
      <c r="DO378" s="56"/>
      <c r="DP378" s="611"/>
      <c r="DQ378" s="56"/>
      <c r="DR378" s="56"/>
      <c r="DS378" s="56"/>
      <c r="DT378" s="56"/>
      <c r="DU378" s="611"/>
      <c r="DV378" s="56"/>
      <c r="DW378" s="56"/>
      <c r="DX378" s="56"/>
      <c r="DY378" s="56"/>
      <c r="DZ378" s="611"/>
      <c r="EA378" s="56"/>
      <c r="EB378" s="56"/>
      <c r="EC378" s="56"/>
      <c r="ED378" s="56"/>
      <c r="EE378" s="611"/>
      <c r="EF378" s="56"/>
      <c r="EG378" s="56"/>
      <c r="EH378" s="56"/>
      <c r="EI378" s="56"/>
      <c r="EJ378" s="611"/>
      <c r="EL378" s="56"/>
      <c r="EM378" s="56"/>
      <c r="EN378" s="56"/>
      <c r="EO378" s="144"/>
      <c r="ER378" s="42"/>
      <c r="ES378" s="42"/>
    </row>
    <row r="379" spans="4:149" x14ac:dyDescent="0.3">
      <c r="D379" s="144" t="s">
        <v>360</v>
      </c>
      <c r="G379" s="56">
        <f>SUM(G380)</f>
        <v>1619226</v>
      </c>
      <c r="H379" s="56"/>
      <c r="I379" s="56"/>
      <c r="J379" s="611"/>
      <c r="L379" s="56">
        <f>SUM(L380)</f>
        <v>0</v>
      </c>
      <c r="M379" s="56"/>
      <c r="N379" s="56"/>
      <c r="O379" s="611"/>
      <c r="Q379" s="56">
        <f>SUM(Q380)</f>
        <v>0</v>
      </c>
      <c r="R379" s="56"/>
      <c r="S379" s="56"/>
      <c r="T379" s="611"/>
      <c r="V379" s="56">
        <f>SUM(V380)</f>
        <v>129145</v>
      </c>
      <c r="W379" s="56"/>
      <c r="X379" s="56"/>
      <c r="Y379" s="611"/>
      <c r="AA379" s="56">
        <f>SUM(AA380)</f>
        <v>0</v>
      </c>
      <c r="AB379" s="56"/>
      <c r="AC379" s="56"/>
      <c r="AD379" s="611"/>
      <c r="AF379" s="56">
        <f>SUM(AF380)</f>
        <v>1490081</v>
      </c>
      <c r="AG379" s="56"/>
      <c r="AH379" s="56"/>
      <c r="AI379" s="611"/>
      <c r="AK379" s="56">
        <f>SUM(AK380)</f>
        <v>0</v>
      </c>
      <c r="AL379" s="56"/>
      <c r="AM379" s="56"/>
      <c r="AN379" s="611"/>
      <c r="AP379" s="56">
        <f>SUM(AP380)</f>
        <v>0</v>
      </c>
      <c r="AQ379" s="56"/>
      <c r="AR379" s="56"/>
      <c r="AS379" s="611"/>
      <c r="AU379" s="56">
        <f>SUM(AU380)</f>
        <v>120573</v>
      </c>
      <c r="AV379" s="56"/>
      <c r="AW379" s="56"/>
      <c r="AX379" s="611"/>
      <c r="AZ379" s="56">
        <f>SUM(AZ380)</f>
        <v>0</v>
      </c>
      <c r="BA379" s="56"/>
      <c r="BB379" s="56"/>
      <c r="BC379" s="611"/>
      <c r="BE379" s="56">
        <f>SUM(BE380)</f>
        <v>0</v>
      </c>
      <c r="BF379" s="56"/>
      <c r="BG379" s="56"/>
      <c r="BH379" s="611"/>
      <c r="BJ379" s="56">
        <f>SUM(BJ380)</f>
        <v>0</v>
      </c>
      <c r="BK379" s="56"/>
      <c r="BL379" s="56"/>
      <c r="BM379" s="611"/>
      <c r="BO379" s="56">
        <f>SUM(BO380)</f>
        <v>0</v>
      </c>
      <c r="BP379" s="56"/>
      <c r="BQ379" s="56"/>
      <c r="BR379" s="611"/>
      <c r="BT379" s="56">
        <f>SUM(BT380:BT380)</f>
        <v>1739799</v>
      </c>
      <c r="BU379" s="56"/>
      <c r="BV379" s="56"/>
      <c r="BW379" s="611"/>
      <c r="BY379" s="56">
        <f>SUM(BY380)</f>
        <v>92640</v>
      </c>
      <c r="BZ379" s="56"/>
      <c r="CA379" s="56"/>
      <c r="CB379" s="611"/>
      <c r="CD379" s="56">
        <f>SUM(CD380:CD380)</f>
        <v>0</v>
      </c>
      <c r="CE379" s="56"/>
      <c r="CF379" s="56"/>
      <c r="CG379" s="611"/>
      <c r="CH379" s="56"/>
      <c r="CI379" s="56">
        <f>SUM(CI380:CI380)</f>
        <v>0</v>
      </c>
      <c r="CJ379" s="56"/>
      <c r="CK379" s="56"/>
      <c r="CL379" s="611"/>
      <c r="CM379" s="56"/>
      <c r="CN379" s="56">
        <f>SUM(CN380:CN380)</f>
        <v>0</v>
      </c>
      <c r="CO379" s="56"/>
      <c r="CP379" s="56"/>
      <c r="CQ379" s="611"/>
      <c r="CR379" s="56"/>
      <c r="CS379" s="56">
        <f>SUM(CS380:CS380)</f>
        <v>0</v>
      </c>
      <c r="CT379" s="56"/>
      <c r="CU379" s="56"/>
      <c r="CV379" s="611"/>
      <c r="CW379" s="56"/>
      <c r="CX379" s="56">
        <f>SUM(CX380:CX380)</f>
        <v>0</v>
      </c>
      <c r="CY379" s="56"/>
      <c r="CZ379" s="56"/>
      <c r="DA379" s="611"/>
      <c r="DB379" s="56"/>
      <c r="DC379" s="56">
        <f>SUM(DC380:DC380)</f>
        <v>0</v>
      </c>
      <c r="DD379" s="56"/>
      <c r="DE379" s="56"/>
      <c r="DF379" s="611"/>
      <c r="DG379" s="56"/>
      <c r="DH379" s="56">
        <f>SUM(DH380:DH380)</f>
        <v>0</v>
      </c>
      <c r="DI379" s="56"/>
      <c r="DJ379" s="56"/>
      <c r="DK379" s="611"/>
      <c r="DL379" s="56"/>
      <c r="DM379" s="56">
        <f>SUM(DM380:DM380)</f>
        <v>0</v>
      </c>
      <c r="DN379" s="56"/>
      <c r="DO379" s="56"/>
      <c r="DP379" s="611"/>
      <c r="DQ379" s="56"/>
      <c r="DR379" s="56">
        <f>SUM(DR380:DR380)</f>
        <v>0</v>
      </c>
      <c r="DS379" s="56"/>
      <c r="DT379" s="56"/>
      <c r="DU379" s="611"/>
      <c r="DV379" s="56"/>
      <c r="DW379" s="56">
        <f>SUM(DW380:DW380)</f>
        <v>0</v>
      </c>
      <c r="DX379" s="56"/>
      <c r="DY379" s="56"/>
      <c r="DZ379" s="611"/>
      <c r="EA379" s="56"/>
      <c r="EB379" s="56">
        <f>SUM(EB380:EB380)</f>
        <v>92640</v>
      </c>
      <c r="EC379" s="56"/>
      <c r="ED379" s="56"/>
      <c r="EE379" s="611"/>
      <c r="EF379" s="56"/>
      <c r="EG379" s="56">
        <f>SUM(EG380:EG380)</f>
        <v>0</v>
      </c>
      <c r="EH379" s="56"/>
      <c r="EI379" s="56"/>
      <c r="EJ379" s="611"/>
      <c r="EL379" s="56">
        <f>SUM(EL380:EL380)</f>
        <v>0</v>
      </c>
      <c r="EM379" s="56"/>
      <c r="EN379" s="56"/>
      <c r="EO379" s="144"/>
      <c r="ER379" s="42"/>
      <c r="ES379" s="42"/>
    </row>
    <row r="380" spans="4:149" x14ac:dyDescent="0.3">
      <c r="D380" s="144" t="s">
        <v>335</v>
      </c>
      <c r="F380" s="614"/>
      <c r="G380" s="618">
        <v>1619226</v>
      </c>
      <c r="H380" s="616"/>
      <c r="I380" s="56"/>
      <c r="J380" s="611"/>
      <c r="K380" s="614"/>
      <c r="L380" s="618">
        <v>0</v>
      </c>
      <c r="M380" s="616"/>
      <c r="N380" s="56"/>
      <c r="O380" s="611"/>
      <c r="P380" s="614"/>
      <c r="Q380" s="618">
        <v>0</v>
      </c>
      <c r="R380" s="616"/>
      <c r="S380" s="56"/>
      <c r="T380" s="611"/>
      <c r="U380" s="614"/>
      <c r="V380" s="618">
        <v>129145</v>
      </c>
      <c r="W380" s="616"/>
      <c r="X380" s="56"/>
      <c r="Y380" s="611"/>
      <c r="Z380" s="614"/>
      <c r="AA380" s="618">
        <v>0</v>
      </c>
      <c r="AB380" s="616"/>
      <c r="AC380" s="56"/>
      <c r="AD380" s="611"/>
      <c r="AE380" s="614"/>
      <c r="AF380" s="618">
        <v>1490081</v>
      </c>
      <c r="AG380" s="616"/>
      <c r="AH380" s="56"/>
      <c r="AI380" s="611"/>
      <c r="AJ380" s="614"/>
      <c r="AK380" s="618">
        <v>0</v>
      </c>
      <c r="AL380" s="616"/>
      <c r="AM380" s="56"/>
      <c r="AN380" s="611"/>
      <c r="AO380" s="614"/>
      <c r="AP380" s="618">
        <v>0</v>
      </c>
      <c r="AQ380" s="616"/>
      <c r="AR380" s="56"/>
      <c r="AS380" s="611"/>
      <c r="AT380" s="614"/>
      <c r="AU380" s="618">
        <v>120573</v>
      </c>
      <c r="AV380" s="616"/>
      <c r="AW380" s="56"/>
      <c r="AX380" s="611"/>
      <c r="AY380" s="614"/>
      <c r="AZ380" s="618">
        <v>0</v>
      </c>
      <c r="BA380" s="616"/>
      <c r="BB380" s="56"/>
      <c r="BC380" s="611"/>
      <c r="BD380" s="614"/>
      <c r="BE380" s="618">
        <v>0</v>
      </c>
      <c r="BF380" s="616"/>
      <c r="BG380" s="56"/>
      <c r="BH380" s="611"/>
      <c r="BI380" s="614"/>
      <c r="BJ380" s="618">
        <v>0</v>
      </c>
      <c r="BK380" s="616"/>
      <c r="BL380" s="56"/>
      <c r="BM380" s="611"/>
      <c r="BN380" s="614"/>
      <c r="BO380" s="618">
        <v>0</v>
      </c>
      <c r="BP380" s="616"/>
      <c r="BQ380" s="56"/>
      <c r="BR380" s="611"/>
      <c r="BS380" s="614"/>
      <c r="BT380" s="618">
        <f>SUM(L380:BO380)</f>
        <v>1739799</v>
      </c>
      <c r="BU380" s="616"/>
      <c r="BV380" s="56"/>
      <c r="BW380" s="611"/>
      <c r="BX380" s="614"/>
      <c r="BY380" s="618">
        <v>92640</v>
      </c>
      <c r="BZ380" s="616"/>
      <c r="CA380" s="56"/>
      <c r="CB380" s="611"/>
      <c r="CC380" s="614"/>
      <c r="CD380" s="618">
        <v>0</v>
      </c>
      <c r="CE380" s="616"/>
      <c r="CF380" s="56"/>
      <c r="CG380" s="611"/>
      <c r="CH380" s="614"/>
      <c r="CI380" s="618">
        <v>0</v>
      </c>
      <c r="CJ380" s="616"/>
      <c r="CK380" s="56"/>
      <c r="CL380" s="611"/>
      <c r="CM380" s="614"/>
      <c r="CN380" s="618">
        <v>0</v>
      </c>
      <c r="CO380" s="616"/>
      <c r="CP380" s="56"/>
      <c r="CQ380" s="611"/>
      <c r="CR380" s="614"/>
      <c r="CS380" s="618">
        <v>0</v>
      </c>
      <c r="CT380" s="616"/>
      <c r="CU380" s="56"/>
      <c r="CV380" s="611"/>
      <c r="CW380" s="614"/>
      <c r="CX380" s="618">
        <v>0</v>
      </c>
      <c r="CY380" s="616"/>
      <c r="CZ380" s="56"/>
      <c r="DA380" s="611"/>
      <c r="DB380" s="614"/>
      <c r="DC380" s="618">
        <v>0</v>
      </c>
      <c r="DD380" s="616"/>
      <c r="DE380" s="55"/>
      <c r="DF380" s="52"/>
      <c r="DG380" s="614"/>
      <c r="DH380" s="618">
        <v>0</v>
      </c>
      <c r="DI380" s="616"/>
      <c r="DJ380" s="56"/>
      <c r="DK380" s="611"/>
      <c r="DL380" s="614"/>
      <c r="DM380" s="618">
        <v>0</v>
      </c>
      <c r="DN380" s="616"/>
      <c r="DO380" s="56"/>
      <c r="DP380" s="611"/>
      <c r="DQ380" s="614"/>
      <c r="DR380" s="618">
        <v>0</v>
      </c>
      <c r="DS380" s="616"/>
      <c r="DT380" s="56"/>
      <c r="DU380" s="611"/>
      <c r="DV380" s="614"/>
      <c r="DW380" s="618">
        <v>0</v>
      </c>
      <c r="DX380" s="616"/>
      <c r="DY380" s="56"/>
      <c r="DZ380" s="611"/>
      <c r="EA380" s="614"/>
      <c r="EB380" s="618">
        <v>92640</v>
      </c>
      <c r="EC380" s="616"/>
      <c r="ED380" s="56"/>
      <c r="EE380" s="611"/>
      <c r="EF380" s="614"/>
      <c r="EG380" s="618">
        <v>0</v>
      </c>
      <c r="EH380" s="616"/>
      <c r="EI380" s="56"/>
      <c r="EJ380" s="611"/>
      <c r="EK380" s="614"/>
      <c r="EL380" s="618">
        <f t="shared" ref="EL380" si="44">SUM(CD380:DW380)</f>
        <v>0</v>
      </c>
      <c r="EM380" s="616"/>
      <c r="EN380" s="56"/>
      <c r="EO380" s="144"/>
      <c r="ER380" s="42"/>
      <c r="ES380" s="42"/>
    </row>
    <row r="381" spans="4:149" x14ac:dyDescent="0.3">
      <c r="D381" s="144"/>
      <c r="G381" s="56"/>
      <c r="H381" s="56"/>
      <c r="I381" s="56"/>
      <c r="J381" s="611"/>
      <c r="K381" s="56"/>
      <c r="L381" s="56"/>
      <c r="M381" s="56"/>
      <c r="N381" s="56"/>
      <c r="O381" s="611"/>
      <c r="P381" s="56"/>
      <c r="Q381" s="56"/>
      <c r="R381" s="56"/>
      <c r="S381" s="56"/>
      <c r="T381" s="611"/>
      <c r="U381" s="56"/>
      <c r="V381" s="56"/>
      <c r="W381" s="56"/>
      <c r="X381" s="56"/>
      <c r="Y381" s="611"/>
      <c r="Z381" s="56"/>
      <c r="AA381" s="56"/>
      <c r="AB381" s="56"/>
      <c r="AC381" s="56"/>
      <c r="AD381" s="611"/>
      <c r="AE381" s="56"/>
      <c r="AF381" s="56"/>
      <c r="AG381" s="56"/>
      <c r="AH381" s="56"/>
      <c r="AI381" s="611"/>
      <c r="AJ381" s="56"/>
      <c r="AK381" s="56"/>
      <c r="AL381" s="56"/>
      <c r="AM381" s="56"/>
      <c r="AN381" s="611"/>
      <c r="AO381" s="56"/>
      <c r="AP381" s="56"/>
      <c r="AQ381" s="56"/>
      <c r="AR381" s="56"/>
      <c r="AS381" s="611"/>
      <c r="AT381" s="56"/>
      <c r="AU381" s="56"/>
      <c r="AV381" s="56"/>
      <c r="AW381" s="56"/>
      <c r="AX381" s="611"/>
      <c r="AY381" s="56"/>
      <c r="AZ381" s="56"/>
      <c r="BA381" s="56"/>
      <c r="BB381" s="56"/>
      <c r="BC381" s="611"/>
      <c r="BD381" s="56"/>
      <c r="BE381" s="56"/>
      <c r="BF381" s="56"/>
      <c r="BG381" s="56"/>
      <c r="BH381" s="611"/>
      <c r="BI381" s="56"/>
      <c r="BJ381" s="56"/>
      <c r="BK381" s="56"/>
      <c r="BL381" s="56"/>
      <c r="BM381" s="611"/>
      <c r="BN381" s="56"/>
      <c r="BO381" s="56"/>
      <c r="BP381" s="56"/>
      <c r="BQ381" s="56"/>
      <c r="BR381" s="611"/>
      <c r="BS381" s="56"/>
      <c r="BT381" s="56"/>
      <c r="BU381" s="56"/>
      <c r="BV381" s="56"/>
      <c r="BW381" s="611"/>
      <c r="BX381" s="56"/>
      <c r="BY381" s="56"/>
      <c r="BZ381" s="56"/>
      <c r="CA381" s="56"/>
      <c r="CB381" s="611"/>
      <c r="CC381" s="56"/>
      <c r="CD381" s="56"/>
      <c r="CE381" s="56"/>
      <c r="CF381" s="56"/>
      <c r="CG381" s="611"/>
      <c r="CI381" s="56"/>
      <c r="CJ381" s="56"/>
      <c r="CK381" s="56"/>
      <c r="CL381" s="611"/>
      <c r="CN381" s="56"/>
      <c r="CO381" s="56"/>
      <c r="CP381" s="56"/>
      <c r="CQ381" s="611"/>
      <c r="CS381" s="56"/>
      <c r="CT381" s="56"/>
      <c r="CU381" s="56"/>
      <c r="CV381" s="611"/>
      <c r="CX381" s="56"/>
      <c r="CY381" s="56"/>
      <c r="CZ381" s="56"/>
      <c r="DA381" s="611"/>
      <c r="DC381" s="56"/>
      <c r="DD381" s="56"/>
      <c r="DE381" s="56"/>
      <c r="DF381" s="611"/>
      <c r="DH381" s="56"/>
      <c r="DI381" s="56"/>
      <c r="DJ381" s="56"/>
      <c r="DK381" s="611"/>
      <c r="DM381" s="56"/>
      <c r="DN381" s="56"/>
      <c r="DO381" s="56"/>
      <c r="DP381" s="611"/>
      <c r="DR381" s="56"/>
      <c r="DS381" s="56"/>
      <c r="DT381" s="56"/>
      <c r="DU381" s="611"/>
      <c r="DW381" s="56"/>
      <c r="DX381" s="56"/>
      <c r="DY381" s="56"/>
      <c r="DZ381" s="611"/>
      <c r="EB381" s="56"/>
      <c r="EC381" s="56"/>
      <c r="ED381" s="56"/>
      <c r="EE381" s="611"/>
      <c r="EG381" s="56"/>
      <c r="EH381" s="56"/>
      <c r="EI381" s="56"/>
      <c r="EJ381" s="611"/>
      <c r="EK381" s="56"/>
      <c r="EL381" s="56"/>
      <c r="EM381" s="56"/>
      <c r="EN381" s="56"/>
      <c r="EO381" s="144"/>
      <c r="ER381" s="42"/>
      <c r="ES381" s="42"/>
    </row>
    <row r="382" spans="4:149" x14ac:dyDescent="0.3">
      <c r="D382" s="144" t="s">
        <v>361</v>
      </c>
      <c r="G382" s="56">
        <f>SUM(G383:G383)</f>
        <v>39629</v>
      </c>
      <c r="I382" s="56"/>
      <c r="J382" s="611"/>
      <c r="K382" s="56"/>
      <c r="L382" s="56">
        <f>SUM(L383:L383)</f>
        <v>0</v>
      </c>
      <c r="M382" s="56"/>
      <c r="N382" s="56"/>
      <c r="O382" s="611"/>
      <c r="P382" s="56"/>
      <c r="Q382" s="56">
        <f>SUM(Q383:Q383)</f>
        <v>39629</v>
      </c>
      <c r="R382" s="56"/>
      <c r="S382" s="56"/>
      <c r="T382" s="611"/>
      <c r="U382" s="56"/>
      <c r="V382" s="56">
        <f>SUM(V383:V383)</f>
        <v>0</v>
      </c>
      <c r="W382" s="56"/>
      <c r="X382" s="56"/>
      <c r="Y382" s="611"/>
      <c r="Z382" s="56"/>
      <c r="AA382" s="56">
        <f>SUM(AA383:AA383)</f>
        <v>0</v>
      </c>
      <c r="AB382" s="56"/>
      <c r="AC382" s="56"/>
      <c r="AD382" s="611"/>
      <c r="AE382" s="56"/>
      <c r="AF382" s="56">
        <f>SUM(AF383:AF383)</f>
        <v>0</v>
      </c>
      <c r="AG382" s="56"/>
      <c r="AH382" s="56"/>
      <c r="AI382" s="611"/>
      <c r="AJ382" s="56"/>
      <c r="AK382" s="56">
        <f>SUM(AK383:AK383)</f>
        <v>0</v>
      </c>
      <c r="AL382" s="56"/>
      <c r="AM382" s="56"/>
      <c r="AN382" s="611"/>
      <c r="AO382" s="56"/>
      <c r="AP382" s="56">
        <f>SUM(AP383:AP383)</f>
        <v>0</v>
      </c>
      <c r="AQ382" s="56"/>
      <c r="AR382" s="56"/>
      <c r="AS382" s="611"/>
      <c r="AT382" s="56"/>
      <c r="AU382" s="56">
        <f>SUM(AU383:AU383)</f>
        <v>0</v>
      </c>
      <c r="AV382" s="56"/>
      <c r="AW382" s="56"/>
      <c r="AX382" s="611"/>
      <c r="AY382" s="56"/>
      <c r="AZ382" s="56">
        <f>SUM(AZ383:AZ383)</f>
        <v>0</v>
      </c>
      <c r="BA382" s="56"/>
      <c r="BB382" s="56"/>
      <c r="BC382" s="611"/>
      <c r="BD382" s="56"/>
      <c r="BE382" s="56">
        <f>SUM(BE383:BE383)</f>
        <v>0</v>
      </c>
      <c r="BF382" s="56"/>
      <c r="BG382" s="56"/>
      <c r="BH382" s="611"/>
      <c r="BI382" s="56"/>
      <c r="BJ382" s="56">
        <f>SUM(BJ383:BJ383)</f>
        <v>0</v>
      </c>
      <c r="BK382" s="56"/>
      <c r="BL382" s="56"/>
      <c r="BM382" s="611"/>
      <c r="BN382" s="56"/>
      <c r="BO382" s="56">
        <f>SUM(BO383:BO383)</f>
        <v>0</v>
      </c>
      <c r="BP382" s="56"/>
      <c r="BQ382" s="56"/>
      <c r="BR382" s="611"/>
      <c r="BS382" s="56"/>
      <c r="BT382" s="56">
        <f>SUM(BT383:BT383)</f>
        <v>39629</v>
      </c>
      <c r="BU382" s="56"/>
      <c r="BV382" s="56"/>
      <c r="BW382" s="611"/>
      <c r="BX382" s="56"/>
      <c r="BY382" s="56">
        <f>SUM(BY383:BY383)</f>
        <v>256981</v>
      </c>
      <c r="CA382" s="56"/>
      <c r="CB382" s="611"/>
      <c r="CC382" s="56"/>
      <c r="CD382" s="56">
        <f>SUM(CD383:CD383)</f>
        <v>0</v>
      </c>
      <c r="CE382" s="56"/>
      <c r="CF382" s="56"/>
      <c r="CG382" s="611"/>
      <c r="CH382" s="56"/>
      <c r="CI382" s="56">
        <f>SUM(CI383:CI383)</f>
        <v>0</v>
      </c>
      <c r="CJ382" s="56"/>
      <c r="CK382" s="56"/>
      <c r="CL382" s="611"/>
      <c r="CM382" s="56"/>
      <c r="CN382" s="56">
        <f>SUM(CN383:CN383)</f>
        <v>0</v>
      </c>
      <c r="CO382" s="56"/>
      <c r="CP382" s="56"/>
      <c r="CQ382" s="611"/>
      <c r="CR382" s="56"/>
      <c r="CS382" s="56">
        <f>SUM(CS383:CS383)</f>
        <v>0</v>
      </c>
      <c r="CT382" s="56"/>
      <c r="CU382" s="56"/>
      <c r="CV382" s="611"/>
      <c r="CW382" s="56"/>
      <c r="CX382" s="56">
        <f>SUM(CX383:CX383)</f>
        <v>83879</v>
      </c>
      <c r="CY382" s="56"/>
      <c r="CZ382" s="56"/>
      <c r="DA382" s="611"/>
      <c r="DB382" s="56"/>
      <c r="DC382" s="56">
        <f>SUM(DC383:DC383)</f>
        <v>0</v>
      </c>
      <c r="DD382" s="56"/>
      <c r="DE382" s="56"/>
      <c r="DF382" s="611"/>
      <c r="DG382" s="56"/>
      <c r="DH382" s="56">
        <f>SUM(DH383:DH383)</f>
        <v>0</v>
      </c>
      <c r="DI382" s="56"/>
      <c r="DJ382" s="56"/>
      <c r="DK382" s="611"/>
      <c r="DL382" s="56"/>
      <c r="DM382" s="56">
        <f>SUM(DM383:DM383)</f>
        <v>0</v>
      </c>
      <c r="DN382" s="56"/>
      <c r="DO382" s="56"/>
      <c r="DP382" s="611"/>
      <c r="DQ382" s="56"/>
      <c r="DR382" s="56">
        <f>SUM(DR383:DR383)</f>
        <v>0</v>
      </c>
      <c r="DS382" s="56"/>
      <c r="DT382" s="56"/>
      <c r="DU382" s="611"/>
      <c r="DV382" s="56"/>
      <c r="DW382" s="56">
        <f>SUM(DW383:DW383)</f>
        <v>0</v>
      </c>
      <c r="DX382" s="56"/>
      <c r="DY382" s="56"/>
      <c r="DZ382" s="611"/>
      <c r="EA382" s="56"/>
      <c r="EB382" s="56">
        <f>SUM(EB383:EB383)</f>
        <v>0</v>
      </c>
      <c r="EC382" s="56"/>
      <c r="ED382" s="56"/>
      <c r="EE382" s="611"/>
      <c r="EF382" s="56"/>
      <c r="EG382" s="56">
        <f>SUM(EG383:EG383)</f>
        <v>173102</v>
      </c>
      <c r="EH382" s="56"/>
      <c r="EI382" s="56"/>
      <c r="EJ382" s="611"/>
      <c r="EK382" s="56"/>
      <c r="EL382" s="56">
        <f>SUM(EL383:EL383)</f>
        <v>83879</v>
      </c>
      <c r="EM382" s="56"/>
      <c r="EN382" s="56"/>
      <c r="EO382" s="144"/>
      <c r="ER382" s="42"/>
      <c r="ES382" s="42"/>
    </row>
    <row r="383" spans="4:149" x14ac:dyDescent="0.3">
      <c r="D383" s="144" t="s">
        <v>335</v>
      </c>
      <c r="F383" s="614"/>
      <c r="G383" s="618">
        <v>39629</v>
      </c>
      <c r="H383" s="616"/>
      <c r="I383" s="56"/>
      <c r="J383" s="611"/>
      <c r="K383" s="614"/>
      <c r="L383" s="618">
        <v>0</v>
      </c>
      <c r="M383" s="616"/>
      <c r="N383" s="56"/>
      <c r="O383" s="611"/>
      <c r="P383" s="614"/>
      <c r="Q383" s="618">
        <v>39629</v>
      </c>
      <c r="R383" s="616"/>
      <c r="S383" s="56"/>
      <c r="T383" s="611"/>
      <c r="U383" s="614"/>
      <c r="V383" s="618">
        <v>0</v>
      </c>
      <c r="W383" s="616"/>
      <c r="X383" s="56"/>
      <c r="Y383" s="611"/>
      <c r="Z383" s="614"/>
      <c r="AA383" s="618">
        <v>0</v>
      </c>
      <c r="AB383" s="616"/>
      <c r="AC383" s="56"/>
      <c r="AD383" s="611"/>
      <c r="AE383" s="614"/>
      <c r="AF383" s="618">
        <v>0</v>
      </c>
      <c r="AG383" s="616"/>
      <c r="AH383" s="56"/>
      <c r="AI383" s="611"/>
      <c r="AJ383" s="614"/>
      <c r="AK383" s="618">
        <v>0</v>
      </c>
      <c r="AL383" s="616"/>
      <c r="AM383" s="56"/>
      <c r="AN383" s="611"/>
      <c r="AO383" s="614"/>
      <c r="AP383" s="618">
        <v>0</v>
      </c>
      <c r="AQ383" s="616"/>
      <c r="AR383" s="56"/>
      <c r="AS383" s="611"/>
      <c r="AT383" s="614"/>
      <c r="AU383" s="618">
        <v>0</v>
      </c>
      <c r="AV383" s="616"/>
      <c r="AW383" s="56"/>
      <c r="AX383" s="611"/>
      <c r="AY383" s="614"/>
      <c r="AZ383" s="618">
        <v>0</v>
      </c>
      <c r="BA383" s="616"/>
      <c r="BB383" s="56"/>
      <c r="BC383" s="611"/>
      <c r="BD383" s="614"/>
      <c r="BE383" s="618">
        <v>0</v>
      </c>
      <c r="BF383" s="616"/>
      <c r="BG383" s="56"/>
      <c r="BH383" s="611"/>
      <c r="BI383" s="614"/>
      <c r="BJ383" s="618">
        <v>0</v>
      </c>
      <c r="BK383" s="616"/>
      <c r="BL383" s="56"/>
      <c r="BM383" s="611"/>
      <c r="BN383" s="614"/>
      <c r="BO383" s="618">
        <v>0</v>
      </c>
      <c r="BP383" s="616"/>
      <c r="BQ383" s="56"/>
      <c r="BR383" s="611"/>
      <c r="BS383" s="614"/>
      <c r="BT383" s="618">
        <f>SUM(L383:BO383)</f>
        <v>39629</v>
      </c>
      <c r="BU383" s="616"/>
      <c r="BV383" s="56"/>
      <c r="BW383" s="611"/>
      <c r="BX383" s="614"/>
      <c r="BY383" s="618">
        <v>256981</v>
      </c>
      <c r="BZ383" s="616"/>
      <c r="CA383" s="56"/>
      <c r="CB383" s="611"/>
      <c r="CC383" s="614"/>
      <c r="CD383" s="618">
        <v>0</v>
      </c>
      <c r="CE383" s="616"/>
      <c r="CF383" s="56"/>
      <c r="CG383" s="611"/>
      <c r="CH383" s="617"/>
      <c r="CI383" s="618">
        <v>0</v>
      </c>
      <c r="CJ383" s="616"/>
      <c r="CK383" s="56"/>
      <c r="CL383" s="611"/>
      <c r="CM383" s="617"/>
      <c r="CN383" s="618">
        <v>0</v>
      </c>
      <c r="CO383" s="616"/>
      <c r="CP383" s="56"/>
      <c r="CQ383" s="611"/>
      <c r="CR383" s="617"/>
      <c r="CS383" s="618">
        <v>0</v>
      </c>
      <c r="CT383" s="616"/>
      <c r="CU383" s="56"/>
      <c r="CV383" s="611"/>
      <c r="CW383" s="617"/>
      <c r="CX383" s="618">
        <v>83879</v>
      </c>
      <c r="CY383" s="616"/>
      <c r="CZ383" s="56"/>
      <c r="DA383" s="611"/>
      <c r="DB383" s="617"/>
      <c r="DC383" s="618">
        <v>0</v>
      </c>
      <c r="DD383" s="616"/>
      <c r="DE383" s="56"/>
      <c r="DF383" s="611"/>
      <c r="DG383" s="617"/>
      <c r="DH383" s="618">
        <v>0</v>
      </c>
      <c r="DI383" s="616"/>
      <c r="DJ383" s="56"/>
      <c r="DK383" s="611"/>
      <c r="DL383" s="617"/>
      <c r="DM383" s="618">
        <v>0</v>
      </c>
      <c r="DN383" s="616"/>
      <c r="DO383" s="56"/>
      <c r="DP383" s="611"/>
      <c r="DQ383" s="617"/>
      <c r="DR383" s="618">
        <v>0</v>
      </c>
      <c r="DS383" s="616"/>
      <c r="DT383" s="56"/>
      <c r="DU383" s="611"/>
      <c r="DV383" s="617"/>
      <c r="DW383" s="618">
        <v>0</v>
      </c>
      <c r="DX383" s="616"/>
      <c r="DY383" s="56"/>
      <c r="DZ383" s="611"/>
      <c r="EA383" s="617"/>
      <c r="EB383" s="618">
        <v>0</v>
      </c>
      <c r="EC383" s="616"/>
      <c r="ED383" s="56"/>
      <c r="EE383" s="611"/>
      <c r="EF383" s="617"/>
      <c r="EG383" s="618">
        <v>173102</v>
      </c>
      <c r="EH383" s="616"/>
      <c r="EI383" s="56"/>
      <c r="EJ383" s="611"/>
      <c r="EK383" s="614"/>
      <c r="EL383" s="618">
        <f t="shared" ref="EL383" si="45">SUM(CD383:DW383)</f>
        <v>83879</v>
      </c>
      <c r="EM383" s="616"/>
      <c r="EN383" s="56"/>
      <c r="EO383" s="144"/>
      <c r="ER383" s="42"/>
      <c r="ES383" s="42"/>
    </row>
    <row r="384" spans="4:149" x14ac:dyDescent="0.3">
      <c r="D384" s="144"/>
      <c r="G384" s="56"/>
      <c r="H384" s="56"/>
      <c r="I384" s="56"/>
      <c r="J384" s="611"/>
      <c r="L384" s="56"/>
      <c r="M384" s="56"/>
      <c r="N384" s="56"/>
      <c r="O384" s="611"/>
      <c r="Q384" s="56"/>
      <c r="R384" s="56"/>
      <c r="S384" s="56"/>
      <c r="T384" s="611"/>
      <c r="V384" s="56"/>
      <c r="W384" s="56"/>
      <c r="X384" s="56"/>
      <c r="Y384" s="611"/>
      <c r="AA384" s="56"/>
      <c r="AB384" s="56"/>
      <c r="AC384" s="56"/>
      <c r="AD384" s="611"/>
      <c r="AF384" s="56"/>
      <c r="AG384" s="56"/>
      <c r="AH384" s="56"/>
      <c r="AI384" s="611"/>
      <c r="AK384" s="56"/>
      <c r="AL384" s="56"/>
      <c r="AM384" s="56"/>
      <c r="AN384" s="611"/>
      <c r="AP384" s="56"/>
      <c r="AQ384" s="56"/>
      <c r="AR384" s="56"/>
      <c r="AS384" s="611"/>
      <c r="AU384" s="56"/>
      <c r="AV384" s="56"/>
      <c r="AW384" s="56"/>
      <c r="AX384" s="611"/>
      <c r="AZ384" s="56"/>
      <c r="BA384" s="56"/>
      <c r="BB384" s="56"/>
      <c r="BC384" s="611"/>
      <c r="BE384" s="56"/>
      <c r="BF384" s="56"/>
      <c r="BG384" s="56"/>
      <c r="BH384" s="611"/>
      <c r="BJ384" s="56"/>
      <c r="BK384" s="56"/>
      <c r="BL384" s="56"/>
      <c r="BM384" s="611"/>
      <c r="BO384" s="56"/>
      <c r="BP384" s="56"/>
      <c r="BQ384" s="56"/>
      <c r="BR384" s="611"/>
      <c r="BT384" s="56"/>
      <c r="BU384" s="56"/>
      <c r="BV384" s="56"/>
      <c r="BW384" s="611"/>
      <c r="BY384" s="56"/>
      <c r="BZ384" s="56"/>
      <c r="CA384" s="56"/>
      <c r="CB384" s="611"/>
      <c r="CD384" s="56"/>
      <c r="CE384" s="56"/>
      <c r="CF384" s="56"/>
      <c r="CG384" s="611"/>
      <c r="CI384" s="56"/>
      <c r="CJ384" s="56"/>
      <c r="CK384" s="56"/>
      <c r="CL384" s="611"/>
      <c r="CN384" s="56"/>
      <c r="CO384" s="56"/>
      <c r="CP384" s="56"/>
      <c r="CQ384" s="611"/>
      <c r="CS384" s="56"/>
      <c r="CT384" s="56"/>
      <c r="CU384" s="56"/>
      <c r="CV384" s="611"/>
      <c r="CX384" s="56"/>
      <c r="CY384" s="56"/>
      <c r="CZ384" s="56"/>
      <c r="DA384" s="611"/>
      <c r="DC384" s="56"/>
      <c r="DD384" s="56"/>
      <c r="DE384" s="56"/>
      <c r="DF384" s="611"/>
      <c r="DH384" s="56"/>
      <c r="DI384" s="56"/>
      <c r="DJ384" s="56"/>
      <c r="DK384" s="611"/>
      <c r="DM384" s="56"/>
      <c r="DN384" s="56"/>
      <c r="DO384" s="56"/>
      <c r="DP384" s="611"/>
      <c r="DR384" s="56"/>
      <c r="DS384" s="56"/>
      <c r="DT384" s="56"/>
      <c r="DU384" s="611"/>
      <c r="DW384" s="56"/>
      <c r="DX384" s="56"/>
      <c r="DY384" s="56"/>
      <c r="DZ384" s="611"/>
      <c r="EB384" s="56"/>
      <c r="EC384" s="56"/>
      <c r="ED384" s="56"/>
      <c r="EE384" s="611"/>
      <c r="EG384" s="56"/>
      <c r="EH384" s="56"/>
      <c r="EI384" s="56"/>
      <c r="EJ384" s="611"/>
      <c r="EL384" s="56"/>
      <c r="EM384" s="56"/>
      <c r="EN384" s="56"/>
      <c r="EO384" s="144"/>
      <c r="ER384" s="42"/>
      <c r="ES384" s="42"/>
    </row>
    <row r="385" spans="4:149" x14ac:dyDescent="0.3">
      <c r="D385" s="144" t="s">
        <v>362</v>
      </c>
      <c r="G385" s="56">
        <f>SUM(G386:G386)</f>
        <v>88512</v>
      </c>
      <c r="I385" s="56"/>
      <c r="J385" s="611"/>
      <c r="K385" s="56"/>
      <c r="L385" s="56">
        <f>SUM(L386:L386)</f>
        <v>0</v>
      </c>
      <c r="M385" s="56"/>
      <c r="N385" s="56"/>
      <c r="O385" s="611"/>
      <c r="P385" s="56"/>
      <c r="Q385" s="56">
        <f>SUM(Q386:Q386)</f>
        <v>88512</v>
      </c>
      <c r="R385" s="56"/>
      <c r="S385" s="56"/>
      <c r="T385" s="611"/>
      <c r="U385" s="56"/>
      <c r="V385" s="56">
        <f>SUM(V386:V386)</f>
        <v>0</v>
      </c>
      <c r="W385" s="56"/>
      <c r="X385" s="56"/>
      <c r="Y385" s="611"/>
      <c r="Z385" s="56"/>
      <c r="AA385" s="56">
        <f>SUM(AA386:AA386)</f>
        <v>0</v>
      </c>
      <c r="AB385" s="56"/>
      <c r="AC385" s="56"/>
      <c r="AD385" s="611"/>
      <c r="AE385" s="56"/>
      <c r="AF385" s="56">
        <f>SUM(AF386:AF386)</f>
        <v>0</v>
      </c>
      <c r="AG385" s="56"/>
      <c r="AH385" s="56"/>
      <c r="AI385" s="611"/>
      <c r="AJ385" s="56"/>
      <c r="AK385" s="56">
        <f>SUM(AK386:AK386)</f>
        <v>0</v>
      </c>
      <c r="AL385" s="56"/>
      <c r="AM385" s="56"/>
      <c r="AN385" s="611"/>
      <c r="AO385" s="56"/>
      <c r="AP385" s="56">
        <f>SUM(AP386:AP386)</f>
        <v>0</v>
      </c>
      <c r="AQ385" s="56"/>
      <c r="AR385" s="56"/>
      <c r="AS385" s="611"/>
      <c r="AT385" s="56"/>
      <c r="AU385" s="56">
        <f>SUM(AU386:AU386)</f>
        <v>0</v>
      </c>
      <c r="AV385" s="56"/>
      <c r="AW385" s="56"/>
      <c r="AX385" s="611"/>
      <c r="AY385" s="56"/>
      <c r="AZ385" s="56">
        <f>SUM(AZ386:AZ386)</f>
        <v>0</v>
      </c>
      <c r="BA385" s="56"/>
      <c r="BB385" s="56"/>
      <c r="BC385" s="611"/>
      <c r="BD385" s="56"/>
      <c r="BE385" s="56">
        <f>SUM(BE386:BE386)</f>
        <v>0</v>
      </c>
      <c r="BF385" s="56"/>
      <c r="BG385" s="56"/>
      <c r="BH385" s="611"/>
      <c r="BI385" s="56"/>
      <c r="BJ385" s="56">
        <f>SUM(BJ386:BJ386)</f>
        <v>0</v>
      </c>
      <c r="BK385" s="56"/>
      <c r="BL385" s="56"/>
      <c r="BM385" s="611"/>
      <c r="BN385" s="56"/>
      <c r="BO385" s="56">
        <f>SUM(BO386:BO386)</f>
        <v>0</v>
      </c>
      <c r="BP385" s="56"/>
      <c r="BQ385" s="56"/>
      <c r="BR385" s="611"/>
      <c r="BT385" s="56">
        <f>SUM(BT386:BT386)</f>
        <v>88512</v>
      </c>
      <c r="BU385" s="56"/>
      <c r="BV385" s="56"/>
      <c r="BW385" s="611"/>
      <c r="BY385" s="56">
        <f>SUM(BY386:BY386)</f>
        <v>99343</v>
      </c>
      <c r="CA385" s="56"/>
      <c r="CB385" s="611"/>
      <c r="CC385" s="56"/>
      <c r="CD385" s="56">
        <f>SUM(CD386:CD386)</f>
        <v>0</v>
      </c>
      <c r="CE385" s="56"/>
      <c r="CF385" s="56"/>
      <c r="CG385" s="611"/>
      <c r="CH385" s="56"/>
      <c r="CI385" s="56">
        <f>SUM(CI386:CI386)</f>
        <v>0</v>
      </c>
      <c r="CJ385" s="56"/>
      <c r="CK385" s="56"/>
      <c r="CL385" s="611"/>
      <c r="CM385" s="56"/>
      <c r="CN385" s="56">
        <f>SUM(CN386:CN386)</f>
        <v>0</v>
      </c>
      <c r="CO385" s="56"/>
      <c r="CP385" s="56"/>
      <c r="CQ385" s="611"/>
      <c r="CR385" s="56"/>
      <c r="CS385" s="56">
        <f>SUM(CS386:CS386)</f>
        <v>0</v>
      </c>
      <c r="CT385" s="56"/>
      <c r="CU385" s="56"/>
      <c r="CV385" s="611"/>
      <c r="CW385" s="56"/>
      <c r="CX385" s="56">
        <f>SUM(CX386:CX386)</f>
        <v>0</v>
      </c>
      <c r="CY385" s="56"/>
      <c r="CZ385" s="56"/>
      <c r="DA385" s="611"/>
      <c r="DB385" s="56"/>
      <c r="DC385" s="56">
        <f>SUM(DC386:DC386)</f>
        <v>0</v>
      </c>
      <c r="DD385" s="56"/>
      <c r="DE385" s="56"/>
      <c r="DF385" s="611"/>
      <c r="DG385" s="56"/>
      <c r="DH385" s="56">
        <f>SUM(DH386:DH386)</f>
        <v>0</v>
      </c>
      <c r="DI385" s="56"/>
      <c r="DJ385" s="56"/>
      <c r="DK385" s="611"/>
      <c r="DL385" s="56"/>
      <c r="DM385" s="56">
        <f>SUM(DM386:DM386)</f>
        <v>0</v>
      </c>
      <c r="DN385" s="56"/>
      <c r="DO385" s="56"/>
      <c r="DP385" s="611"/>
      <c r="DQ385" s="56"/>
      <c r="DR385" s="56">
        <f>SUM(DR386:DR386)</f>
        <v>0</v>
      </c>
      <c r="DS385" s="56"/>
      <c r="DT385" s="56"/>
      <c r="DU385" s="611"/>
      <c r="DV385" s="56"/>
      <c r="DW385" s="56">
        <f>SUM(DW386:DW386)</f>
        <v>0</v>
      </c>
      <c r="DX385" s="56"/>
      <c r="DY385" s="56"/>
      <c r="DZ385" s="611"/>
      <c r="EA385" s="56"/>
      <c r="EB385" s="56">
        <f>SUM(EB386:EB386)</f>
        <v>0</v>
      </c>
      <c r="EC385" s="56"/>
      <c r="ED385" s="56"/>
      <c r="EE385" s="611"/>
      <c r="EF385" s="56"/>
      <c r="EG385" s="56">
        <f>SUM(EG386:EG386)</f>
        <v>99343</v>
      </c>
      <c r="EH385" s="56"/>
      <c r="EI385" s="56"/>
      <c r="EJ385" s="611"/>
      <c r="EL385" s="56">
        <f>SUM(EL386:EL386)</f>
        <v>0</v>
      </c>
      <c r="EM385" s="56"/>
      <c r="EN385" s="56"/>
      <c r="EO385" s="144"/>
      <c r="ER385" s="42"/>
      <c r="ES385" s="42"/>
    </row>
    <row r="386" spans="4:149" x14ac:dyDescent="0.3">
      <c r="D386" s="144" t="s">
        <v>335</v>
      </c>
      <c r="F386" s="614"/>
      <c r="G386" s="618">
        <v>88512</v>
      </c>
      <c r="H386" s="616"/>
      <c r="I386" s="56"/>
      <c r="J386" s="611"/>
      <c r="K386" s="614"/>
      <c r="L386" s="618">
        <v>0</v>
      </c>
      <c r="M386" s="616"/>
      <c r="N386" s="56"/>
      <c r="O386" s="611"/>
      <c r="P386" s="614"/>
      <c r="Q386" s="618">
        <v>88512</v>
      </c>
      <c r="R386" s="616"/>
      <c r="S386" s="56"/>
      <c r="T386" s="611"/>
      <c r="U386" s="614"/>
      <c r="V386" s="618">
        <v>0</v>
      </c>
      <c r="W386" s="616"/>
      <c r="X386" s="56"/>
      <c r="Y386" s="611"/>
      <c r="Z386" s="614"/>
      <c r="AA386" s="618">
        <v>0</v>
      </c>
      <c r="AB386" s="616"/>
      <c r="AC386" s="56"/>
      <c r="AD386" s="611"/>
      <c r="AE386" s="614"/>
      <c r="AF386" s="618">
        <v>0</v>
      </c>
      <c r="AG386" s="616"/>
      <c r="AH386" s="56"/>
      <c r="AI386" s="611"/>
      <c r="AJ386" s="614"/>
      <c r="AK386" s="618">
        <v>0</v>
      </c>
      <c r="AL386" s="616"/>
      <c r="AM386" s="56"/>
      <c r="AN386" s="611"/>
      <c r="AO386" s="614"/>
      <c r="AP386" s="618">
        <v>0</v>
      </c>
      <c r="AQ386" s="616"/>
      <c r="AR386" s="56"/>
      <c r="AS386" s="611"/>
      <c r="AT386" s="614"/>
      <c r="AU386" s="618">
        <v>0</v>
      </c>
      <c r="AV386" s="616"/>
      <c r="AW386" s="56"/>
      <c r="AX386" s="611"/>
      <c r="AY386" s="614"/>
      <c r="AZ386" s="618">
        <v>0</v>
      </c>
      <c r="BA386" s="616"/>
      <c r="BB386" s="56"/>
      <c r="BC386" s="611"/>
      <c r="BD386" s="614"/>
      <c r="BE386" s="618">
        <v>0</v>
      </c>
      <c r="BF386" s="616"/>
      <c r="BG386" s="56"/>
      <c r="BH386" s="611"/>
      <c r="BI386" s="614"/>
      <c r="BJ386" s="618">
        <v>0</v>
      </c>
      <c r="BK386" s="616"/>
      <c r="BL386" s="56"/>
      <c r="BM386" s="611"/>
      <c r="BN386" s="614"/>
      <c r="BO386" s="618">
        <v>0</v>
      </c>
      <c r="BP386" s="616"/>
      <c r="BQ386" s="56"/>
      <c r="BR386" s="611"/>
      <c r="BS386" s="614"/>
      <c r="BT386" s="618">
        <f>SUM(L386:BO386)</f>
        <v>88512</v>
      </c>
      <c r="BU386" s="616"/>
      <c r="BV386" s="56"/>
      <c r="BW386" s="611"/>
      <c r="BX386" s="614"/>
      <c r="BY386" s="618">
        <v>99343</v>
      </c>
      <c r="BZ386" s="616"/>
      <c r="CA386" s="56"/>
      <c r="CB386" s="611"/>
      <c r="CC386" s="614"/>
      <c r="CD386" s="618">
        <v>0</v>
      </c>
      <c r="CE386" s="616"/>
      <c r="CF386" s="56"/>
      <c r="CG386" s="611"/>
      <c r="CH386" s="617"/>
      <c r="CI386" s="618">
        <v>0</v>
      </c>
      <c r="CJ386" s="616"/>
      <c r="CK386" s="56"/>
      <c r="CL386" s="611"/>
      <c r="CM386" s="617"/>
      <c r="CN386" s="618">
        <v>0</v>
      </c>
      <c r="CO386" s="616"/>
      <c r="CP386" s="56"/>
      <c r="CQ386" s="611"/>
      <c r="CR386" s="617"/>
      <c r="CS386" s="618">
        <v>0</v>
      </c>
      <c r="CT386" s="616"/>
      <c r="CU386" s="56"/>
      <c r="CV386" s="611"/>
      <c r="CW386" s="617"/>
      <c r="CX386" s="618">
        <v>0</v>
      </c>
      <c r="CY386" s="616"/>
      <c r="CZ386" s="56"/>
      <c r="DA386" s="611"/>
      <c r="DB386" s="617"/>
      <c r="DC386" s="618">
        <v>0</v>
      </c>
      <c r="DD386" s="616"/>
      <c r="DE386" s="56"/>
      <c r="DF386" s="611"/>
      <c r="DG386" s="617"/>
      <c r="DH386" s="618">
        <v>0</v>
      </c>
      <c r="DI386" s="616"/>
      <c r="DJ386" s="56"/>
      <c r="DK386" s="611"/>
      <c r="DL386" s="617"/>
      <c r="DM386" s="618">
        <v>0</v>
      </c>
      <c r="DN386" s="616"/>
      <c r="DO386" s="56"/>
      <c r="DP386" s="611"/>
      <c r="DQ386" s="617"/>
      <c r="DR386" s="618">
        <v>0</v>
      </c>
      <c r="DS386" s="616"/>
      <c r="DT386" s="56"/>
      <c r="DU386" s="611"/>
      <c r="DV386" s="617"/>
      <c r="DW386" s="618">
        <v>0</v>
      </c>
      <c r="DX386" s="616"/>
      <c r="DY386" s="56"/>
      <c r="DZ386" s="611"/>
      <c r="EA386" s="617"/>
      <c r="EB386" s="618">
        <v>0</v>
      </c>
      <c r="EC386" s="616"/>
      <c r="ED386" s="56"/>
      <c r="EE386" s="611"/>
      <c r="EF386" s="617"/>
      <c r="EG386" s="618">
        <v>99343</v>
      </c>
      <c r="EH386" s="616"/>
      <c r="EI386" s="56"/>
      <c r="EJ386" s="611"/>
      <c r="EK386" s="614"/>
      <c r="EL386" s="618">
        <f t="shared" ref="EL386" si="46">SUM(CD386:DW386)</f>
        <v>0</v>
      </c>
      <c r="EM386" s="616"/>
      <c r="EN386" s="56"/>
      <c r="EO386" s="144"/>
      <c r="ER386" s="42"/>
      <c r="ES386" s="42"/>
    </row>
    <row r="387" spans="4:149" hidden="1" x14ac:dyDescent="0.3">
      <c r="D387" s="144"/>
      <c r="G387" s="56"/>
      <c r="H387" s="56"/>
      <c r="I387" s="56"/>
      <c r="J387" s="611"/>
      <c r="L387" s="56"/>
      <c r="M387" s="56"/>
      <c r="N387" s="56"/>
      <c r="O387" s="611"/>
      <c r="Q387" s="56"/>
      <c r="R387" s="56"/>
      <c r="S387" s="56"/>
      <c r="T387" s="611"/>
      <c r="V387" s="56"/>
      <c r="W387" s="56"/>
      <c r="X387" s="56"/>
      <c r="Y387" s="611"/>
      <c r="AA387" s="56"/>
      <c r="AB387" s="56"/>
      <c r="AC387" s="56"/>
      <c r="AD387" s="611"/>
      <c r="AF387" s="56"/>
      <c r="AG387" s="56"/>
      <c r="AH387" s="56"/>
      <c r="AI387" s="611"/>
      <c r="AK387" s="56"/>
      <c r="AL387" s="56"/>
      <c r="AM387" s="56"/>
      <c r="AN387" s="611"/>
      <c r="AP387" s="56"/>
      <c r="AQ387" s="56"/>
      <c r="AR387" s="56"/>
      <c r="AS387" s="611"/>
      <c r="AU387" s="56"/>
      <c r="AV387" s="56"/>
      <c r="AW387" s="56"/>
      <c r="AX387" s="611"/>
      <c r="AZ387" s="56"/>
      <c r="BA387" s="56"/>
      <c r="BB387" s="56"/>
      <c r="BC387" s="611"/>
      <c r="BE387" s="56"/>
      <c r="BF387" s="56"/>
      <c r="BG387" s="56"/>
      <c r="BH387" s="611"/>
      <c r="BJ387" s="56"/>
      <c r="BK387" s="56"/>
      <c r="BL387" s="56"/>
      <c r="BM387" s="611"/>
      <c r="BO387" s="56"/>
      <c r="BP387" s="56"/>
      <c r="BQ387" s="56"/>
      <c r="BR387" s="611"/>
      <c r="BT387" s="56"/>
      <c r="BU387" s="56"/>
      <c r="BV387" s="56"/>
      <c r="BW387" s="611"/>
      <c r="BY387" s="56"/>
      <c r="BZ387" s="56"/>
      <c r="CA387" s="56"/>
      <c r="CB387" s="611"/>
      <c r="CD387" s="56"/>
      <c r="CE387" s="56"/>
      <c r="CF387" s="56"/>
      <c r="CG387" s="611"/>
      <c r="CI387" s="56"/>
      <c r="CJ387" s="56"/>
      <c r="CK387" s="56"/>
      <c r="CL387" s="611"/>
      <c r="CN387" s="56"/>
      <c r="CO387" s="56"/>
      <c r="CP387" s="56"/>
      <c r="CQ387" s="611"/>
      <c r="CS387" s="56"/>
      <c r="CT387" s="56"/>
      <c r="CU387" s="56"/>
      <c r="CV387" s="611"/>
      <c r="CX387" s="56"/>
      <c r="CY387" s="56"/>
      <c r="CZ387" s="56"/>
      <c r="DA387" s="611"/>
      <c r="DC387" s="56"/>
      <c r="DD387" s="56"/>
      <c r="DE387" s="56"/>
      <c r="DF387" s="611"/>
      <c r="DH387" s="56"/>
      <c r="DI387" s="56"/>
      <c r="DJ387" s="56"/>
      <c r="DK387" s="611"/>
      <c r="DM387" s="56"/>
      <c r="DN387" s="56"/>
      <c r="DO387" s="56"/>
      <c r="DP387" s="611"/>
      <c r="DR387" s="56"/>
      <c r="DS387" s="56"/>
      <c r="DT387" s="56"/>
      <c r="DU387" s="611"/>
      <c r="DW387" s="56"/>
      <c r="DX387" s="56"/>
      <c r="DY387" s="56"/>
      <c r="DZ387" s="611"/>
      <c r="EB387" s="56"/>
      <c r="EC387" s="56"/>
      <c r="ED387" s="56"/>
      <c r="EE387" s="611"/>
      <c r="EG387" s="56"/>
      <c r="EH387" s="56"/>
      <c r="EI387" s="56"/>
      <c r="EJ387" s="611"/>
      <c r="EL387" s="56"/>
      <c r="EM387" s="56"/>
      <c r="EN387" s="56"/>
      <c r="EO387" s="144"/>
      <c r="ER387" s="42"/>
      <c r="ES387" s="42"/>
    </row>
    <row r="388" spans="4:149" hidden="1" x14ac:dyDescent="0.3">
      <c r="D388" s="144" t="s">
        <v>364</v>
      </c>
      <c r="G388" s="56">
        <f>SUM(G389:G389)</f>
        <v>0</v>
      </c>
      <c r="I388" s="56"/>
      <c r="J388" s="611"/>
      <c r="K388" s="56"/>
      <c r="L388" s="56">
        <f>SUM(L389:L389)</f>
        <v>0</v>
      </c>
      <c r="M388" s="56"/>
      <c r="N388" s="56"/>
      <c r="O388" s="611"/>
      <c r="P388" s="56"/>
      <c r="Q388" s="56">
        <f>SUM(Q389:Q389)</f>
        <v>0</v>
      </c>
      <c r="R388" s="56"/>
      <c r="S388" s="56"/>
      <c r="T388" s="611"/>
      <c r="U388" s="56"/>
      <c r="V388" s="56">
        <f>SUM(V389:V389)</f>
        <v>0</v>
      </c>
      <c r="W388" s="56"/>
      <c r="X388" s="56"/>
      <c r="Y388" s="611"/>
      <c r="Z388" s="56"/>
      <c r="AA388" s="56">
        <f>SUM(AA389:AA389)</f>
        <v>0</v>
      </c>
      <c r="AB388" s="56"/>
      <c r="AC388" s="56"/>
      <c r="AD388" s="611"/>
      <c r="AE388" s="56"/>
      <c r="AF388" s="56">
        <f>SUM(AF389:AF389)</f>
        <v>0</v>
      </c>
      <c r="AG388" s="56"/>
      <c r="AH388" s="56"/>
      <c r="AI388" s="611"/>
      <c r="AJ388" s="56"/>
      <c r="AK388" s="56">
        <f>SUM(AK389:AK389)</f>
        <v>0</v>
      </c>
      <c r="AL388" s="56"/>
      <c r="AM388" s="56"/>
      <c r="AN388" s="611"/>
      <c r="AO388" s="56"/>
      <c r="AP388" s="56">
        <f>SUM(AP389:AP389)</f>
        <v>0</v>
      </c>
      <c r="AQ388" s="56"/>
      <c r="AR388" s="56"/>
      <c r="AS388" s="611"/>
      <c r="AT388" s="56"/>
      <c r="AU388" s="56">
        <f>SUM(AU389:AU389)</f>
        <v>0</v>
      </c>
      <c r="AV388" s="56"/>
      <c r="AW388" s="56"/>
      <c r="AX388" s="611"/>
      <c r="AY388" s="56"/>
      <c r="AZ388" s="56">
        <f>SUM(AZ389:AZ389)</f>
        <v>0</v>
      </c>
      <c r="BA388" s="56"/>
      <c r="BB388" s="56"/>
      <c r="BC388" s="611"/>
      <c r="BD388" s="56"/>
      <c r="BE388" s="56">
        <f>SUM(BE389:BE389)</f>
        <v>0</v>
      </c>
      <c r="BF388" s="56"/>
      <c r="BG388" s="56"/>
      <c r="BH388" s="611"/>
      <c r="BI388" s="56"/>
      <c r="BJ388" s="56">
        <f>SUM(BJ389:BJ389)</f>
        <v>0</v>
      </c>
      <c r="BK388" s="56"/>
      <c r="BL388" s="56"/>
      <c r="BM388" s="611"/>
      <c r="BN388" s="56"/>
      <c r="BO388" s="56">
        <f>SUM(BO389:BO389)</f>
        <v>0</v>
      </c>
      <c r="BP388" s="56"/>
      <c r="BQ388" s="56"/>
      <c r="BR388" s="611"/>
      <c r="BT388" s="56">
        <f>SUM(BT389:BT389)</f>
        <v>0</v>
      </c>
      <c r="BU388" s="56"/>
      <c r="BV388" s="56"/>
      <c r="BW388" s="611"/>
      <c r="BY388" s="56">
        <f>SUM(BY389:BY389)</f>
        <v>0</v>
      </c>
      <c r="CA388" s="56"/>
      <c r="CB388" s="611"/>
      <c r="CC388" s="56"/>
      <c r="CD388" s="56">
        <f>SUM(CD389:CD389)</f>
        <v>0</v>
      </c>
      <c r="CE388" s="56"/>
      <c r="CF388" s="56"/>
      <c r="CG388" s="611"/>
      <c r="CH388" s="56"/>
      <c r="CI388" s="56">
        <f>SUM(CI389:CI389)</f>
        <v>0</v>
      </c>
      <c r="CJ388" s="56"/>
      <c r="CK388" s="56"/>
      <c r="CL388" s="611"/>
      <c r="CM388" s="56"/>
      <c r="CN388" s="56">
        <f>SUM(CN389:CN389)</f>
        <v>0</v>
      </c>
      <c r="CO388" s="56"/>
      <c r="CP388" s="56"/>
      <c r="CQ388" s="611"/>
      <c r="CR388" s="56"/>
      <c r="CS388" s="56">
        <f>SUM(CS389:CS389)</f>
        <v>0</v>
      </c>
      <c r="CT388" s="56"/>
      <c r="CU388" s="56"/>
      <c r="CV388" s="611"/>
      <c r="CW388" s="56"/>
      <c r="CX388" s="56">
        <f>SUM(CX389:CX389)</f>
        <v>0</v>
      </c>
      <c r="CY388" s="56"/>
      <c r="CZ388" s="56"/>
      <c r="DA388" s="611"/>
      <c r="DB388" s="56"/>
      <c r="DC388" s="56">
        <f>SUM(DC389:DC389)</f>
        <v>0</v>
      </c>
      <c r="DD388" s="56"/>
      <c r="DE388" s="56"/>
      <c r="DF388" s="611"/>
      <c r="DG388" s="56"/>
      <c r="DH388" s="56">
        <f>SUM(DH389:DH389)</f>
        <v>0</v>
      </c>
      <c r="DI388" s="56"/>
      <c r="DJ388" s="56"/>
      <c r="DK388" s="611"/>
      <c r="DL388" s="56"/>
      <c r="DM388" s="56">
        <f>SUM(DM389:DM389)</f>
        <v>0</v>
      </c>
      <c r="DN388" s="56"/>
      <c r="DO388" s="56"/>
      <c r="DP388" s="611"/>
      <c r="DQ388" s="56"/>
      <c r="DR388" s="56">
        <f>SUM(DR389:DR389)</f>
        <v>0</v>
      </c>
      <c r="DS388" s="56"/>
      <c r="DT388" s="56"/>
      <c r="DU388" s="611"/>
      <c r="DV388" s="56"/>
      <c r="DW388" s="56">
        <f>SUM(DW389:DW389)</f>
        <v>0</v>
      </c>
      <c r="DX388" s="56"/>
      <c r="DY388" s="56"/>
      <c r="DZ388" s="611"/>
      <c r="EA388" s="56"/>
      <c r="EB388" s="56">
        <f>SUM(EB389:EB389)</f>
        <v>0</v>
      </c>
      <c r="EC388" s="56"/>
      <c r="ED388" s="56"/>
      <c r="EE388" s="611"/>
      <c r="EF388" s="56"/>
      <c r="EG388" s="56">
        <f>SUM(EG389:EG389)</f>
        <v>0</v>
      </c>
      <c r="EH388" s="56"/>
      <c r="EI388" s="56"/>
      <c r="EJ388" s="611"/>
      <c r="EL388" s="56">
        <f>SUM(EL389:EL389)</f>
        <v>0</v>
      </c>
      <c r="EM388" s="56"/>
      <c r="EN388" s="56"/>
      <c r="EO388" s="144"/>
      <c r="ER388" s="42"/>
      <c r="ES388" s="42"/>
    </row>
    <row r="389" spans="4:149" hidden="1" x14ac:dyDescent="0.3">
      <c r="D389" s="144" t="s">
        <v>335</v>
      </c>
      <c r="F389" s="614"/>
      <c r="G389" s="618">
        <v>0</v>
      </c>
      <c r="H389" s="616"/>
      <c r="I389" s="56"/>
      <c r="J389" s="611"/>
      <c r="K389" s="614"/>
      <c r="L389" s="618">
        <v>0</v>
      </c>
      <c r="M389" s="616"/>
      <c r="N389" s="56"/>
      <c r="O389" s="611"/>
      <c r="P389" s="614"/>
      <c r="Q389" s="618">
        <v>0</v>
      </c>
      <c r="R389" s="616"/>
      <c r="S389" s="56"/>
      <c r="T389" s="611"/>
      <c r="U389" s="614"/>
      <c r="V389" s="618">
        <v>0</v>
      </c>
      <c r="W389" s="616"/>
      <c r="X389" s="56"/>
      <c r="Y389" s="611"/>
      <c r="Z389" s="614"/>
      <c r="AA389" s="618">
        <v>0</v>
      </c>
      <c r="AB389" s="616"/>
      <c r="AC389" s="56"/>
      <c r="AD389" s="611"/>
      <c r="AE389" s="614"/>
      <c r="AF389" s="618">
        <v>0</v>
      </c>
      <c r="AG389" s="616"/>
      <c r="AH389" s="56"/>
      <c r="AI389" s="611"/>
      <c r="AJ389" s="614"/>
      <c r="AK389" s="618">
        <v>0</v>
      </c>
      <c r="AL389" s="616"/>
      <c r="AM389" s="56"/>
      <c r="AN389" s="611"/>
      <c r="AO389" s="614"/>
      <c r="AP389" s="618">
        <v>0</v>
      </c>
      <c r="AQ389" s="616"/>
      <c r="AR389" s="56"/>
      <c r="AS389" s="611"/>
      <c r="AT389" s="614"/>
      <c r="AU389" s="618">
        <v>0</v>
      </c>
      <c r="AV389" s="616"/>
      <c r="AW389" s="56"/>
      <c r="AX389" s="611"/>
      <c r="AY389" s="614"/>
      <c r="AZ389" s="618">
        <v>0</v>
      </c>
      <c r="BA389" s="616"/>
      <c r="BB389" s="56"/>
      <c r="BC389" s="611"/>
      <c r="BD389" s="614"/>
      <c r="BE389" s="618">
        <v>0</v>
      </c>
      <c r="BF389" s="616"/>
      <c r="BG389" s="56"/>
      <c r="BH389" s="611"/>
      <c r="BI389" s="614"/>
      <c r="BJ389" s="618">
        <v>0</v>
      </c>
      <c r="BK389" s="616"/>
      <c r="BL389" s="56"/>
      <c r="BM389" s="611"/>
      <c r="BN389" s="614"/>
      <c r="BO389" s="618">
        <v>0</v>
      </c>
      <c r="BP389" s="616"/>
      <c r="BQ389" s="56"/>
      <c r="BR389" s="611"/>
      <c r="BS389" s="614"/>
      <c r="BT389" s="618">
        <f>SUM(L389:BO389)</f>
        <v>0</v>
      </c>
      <c r="BU389" s="616"/>
      <c r="BV389" s="56"/>
      <c r="BW389" s="611"/>
      <c r="BX389" s="614"/>
      <c r="BY389" s="618">
        <v>0</v>
      </c>
      <c r="BZ389" s="616"/>
      <c r="CA389" s="56"/>
      <c r="CB389" s="611"/>
      <c r="CC389" s="614"/>
      <c r="CD389" s="618">
        <v>0</v>
      </c>
      <c r="CE389" s="616"/>
      <c r="CF389" s="56"/>
      <c r="CG389" s="611"/>
      <c r="CH389" s="614"/>
      <c r="CI389" s="618">
        <v>0</v>
      </c>
      <c r="CJ389" s="616"/>
      <c r="CK389" s="56"/>
      <c r="CL389" s="611"/>
      <c r="CM389" s="614"/>
      <c r="CN389" s="618">
        <v>0</v>
      </c>
      <c r="CO389" s="616"/>
      <c r="CP389" s="56"/>
      <c r="CQ389" s="611"/>
      <c r="CR389" s="614"/>
      <c r="CS389" s="618">
        <v>0</v>
      </c>
      <c r="CT389" s="616"/>
      <c r="CU389" s="56"/>
      <c r="CV389" s="611"/>
      <c r="CW389" s="614"/>
      <c r="CX389" s="618">
        <v>0</v>
      </c>
      <c r="CY389" s="616"/>
      <c r="CZ389" s="56"/>
      <c r="DA389" s="611"/>
      <c r="DB389" s="614"/>
      <c r="DC389" s="618">
        <v>0</v>
      </c>
      <c r="DD389" s="616"/>
      <c r="DE389" s="56"/>
      <c r="DF389" s="611"/>
      <c r="DG389" s="614"/>
      <c r="DH389" s="618">
        <v>0</v>
      </c>
      <c r="DI389" s="616"/>
      <c r="DJ389" s="56"/>
      <c r="DK389" s="611"/>
      <c r="DL389" s="614"/>
      <c r="DM389" s="618">
        <v>0</v>
      </c>
      <c r="DN389" s="616"/>
      <c r="DO389" s="56"/>
      <c r="DP389" s="611"/>
      <c r="DQ389" s="614"/>
      <c r="DR389" s="618">
        <v>0</v>
      </c>
      <c r="DS389" s="616"/>
      <c r="DT389" s="56"/>
      <c r="DU389" s="611"/>
      <c r="DV389" s="614"/>
      <c r="DW389" s="618">
        <v>0</v>
      </c>
      <c r="DX389" s="616"/>
      <c r="DY389" s="56"/>
      <c r="DZ389" s="611"/>
      <c r="EA389" s="614"/>
      <c r="EB389" s="618">
        <v>0</v>
      </c>
      <c r="EC389" s="616"/>
      <c r="ED389" s="56"/>
      <c r="EE389" s="611"/>
      <c r="EF389" s="614"/>
      <c r="EG389" s="618">
        <v>0</v>
      </c>
      <c r="EH389" s="616"/>
      <c r="EI389" s="56"/>
      <c r="EJ389" s="611"/>
      <c r="EK389" s="614"/>
      <c r="EL389" s="618">
        <f>SUM(CD389:EG389)</f>
        <v>0</v>
      </c>
      <c r="EM389" s="616"/>
      <c r="EN389" s="56"/>
      <c r="EO389" s="144"/>
      <c r="ER389" s="42"/>
      <c r="ES389" s="42"/>
    </row>
    <row r="390" spans="4:149" hidden="1" x14ac:dyDescent="0.3">
      <c r="D390" s="144"/>
      <c r="G390" s="56"/>
      <c r="H390" s="56"/>
      <c r="I390" s="56"/>
      <c r="J390" s="611"/>
      <c r="L390" s="56"/>
      <c r="M390" s="56"/>
      <c r="N390" s="56"/>
      <c r="O390" s="611"/>
      <c r="Q390" s="56"/>
      <c r="R390" s="56"/>
      <c r="S390" s="56"/>
      <c r="T390" s="611"/>
      <c r="V390" s="56"/>
      <c r="W390" s="56"/>
      <c r="X390" s="56"/>
      <c r="Y390" s="611"/>
      <c r="AA390" s="56"/>
      <c r="AB390" s="56"/>
      <c r="AC390" s="56"/>
      <c r="AD390" s="611"/>
      <c r="AF390" s="56"/>
      <c r="AG390" s="56"/>
      <c r="AH390" s="56"/>
      <c r="AI390" s="611"/>
      <c r="AK390" s="56"/>
      <c r="AL390" s="56"/>
      <c r="AM390" s="56"/>
      <c r="AN390" s="611"/>
      <c r="AP390" s="56"/>
      <c r="AQ390" s="56"/>
      <c r="AR390" s="56"/>
      <c r="AS390" s="611"/>
      <c r="AU390" s="56"/>
      <c r="AV390" s="56"/>
      <c r="AW390" s="56"/>
      <c r="AX390" s="611"/>
      <c r="AZ390" s="56"/>
      <c r="BA390" s="56"/>
      <c r="BB390" s="56"/>
      <c r="BC390" s="611"/>
      <c r="BE390" s="56"/>
      <c r="BF390" s="56"/>
      <c r="BG390" s="56"/>
      <c r="BH390" s="611"/>
      <c r="BJ390" s="56"/>
      <c r="BK390" s="56"/>
      <c r="BL390" s="56"/>
      <c r="BM390" s="611"/>
      <c r="BO390" s="56"/>
      <c r="BP390" s="56"/>
      <c r="BQ390" s="56"/>
      <c r="BR390" s="611"/>
      <c r="BT390" s="56"/>
      <c r="BU390" s="56"/>
      <c r="BV390" s="56"/>
      <c r="BW390" s="611"/>
      <c r="BY390" s="56"/>
      <c r="BZ390" s="56"/>
      <c r="CA390" s="56"/>
      <c r="CB390" s="611"/>
      <c r="CD390" s="56"/>
      <c r="CE390" s="56"/>
      <c r="CF390" s="56"/>
      <c r="CG390" s="611"/>
      <c r="CI390" s="56"/>
      <c r="CJ390" s="56"/>
      <c r="CK390" s="56"/>
      <c r="CL390" s="611"/>
      <c r="CN390" s="56"/>
      <c r="CO390" s="56"/>
      <c r="CP390" s="56"/>
      <c r="CQ390" s="611"/>
      <c r="CS390" s="56"/>
      <c r="CT390" s="56"/>
      <c r="CU390" s="56"/>
      <c r="CV390" s="611"/>
      <c r="CX390" s="56"/>
      <c r="CY390" s="56"/>
      <c r="CZ390" s="56"/>
      <c r="DA390" s="611"/>
      <c r="DC390" s="56"/>
      <c r="DD390" s="56"/>
      <c r="DE390" s="56"/>
      <c r="DF390" s="611"/>
      <c r="DH390" s="56"/>
      <c r="DI390" s="56"/>
      <c r="DJ390" s="56"/>
      <c r="DK390" s="611"/>
      <c r="DM390" s="56"/>
      <c r="DN390" s="56"/>
      <c r="DO390" s="56"/>
      <c r="DP390" s="611"/>
      <c r="DR390" s="56"/>
      <c r="DS390" s="56"/>
      <c r="DT390" s="56"/>
      <c r="DU390" s="611"/>
      <c r="DW390" s="56"/>
      <c r="DX390" s="56"/>
      <c r="DY390" s="56"/>
      <c r="DZ390" s="611"/>
      <c r="EB390" s="56"/>
      <c r="EC390" s="56"/>
      <c r="ED390" s="56"/>
      <c r="EE390" s="611"/>
      <c r="EG390" s="56"/>
      <c r="EH390" s="56"/>
      <c r="EI390" s="56"/>
      <c r="EJ390" s="611"/>
      <c r="EL390" s="56"/>
      <c r="EM390" s="56"/>
      <c r="EN390" s="56"/>
      <c r="EO390" s="144"/>
      <c r="ER390" s="42"/>
      <c r="ES390" s="42"/>
    </row>
    <row r="391" spans="4:149" hidden="1" x14ac:dyDescent="0.3">
      <c r="D391" s="144" t="s">
        <v>364</v>
      </c>
      <c r="G391" s="56">
        <f>SUM(G392:G392)</f>
        <v>0</v>
      </c>
      <c r="I391" s="56"/>
      <c r="J391" s="611"/>
      <c r="K391" s="56"/>
      <c r="L391" s="56">
        <f>SUM(L392:L392)</f>
        <v>0</v>
      </c>
      <c r="M391" s="56"/>
      <c r="N391" s="56"/>
      <c r="O391" s="611"/>
      <c r="P391" s="56"/>
      <c r="Q391" s="56">
        <f>SUM(Q392:Q392)</f>
        <v>0</v>
      </c>
      <c r="R391" s="56"/>
      <c r="S391" s="56"/>
      <c r="T391" s="611"/>
      <c r="U391" s="56"/>
      <c r="V391" s="56">
        <f>SUM(V392:V392)</f>
        <v>0</v>
      </c>
      <c r="W391" s="56"/>
      <c r="X391" s="56"/>
      <c r="Y391" s="611"/>
      <c r="Z391" s="56"/>
      <c r="AA391" s="56">
        <f>SUM(AA392:AA392)</f>
        <v>0</v>
      </c>
      <c r="AB391" s="56"/>
      <c r="AC391" s="56"/>
      <c r="AD391" s="611"/>
      <c r="AE391" s="56"/>
      <c r="AF391" s="56">
        <f>SUM(AF392:AF392)</f>
        <v>0</v>
      </c>
      <c r="AG391" s="56"/>
      <c r="AH391" s="56"/>
      <c r="AI391" s="611"/>
      <c r="AJ391" s="56"/>
      <c r="AK391" s="56">
        <f>SUM(AK392:AK392)</f>
        <v>0</v>
      </c>
      <c r="AL391" s="56"/>
      <c r="AM391" s="56"/>
      <c r="AN391" s="611"/>
      <c r="AO391" s="56"/>
      <c r="AP391" s="56">
        <f>SUM(AP392:AP392)</f>
        <v>0</v>
      </c>
      <c r="AQ391" s="56"/>
      <c r="AR391" s="56"/>
      <c r="AS391" s="611"/>
      <c r="AT391" s="56"/>
      <c r="AU391" s="56">
        <f>SUM(AU392:AU392)</f>
        <v>0</v>
      </c>
      <c r="AV391" s="56"/>
      <c r="AW391" s="56"/>
      <c r="AX391" s="611"/>
      <c r="AY391" s="56"/>
      <c r="AZ391" s="56">
        <f>SUM(AZ392:AZ392)</f>
        <v>0</v>
      </c>
      <c r="BA391" s="56"/>
      <c r="BB391" s="56"/>
      <c r="BC391" s="611"/>
      <c r="BD391" s="56"/>
      <c r="BE391" s="56">
        <f>SUM(BE392:BE392)</f>
        <v>0</v>
      </c>
      <c r="BF391" s="56"/>
      <c r="BG391" s="56"/>
      <c r="BH391" s="611"/>
      <c r="BI391" s="56"/>
      <c r="BJ391" s="56">
        <f>SUM(BJ392:BJ392)</f>
        <v>0</v>
      </c>
      <c r="BK391" s="56"/>
      <c r="BL391" s="56"/>
      <c r="BM391" s="611"/>
      <c r="BN391" s="56"/>
      <c r="BO391" s="56">
        <f>SUM(BO392:BO392)</f>
        <v>0</v>
      </c>
      <c r="BP391" s="56"/>
      <c r="BQ391" s="56"/>
      <c r="BR391" s="611"/>
      <c r="BT391" s="56">
        <f>SUM(BT392:BT392)</f>
        <v>0</v>
      </c>
      <c r="BU391" s="56"/>
      <c r="BV391" s="56"/>
      <c r="BW391" s="611"/>
      <c r="BY391" s="56">
        <f>SUM(BY392:BY392)</f>
        <v>0</v>
      </c>
      <c r="CA391" s="56"/>
      <c r="CB391" s="611"/>
      <c r="CC391" s="56"/>
      <c r="CD391" s="56">
        <f>SUM(CD392:CD392)</f>
        <v>0</v>
      </c>
      <c r="CE391" s="56"/>
      <c r="CF391" s="56"/>
      <c r="CG391" s="611"/>
      <c r="CH391" s="56"/>
      <c r="CI391" s="56">
        <f>SUM(CI392:CI392)</f>
        <v>0</v>
      </c>
      <c r="CJ391" s="56"/>
      <c r="CK391" s="56"/>
      <c r="CL391" s="611"/>
      <c r="CM391" s="56"/>
      <c r="CN391" s="56">
        <f>SUM(CN392:CN392)</f>
        <v>0</v>
      </c>
      <c r="CO391" s="56"/>
      <c r="CP391" s="56"/>
      <c r="CQ391" s="611"/>
      <c r="CR391" s="56"/>
      <c r="CS391" s="56">
        <f>SUM(CS392:CS392)</f>
        <v>0</v>
      </c>
      <c r="CT391" s="56"/>
      <c r="CU391" s="56"/>
      <c r="CV391" s="611"/>
      <c r="CW391" s="56"/>
      <c r="CX391" s="56">
        <f>SUM(CX392:CX392)</f>
        <v>0</v>
      </c>
      <c r="CY391" s="56"/>
      <c r="CZ391" s="56"/>
      <c r="DA391" s="611"/>
      <c r="DB391" s="56"/>
      <c r="DC391" s="56">
        <f>SUM(DC392:DC392)</f>
        <v>0</v>
      </c>
      <c r="DD391" s="56"/>
      <c r="DE391" s="56"/>
      <c r="DF391" s="611"/>
      <c r="DG391" s="56"/>
      <c r="DH391" s="56">
        <f>SUM(DH392:DH392)</f>
        <v>0</v>
      </c>
      <c r="DI391" s="56"/>
      <c r="DJ391" s="56"/>
      <c r="DK391" s="611"/>
      <c r="DL391" s="56"/>
      <c r="DM391" s="56">
        <f>SUM(DM392:DM392)</f>
        <v>0</v>
      </c>
      <c r="DN391" s="56"/>
      <c r="DO391" s="56"/>
      <c r="DP391" s="611"/>
      <c r="DQ391" s="56"/>
      <c r="DR391" s="56">
        <f>SUM(DR392:DR392)</f>
        <v>0</v>
      </c>
      <c r="DS391" s="56"/>
      <c r="DT391" s="56"/>
      <c r="DU391" s="611"/>
      <c r="DV391" s="56"/>
      <c r="DW391" s="56">
        <f>SUM(DW392:DW392)</f>
        <v>0</v>
      </c>
      <c r="DX391" s="56"/>
      <c r="DY391" s="56"/>
      <c r="DZ391" s="611"/>
      <c r="EA391" s="56"/>
      <c r="EB391" s="56">
        <f>SUM(EB392:EB392)</f>
        <v>0</v>
      </c>
      <c r="EC391" s="56"/>
      <c r="ED391" s="56"/>
      <c r="EE391" s="611"/>
      <c r="EF391" s="56"/>
      <c r="EG391" s="56">
        <f>SUM(EG392:EG392)</f>
        <v>0</v>
      </c>
      <c r="EH391" s="56"/>
      <c r="EI391" s="56"/>
      <c r="EJ391" s="611"/>
      <c r="EL391" s="56">
        <f>SUM(EL392:EL392)</f>
        <v>0</v>
      </c>
      <c r="EM391" s="56"/>
      <c r="EN391" s="56"/>
      <c r="EO391" s="144"/>
      <c r="ER391" s="42"/>
      <c r="ES391" s="42"/>
    </row>
    <row r="392" spans="4:149" hidden="1" x14ac:dyDescent="0.3">
      <c r="D392" s="144" t="s">
        <v>335</v>
      </c>
      <c r="F392" s="614"/>
      <c r="G392" s="618">
        <v>0</v>
      </c>
      <c r="H392" s="616"/>
      <c r="I392" s="56"/>
      <c r="J392" s="611"/>
      <c r="K392" s="614"/>
      <c r="L392" s="618">
        <v>0</v>
      </c>
      <c r="M392" s="616"/>
      <c r="N392" s="56"/>
      <c r="O392" s="611"/>
      <c r="P392" s="614"/>
      <c r="Q392" s="618">
        <v>0</v>
      </c>
      <c r="R392" s="616"/>
      <c r="S392" s="56"/>
      <c r="T392" s="611"/>
      <c r="U392" s="614"/>
      <c r="V392" s="618">
        <v>0</v>
      </c>
      <c r="W392" s="616"/>
      <c r="X392" s="56"/>
      <c r="Y392" s="611"/>
      <c r="Z392" s="614"/>
      <c r="AA392" s="618">
        <v>0</v>
      </c>
      <c r="AB392" s="616"/>
      <c r="AC392" s="56"/>
      <c r="AD392" s="611"/>
      <c r="AE392" s="614"/>
      <c r="AF392" s="618">
        <v>0</v>
      </c>
      <c r="AG392" s="616"/>
      <c r="AH392" s="56"/>
      <c r="AI392" s="611"/>
      <c r="AJ392" s="614"/>
      <c r="AK392" s="618">
        <v>0</v>
      </c>
      <c r="AL392" s="616"/>
      <c r="AM392" s="56"/>
      <c r="AN392" s="611"/>
      <c r="AO392" s="614"/>
      <c r="AP392" s="618">
        <v>0</v>
      </c>
      <c r="AQ392" s="616"/>
      <c r="AR392" s="56"/>
      <c r="AS392" s="611"/>
      <c r="AT392" s="614"/>
      <c r="AU392" s="618">
        <v>0</v>
      </c>
      <c r="AV392" s="616"/>
      <c r="AW392" s="56"/>
      <c r="AX392" s="611"/>
      <c r="AY392" s="614"/>
      <c r="AZ392" s="618">
        <v>0</v>
      </c>
      <c r="BA392" s="616"/>
      <c r="BB392" s="56"/>
      <c r="BC392" s="611"/>
      <c r="BD392" s="614"/>
      <c r="BE392" s="618">
        <v>0</v>
      </c>
      <c r="BF392" s="616"/>
      <c r="BG392" s="56"/>
      <c r="BH392" s="611"/>
      <c r="BI392" s="614"/>
      <c r="BJ392" s="618">
        <v>0</v>
      </c>
      <c r="BK392" s="616"/>
      <c r="BL392" s="56"/>
      <c r="BM392" s="611"/>
      <c r="BN392" s="614"/>
      <c r="BO392" s="618">
        <v>0</v>
      </c>
      <c r="BP392" s="616"/>
      <c r="BQ392" s="56"/>
      <c r="BR392" s="611"/>
      <c r="BS392" s="614"/>
      <c r="BT392" s="618">
        <f>SUM(L392:BO392)</f>
        <v>0</v>
      </c>
      <c r="BU392" s="616"/>
      <c r="BV392" s="56"/>
      <c r="BW392" s="611"/>
      <c r="BX392" s="614"/>
      <c r="BY392" s="618">
        <v>0</v>
      </c>
      <c r="BZ392" s="616"/>
      <c r="CA392" s="56"/>
      <c r="CB392" s="611"/>
      <c r="CC392" s="614"/>
      <c r="CD392" s="618">
        <v>0</v>
      </c>
      <c r="CE392" s="616"/>
      <c r="CF392" s="56"/>
      <c r="CG392" s="611"/>
      <c r="CH392" s="614"/>
      <c r="CI392" s="618">
        <v>0</v>
      </c>
      <c r="CJ392" s="616"/>
      <c r="CK392" s="56"/>
      <c r="CL392" s="611"/>
      <c r="CM392" s="614"/>
      <c r="CN392" s="618">
        <v>0</v>
      </c>
      <c r="CO392" s="616"/>
      <c r="CP392" s="56"/>
      <c r="CQ392" s="611"/>
      <c r="CR392" s="614"/>
      <c r="CS392" s="618">
        <v>0</v>
      </c>
      <c r="CT392" s="616"/>
      <c r="CU392" s="56"/>
      <c r="CV392" s="611"/>
      <c r="CW392" s="614"/>
      <c r="CX392" s="618">
        <v>0</v>
      </c>
      <c r="CY392" s="616"/>
      <c r="CZ392" s="56"/>
      <c r="DA392" s="611"/>
      <c r="DB392" s="614"/>
      <c r="DC392" s="618">
        <v>0</v>
      </c>
      <c r="DD392" s="616"/>
      <c r="DE392" s="56"/>
      <c r="DF392" s="611"/>
      <c r="DG392" s="614"/>
      <c r="DH392" s="618">
        <v>0</v>
      </c>
      <c r="DI392" s="616"/>
      <c r="DJ392" s="56"/>
      <c r="DK392" s="611"/>
      <c r="DL392" s="614"/>
      <c r="DM392" s="618">
        <v>0</v>
      </c>
      <c r="DN392" s="616"/>
      <c r="DO392" s="56"/>
      <c r="DP392" s="611"/>
      <c r="DQ392" s="614"/>
      <c r="DR392" s="618">
        <v>0</v>
      </c>
      <c r="DS392" s="616"/>
      <c r="DT392" s="56"/>
      <c r="DU392" s="611"/>
      <c r="DV392" s="614"/>
      <c r="DW392" s="618">
        <v>0</v>
      </c>
      <c r="DX392" s="616"/>
      <c r="DY392" s="56"/>
      <c r="DZ392" s="611"/>
      <c r="EA392" s="614"/>
      <c r="EB392" s="618">
        <v>0</v>
      </c>
      <c r="EC392" s="616"/>
      <c r="ED392" s="56"/>
      <c r="EE392" s="611"/>
      <c r="EF392" s="614"/>
      <c r="EG392" s="618">
        <v>0</v>
      </c>
      <c r="EH392" s="616"/>
      <c r="EI392" s="56"/>
      <c r="EJ392" s="611"/>
      <c r="EK392" s="614"/>
      <c r="EL392" s="618">
        <f>SUM(CD392:EG392)</f>
        <v>0</v>
      </c>
      <c r="EM392" s="616"/>
      <c r="EN392" s="56"/>
      <c r="EO392" s="144"/>
      <c r="ER392" s="42"/>
      <c r="ES392" s="42"/>
    </row>
    <row r="393" spans="4:149" x14ac:dyDescent="0.3">
      <c r="D393" s="626"/>
      <c r="E393" s="627"/>
      <c r="F393" s="138"/>
      <c r="G393" s="126"/>
      <c r="H393" s="126"/>
      <c r="I393" s="126"/>
      <c r="J393" s="628"/>
      <c r="K393" s="126"/>
      <c r="L393" s="126"/>
      <c r="M393" s="126"/>
      <c r="N393" s="126"/>
      <c r="O393" s="628"/>
      <c r="P393" s="126"/>
      <c r="Q393" s="126"/>
      <c r="R393" s="126"/>
      <c r="S393" s="126"/>
      <c r="T393" s="628"/>
      <c r="U393" s="126"/>
      <c r="V393" s="126"/>
      <c r="W393" s="126"/>
      <c r="X393" s="126"/>
      <c r="Y393" s="628"/>
      <c r="Z393" s="126"/>
      <c r="AA393" s="126"/>
      <c r="AB393" s="126"/>
      <c r="AC393" s="126"/>
      <c r="AD393" s="628"/>
      <c r="AE393" s="126"/>
      <c r="AF393" s="126"/>
      <c r="AG393" s="126"/>
      <c r="AH393" s="126"/>
      <c r="AI393" s="628"/>
      <c r="AJ393" s="126"/>
      <c r="AK393" s="126"/>
      <c r="AL393" s="126"/>
      <c r="AM393" s="126"/>
      <c r="AN393" s="628"/>
      <c r="AO393" s="126"/>
      <c r="AP393" s="126"/>
      <c r="AQ393" s="126"/>
      <c r="AR393" s="126"/>
      <c r="AS393" s="628"/>
      <c r="AT393" s="126"/>
      <c r="AU393" s="126"/>
      <c r="AV393" s="126"/>
      <c r="AW393" s="126"/>
      <c r="AX393" s="628"/>
      <c r="AY393" s="126"/>
      <c r="AZ393" s="126"/>
      <c r="BA393" s="126"/>
      <c r="BB393" s="126"/>
      <c r="BC393" s="628"/>
      <c r="BD393" s="126"/>
      <c r="BE393" s="126"/>
      <c r="BF393" s="126"/>
      <c r="BG393" s="126"/>
      <c r="BH393" s="628"/>
      <c r="BI393" s="126"/>
      <c r="BJ393" s="126"/>
      <c r="BK393" s="126"/>
      <c r="BL393" s="126"/>
      <c r="BM393" s="628"/>
      <c r="BN393" s="126"/>
      <c r="BO393" s="126"/>
      <c r="BP393" s="126"/>
      <c r="BQ393" s="126"/>
      <c r="BR393" s="628"/>
      <c r="BS393" s="126"/>
      <c r="BT393" s="126"/>
      <c r="BU393" s="126"/>
      <c r="BV393" s="126"/>
      <c r="BW393" s="628"/>
      <c r="BX393" s="126"/>
      <c r="BY393" s="126"/>
      <c r="BZ393" s="126"/>
      <c r="CA393" s="126"/>
      <c r="CB393" s="628"/>
      <c r="CC393" s="126"/>
      <c r="CD393" s="126"/>
      <c r="CE393" s="126"/>
      <c r="CF393" s="126"/>
      <c r="CG393" s="628"/>
      <c r="CH393" s="126"/>
      <c r="CI393" s="126"/>
      <c r="CJ393" s="126"/>
      <c r="CK393" s="126"/>
      <c r="CL393" s="628"/>
      <c r="CM393" s="126"/>
      <c r="CN393" s="126"/>
      <c r="CO393" s="126"/>
      <c r="CP393" s="126"/>
      <c r="CQ393" s="628"/>
      <c r="CR393" s="126"/>
      <c r="CS393" s="126"/>
      <c r="CT393" s="126"/>
      <c r="CU393" s="126"/>
      <c r="CV393" s="628"/>
      <c r="CW393" s="126"/>
      <c r="CX393" s="126"/>
      <c r="CY393" s="126"/>
      <c r="CZ393" s="126"/>
      <c r="DA393" s="628"/>
      <c r="DB393" s="126"/>
      <c r="DC393" s="126"/>
      <c r="DD393" s="126"/>
      <c r="DE393" s="126"/>
      <c r="DF393" s="628"/>
      <c r="DG393" s="126"/>
      <c r="DH393" s="126"/>
      <c r="DI393" s="126"/>
      <c r="DJ393" s="126"/>
      <c r="DK393" s="628"/>
      <c r="DL393" s="126"/>
      <c r="DM393" s="126"/>
      <c r="DN393" s="126"/>
      <c r="DO393" s="126"/>
      <c r="DP393" s="628"/>
      <c r="DQ393" s="126"/>
      <c r="DR393" s="126"/>
      <c r="DS393" s="126"/>
      <c r="DT393" s="126"/>
      <c r="DU393" s="628"/>
      <c r="DV393" s="126"/>
      <c r="DW393" s="126"/>
      <c r="DX393" s="126"/>
      <c r="DY393" s="126"/>
      <c r="DZ393" s="628"/>
      <c r="EA393" s="126"/>
      <c r="EB393" s="126"/>
      <c r="EC393" s="126"/>
      <c r="ED393" s="126"/>
      <c r="EE393" s="628"/>
      <c r="EF393" s="126"/>
      <c r="EG393" s="126"/>
      <c r="EH393" s="126"/>
      <c r="EI393" s="126"/>
      <c r="EJ393" s="628"/>
      <c r="EK393" s="126"/>
      <c r="EL393" s="126"/>
      <c r="EM393" s="126"/>
      <c r="EN393" s="127"/>
      <c r="EO393" s="144"/>
      <c r="ER393" s="42"/>
      <c r="ES393" s="42"/>
    </row>
    <row r="394" spans="4:149" x14ac:dyDescent="0.3">
      <c r="E394" s="140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</row>
    <row r="395" spans="4:149" x14ac:dyDescent="0.3">
      <c r="E395" s="136"/>
      <c r="EL395" s="56"/>
    </row>
    <row r="396" spans="4:149" x14ac:dyDescent="0.3">
      <c r="E396" s="136"/>
    </row>
    <row r="397" spans="4:149" x14ac:dyDescent="0.3">
      <c r="E397" s="136"/>
    </row>
    <row r="398" spans="4:149" hidden="1" x14ac:dyDescent="0.3">
      <c r="E398" s="136"/>
    </row>
    <row r="399" spans="4:149" hidden="1" x14ac:dyDescent="0.3">
      <c r="E399" s="136"/>
    </row>
    <row r="400" spans="4:149" hidden="1" x14ac:dyDescent="0.3">
      <c r="E400" s="136"/>
      <c r="G400" s="136">
        <f t="shared" ref="G400:BR403" si="47">G7-BY7</f>
        <v>-41475858</v>
      </c>
      <c r="H400" s="136">
        <f t="shared" si="47"/>
        <v>0</v>
      </c>
      <c r="I400" s="136">
        <f t="shared" si="47"/>
        <v>0</v>
      </c>
      <c r="J400" s="136">
        <f t="shared" si="47"/>
        <v>0</v>
      </c>
      <c r="K400" s="136">
        <f t="shared" si="47"/>
        <v>0</v>
      </c>
      <c r="L400" s="136">
        <f t="shared" si="47"/>
        <v>-16118850</v>
      </c>
      <c r="M400" s="136">
        <f t="shared" si="47"/>
        <v>0</v>
      </c>
      <c r="N400" s="136">
        <f t="shared" si="47"/>
        <v>0</v>
      </c>
      <c r="O400" s="136">
        <f t="shared" si="47"/>
        <v>0</v>
      </c>
      <c r="P400" s="136">
        <f t="shared" si="47"/>
        <v>0</v>
      </c>
      <c r="Q400" s="136">
        <f t="shared" si="47"/>
        <v>2606398</v>
      </c>
      <c r="R400" s="136">
        <f t="shared" si="47"/>
        <v>0</v>
      </c>
      <c r="S400" s="136">
        <f t="shared" si="47"/>
        <v>0</v>
      </c>
      <c r="T400" s="136">
        <f t="shared" si="47"/>
        <v>0</v>
      </c>
      <c r="U400" s="136">
        <f t="shared" si="47"/>
        <v>0</v>
      </c>
      <c r="V400" s="136">
        <f t="shared" si="47"/>
        <v>-4576012</v>
      </c>
      <c r="W400" s="136">
        <f t="shared" si="47"/>
        <v>0</v>
      </c>
      <c r="X400" s="136">
        <f t="shared" si="47"/>
        <v>0</v>
      </c>
      <c r="Y400" s="136">
        <f t="shared" si="47"/>
        <v>0</v>
      </c>
      <c r="Z400" s="136">
        <f t="shared" si="47"/>
        <v>0</v>
      </c>
      <c r="AA400" s="136">
        <f t="shared" si="47"/>
        <v>15658171</v>
      </c>
      <c r="AB400" s="136">
        <f t="shared" si="47"/>
        <v>0</v>
      </c>
      <c r="AC400" s="136">
        <f t="shared" si="47"/>
        <v>0</v>
      </c>
      <c r="AD400" s="136">
        <f t="shared" si="47"/>
        <v>0</v>
      </c>
      <c r="AE400" s="136">
        <f t="shared" si="47"/>
        <v>0</v>
      </c>
      <c r="AF400" s="136">
        <f t="shared" si="47"/>
        <v>5914294</v>
      </c>
      <c r="AG400" s="136">
        <f t="shared" si="47"/>
        <v>0</v>
      </c>
      <c r="AH400" s="136">
        <f t="shared" si="47"/>
        <v>0</v>
      </c>
      <c r="AI400" s="136">
        <f t="shared" si="47"/>
        <v>0</v>
      </c>
      <c r="AJ400" s="136">
        <f t="shared" si="47"/>
        <v>0</v>
      </c>
      <c r="AK400" s="136">
        <f t="shared" si="47"/>
        <v>11900643</v>
      </c>
      <c r="AL400" s="136">
        <f t="shared" si="47"/>
        <v>0</v>
      </c>
      <c r="AM400" s="136">
        <f t="shared" si="47"/>
        <v>0</v>
      </c>
      <c r="AN400" s="136">
        <f t="shared" si="47"/>
        <v>0</v>
      </c>
      <c r="AO400" s="136">
        <f t="shared" si="47"/>
        <v>0</v>
      </c>
      <c r="AP400" s="136">
        <f t="shared" si="47"/>
        <v>-4342260</v>
      </c>
      <c r="AQ400" s="136">
        <f t="shared" si="47"/>
        <v>0</v>
      </c>
      <c r="AR400" s="136">
        <f t="shared" si="47"/>
        <v>0</v>
      </c>
      <c r="AS400" s="136">
        <f t="shared" si="47"/>
        <v>0</v>
      </c>
      <c r="AT400" s="136">
        <f t="shared" si="47"/>
        <v>0</v>
      </c>
      <c r="AU400" s="136">
        <f t="shared" si="47"/>
        <v>8014170</v>
      </c>
      <c r="AV400" s="136">
        <f t="shared" si="47"/>
        <v>0</v>
      </c>
      <c r="AW400" s="136">
        <f t="shared" si="47"/>
        <v>0</v>
      </c>
      <c r="AX400" s="136">
        <f t="shared" si="47"/>
        <v>0</v>
      </c>
      <c r="AY400" s="136">
        <f t="shared" si="47"/>
        <v>0</v>
      </c>
      <c r="AZ400" s="136">
        <f t="shared" si="47"/>
        <v>-9812217</v>
      </c>
      <c r="BA400" s="136">
        <f t="shared" si="47"/>
        <v>0</v>
      </c>
      <c r="BB400" s="136">
        <f t="shared" si="47"/>
        <v>0</v>
      </c>
      <c r="BC400" s="136">
        <f t="shared" si="47"/>
        <v>0</v>
      </c>
      <c r="BD400" s="136">
        <f t="shared" si="47"/>
        <v>0</v>
      </c>
      <c r="BE400" s="136">
        <f t="shared" si="47"/>
        <v>-4758551</v>
      </c>
      <c r="BF400" s="136">
        <f t="shared" si="47"/>
        <v>0</v>
      </c>
      <c r="BG400" s="136">
        <f t="shared" si="47"/>
        <v>0</v>
      </c>
      <c r="BH400" s="136">
        <f t="shared" si="47"/>
        <v>0</v>
      </c>
      <c r="BI400" s="136">
        <f t="shared" si="47"/>
        <v>0</v>
      </c>
      <c r="BJ400" s="136">
        <f t="shared" si="47"/>
        <v>-32478299</v>
      </c>
      <c r="BK400" s="136">
        <f t="shared" si="47"/>
        <v>0</v>
      </c>
      <c r="BL400" s="136">
        <f t="shared" si="47"/>
        <v>0</v>
      </c>
      <c r="BM400" s="136">
        <f t="shared" si="47"/>
        <v>0</v>
      </c>
      <c r="BN400" s="136">
        <f t="shared" si="47"/>
        <v>0</v>
      </c>
      <c r="BO400" s="136">
        <f t="shared" si="47"/>
        <v>-33391155</v>
      </c>
      <c r="BP400" s="136">
        <f t="shared" si="47"/>
        <v>0</v>
      </c>
      <c r="BQ400" s="136">
        <f t="shared" si="47"/>
        <v>0</v>
      </c>
      <c r="BR400" s="136">
        <f t="shared" si="47"/>
        <v>0</v>
      </c>
      <c r="BS400" s="136">
        <f t="shared" ref="BO400:BX403" si="48">BS7-EK7</f>
        <v>0</v>
      </c>
      <c r="BT400" s="136">
        <f t="shared" si="48"/>
        <v>4485786</v>
      </c>
      <c r="BU400" s="136">
        <f t="shared" si="48"/>
        <v>0</v>
      </c>
      <c r="BV400" s="136">
        <f t="shared" si="48"/>
        <v>0</v>
      </c>
      <c r="BW400" s="136">
        <f t="shared" si="48"/>
        <v>0</v>
      </c>
      <c r="BX400" s="136">
        <f t="shared" si="48"/>
        <v>0</v>
      </c>
      <c r="BZ400" s="136">
        <f t="shared" ref="BZ400:CA403" si="49">BZ7-ER7</f>
        <v>0</v>
      </c>
      <c r="CA400" s="136">
        <f t="shared" si="49"/>
        <v>0</v>
      </c>
    </row>
    <row r="401" spans="5:79" hidden="1" x14ac:dyDescent="0.3">
      <c r="E401" s="136"/>
      <c r="G401" s="136">
        <f t="shared" si="47"/>
        <v>2749248</v>
      </c>
      <c r="H401" s="136">
        <f t="shared" si="47"/>
        <v>0</v>
      </c>
      <c r="I401" s="136">
        <f t="shared" si="47"/>
        <v>0</v>
      </c>
      <c r="J401" s="136">
        <f t="shared" si="47"/>
        <v>0</v>
      </c>
      <c r="K401" s="136">
        <f t="shared" si="47"/>
        <v>0</v>
      </c>
      <c r="L401" s="136">
        <f t="shared" si="47"/>
        <v>-8497467</v>
      </c>
      <c r="M401" s="136">
        <f t="shared" si="47"/>
        <v>0</v>
      </c>
      <c r="N401" s="136">
        <f t="shared" si="47"/>
        <v>0</v>
      </c>
      <c r="O401" s="136">
        <f t="shared" si="47"/>
        <v>0</v>
      </c>
      <c r="P401" s="136">
        <f t="shared" si="47"/>
        <v>0</v>
      </c>
      <c r="Q401" s="136">
        <f t="shared" si="47"/>
        <v>-794622</v>
      </c>
      <c r="R401" s="136">
        <f t="shared" si="47"/>
        <v>0</v>
      </c>
      <c r="S401" s="136">
        <f t="shared" si="47"/>
        <v>0</v>
      </c>
      <c r="T401" s="136">
        <f t="shared" si="47"/>
        <v>0</v>
      </c>
      <c r="U401" s="136">
        <f t="shared" si="47"/>
        <v>0</v>
      </c>
      <c r="V401" s="136">
        <f t="shared" si="47"/>
        <v>1818932</v>
      </c>
      <c r="W401" s="136">
        <f t="shared" si="47"/>
        <v>0</v>
      </c>
      <c r="X401" s="136">
        <f t="shared" si="47"/>
        <v>0</v>
      </c>
      <c r="Y401" s="136">
        <f t="shared" si="47"/>
        <v>0</v>
      </c>
      <c r="Z401" s="136">
        <f t="shared" si="47"/>
        <v>0</v>
      </c>
      <c r="AA401" s="136">
        <f t="shared" si="47"/>
        <v>19399721</v>
      </c>
      <c r="AB401" s="136">
        <f t="shared" si="47"/>
        <v>0</v>
      </c>
      <c r="AC401" s="136">
        <f t="shared" si="47"/>
        <v>0</v>
      </c>
      <c r="AD401" s="136">
        <f t="shared" si="47"/>
        <v>0</v>
      </c>
      <c r="AE401" s="136">
        <f t="shared" si="47"/>
        <v>0</v>
      </c>
      <c r="AF401" s="136">
        <f t="shared" si="47"/>
        <v>7888697</v>
      </c>
      <c r="AG401" s="136">
        <f t="shared" si="47"/>
        <v>0</v>
      </c>
      <c r="AH401" s="136">
        <f t="shared" si="47"/>
        <v>0</v>
      </c>
      <c r="AI401" s="136">
        <f t="shared" si="47"/>
        <v>0</v>
      </c>
      <c r="AJ401" s="136">
        <f t="shared" si="47"/>
        <v>0</v>
      </c>
      <c r="AK401" s="136">
        <f t="shared" si="47"/>
        <v>13609131</v>
      </c>
      <c r="AL401" s="136">
        <f t="shared" si="47"/>
        <v>0</v>
      </c>
      <c r="AM401" s="136">
        <f t="shared" si="47"/>
        <v>0</v>
      </c>
      <c r="AN401" s="136">
        <f t="shared" si="47"/>
        <v>0</v>
      </c>
      <c r="AO401" s="136">
        <f t="shared" si="47"/>
        <v>0</v>
      </c>
      <c r="AP401" s="136">
        <f t="shared" si="47"/>
        <v>643936</v>
      </c>
      <c r="AQ401" s="136">
        <f t="shared" si="47"/>
        <v>0</v>
      </c>
      <c r="AR401" s="136">
        <f t="shared" si="47"/>
        <v>0</v>
      </c>
      <c r="AS401" s="136">
        <f t="shared" si="47"/>
        <v>0</v>
      </c>
      <c r="AT401" s="136">
        <f t="shared" si="47"/>
        <v>0</v>
      </c>
      <c r="AU401" s="136">
        <f t="shared" si="47"/>
        <v>12794411</v>
      </c>
      <c r="AV401" s="136">
        <f t="shared" si="47"/>
        <v>0</v>
      </c>
      <c r="AW401" s="136">
        <f t="shared" si="47"/>
        <v>0</v>
      </c>
      <c r="AX401" s="136">
        <f t="shared" si="47"/>
        <v>0</v>
      </c>
      <c r="AY401" s="136">
        <f t="shared" si="47"/>
        <v>0</v>
      </c>
      <c r="AZ401" s="136">
        <f t="shared" si="47"/>
        <v>-6089013</v>
      </c>
      <c r="BA401" s="136">
        <f t="shared" si="47"/>
        <v>0</v>
      </c>
      <c r="BB401" s="136">
        <f t="shared" si="47"/>
        <v>0</v>
      </c>
      <c r="BC401" s="136">
        <f t="shared" si="47"/>
        <v>0</v>
      </c>
      <c r="BD401" s="136">
        <f t="shared" si="47"/>
        <v>0</v>
      </c>
      <c r="BE401" s="136">
        <f t="shared" si="47"/>
        <v>-2115498</v>
      </c>
      <c r="BF401" s="136">
        <f t="shared" si="47"/>
        <v>0</v>
      </c>
      <c r="BG401" s="136">
        <f t="shared" si="47"/>
        <v>0</v>
      </c>
      <c r="BH401" s="136">
        <f t="shared" si="47"/>
        <v>0</v>
      </c>
      <c r="BI401" s="136">
        <f t="shared" si="47"/>
        <v>0</v>
      </c>
      <c r="BJ401" s="136">
        <f t="shared" si="47"/>
        <v>-28691924</v>
      </c>
      <c r="BK401" s="136">
        <f t="shared" si="47"/>
        <v>0</v>
      </c>
      <c r="BL401" s="136">
        <f t="shared" si="47"/>
        <v>0</v>
      </c>
      <c r="BM401" s="136">
        <f t="shared" si="47"/>
        <v>0</v>
      </c>
      <c r="BN401" s="136">
        <f t="shared" si="47"/>
        <v>0</v>
      </c>
      <c r="BO401" s="136">
        <f t="shared" si="48"/>
        <v>-28529070</v>
      </c>
      <c r="BP401" s="136">
        <f t="shared" si="48"/>
        <v>0</v>
      </c>
      <c r="BQ401" s="136">
        <f t="shared" si="48"/>
        <v>0</v>
      </c>
      <c r="BR401" s="136">
        <f t="shared" si="48"/>
        <v>0</v>
      </c>
      <c r="BS401" s="136">
        <f t="shared" si="48"/>
        <v>0</v>
      </c>
      <c r="BT401" s="136">
        <f t="shared" si="48"/>
        <v>38658228</v>
      </c>
      <c r="BU401" s="136">
        <f t="shared" si="48"/>
        <v>0</v>
      </c>
      <c r="BV401" s="136">
        <f t="shared" si="48"/>
        <v>0</v>
      </c>
      <c r="BW401" s="136">
        <f t="shared" si="48"/>
        <v>0</v>
      </c>
      <c r="BX401" s="136">
        <f t="shared" si="48"/>
        <v>0</v>
      </c>
      <c r="BZ401" s="136">
        <f t="shared" si="49"/>
        <v>0</v>
      </c>
      <c r="CA401" s="136">
        <f t="shared" si="49"/>
        <v>0</v>
      </c>
    </row>
    <row r="402" spans="5:79" hidden="1" x14ac:dyDescent="0.3">
      <c r="E402" s="136"/>
      <c r="G402" s="136">
        <f t="shared" si="47"/>
        <v>-45097803</v>
      </c>
      <c r="H402" s="136">
        <f t="shared" si="47"/>
        <v>0</v>
      </c>
      <c r="I402" s="136">
        <f t="shared" si="47"/>
        <v>0</v>
      </c>
      <c r="J402" s="136">
        <f t="shared" si="47"/>
        <v>0</v>
      </c>
      <c r="K402" s="136">
        <f t="shared" si="47"/>
        <v>0</v>
      </c>
      <c r="L402" s="136">
        <f t="shared" si="47"/>
        <v>-8253520</v>
      </c>
      <c r="M402" s="136">
        <f t="shared" si="47"/>
        <v>0</v>
      </c>
      <c r="N402" s="136">
        <f t="shared" si="47"/>
        <v>0</v>
      </c>
      <c r="O402" s="136">
        <f t="shared" si="47"/>
        <v>0</v>
      </c>
      <c r="P402" s="136">
        <f t="shared" si="47"/>
        <v>0</v>
      </c>
      <c r="Q402" s="136">
        <f t="shared" si="47"/>
        <v>286578</v>
      </c>
      <c r="R402" s="136">
        <f t="shared" si="47"/>
        <v>0</v>
      </c>
      <c r="S402" s="136">
        <f t="shared" si="47"/>
        <v>0</v>
      </c>
      <c r="T402" s="136">
        <f t="shared" si="47"/>
        <v>0</v>
      </c>
      <c r="U402" s="136">
        <f t="shared" si="47"/>
        <v>0</v>
      </c>
      <c r="V402" s="136">
        <f t="shared" si="47"/>
        <v>-6299769</v>
      </c>
      <c r="W402" s="136">
        <f t="shared" si="47"/>
        <v>0</v>
      </c>
      <c r="X402" s="136">
        <f t="shared" si="47"/>
        <v>0</v>
      </c>
      <c r="Y402" s="136">
        <f t="shared" si="47"/>
        <v>0</v>
      </c>
      <c r="Z402" s="136">
        <f t="shared" si="47"/>
        <v>0</v>
      </c>
      <c r="AA402" s="136">
        <f t="shared" si="47"/>
        <v>-3456518</v>
      </c>
      <c r="AB402" s="136">
        <f t="shared" si="47"/>
        <v>0</v>
      </c>
      <c r="AC402" s="136">
        <f t="shared" si="47"/>
        <v>0</v>
      </c>
      <c r="AD402" s="136">
        <f t="shared" si="47"/>
        <v>0</v>
      </c>
      <c r="AE402" s="136">
        <f t="shared" si="47"/>
        <v>0</v>
      </c>
      <c r="AF402" s="136">
        <f t="shared" si="47"/>
        <v>-4835965</v>
      </c>
      <c r="AG402" s="136">
        <f t="shared" si="47"/>
        <v>0</v>
      </c>
      <c r="AH402" s="136">
        <f t="shared" si="47"/>
        <v>0</v>
      </c>
      <c r="AI402" s="136">
        <f t="shared" si="47"/>
        <v>0</v>
      </c>
      <c r="AJ402" s="136">
        <f t="shared" si="47"/>
        <v>0</v>
      </c>
      <c r="AK402" s="136">
        <f t="shared" si="47"/>
        <v>-2187184</v>
      </c>
      <c r="AL402" s="136">
        <f t="shared" si="47"/>
        <v>0</v>
      </c>
      <c r="AM402" s="136">
        <f t="shared" si="47"/>
        <v>0</v>
      </c>
      <c r="AN402" s="136">
        <f t="shared" si="47"/>
        <v>0</v>
      </c>
      <c r="AO402" s="136">
        <f t="shared" si="47"/>
        <v>0</v>
      </c>
      <c r="AP402" s="136">
        <f t="shared" si="47"/>
        <v>-5017820</v>
      </c>
      <c r="AQ402" s="136">
        <f t="shared" si="47"/>
        <v>0</v>
      </c>
      <c r="AR402" s="136">
        <f t="shared" si="47"/>
        <v>0</v>
      </c>
      <c r="AS402" s="136">
        <f t="shared" si="47"/>
        <v>0</v>
      </c>
      <c r="AT402" s="136">
        <f t="shared" si="47"/>
        <v>0</v>
      </c>
      <c r="AU402" s="136">
        <f t="shared" si="47"/>
        <v>-4108885</v>
      </c>
      <c r="AV402" s="136">
        <f t="shared" si="47"/>
        <v>0</v>
      </c>
      <c r="AW402" s="136">
        <f t="shared" si="47"/>
        <v>0</v>
      </c>
      <c r="AX402" s="136">
        <f t="shared" si="47"/>
        <v>0</v>
      </c>
      <c r="AY402" s="136">
        <f t="shared" si="47"/>
        <v>0</v>
      </c>
      <c r="AZ402" s="136">
        <f t="shared" si="47"/>
        <v>-3708680</v>
      </c>
      <c r="BA402" s="136">
        <f t="shared" si="47"/>
        <v>0</v>
      </c>
      <c r="BB402" s="136">
        <f t="shared" si="47"/>
        <v>0</v>
      </c>
      <c r="BC402" s="136">
        <f t="shared" si="47"/>
        <v>0</v>
      </c>
      <c r="BD402" s="136">
        <f t="shared" si="47"/>
        <v>0</v>
      </c>
      <c r="BE402" s="136">
        <f>BE9-DW9</f>
        <v>-2673022</v>
      </c>
      <c r="BF402" s="136">
        <f>BF9-DX9</f>
        <v>0</v>
      </c>
      <c r="BG402" s="136" t="e">
        <f>#REF!-DY9</f>
        <v>#REF!</v>
      </c>
      <c r="BH402" s="136">
        <f t="shared" si="47"/>
        <v>0</v>
      </c>
      <c r="BI402" s="136">
        <f t="shared" si="47"/>
        <v>0</v>
      </c>
      <c r="BJ402" s="136">
        <f t="shared" si="47"/>
        <v>-3014010</v>
      </c>
      <c r="BK402" s="136">
        <f t="shared" si="47"/>
        <v>0</v>
      </c>
      <c r="BL402" s="136">
        <f t="shared" si="47"/>
        <v>0</v>
      </c>
      <c r="BM402" s="136">
        <f t="shared" si="47"/>
        <v>0</v>
      </c>
      <c r="BN402" s="136">
        <f t="shared" si="47"/>
        <v>0</v>
      </c>
      <c r="BO402" s="136">
        <f t="shared" si="47"/>
        <v>-1829008</v>
      </c>
      <c r="BP402" s="136">
        <f t="shared" si="47"/>
        <v>0</v>
      </c>
      <c r="BQ402" s="136">
        <f t="shared" si="47"/>
        <v>0</v>
      </c>
      <c r="BR402" s="136">
        <f t="shared" si="48"/>
        <v>0</v>
      </c>
      <c r="BS402" s="136">
        <f t="shared" si="48"/>
        <v>0</v>
      </c>
      <c r="BT402" s="136">
        <f t="shared" si="48"/>
        <v>-40254785</v>
      </c>
      <c r="BU402" s="136">
        <f t="shared" si="48"/>
        <v>0</v>
      </c>
      <c r="BV402" s="136">
        <f t="shared" si="48"/>
        <v>0</v>
      </c>
      <c r="BW402" s="136">
        <f t="shared" si="48"/>
        <v>0</v>
      </c>
      <c r="BX402" s="136">
        <f t="shared" si="48"/>
        <v>0</v>
      </c>
      <c r="BZ402" s="136">
        <f t="shared" si="49"/>
        <v>0</v>
      </c>
      <c r="CA402" s="136">
        <f t="shared" si="49"/>
        <v>0</v>
      </c>
    </row>
    <row r="403" spans="5:79" hidden="1" x14ac:dyDescent="0.3">
      <c r="G403" s="136">
        <f t="shared" si="47"/>
        <v>872697</v>
      </c>
      <c r="H403" s="136">
        <f t="shared" si="47"/>
        <v>0</v>
      </c>
      <c r="I403" s="136">
        <f t="shared" si="47"/>
        <v>0</v>
      </c>
      <c r="J403" s="136">
        <f t="shared" si="47"/>
        <v>0</v>
      </c>
      <c r="K403" s="136">
        <f t="shared" si="47"/>
        <v>0</v>
      </c>
      <c r="L403" s="136">
        <f t="shared" si="47"/>
        <v>632137</v>
      </c>
      <c r="M403" s="136">
        <f t="shared" si="47"/>
        <v>0</v>
      </c>
      <c r="N403" s="136">
        <f t="shared" si="47"/>
        <v>0</v>
      </c>
      <c r="O403" s="136">
        <f t="shared" si="47"/>
        <v>0</v>
      </c>
      <c r="P403" s="136">
        <f t="shared" si="47"/>
        <v>0</v>
      </c>
      <c r="Q403" s="136">
        <f t="shared" si="47"/>
        <v>3114442</v>
      </c>
      <c r="R403" s="136">
        <f t="shared" si="47"/>
        <v>0</v>
      </c>
      <c r="S403" s="136">
        <f t="shared" si="47"/>
        <v>0</v>
      </c>
      <c r="T403" s="136">
        <f t="shared" si="47"/>
        <v>0</v>
      </c>
      <c r="U403" s="136">
        <f t="shared" si="47"/>
        <v>0</v>
      </c>
      <c r="V403" s="136">
        <f t="shared" si="47"/>
        <v>-95175</v>
      </c>
      <c r="W403" s="136">
        <f t="shared" si="47"/>
        <v>0</v>
      </c>
      <c r="X403" s="136">
        <f t="shared" si="47"/>
        <v>0</v>
      </c>
      <c r="Y403" s="136">
        <f t="shared" si="47"/>
        <v>0</v>
      </c>
      <c r="Z403" s="136">
        <f t="shared" si="47"/>
        <v>0</v>
      </c>
      <c r="AA403" s="136">
        <f t="shared" si="47"/>
        <v>-285032</v>
      </c>
      <c r="AB403" s="136">
        <f t="shared" si="47"/>
        <v>0</v>
      </c>
      <c r="AC403" s="136">
        <f t="shared" si="47"/>
        <v>0</v>
      </c>
      <c r="AD403" s="136">
        <f t="shared" si="47"/>
        <v>0</v>
      </c>
      <c r="AE403" s="136">
        <f t="shared" si="47"/>
        <v>0</v>
      </c>
      <c r="AF403" s="136">
        <f t="shared" si="47"/>
        <v>2861562</v>
      </c>
      <c r="AG403" s="136">
        <f t="shared" si="47"/>
        <v>0</v>
      </c>
      <c r="AH403" s="136">
        <f t="shared" si="47"/>
        <v>0</v>
      </c>
      <c r="AI403" s="136">
        <f t="shared" si="47"/>
        <v>0</v>
      </c>
      <c r="AJ403" s="136">
        <f t="shared" si="47"/>
        <v>0</v>
      </c>
      <c r="AK403" s="136">
        <f t="shared" si="47"/>
        <v>478696</v>
      </c>
      <c r="AL403" s="136">
        <f t="shared" si="47"/>
        <v>0</v>
      </c>
      <c r="AM403" s="136">
        <f t="shared" si="47"/>
        <v>0</v>
      </c>
      <c r="AN403" s="136">
        <f t="shared" si="47"/>
        <v>0</v>
      </c>
      <c r="AO403" s="136">
        <f t="shared" si="47"/>
        <v>0</v>
      </c>
      <c r="AP403" s="136">
        <f t="shared" si="47"/>
        <v>31624</v>
      </c>
      <c r="AQ403" s="136">
        <f t="shared" si="47"/>
        <v>0</v>
      </c>
      <c r="AR403" s="136">
        <f t="shared" si="47"/>
        <v>0</v>
      </c>
      <c r="AS403" s="136">
        <f t="shared" si="47"/>
        <v>0</v>
      </c>
      <c r="AT403" s="136">
        <f t="shared" si="47"/>
        <v>0</v>
      </c>
      <c r="AU403" s="136">
        <f t="shared" si="47"/>
        <v>-671356</v>
      </c>
      <c r="AV403" s="136">
        <f t="shared" si="47"/>
        <v>0</v>
      </c>
      <c r="AW403" s="136">
        <f t="shared" si="47"/>
        <v>0</v>
      </c>
      <c r="AX403" s="136">
        <f t="shared" si="47"/>
        <v>0</v>
      </c>
      <c r="AY403" s="136">
        <f t="shared" si="47"/>
        <v>0</v>
      </c>
      <c r="AZ403" s="136">
        <f t="shared" si="47"/>
        <v>-14524</v>
      </c>
      <c r="BA403" s="136">
        <f t="shared" si="47"/>
        <v>0</v>
      </c>
      <c r="BB403" s="136">
        <f t="shared" si="47"/>
        <v>0</v>
      </c>
      <c r="BC403" s="136">
        <f t="shared" si="47"/>
        <v>0</v>
      </c>
      <c r="BD403" s="136">
        <f t="shared" si="47"/>
        <v>0</v>
      </c>
      <c r="BE403" s="136">
        <f>BE10-DW10</f>
        <v>29969</v>
      </c>
      <c r="BF403" s="136">
        <f>BF10-DX10</f>
        <v>0</v>
      </c>
      <c r="BG403" s="136">
        <f>BG10-DY10</f>
        <v>0</v>
      </c>
      <c r="BH403" s="136">
        <f t="shared" si="47"/>
        <v>0</v>
      </c>
      <c r="BI403" s="136">
        <f t="shared" si="47"/>
        <v>0</v>
      </c>
      <c r="BJ403" s="136">
        <f t="shared" si="47"/>
        <v>-772365</v>
      </c>
      <c r="BK403" s="136">
        <f t="shared" si="47"/>
        <v>0</v>
      </c>
      <c r="BL403" s="136">
        <f t="shared" si="47"/>
        <v>0</v>
      </c>
      <c r="BM403" s="136">
        <f t="shared" si="47"/>
        <v>0</v>
      </c>
      <c r="BN403" s="136">
        <f t="shared" si="47"/>
        <v>0</v>
      </c>
      <c r="BO403" s="136">
        <f t="shared" si="47"/>
        <v>-3033077</v>
      </c>
      <c r="BP403" s="136">
        <f t="shared" si="47"/>
        <v>0</v>
      </c>
      <c r="BQ403" s="136">
        <f t="shared" si="47"/>
        <v>0</v>
      </c>
      <c r="BR403" s="136">
        <f t="shared" si="48"/>
        <v>0</v>
      </c>
      <c r="BS403" s="136">
        <f t="shared" si="48"/>
        <v>0</v>
      </c>
      <c r="BT403" s="136">
        <f t="shared" si="48"/>
        <v>6082343</v>
      </c>
      <c r="BU403" s="136">
        <f t="shared" si="48"/>
        <v>0</v>
      </c>
      <c r="BV403" s="136">
        <f t="shared" si="48"/>
        <v>0</v>
      </c>
      <c r="BW403" s="136">
        <f t="shared" si="48"/>
        <v>0</v>
      </c>
      <c r="BX403" s="136">
        <f t="shared" si="48"/>
        <v>0</v>
      </c>
      <c r="BZ403" s="136">
        <f t="shared" si="49"/>
        <v>0</v>
      </c>
      <c r="CA403" s="136">
        <f t="shared" si="49"/>
        <v>0</v>
      </c>
    </row>
    <row r="404" spans="5:79" hidden="1" x14ac:dyDescent="0.3">
      <c r="G404" s="136" t="e">
        <f>#REF!-#REF!</f>
        <v>#REF!</v>
      </c>
      <c r="H404" s="136" t="e">
        <f>#REF!-#REF!</f>
        <v>#REF!</v>
      </c>
      <c r="I404" s="136" t="e">
        <f>#REF!-#REF!</f>
        <v>#REF!</v>
      </c>
      <c r="J404" s="136" t="e">
        <f>#REF!-#REF!</f>
        <v>#REF!</v>
      </c>
      <c r="K404" s="136" t="e">
        <f>#REF!-#REF!</f>
        <v>#REF!</v>
      </c>
      <c r="L404" s="136" t="e">
        <f>#REF!-#REF!</f>
        <v>#REF!</v>
      </c>
      <c r="M404" s="136" t="e">
        <f>#REF!-#REF!</f>
        <v>#REF!</v>
      </c>
      <c r="N404" s="136" t="e">
        <f>#REF!-#REF!</f>
        <v>#REF!</v>
      </c>
      <c r="O404" s="136" t="e">
        <f>#REF!-#REF!</f>
        <v>#REF!</v>
      </c>
      <c r="P404" s="136" t="e">
        <f>#REF!-#REF!</f>
        <v>#REF!</v>
      </c>
      <c r="Q404" s="136" t="e">
        <f>#REF!-#REF!</f>
        <v>#REF!</v>
      </c>
      <c r="R404" s="136" t="e">
        <f>#REF!-#REF!</f>
        <v>#REF!</v>
      </c>
      <c r="S404" s="136" t="e">
        <f>#REF!-#REF!</f>
        <v>#REF!</v>
      </c>
      <c r="T404" s="136" t="e">
        <f>#REF!-#REF!</f>
        <v>#REF!</v>
      </c>
      <c r="U404" s="136" t="e">
        <f>#REF!-#REF!</f>
        <v>#REF!</v>
      </c>
      <c r="V404" s="136" t="e">
        <f>#REF!-#REF!</f>
        <v>#REF!</v>
      </c>
      <c r="W404" s="136" t="e">
        <f>#REF!-#REF!</f>
        <v>#REF!</v>
      </c>
      <c r="X404" s="136" t="e">
        <f>#REF!-#REF!</f>
        <v>#REF!</v>
      </c>
      <c r="Y404" s="136" t="e">
        <f>#REF!-#REF!</f>
        <v>#REF!</v>
      </c>
      <c r="Z404" s="136" t="e">
        <f>#REF!-#REF!</f>
        <v>#REF!</v>
      </c>
      <c r="AA404" s="136" t="e">
        <f>#REF!-#REF!</f>
        <v>#REF!</v>
      </c>
      <c r="AB404" s="136" t="e">
        <f>#REF!-#REF!</f>
        <v>#REF!</v>
      </c>
      <c r="AC404" s="136" t="e">
        <f>#REF!-#REF!</f>
        <v>#REF!</v>
      </c>
      <c r="AD404" s="136" t="e">
        <f>#REF!-#REF!</f>
        <v>#REF!</v>
      </c>
      <c r="AE404" s="136" t="e">
        <f>#REF!-#REF!</f>
        <v>#REF!</v>
      </c>
      <c r="AF404" s="136" t="e">
        <f>#REF!-#REF!</f>
        <v>#REF!</v>
      </c>
      <c r="AG404" s="136" t="e">
        <f>#REF!-#REF!</f>
        <v>#REF!</v>
      </c>
      <c r="AH404" s="136" t="e">
        <f>#REF!-#REF!</f>
        <v>#REF!</v>
      </c>
      <c r="AI404" s="136" t="e">
        <f>#REF!-#REF!</f>
        <v>#REF!</v>
      </c>
      <c r="AJ404" s="136" t="e">
        <f>#REF!-#REF!</f>
        <v>#REF!</v>
      </c>
      <c r="AK404" s="136" t="e">
        <f>#REF!-#REF!</f>
        <v>#REF!</v>
      </c>
      <c r="AL404" s="136" t="e">
        <f>#REF!-#REF!</f>
        <v>#REF!</v>
      </c>
      <c r="AM404" s="136" t="e">
        <f>#REF!-#REF!</f>
        <v>#REF!</v>
      </c>
      <c r="AN404" s="136" t="e">
        <f>#REF!-#REF!</f>
        <v>#REF!</v>
      </c>
      <c r="AO404" s="136" t="e">
        <f>#REF!-#REF!</f>
        <v>#REF!</v>
      </c>
      <c r="AP404" s="136" t="e">
        <f>#REF!-#REF!</f>
        <v>#REF!</v>
      </c>
      <c r="AQ404" s="136" t="e">
        <f>#REF!-#REF!</f>
        <v>#REF!</v>
      </c>
      <c r="AR404" s="136" t="e">
        <f>#REF!-#REF!</f>
        <v>#REF!</v>
      </c>
      <c r="AS404" s="136" t="e">
        <f>#REF!-#REF!</f>
        <v>#REF!</v>
      </c>
      <c r="AT404" s="136" t="e">
        <f>#REF!-#REF!</f>
        <v>#REF!</v>
      </c>
      <c r="AU404" s="136" t="e">
        <f>#REF!-#REF!</f>
        <v>#REF!</v>
      </c>
      <c r="AV404" s="136" t="e">
        <f>#REF!-#REF!</f>
        <v>#REF!</v>
      </c>
      <c r="AW404" s="136" t="e">
        <f>#REF!-#REF!</f>
        <v>#REF!</v>
      </c>
      <c r="AX404" s="136" t="e">
        <f>#REF!-#REF!</f>
        <v>#REF!</v>
      </c>
      <c r="AY404" s="136" t="e">
        <f>#REF!-#REF!</f>
        <v>#REF!</v>
      </c>
      <c r="AZ404" s="136" t="e">
        <f>#REF!-#REF!</f>
        <v>#REF!</v>
      </c>
      <c r="BA404" s="136" t="e">
        <f>#REF!-#REF!</f>
        <v>#REF!</v>
      </c>
      <c r="BB404" s="136" t="e">
        <f>#REF!-#REF!</f>
        <v>#REF!</v>
      </c>
      <c r="BC404" s="136" t="e">
        <f>#REF!-#REF!</f>
        <v>#REF!</v>
      </c>
      <c r="BD404" s="136" t="e">
        <f>#REF!-#REF!</f>
        <v>#REF!</v>
      </c>
      <c r="BE404" s="136" t="e">
        <f>#REF!-#REF!</f>
        <v>#REF!</v>
      </c>
      <c r="BF404" s="136" t="e">
        <f>#REF!-#REF!</f>
        <v>#REF!</v>
      </c>
      <c r="BG404" s="136" t="e">
        <f>#REF!-#REF!</f>
        <v>#REF!</v>
      </c>
      <c r="BH404" s="136" t="e">
        <f>#REF!-#REF!</f>
        <v>#REF!</v>
      </c>
      <c r="BI404" s="136" t="e">
        <f>#REF!-#REF!</f>
        <v>#REF!</v>
      </c>
      <c r="BJ404" s="136" t="e">
        <f>#REF!-#REF!</f>
        <v>#REF!</v>
      </c>
      <c r="BK404" s="136" t="e">
        <f>#REF!-#REF!</f>
        <v>#REF!</v>
      </c>
      <c r="BL404" s="136" t="e">
        <f>#REF!-#REF!</f>
        <v>#REF!</v>
      </c>
      <c r="BM404" s="136" t="e">
        <f>#REF!-#REF!</f>
        <v>#REF!</v>
      </c>
      <c r="BN404" s="136" t="e">
        <f>#REF!-#REF!</f>
        <v>#REF!</v>
      </c>
      <c r="BO404" s="136" t="e">
        <f>#REF!-#REF!</f>
        <v>#REF!</v>
      </c>
      <c r="BP404" s="136" t="e">
        <f>#REF!-#REF!</f>
        <v>#REF!</v>
      </c>
      <c r="BQ404" s="136" t="e">
        <f>#REF!-#REF!</f>
        <v>#REF!</v>
      </c>
      <c r="BR404" s="136" t="e">
        <f>#REF!-#REF!</f>
        <v>#REF!</v>
      </c>
      <c r="BS404" s="136" t="e">
        <f>#REF!-#REF!</f>
        <v>#REF!</v>
      </c>
      <c r="BT404" s="136" t="e">
        <f>#REF!-#REF!</f>
        <v>#REF!</v>
      </c>
      <c r="BU404" s="136" t="e">
        <f>#REF!-#REF!</f>
        <v>#REF!</v>
      </c>
      <c r="BV404" s="136" t="e">
        <f>#REF!-#REF!</f>
        <v>#REF!</v>
      </c>
      <c r="BW404" s="136" t="e">
        <f>#REF!-#REF!</f>
        <v>#REF!</v>
      </c>
      <c r="BX404" s="136" t="e">
        <f>#REF!-#REF!</f>
        <v>#REF!</v>
      </c>
      <c r="BZ404" s="136" t="e">
        <f>#REF!-#REF!</f>
        <v>#REF!</v>
      </c>
      <c r="CA404" s="136" t="e">
        <f>#REF!-#REF!</f>
        <v>#REF!</v>
      </c>
    </row>
    <row r="405" spans="5:79" hidden="1" x14ac:dyDescent="0.3">
      <c r="G405" s="136">
        <f t="shared" ref="G405:BR408" si="50">G11-BY11</f>
        <v>0</v>
      </c>
      <c r="H405" s="136">
        <f t="shared" si="50"/>
        <v>0</v>
      </c>
      <c r="I405" s="136">
        <f t="shared" si="50"/>
        <v>0</v>
      </c>
      <c r="J405" s="136">
        <f t="shared" si="50"/>
        <v>0</v>
      </c>
      <c r="K405" s="136">
        <f t="shared" si="50"/>
        <v>0</v>
      </c>
      <c r="L405" s="136">
        <f t="shared" si="50"/>
        <v>0</v>
      </c>
      <c r="M405" s="136">
        <f t="shared" si="50"/>
        <v>0</v>
      </c>
      <c r="N405" s="136">
        <f t="shared" si="50"/>
        <v>0</v>
      </c>
      <c r="O405" s="136">
        <f t="shared" si="50"/>
        <v>0</v>
      </c>
      <c r="P405" s="136">
        <f t="shared" si="50"/>
        <v>0</v>
      </c>
      <c r="Q405" s="136">
        <f t="shared" si="50"/>
        <v>0</v>
      </c>
      <c r="R405" s="136">
        <f t="shared" si="50"/>
        <v>0</v>
      </c>
      <c r="S405" s="136">
        <f t="shared" si="50"/>
        <v>0</v>
      </c>
      <c r="T405" s="136">
        <f t="shared" si="50"/>
        <v>0</v>
      </c>
      <c r="U405" s="136">
        <f t="shared" si="50"/>
        <v>0</v>
      </c>
      <c r="V405" s="136">
        <f t="shared" si="50"/>
        <v>0</v>
      </c>
      <c r="W405" s="136">
        <f t="shared" si="50"/>
        <v>0</v>
      </c>
      <c r="X405" s="136">
        <f t="shared" si="50"/>
        <v>0</v>
      </c>
      <c r="Y405" s="136">
        <f t="shared" si="50"/>
        <v>0</v>
      </c>
      <c r="Z405" s="136">
        <f t="shared" si="50"/>
        <v>0</v>
      </c>
      <c r="AA405" s="136">
        <f t="shared" si="50"/>
        <v>0</v>
      </c>
      <c r="AB405" s="136">
        <f t="shared" si="50"/>
        <v>0</v>
      </c>
      <c r="AC405" s="136">
        <f t="shared" si="50"/>
        <v>0</v>
      </c>
      <c r="AD405" s="136">
        <f t="shared" si="50"/>
        <v>0</v>
      </c>
      <c r="AE405" s="136">
        <f t="shared" si="50"/>
        <v>0</v>
      </c>
      <c r="AF405" s="136">
        <f t="shared" si="50"/>
        <v>0</v>
      </c>
      <c r="AG405" s="136">
        <f t="shared" si="50"/>
        <v>0</v>
      </c>
      <c r="AH405" s="136">
        <f t="shared" si="50"/>
        <v>0</v>
      </c>
      <c r="AI405" s="136">
        <f t="shared" si="50"/>
        <v>0</v>
      </c>
      <c r="AJ405" s="136">
        <f t="shared" si="50"/>
        <v>0</v>
      </c>
      <c r="AK405" s="136">
        <f t="shared" si="50"/>
        <v>0</v>
      </c>
      <c r="AL405" s="136">
        <f t="shared" si="50"/>
        <v>0</v>
      </c>
      <c r="AM405" s="136">
        <f t="shared" si="50"/>
        <v>0</v>
      </c>
      <c r="AN405" s="136">
        <f t="shared" si="50"/>
        <v>0</v>
      </c>
      <c r="AO405" s="136">
        <f t="shared" si="50"/>
        <v>0</v>
      </c>
      <c r="AP405" s="136">
        <f t="shared" si="50"/>
        <v>0</v>
      </c>
      <c r="AQ405" s="136">
        <f t="shared" si="50"/>
        <v>0</v>
      </c>
      <c r="AR405" s="136">
        <f t="shared" si="50"/>
        <v>0</v>
      </c>
      <c r="AS405" s="136">
        <f t="shared" si="50"/>
        <v>0</v>
      </c>
      <c r="AT405" s="136">
        <f t="shared" si="50"/>
        <v>0</v>
      </c>
      <c r="AU405" s="136">
        <f t="shared" si="50"/>
        <v>0</v>
      </c>
      <c r="AV405" s="136">
        <f t="shared" si="50"/>
        <v>0</v>
      </c>
      <c r="AW405" s="136">
        <f t="shared" si="50"/>
        <v>0</v>
      </c>
      <c r="AX405" s="136">
        <f t="shared" si="50"/>
        <v>0</v>
      </c>
      <c r="AY405" s="136">
        <f t="shared" si="50"/>
        <v>0</v>
      </c>
      <c r="AZ405" s="136">
        <f t="shared" si="50"/>
        <v>0</v>
      </c>
      <c r="BA405" s="136">
        <f t="shared" si="50"/>
        <v>0</v>
      </c>
      <c r="BB405" s="136">
        <f t="shared" si="50"/>
        <v>0</v>
      </c>
      <c r="BC405" s="136">
        <f t="shared" si="50"/>
        <v>0</v>
      </c>
      <c r="BD405" s="136">
        <f t="shared" si="50"/>
        <v>0</v>
      </c>
      <c r="BE405" s="136">
        <f t="shared" si="50"/>
        <v>0</v>
      </c>
      <c r="BF405" s="136">
        <f t="shared" si="50"/>
        <v>0</v>
      </c>
      <c r="BG405" s="136">
        <f t="shared" si="50"/>
        <v>0</v>
      </c>
      <c r="BH405" s="136">
        <f t="shared" si="50"/>
        <v>0</v>
      </c>
      <c r="BI405" s="136">
        <f t="shared" si="50"/>
        <v>0</v>
      </c>
      <c r="BJ405" s="136">
        <f t="shared" si="50"/>
        <v>0</v>
      </c>
      <c r="BK405" s="136">
        <f t="shared" si="50"/>
        <v>0</v>
      </c>
      <c r="BL405" s="136">
        <f t="shared" si="50"/>
        <v>0</v>
      </c>
      <c r="BM405" s="136">
        <f t="shared" si="50"/>
        <v>0</v>
      </c>
      <c r="BN405" s="136">
        <f t="shared" si="50"/>
        <v>0</v>
      </c>
      <c r="BO405" s="136">
        <f t="shared" si="50"/>
        <v>0</v>
      </c>
      <c r="BP405" s="136">
        <f t="shared" si="50"/>
        <v>0</v>
      </c>
      <c r="BQ405" s="136">
        <f t="shared" si="50"/>
        <v>0</v>
      </c>
      <c r="BR405" s="136">
        <f t="shared" si="50"/>
        <v>0</v>
      </c>
      <c r="BS405" s="136">
        <f t="shared" ref="BS405:BX413" si="51">BS11-EK11</f>
        <v>0</v>
      </c>
      <c r="BT405" s="136">
        <f t="shared" si="51"/>
        <v>0</v>
      </c>
      <c r="BU405" s="136">
        <f t="shared" si="51"/>
        <v>0</v>
      </c>
      <c r="BV405" s="136">
        <f t="shared" si="51"/>
        <v>0</v>
      </c>
      <c r="BW405" s="136">
        <f t="shared" si="51"/>
        <v>0</v>
      </c>
      <c r="BX405" s="136">
        <f t="shared" si="51"/>
        <v>0</v>
      </c>
      <c r="BZ405" s="136">
        <f t="shared" ref="BZ405:CA413" si="52">BZ11-ER11</f>
        <v>0</v>
      </c>
      <c r="CA405" s="136">
        <f t="shared" si="52"/>
        <v>0</v>
      </c>
    </row>
    <row r="406" spans="5:79" hidden="1" x14ac:dyDescent="0.3">
      <c r="G406" s="136">
        <f t="shared" si="50"/>
        <v>2749248</v>
      </c>
      <c r="H406" s="136">
        <f t="shared" si="50"/>
        <v>0</v>
      </c>
      <c r="I406" s="136">
        <f t="shared" si="50"/>
        <v>0</v>
      </c>
      <c r="J406" s="136">
        <f t="shared" si="50"/>
        <v>0</v>
      </c>
      <c r="K406" s="136">
        <f t="shared" si="50"/>
        <v>0</v>
      </c>
      <c r="L406" s="136">
        <f t="shared" si="50"/>
        <v>-8497467</v>
      </c>
      <c r="M406" s="136">
        <f t="shared" si="50"/>
        <v>0</v>
      </c>
      <c r="N406" s="136">
        <f t="shared" si="50"/>
        <v>0</v>
      </c>
      <c r="O406" s="136">
        <f t="shared" si="50"/>
        <v>0</v>
      </c>
      <c r="P406" s="136">
        <f t="shared" si="50"/>
        <v>0</v>
      </c>
      <c r="Q406" s="136">
        <f t="shared" si="50"/>
        <v>-794622</v>
      </c>
      <c r="R406" s="136">
        <f t="shared" si="50"/>
        <v>0</v>
      </c>
      <c r="S406" s="136">
        <f t="shared" si="50"/>
        <v>0</v>
      </c>
      <c r="T406" s="136">
        <f t="shared" si="50"/>
        <v>0</v>
      </c>
      <c r="U406" s="136">
        <f t="shared" si="50"/>
        <v>0</v>
      </c>
      <c r="V406" s="136">
        <f t="shared" si="50"/>
        <v>1818932</v>
      </c>
      <c r="W406" s="136">
        <f t="shared" si="50"/>
        <v>0</v>
      </c>
      <c r="X406" s="136">
        <f t="shared" si="50"/>
        <v>0</v>
      </c>
      <c r="Y406" s="136">
        <f t="shared" si="50"/>
        <v>0</v>
      </c>
      <c r="Z406" s="136">
        <f t="shared" si="50"/>
        <v>0</v>
      </c>
      <c r="AA406" s="136">
        <f t="shared" si="50"/>
        <v>19399721</v>
      </c>
      <c r="AB406" s="136">
        <f t="shared" si="50"/>
        <v>0</v>
      </c>
      <c r="AC406" s="136">
        <f t="shared" si="50"/>
        <v>0</v>
      </c>
      <c r="AD406" s="136">
        <f t="shared" si="50"/>
        <v>0</v>
      </c>
      <c r="AE406" s="136">
        <f t="shared" si="50"/>
        <v>0</v>
      </c>
      <c r="AF406" s="136">
        <f t="shared" si="50"/>
        <v>7888697</v>
      </c>
      <c r="AG406" s="136">
        <f t="shared" si="50"/>
        <v>0</v>
      </c>
      <c r="AH406" s="136">
        <f t="shared" si="50"/>
        <v>0</v>
      </c>
      <c r="AI406" s="136">
        <f t="shared" si="50"/>
        <v>0</v>
      </c>
      <c r="AJ406" s="136">
        <f t="shared" si="50"/>
        <v>0</v>
      </c>
      <c r="AK406" s="136">
        <f t="shared" si="50"/>
        <v>13609131</v>
      </c>
      <c r="AL406" s="136">
        <f t="shared" si="50"/>
        <v>0</v>
      </c>
      <c r="AM406" s="136">
        <f t="shared" si="50"/>
        <v>0</v>
      </c>
      <c r="AN406" s="136">
        <f t="shared" si="50"/>
        <v>0</v>
      </c>
      <c r="AO406" s="136">
        <f t="shared" si="50"/>
        <v>0</v>
      </c>
      <c r="AP406" s="136">
        <f t="shared" si="50"/>
        <v>643936</v>
      </c>
      <c r="AQ406" s="136">
        <f t="shared" si="50"/>
        <v>0</v>
      </c>
      <c r="AR406" s="136">
        <f t="shared" si="50"/>
        <v>0</v>
      </c>
      <c r="AS406" s="136">
        <f t="shared" si="50"/>
        <v>0</v>
      </c>
      <c r="AT406" s="136">
        <f t="shared" si="50"/>
        <v>0</v>
      </c>
      <c r="AU406" s="136">
        <f t="shared" si="50"/>
        <v>12794411</v>
      </c>
      <c r="AV406" s="136">
        <f t="shared" si="50"/>
        <v>0</v>
      </c>
      <c r="AW406" s="136">
        <f t="shared" si="50"/>
        <v>0</v>
      </c>
      <c r="AX406" s="136">
        <f t="shared" si="50"/>
        <v>0</v>
      </c>
      <c r="AY406" s="136">
        <f t="shared" si="50"/>
        <v>0</v>
      </c>
      <c r="AZ406" s="136">
        <f t="shared" si="50"/>
        <v>-6089013</v>
      </c>
      <c r="BA406" s="136">
        <f t="shared" si="50"/>
        <v>0</v>
      </c>
      <c r="BB406" s="136">
        <f t="shared" si="50"/>
        <v>0</v>
      </c>
      <c r="BC406" s="136">
        <f t="shared" si="50"/>
        <v>0</v>
      </c>
      <c r="BD406" s="136">
        <f t="shared" si="50"/>
        <v>0</v>
      </c>
      <c r="BE406" s="136">
        <f t="shared" si="50"/>
        <v>-2115498</v>
      </c>
      <c r="BF406" s="136">
        <f t="shared" si="50"/>
        <v>0</v>
      </c>
      <c r="BG406" s="136">
        <f t="shared" si="50"/>
        <v>0</v>
      </c>
      <c r="BH406" s="136">
        <f t="shared" si="50"/>
        <v>0</v>
      </c>
      <c r="BI406" s="136">
        <f t="shared" si="50"/>
        <v>0</v>
      </c>
      <c r="BJ406" s="136">
        <f t="shared" si="50"/>
        <v>-28691924</v>
      </c>
      <c r="BK406" s="136">
        <f t="shared" si="50"/>
        <v>0</v>
      </c>
      <c r="BL406" s="136">
        <f t="shared" si="50"/>
        <v>0</v>
      </c>
      <c r="BM406" s="136">
        <f t="shared" si="50"/>
        <v>0</v>
      </c>
      <c r="BN406" s="136">
        <f t="shared" si="50"/>
        <v>0</v>
      </c>
      <c r="BO406" s="136">
        <f t="shared" si="50"/>
        <v>-28529070</v>
      </c>
      <c r="BP406" s="136">
        <f t="shared" si="50"/>
        <v>0</v>
      </c>
      <c r="BQ406" s="136">
        <f t="shared" si="50"/>
        <v>0</v>
      </c>
      <c r="BR406" s="136">
        <f t="shared" si="50"/>
        <v>0</v>
      </c>
      <c r="BS406" s="136">
        <f t="shared" si="51"/>
        <v>0</v>
      </c>
      <c r="BT406" s="136">
        <f t="shared" si="51"/>
        <v>38658228</v>
      </c>
      <c r="BU406" s="136">
        <f t="shared" si="51"/>
        <v>0</v>
      </c>
      <c r="BV406" s="136">
        <f t="shared" si="51"/>
        <v>0</v>
      </c>
      <c r="BW406" s="136">
        <f t="shared" si="51"/>
        <v>0</v>
      </c>
      <c r="BX406" s="136">
        <f t="shared" si="51"/>
        <v>0</v>
      </c>
      <c r="BZ406" s="136">
        <f t="shared" si="52"/>
        <v>0</v>
      </c>
      <c r="CA406" s="136">
        <f t="shared" si="52"/>
        <v>0</v>
      </c>
    </row>
    <row r="407" spans="5:79" hidden="1" x14ac:dyDescent="0.3">
      <c r="G407" s="136">
        <f t="shared" si="50"/>
        <v>28912355</v>
      </c>
      <c r="H407" s="136">
        <f t="shared" si="50"/>
        <v>0</v>
      </c>
      <c r="I407" s="136">
        <f t="shared" si="50"/>
        <v>0</v>
      </c>
      <c r="J407" s="136">
        <f t="shared" si="50"/>
        <v>0</v>
      </c>
      <c r="K407" s="136">
        <f t="shared" si="50"/>
        <v>0</v>
      </c>
      <c r="L407" s="136">
        <f t="shared" si="50"/>
        <v>-6823405</v>
      </c>
      <c r="M407" s="136">
        <f t="shared" si="50"/>
        <v>0</v>
      </c>
      <c r="N407" s="136">
        <f t="shared" si="50"/>
        <v>0</v>
      </c>
      <c r="O407" s="136">
        <f t="shared" si="50"/>
        <v>0</v>
      </c>
      <c r="P407" s="136">
        <f t="shared" si="50"/>
        <v>0</v>
      </c>
      <c r="Q407" s="136">
        <f t="shared" si="50"/>
        <v>-34740</v>
      </c>
      <c r="R407" s="136">
        <f t="shared" si="50"/>
        <v>0</v>
      </c>
      <c r="S407" s="136">
        <f t="shared" si="50"/>
        <v>0</v>
      </c>
      <c r="T407" s="136">
        <f t="shared" si="50"/>
        <v>0</v>
      </c>
      <c r="U407" s="136">
        <f t="shared" si="50"/>
        <v>0</v>
      </c>
      <c r="V407" s="136">
        <f t="shared" si="50"/>
        <v>-106065</v>
      </c>
      <c r="W407" s="136">
        <f t="shared" si="50"/>
        <v>0</v>
      </c>
      <c r="X407" s="136">
        <f t="shared" si="50"/>
        <v>0</v>
      </c>
      <c r="Y407" s="136">
        <f t="shared" si="50"/>
        <v>0</v>
      </c>
      <c r="Z407" s="136">
        <f t="shared" si="50"/>
        <v>0</v>
      </c>
      <c r="AA407" s="136">
        <f t="shared" si="50"/>
        <v>17260702</v>
      </c>
      <c r="AB407" s="136">
        <f t="shared" si="50"/>
        <v>0</v>
      </c>
      <c r="AC407" s="136">
        <f t="shared" si="50"/>
        <v>0</v>
      </c>
      <c r="AD407" s="136">
        <f t="shared" si="50"/>
        <v>0</v>
      </c>
      <c r="AE407" s="136">
        <f t="shared" si="50"/>
        <v>0</v>
      </c>
      <c r="AF407" s="136">
        <f t="shared" si="50"/>
        <v>5688535</v>
      </c>
      <c r="AG407" s="136">
        <f t="shared" si="50"/>
        <v>0</v>
      </c>
      <c r="AH407" s="136">
        <f t="shared" si="50"/>
        <v>0</v>
      </c>
      <c r="AI407" s="136">
        <f t="shared" si="50"/>
        <v>0</v>
      </c>
      <c r="AJ407" s="136">
        <f t="shared" si="50"/>
        <v>0</v>
      </c>
      <c r="AK407" s="136">
        <f t="shared" si="50"/>
        <v>12213987</v>
      </c>
      <c r="AL407" s="136">
        <f t="shared" si="50"/>
        <v>0</v>
      </c>
      <c r="AM407" s="136">
        <f t="shared" si="50"/>
        <v>0</v>
      </c>
      <c r="AN407" s="136">
        <f t="shared" si="50"/>
        <v>0</v>
      </c>
      <c r="AO407" s="136">
        <f t="shared" si="50"/>
        <v>0</v>
      </c>
      <c r="AP407" s="136">
        <f t="shared" si="50"/>
        <v>679460</v>
      </c>
      <c r="AQ407" s="136">
        <f t="shared" si="50"/>
        <v>0</v>
      </c>
      <c r="AR407" s="136">
        <f t="shared" si="50"/>
        <v>0</v>
      </c>
      <c r="AS407" s="136">
        <f t="shared" si="50"/>
        <v>0</v>
      </c>
      <c r="AT407" s="136">
        <f t="shared" si="50"/>
        <v>0</v>
      </c>
      <c r="AU407" s="136">
        <f t="shared" si="50"/>
        <v>10029000</v>
      </c>
      <c r="AV407" s="136">
        <f t="shared" si="50"/>
        <v>0</v>
      </c>
      <c r="AW407" s="136">
        <f t="shared" si="50"/>
        <v>0</v>
      </c>
      <c r="AX407" s="136">
        <f t="shared" si="50"/>
        <v>0</v>
      </c>
      <c r="AY407" s="136">
        <f t="shared" si="50"/>
        <v>0</v>
      </c>
      <c r="AZ407" s="136">
        <f t="shared" si="50"/>
        <v>-4201643</v>
      </c>
      <c r="BA407" s="136">
        <f t="shared" si="50"/>
        <v>0</v>
      </c>
      <c r="BB407" s="136">
        <f t="shared" si="50"/>
        <v>0</v>
      </c>
      <c r="BC407" s="136">
        <f t="shared" si="50"/>
        <v>0</v>
      </c>
      <c r="BD407" s="136">
        <f t="shared" si="50"/>
        <v>0</v>
      </c>
      <c r="BE407" s="136">
        <f t="shared" si="50"/>
        <v>-1182246</v>
      </c>
      <c r="BF407" s="136">
        <f t="shared" si="50"/>
        <v>0</v>
      </c>
      <c r="BG407" s="136">
        <f t="shared" si="50"/>
        <v>0</v>
      </c>
      <c r="BH407" s="136">
        <f t="shared" si="50"/>
        <v>0</v>
      </c>
      <c r="BI407" s="136">
        <f t="shared" si="50"/>
        <v>0</v>
      </c>
      <c r="BJ407" s="136">
        <f t="shared" si="50"/>
        <v>-23509279</v>
      </c>
      <c r="BK407" s="136">
        <f t="shared" si="50"/>
        <v>0</v>
      </c>
      <c r="BL407" s="136">
        <f t="shared" si="50"/>
        <v>0</v>
      </c>
      <c r="BM407" s="136">
        <f t="shared" si="50"/>
        <v>0</v>
      </c>
      <c r="BN407" s="136">
        <f t="shared" si="50"/>
        <v>0</v>
      </c>
      <c r="BO407" s="136">
        <f t="shared" si="50"/>
        <v>-23579973</v>
      </c>
      <c r="BP407" s="136">
        <f t="shared" si="50"/>
        <v>0</v>
      </c>
      <c r="BQ407" s="136">
        <f t="shared" si="50"/>
        <v>0</v>
      </c>
      <c r="BR407" s="136">
        <f t="shared" si="50"/>
        <v>0</v>
      </c>
      <c r="BS407" s="136">
        <f t="shared" si="51"/>
        <v>0</v>
      </c>
      <c r="BT407" s="136">
        <f t="shared" si="51"/>
        <v>33523585</v>
      </c>
      <c r="BU407" s="136">
        <f t="shared" si="51"/>
        <v>0</v>
      </c>
      <c r="BV407" s="136">
        <f t="shared" si="51"/>
        <v>0</v>
      </c>
      <c r="BW407" s="136">
        <f t="shared" si="51"/>
        <v>0</v>
      </c>
      <c r="BX407" s="136">
        <f t="shared" si="51"/>
        <v>0</v>
      </c>
      <c r="BZ407" s="136">
        <f t="shared" si="52"/>
        <v>0</v>
      </c>
      <c r="CA407" s="136">
        <f t="shared" si="52"/>
        <v>0</v>
      </c>
    </row>
    <row r="408" spans="5:79" hidden="1" x14ac:dyDescent="0.3">
      <c r="G408" s="136">
        <f t="shared" si="50"/>
        <v>-3217626</v>
      </c>
      <c r="H408" s="136">
        <f t="shared" si="50"/>
        <v>0</v>
      </c>
      <c r="I408" s="136">
        <f t="shared" si="50"/>
        <v>0</v>
      </c>
      <c r="J408" s="136">
        <f t="shared" si="50"/>
        <v>0</v>
      </c>
      <c r="K408" s="136">
        <f t="shared" si="50"/>
        <v>0</v>
      </c>
      <c r="L408" s="136">
        <f t="shared" si="50"/>
        <v>-2287368</v>
      </c>
      <c r="M408" s="136">
        <f t="shared" si="50"/>
        <v>0</v>
      </c>
      <c r="N408" s="136">
        <f t="shared" si="50"/>
        <v>0</v>
      </c>
      <c r="O408" s="136">
        <f t="shared" si="50"/>
        <v>0</v>
      </c>
      <c r="P408" s="136">
        <f t="shared" si="50"/>
        <v>0</v>
      </c>
      <c r="Q408" s="136">
        <f t="shared" si="50"/>
        <v>-129454</v>
      </c>
      <c r="R408" s="136">
        <f t="shared" si="50"/>
        <v>0</v>
      </c>
      <c r="S408" s="136">
        <f t="shared" si="50"/>
        <v>0</v>
      </c>
      <c r="T408" s="136">
        <f t="shared" si="50"/>
        <v>0</v>
      </c>
      <c r="U408" s="136">
        <f t="shared" si="50"/>
        <v>0</v>
      </c>
      <c r="V408" s="136">
        <f t="shared" si="50"/>
        <v>1502564</v>
      </c>
      <c r="W408" s="136">
        <f t="shared" si="50"/>
        <v>0</v>
      </c>
      <c r="X408" s="136">
        <f t="shared" si="50"/>
        <v>0</v>
      </c>
      <c r="Y408" s="136">
        <f t="shared" si="50"/>
        <v>0</v>
      </c>
      <c r="Z408" s="136">
        <f t="shared" si="50"/>
        <v>0</v>
      </c>
      <c r="AA408" s="136">
        <f t="shared" si="50"/>
        <v>2134378</v>
      </c>
      <c r="AB408" s="136">
        <f t="shared" si="50"/>
        <v>0</v>
      </c>
      <c r="AC408" s="136">
        <f t="shared" si="50"/>
        <v>0</v>
      </c>
      <c r="AD408" s="136">
        <f t="shared" si="50"/>
        <v>0</v>
      </c>
      <c r="AE408" s="136">
        <f t="shared" si="50"/>
        <v>0</v>
      </c>
      <c r="AF408" s="136">
        <f t="shared" si="50"/>
        <v>1459595</v>
      </c>
      <c r="AG408" s="136">
        <f t="shared" si="50"/>
        <v>0</v>
      </c>
      <c r="AH408" s="136">
        <f t="shared" si="50"/>
        <v>0</v>
      </c>
      <c r="AI408" s="136">
        <f t="shared" si="50"/>
        <v>0</v>
      </c>
      <c r="AJ408" s="136">
        <f t="shared" si="50"/>
        <v>0</v>
      </c>
      <c r="AK408" s="136">
        <f t="shared" si="50"/>
        <v>1506772</v>
      </c>
      <c r="AL408" s="136">
        <f t="shared" si="50"/>
        <v>0</v>
      </c>
      <c r="AM408" s="136">
        <f t="shared" si="50"/>
        <v>0</v>
      </c>
      <c r="AN408" s="136">
        <f t="shared" si="50"/>
        <v>0</v>
      </c>
      <c r="AO408" s="136">
        <f t="shared" si="50"/>
        <v>0</v>
      </c>
      <c r="AP408" s="136">
        <f t="shared" si="50"/>
        <v>-304560</v>
      </c>
      <c r="AQ408" s="136">
        <f t="shared" si="50"/>
        <v>0</v>
      </c>
      <c r="AR408" s="136">
        <f t="shared" si="50"/>
        <v>0</v>
      </c>
      <c r="AS408" s="136">
        <f t="shared" si="50"/>
        <v>0</v>
      </c>
      <c r="AT408" s="136">
        <f t="shared" si="50"/>
        <v>0</v>
      </c>
      <c r="AU408" s="136">
        <f t="shared" si="50"/>
        <v>1867756</v>
      </c>
      <c r="AV408" s="136">
        <f t="shared" si="50"/>
        <v>0</v>
      </c>
      <c r="AW408" s="136">
        <f t="shared" si="50"/>
        <v>0</v>
      </c>
      <c r="AX408" s="136">
        <f t="shared" si="50"/>
        <v>0</v>
      </c>
      <c r="AY408" s="136">
        <f t="shared" si="50"/>
        <v>0</v>
      </c>
      <c r="AZ408" s="136">
        <f t="shared" si="50"/>
        <v>-570672</v>
      </c>
      <c r="BA408" s="136">
        <f t="shared" si="50"/>
        <v>0</v>
      </c>
      <c r="BB408" s="136">
        <f t="shared" si="50"/>
        <v>0</v>
      </c>
      <c r="BC408" s="136">
        <f t="shared" si="50"/>
        <v>0</v>
      </c>
      <c r="BD408" s="136">
        <f t="shared" si="50"/>
        <v>0</v>
      </c>
      <c r="BE408" s="136">
        <f t="shared" si="50"/>
        <v>-165352</v>
      </c>
      <c r="BF408" s="136">
        <f t="shared" si="50"/>
        <v>0</v>
      </c>
      <c r="BG408" s="136">
        <f t="shared" si="50"/>
        <v>0</v>
      </c>
      <c r="BH408" s="136">
        <f t="shared" si="50"/>
        <v>0</v>
      </c>
      <c r="BI408" s="136">
        <f t="shared" si="50"/>
        <v>0</v>
      </c>
      <c r="BJ408" s="136">
        <f t="shared" si="50"/>
        <v>-3208682</v>
      </c>
      <c r="BK408" s="136">
        <f t="shared" si="50"/>
        <v>0</v>
      </c>
      <c r="BL408" s="136">
        <f t="shared" si="50"/>
        <v>0</v>
      </c>
      <c r="BM408" s="136">
        <f t="shared" si="50"/>
        <v>0</v>
      </c>
      <c r="BN408" s="136">
        <f t="shared" si="50"/>
        <v>0</v>
      </c>
      <c r="BO408" s="136">
        <f t="shared" si="50"/>
        <v>-3095740</v>
      </c>
      <c r="BP408" s="136">
        <f t="shared" si="50"/>
        <v>0</v>
      </c>
      <c r="BQ408" s="136">
        <f t="shared" si="50"/>
        <v>0</v>
      </c>
      <c r="BR408" s="136">
        <f t="shared" ref="BR408:BR413" si="53">BR14-EJ14</f>
        <v>0</v>
      </c>
      <c r="BS408" s="136">
        <f t="shared" si="51"/>
        <v>0</v>
      </c>
      <c r="BT408" s="136">
        <f t="shared" si="51"/>
        <v>5013659</v>
      </c>
      <c r="BU408" s="136">
        <f t="shared" si="51"/>
        <v>0</v>
      </c>
      <c r="BV408" s="136">
        <f t="shared" si="51"/>
        <v>0</v>
      </c>
      <c r="BW408" s="136">
        <f t="shared" si="51"/>
        <v>0</v>
      </c>
      <c r="BX408" s="136">
        <f t="shared" si="51"/>
        <v>0</v>
      </c>
      <c r="BZ408" s="136">
        <f t="shared" si="52"/>
        <v>0</v>
      </c>
      <c r="CA408" s="136">
        <f t="shared" si="52"/>
        <v>0</v>
      </c>
    </row>
    <row r="409" spans="5:79" hidden="1" x14ac:dyDescent="0.3">
      <c r="G409" s="136">
        <f t="shared" ref="G409:BQ413" si="54">G15-BY15</f>
        <v>1380512</v>
      </c>
      <c r="H409" s="136">
        <f t="shared" si="54"/>
        <v>0</v>
      </c>
      <c r="I409" s="136">
        <f t="shared" si="54"/>
        <v>0</v>
      </c>
      <c r="J409" s="136">
        <f t="shared" si="54"/>
        <v>0</v>
      </c>
      <c r="K409" s="136">
        <f t="shared" si="54"/>
        <v>0</v>
      </c>
      <c r="L409" s="136">
        <f t="shared" si="54"/>
        <v>493</v>
      </c>
      <c r="M409" s="136">
        <f t="shared" si="54"/>
        <v>0</v>
      </c>
      <c r="N409" s="136">
        <f t="shared" si="54"/>
        <v>0</v>
      </c>
      <c r="O409" s="136">
        <f t="shared" si="54"/>
        <v>0</v>
      </c>
      <c r="P409" s="136">
        <f t="shared" si="54"/>
        <v>0</v>
      </c>
      <c r="Q409" s="136">
        <f t="shared" si="54"/>
        <v>193807</v>
      </c>
      <c r="R409" s="136">
        <f t="shared" si="54"/>
        <v>0</v>
      </c>
      <c r="S409" s="136">
        <f t="shared" si="54"/>
        <v>0</v>
      </c>
      <c r="T409" s="136">
        <f t="shared" si="54"/>
        <v>0</v>
      </c>
      <c r="U409" s="136">
        <f t="shared" si="54"/>
        <v>0</v>
      </c>
      <c r="V409" s="136">
        <f t="shared" si="54"/>
        <v>200</v>
      </c>
      <c r="W409" s="136">
        <f t="shared" si="54"/>
        <v>0</v>
      </c>
      <c r="X409" s="136">
        <f t="shared" si="54"/>
        <v>0</v>
      </c>
      <c r="Y409" s="136">
        <f t="shared" si="54"/>
        <v>0</v>
      </c>
      <c r="Z409" s="136">
        <f t="shared" si="54"/>
        <v>0</v>
      </c>
      <c r="AA409" s="136">
        <f t="shared" si="54"/>
        <v>182826</v>
      </c>
      <c r="AB409" s="136">
        <f t="shared" si="54"/>
        <v>0</v>
      </c>
      <c r="AC409" s="136">
        <f t="shared" si="54"/>
        <v>0</v>
      </c>
      <c r="AD409" s="136">
        <f t="shared" si="54"/>
        <v>0</v>
      </c>
      <c r="AE409" s="136">
        <f t="shared" si="54"/>
        <v>0</v>
      </c>
      <c r="AF409" s="136">
        <f t="shared" si="54"/>
        <v>-27779</v>
      </c>
      <c r="AG409" s="136">
        <f t="shared" si="54"/>
        <v>0</v>
      </c>
      <c r="AH409" s="136">
        <f t="shared" si="54"/>
        <v>0</v>
      </c>
      <c r="AI409" s="136">
        <f t="shared" si="54"/>
        <v>0</v>
      </c>
      <c r="AJ409" s="136">
        <f t="shared" si="54"/>
        <v>0</v>
      </c>
      <c r="AK409" s="136">
        <f t="shared" si="54"/>
        <v>-116280</v>
      </c>
      <c r="AL409" s="136">
        <f t="shared" si="54"/>
        <v>0</v>
      </c>
      <c r="AM409" s="136">
        <f t="shared" si="54"/>
        <v>0</v>
      </c>
      <c r="AN409" s="136">
        <f t="shared" si="54"/>
        <v>0</v>
      </c>
      <c r="AO409" s="136">
        <f t="shared" si="54"/>
        <v>0</v>
      </c>
      <c r="AP409" s="136">
        <f t="shared" si="54"/>
        <v>-158830</v>
      </c>
      <c r="AQ409" s="136">
        <f t="shared" si="54"/>
        <v>0</v>
      </c>
      <c r="AR409" s="136">
        <f t="shared" si="54"/>
        <v>0</v>
      </c>
      <c r="AS409" s="136">
        <f t="shared" si="54"/>
        <v>0</v>
      </c>
      <c r="AT409" s="136">
        <f t="shared" si="54"/>
        <v>0</v>
      </c>
      <c r="AU409" s="136">
        <f t="shared" si="54"/>
        <v>-139872</v>
      </c>
      <c r="AV409" s="136">
        <f t="shared" si="54"/>
        <v>0</v>
      </c>
      <c r="AW409" s="136">
        <f t="shared" si="54"/>
        <v>0</v>
      </c>
      <c r="AX409" s="136">
        <f t="shared" si="54"/>
        <v>0</v>
      </c>
      <c r="AY409" s="136">
        <f t="shared" si="54"/>
        <v>0</v>
      </c>
      <c r="AZ409" s="136">
        <f t="shared" si="54"/>
        <v>0</v>
      </c>
      <c r="BA409" s="136">
        <f t="shared" si="54"/>
        <v>0</v>
      </c>
      <c r="BB409" s="136">
        <f t="shared" si="54"/>
        <v>0</v>
      </c>
      <c r="BC409" s="136">
        <f t="shared" si="54"/>
        <v>0</v>
      </c>
      <c r="BD409" s="136">
        <f t="shared" si="54"/>
        <v>0</v>
      </c>
      <c r="BE409" s="136">
        <f t="shared" si="54"/>
        <v>361232</v>
      </c>
      <c r="BF409" s="136">
        <f t="shared" si="54"/>
        <v>0</v>
      </c>
      <c r="BG409" s="136">
        <f t="shared" si="54"/>
        <v>0</v>
      </c>
      <c r="BH409" s="136">
        <f t="shared" si="54"/>
        <v>0</v>
      </c>
      <c r="BI409" s="136">
        <f t="shared" si="54"/>
        <v>0</v>
      </c>
      <c r="BJ409" s="136">
        <f t="shared" si="54"/>
        <v>209896</v>
      </c>
      <c r="BK409" s="136">
        <f t="shared" si="54"/>
        <v>0</v>
      </c>
      <c r="BL409" s="136">
        <f t="shared" si="54"/>
        <v>0</v>
      </c>
      <c r="BM409" s="136">
        <f t="shared" si="54"/>
        <v>0</v>
      </c>
      <c r="BN409" s="136">
        <f t="shared" si="54"/>
        <v>0</v>
      </c>
      <c r="BO409" s="136">
        <f t="shared" si="54"/>
        <v>432040</v>
      </c>
      <c r="BP409" s="136">
        <f t="shared" si="54"/>
        <v>0</v>
      </c>
      <c r="BQ409" s="136">
        <f t="shared" si="54"/>
        <v>0</v>
      </c>
      <c r="BR409" s="136">
        <f t="shared" si="53"/>
        <v>0</v>
      </c>
      <c r="BS409" s="136">
        <f t="shared" si="51"/>
        <v>0</v>
      </c>
      <c r="BT409" s="136">
        <f t="shared" si="51"/>
        <v>295797</v>
      </c>
      <c r="BU409" s="136">
        <f t="shared" si="51"/>
        <v>0</v>
      </c>
      <c r="BV409" s="136">
        <f t="shared" si="51"/>
        <v>0</v>
      </c>
      <c r="BW409" s="136">
        <f t="shared" si="51"/>
        <v>0</v>
      </c>
      <c r="BX409" s="136">
        <f t="shared" si="51"/>
        <v>0</v>
      </c>
      <c r="BZ409" s="136">
        <f t="shared" si="52"/>
        <v>0</v>
      </c>
      <c r="CA409" s="136">
        <f t="shared" si="52"/>
        <v>0</v>
      </c>
    </row>
    <row r="410" spans="5:79" hidden="1" x14ac:dyDescent="0.3">
      <c r="G410" s="136">
        <f t="shared" si="54"/>
        <v>-24325993</v>
      </c>
      <c r="H410" s="136">
        <f t="shared" si="54"/>
        <v>0</v>
      </c>
      <c r="I410" s="136">
        <f t="shared" si="54"/>
        <v>0</v>
      </c>
      <c r="J410" s="136">
        <f t="shared" si="54"/>
        <v>0</v>
      </c>
      <c r="K410" s="136">
        <f t="shared" si="54"/>
        <v>0</v>
      </c>
      <c r="L410" s="136">
        <f t="shared" si="54"/>
        <v>612813</v>
      </c>
      <c r="M410" s="136">
        <f t="shared" si="54"/>
        <v>0</v>
      </c>
      <c r="N410" s="136">
        <f t="shared" si="54"/>
        <v>0</v>
      </c>
      <c r="O410" s="136">
        <f t="shared" si="54"/>
        <v>0</v>
      </c>
      <c r="P410" s="136">
        <f t="shared" si="54"/>
        <v>0</v>
      </c>
      <c r="Q410" s="136">
        <f t="shared" si="54"/>
        <v>-824235</v>
      </c>
      <c r="R410" s="136">
        <f t="shared" si="54"/>
        <v>0</v>
      </c>
      <c r="S410" s="136">
        <f t="shared" si="54"/>
        <v>0</v>
      </c>
      <c r="T410" s="136">
        <f t="shared" si="54"/>
        <v>0</v>
      </c>
      <c r="U410" s="136">
        <f t="shared" si="54"/>
        <v>0</v>
      </c>
      <c r="V410" s="136">
        <f t="shared" si="54"/>
        <v>422233</v>
      </c>
      <c r="W410" s="136">
        <f t="shared" si="54"/>
        <v>0</v>
      </c>
      <c r="X410" s="136">
        <f t="shared" si="54"/>
        <v>0</v>
      </c>
      <c r="Y410" s="136">
        <f t="shared" si="54"/>
        <v>0</v>
      </c>
      <c r="Z410" s="136">
        <f t="shared" si="54"/>
        <v>0</v>
      </c>
      <c r="AA410" s="136">
        <f t="shared" si="54"/>
        <v>-178185</v>
      </c>
      <c r="AB410" s="136">
        <f t="shared" si="54"/>
        <v>0</v>
      </c>
      <c r="AC410" s="136">
        <f t="shared" si="54"/>
        <v>0</v>
      </c>
      <c r="AD410" s="136">
        <f t="shared" si="54"/>
        <v>0</v>
      </c>
      <c r="AE410" s="136">
        <f t="shared" si="54"/>
        <v>0</v>
      </c>
      <c r="AF410" s="136">
        <f t="shared" si="54"/>
        <v>768346</v>
      </c>
      <c r="AG410" s="136">
        <f t="shared" si="54"/>
        <v>0</v>
      </c>
      <c r="AH410" s="136">
        <f t="shared" si="54"/>
        <v>0</v>
      </c>
      <c r="AI410" s="136">
        <f t="shared" si="54"/>
        <v>0</v>
      </c>
      <c r="AJ410" s="136">
        <f t="shared" si="54"/>
        <v>0</v>
      </c>
      <c r="AK410" s="136">
        <f t="shared" si="54"/>
        <v>4652</v>
      </c>
      <c r="AL410" s="136">
        <f t="shared" si="54"/>
        <v>0</v>
      </c>
      <c r="AM410" s="136">
        <f t="shared" si="54"/>
        <v>0</v>
      </c>
      <c r="AN410" s="136">
        <f t="shared" si="54"/>
        <v>0</v>
      </c>
      <c r="AO410" s="136">
        <f t="shared" si="54"/>
        <v>0</v>
      </c>
      <c r="AP410" s="136">
        <f t="shared" si="54"/>
        <v>427866</v>
      </c>
      <c r="AQ410" s="136">
        <f t="shared" si="54"/>
        <v>0</v>
      </c>
      <c r="AR410" s="136">
        <f t="shared" si="54"/>
        <v>0</v>
      </c>
      <c r="AS410" s="136">
        <f t="shared" si="54"/>
        <v>0</v>
      </c>
      <c r="AT410" s="136">
        <f t="shared" si="54"/>
        <v>0</v>
      </c>
      <c r="AU410" s="136">
        <f t="shared" si="54"/>
        <v>1037527</v>
      </c>
      <c r="AV410" s="136">
        <f t="shared" si="54"/>
        <v>0</v>
      </c>
      <c r="AW410" s="136">
        <f t="shared" si="54"/>
        <v>0</v>
      </c>
      <c r="AX410" s="136">
        <f t="shared" si="54"/>
        <v>0</v>
      </c>
      <c r="AY410" s="136">
        <f t="shared" si="54"/>
        <v>0</v>
      </c>
      <c r="AZ410" s="136">
        <f t="shared" si="54"/>
        <v>-1316698</v>
      </c>
      <c r="BA410" s="136">
        <f t="shared" si="54"/>
        <v>0</v>
      </c>
      <c r="BB410" s="136">
        <f t="shared" si="54"/>
        <v>0</v>
      </c>
      <c r="BC410" s="136">
        <f t="shared" si="54"/>
        <v>0</v>
      </c>
      <c r="BD410" s="136">
        <f t="shared" si="54"/>
        <v>0</v>
      </c>
      <c r="BE410" s="136">
        <f t="shared" si="54"/>
        <v>-1129132</v>
      </c>
      <c r="BF410" s="136">
        <f t="shared" si="54"/>
        <v>0</v>
      </c>
      <c r="BG410" s="136">
        <f t="shared" si="54"/>
        <v>0</v>
      </c>
      <c r="BH410" s="136">
        <f t="shared" si="54"/>
        <v>0</v>
      </c>
      <c r="BI410" s="136">
        <f t="shared" si="54"/>
        <v>0</v>
      </c>
      <c r="BJ410" s="136">
        <f t="shared" si="54"/>
        <v>-2183859</v>
      </c>
      <c r="BK410" s="136">
        <f t="shared" si="54"/>
        <v>0</v>
      </c>
      <c r="BL410" s="136">
        <f t="shared" si="54"/>
        <v>0</v>
      </c>
      <c r="BM410" s="136">
        <f t="shared" si="54"/>
        <v>0</v>
      </c>
      <c r="BN410" s="136">
        <f t="shared" si="54"/>
        <v>0</v>
      </c>
      <c r="BO410" s="136">
        <f t="shared" si="54"/>
        <v>-2285397</v>
      </c>
      <c r="BP410" s="136">
        <f t="shared" si="54"/>
        <v>0</v>
      </c>
      <c r="BQ410" s="136">
        <f t="shared" si="54"/>
        <v>0</v>
      </c>
      <c r="BR410" s="136">
        <f t="shared" si="53"/>
        <v>0</v>
      </c>
      <c r="BS410" s="136">
        <f t="shared" si="51"/>
        <v>0</v>
      </c>
      <c r="BT410" s="136">
        <f t="shared" si="51"/>
        <v>-174813</v>
      </c>
      <c r="BU410" s="136">
        <f t="shared" si="51"/>
        <v>0</v>
      </c>
      <c r="BV410" s="136">
        <f t="shared" si="51"/>
        <v>0</v>
      </c>
      <c r="BW410" s="136">
        <f t="shared" si="51"/>
        <v>0</v>
      </c>
      <c r="BX410" s="136">
        <f t="shared" si="51"/>
        <v>0</v>
      </c>
      <c r="BZ410" s="136">
        <f t="shared" si="52"/>
        <v>0</v>
      </c>
      <c r="CA410" s="136">
        <f t="shared" si="52"/>
        <v>0</v>
      </c>
    </row>
    <row r="411" spans="5:79" hidden="1" x14ac:dyDescent="0.3">
      <c r="G411" s="136">
        <f t="shared" si="54"/>
        <v>0</v>
      </c>
      <c r="H411" s="136">
        <f t="shared" si="54"/>
        <v>0</v>
      </c>
      <c r="I411" s="136">
        <f t="shared" si="54"/>
        <v>0</v>
      </c>
      <c r="J411" s="136">
        <f t="shared" si="54"/>
        <v>0</v>
      </c>
      <c r="K411" s="136">
        <f t="shared" si="54"/>
        <v>0</v>
      </c>
      <c r="L411" s="136">
        <f t="shared" si="54"/>
        <v>0</v>
      </c>
      <c r="M411" s="136">
        <f t="shared" si="54"/>
        <v>0</v>
      </c>
      <c r="N411" s="136">
        <f t="shared" si="54"/>
        <v>0</v>
      </c>
      <c r="O411" s="136">
        <f t="shared" si="54"/>
        <v>0</v>
      </c>
      <c r="P411" s="136">
        <f t="shared" si="54"/>
        <v>0</v>
      </c>
      <c r="Q411" s="136">
        <f t="shared" si="54"/>
        <v>0</v>
      </c>
      <c r="R411" s="136">
        <f t="shared" si="54"/>
        <v>0</v>
      </c>
      <c r="S411" s="136">
        <f t="shared" si="54"/>
        <v>0</v>
      </c>
      <c r="T411" s="136">
        <f t="shared" si="54"/>
        <v>0</v>
      </c>
      <c r="U411" s="136">
        <f t="shared" si="54"/>
        <v>0</v>
      </c>
      <c r="V411" s="136">
        <f t="shared" si="54"/>
        <v>0</v>
      </c>
      <c r="W411" s="136">
        <f t="shared" si="54"/>
        <v>0</v>
      </c>
      <c r="X411" s="136">
        <f t="shared" si="54"/>
        <v>0</v>
      </c>
      <c r="Y411" s="136">
        <f t="shared" si="54"/>
        <v>0</v>
      </c>
      <c r="Z411" s="136">
        <f t="shared" si="54"/>
        <v>0</v>
      </c>
      <c r="AA411" s="136">
        <f t="shared" si="54"/>
        <v>0</v>
      </c>
      <c r="AB411" s="136">
        <f t="shared" si="54"/>
        <v>0</v>
      </c>
      <c r="AC411" s="136">
        <f t="shared" si="54"/>
        <v>0</v>
      </c>
      <c r="AD411" s="136">
        <f t="shared" si="54"/>
        <v>0</v>
      </c>
      <c r="AE411" s="136">
        <f t="shared" si="54"/>
        <v>0</v>
      </c>
      <c r="AF411" s="136">
        <f t="shared" si="54"/>
        <v>0</v>
      </c>
      <c r="AG411" s="136">
        <f t="shared" si="54"/>
        <v>0</v>
      </c>
      <c r="AH411" s="136">
        <f t="shared" si="54"/>
        <v>0</v>
      </c>
      <c r="AI411" s="136">
        <f t="shared" si="54"/>
        <v>0</v>
      </c>
      <c r="AJ411" s="136">
        <f t="shared" si="54"/>
        <v>0</v>
      </c>
      <c r="AK411" s="136">
        <f t="shared" si="54"/>
        <v>0</v>
      </c>
      <c r="AL411" s="136">
        <f t="shared" si="54"/>
        <v>0</v>
      </c>
      <c r="AM411" s="136">
        <f t="shared" si="54"/>
        <v>0</v>
      </c>
      <c r="AN411" s="136">
        <f t="shared" si="54"/>
        <v>0</v>
      </c>
      <c r="AO411" s="136">
        <f t="shared" si="54"/>
        <v>0</v>
      </c>
      <c r="AP411" s="136">
        <f t="shared" si="54"/>
        <v>0</v>
      </c>
      <c r="AQ411" s="136">
        <f t="shared" si="54"/>
        <v>0</v>
      </c>
      <c r="AR411" s="136">
        <f t="shared" si="54"/>
        <v>0</v>
      </c>
      <c r="AS411" s="136">
        <f t="shared" si="54"/>
        <v>0</v>
      </c>
      <c r="AT411" s="136">
        <f t="shared" si="54"/>
        <v>0</v>
      </c>
      <c r="AU411" s="136">
        <f t="shared" si="54"/>
        <v>0</v>
      </c>
      <c r="AV411" s="136">
        <f t="shared" si="54"/>
        <v>0</v>
      </c>
      <c r="AW411" s="136">
        <f t="shared" si="54"/>
        <v>0</v>
      </c>
      <c r="AX411" s="136">
        <f t="shared" si="54"/>
        <v>0</v>
      </c>
      <c r="AY411" s="136">
        <f t="shared" si="54"/>
        <v>0</v>
      </c>
      <c r="AZ411" s="136">
        <f t="shared" si="54"/>
        <v>0</v>
      </c>
      <c r="BA411" s="136">
        <f t="shared" si="54"/>
        <v>0</v>
      </c>
      <c r="BB411" s="136">
        <f t="shared" si="54"/>
        <v>0</v>
      </c>
      <c r="BC411" s="136">
        <f t="shared" si="54"/>
        <v>0</v>
      </c>
      <c r="BD411" s="136">
        <f t="shared" si="54"/>
        <v>0</v>
      </c>
      <c r="BE411" s="136">
        <f t="shared" si="54"/>
        <v>0</v>
      </c>
      <c r="BF411" s="136">
        <f t="shared" si="54"/>
        <v>0</v>
      </c>
      <c r="BG411" s="136">
        <f t="shared" si="54"/>
        <v>0</v>
      </c>
      <c r="BH411" s="136">
        <f t="shared" si="54"/>
        <v>0</v>
      </c>
      <c r="BI411" s="136">
        <f t="shared" si="54"/>
        <v>0</v>
      </c>
      <c r="BJ411" s="136">
        <f t="shared" si="54"/>
        <v>0</v>
      </c>
      <c r="BK411" s="136">
        <f t="shared" si="54"/>
        <v>0</v>
      </c>
      <c r="BL411" s="136">
        <f t="shared" si="54"/>
        <v>0</v>
      </c>
      <c r="BM411" s="136">
        <f t="shared" si="54"/>
        <v>0</v>
      </c>
      <c r="BN411" s="136">
        <f t="shared" si="54"/>
        <v>0</v>
      </c>
      <c r="BO411" s="136">
        <f t="shared" si="54"/>
        <v>0</v>
      </c>
      <c r="BP411" s="136">
        <f t="shared" si="54"/>
        <v>0</v>
      </c>
      <c r="BQ411" s="136">
        <f t="shared" si="54"/>
        <v>0</v>
      </c>
      <c r="BR411" s="136">
        <f t="shared" si="53"/>
        <v>0</v>
      </c>
      <c r="BS411" s="136">
        <f t="shared" si="51"/>
        <v>0</v>
      </c>
      <c r="BT411" s="136">
        <f t="shared" si="51"/>
        <v>0</v>
      </c>
      <c r="BU411" s="136">
        <f t="shared" si="51"/>
        <v>0</v>
      </c>
      <c r="BV411" s="136">
        <f t="shared" si="51"/>
        <v>0</v>
      </c>
      <c r="BW411" s="136">
        <f t="shared" si="51"/>
        <v>0</v>
      </c>
      <c r="BX411" s="136">
        <f t="shared" si="51"/>
        <v>0</v>
      </c>
      <c r="BZ411" s="136">
        <f t="shared" si="52"/>
        <v>0</v>
      </c>
      <c r="CA411" s="136">
        <f t="shared" si="52"/>
        <v>0</v>
      </c>
    </row>
    <row r="412" spans="5:79" hidden="1" x14ac:dyDescent="0.3">
      <c r="G412" s="136">
        <f t="shared" si="54"/>
        <v>-2643108</v>
      </c>
      <c r="H412" s="136">
        <f t="shared" si="54"/>
        <v>0</v>
      </c>
      <c r="I412" s="136">
        <f t="shared" si="54"/>
        <v>0</v>
      </c>
      <c r="J412" s="136">
        <f t="shared" si="54"/>
        <v>0</v>
      </c>
      <c r="K412" s="136">
        <f t="shared" si="54"/>
        <v>0</v>
      </c>
      <c r="L412" s="136">
        <f t="shared" si="54"/>
        <v>503583</v>
      </c>
      <c r="M412" s="136">
        <f t="shared" si="54"/>
        <v>0</v>
      </c>
      <c r="N412" s="136">
        <f t="shared" si="54"/>
        <v>0</v>
      </c>
      <c r="O412" s="136">
        <f t="shared" si="54"/>
        <v>0</v>
      </c>
      <c r="P412" s="136">
        <f t="shared" si="54"/>
        <v>0</v>
      </c>
      <c r="Q412" s="136">
        <f t="shared" si="54"/>
        <v>425590</v>
      </c>
      <c r="R412" s="136">
        <f t="shared" si="54"/>
        <v>0</v>
      </c>
      <c r="S412" s="136">
        <f t="shared" si="54"/>
        <v>0</v>
      </c>
      <c r="T412" s="136">
        <f t="shared" si="54"/>
        <v>0</v>
      </c>
      <c r="U412" s="136">
        <f t="shared" si="54"/>
        <v>0</v>
      </c>
      <c r="V412" s="136">
        <f t="shared" si="54"/>
        <v>301699</v>
      </c>
      <c r="W412" s="136">
        <f t="shared" si="54"/>
        <v>0</v>
      </c>
      <c r="X412" s="136">
        <f t="shared" si="54"/>
        <v>0</v>
      </c>
      <c r="Y412" s="136">
        <f t="shared" si="54"/>
        <v>0</v>
      </c>
      <c r="Z412" s="136">
        <f t="shared" si="54"/>
        <v>0</v>
      </c>
      <c r="AA412" s="136">
        <f t="shared" si="54"/>
        <v>398906</v>
      </c>
      <c r="AB412" s="136">
        <f t="shared" si="54"/>
        <v>0</v>
      </c>
      <c r="AC412" s="136">
        <f t="shared" si="54"/>
        <v>0</v>
      </c>
      <c r="AD412" s="136">
        <f t="shared" si="54"/>
        <v>0</v>
      </c>
      <c r="AE412" s="136">
        <f t="shared" si="54"/>
        <v>0</v>
      </c>
      <c r="AF412" s="136">
        <f t="shared" si="54"/>
        <v>1322351</v>
      </c>
      <c r="AG412" s="136">
        <f t="shared" si="54"/>
        <v>0</v>
      </c>
      <c r="AH412" s="136">
        <f t="shared" si="54"/>
        <v>0</v>
      </c>
      <c r="AI412" s="136">
        <f t="shared" si="54"/>
        <v>0</v>
      </c>
      <c r="AJ412" s="136">
        <f t="shared" si="54"/>
        <v>0</v>
      </c>
      <c r="AK412" s="136">
        <f t="shared" si="54"/>
        <v>385479</v>
      </c>
      <c r="AL412" s="136">
        <f t="shared" si="54"/>
        <v>0</v>
      </c>
      <c r="AM412" s="136">
        <f t="shared" si="54"/>
        <v>0</v>
      </c>
      <c r="AN412" s="136">
        <f t="shared" si="54"/>
        <v>0</v>
      </c>
      <c r="AO412" s="136">
        <f t="shared" si="54"/>
        <v>0</v>
      </c>
      <c r="AP412" s="136">
        <f t="shared" si="54"/>
        <v>1160070</v>
      </c>
      <c r="AQ412" s="136">
        <f t="shared" si="54"/>
        <v>0</v>
      </c>
      <c r="AR412" s="136">
        <f t="shared" si="54"/>
        <v>0</v>
      </c>
      <c r="AS412" s="136">
        <f t="shared" si="54"/>
        <v>0</v>
      </c>
      <c r="AT412" s="136">
        <f t="shared" si="54"/>
        <v>0</v>
      </c>
      <c r="AU412" s="136">
        <f t="shared" si="54"/>
        <v>804997</v>
      </c>
      <c r="AV412" s="136">
        <f t="shared" si="54"/>
        <v>0</v>
      </c>
      <c r="AW412" s="136">
        <f t="shared" si="54"/>
        <v>0</v>
      </c>
      <c r="AX412" s="136">
        <f t="shared" si="54"/>
        <v>0</v>
      </c>
      <c r="AY412" s="136">
        <f t="shared" si="54"/>
        <v>0</v>
      </c>
      <c r="AZ412" s="136">
        <f t="shared" si="54"/>
        <v>130891</v>
      </c>
      <c r="BA412" s="136">
        <f t="shared" si="54"/>
        <v>0</v>
      </c>
      <c r="BB412" s="136">
        <f t="shared" si="54"/>
        <v>0</v>
      </c>
      <c r="BC412" s="136">
        <f t="shared" si="54"/>
        <v>0</v>
      </c>
      <c r="BD412" s="136">
        <f t="shared" si="54"/>
        <v>0</v>
      </c>
      <c r="BE412" s="136">
        <f t="shared" si="54"/>
        <v>198611</v>
      </c>
      <c r="BF412" s="136">
        <f t="shared" si="54"/>
        <v>0</v>
      </c>
      <c r="BG412" s="136">
        <f t="shared" si="54"/>
        <v>0</v>
      </c>
      <c r="BH412" s="136">
        <f t="shared" si="54"/>
        <v>0</v>
      </c>
      <c r="BI412" s="136">
        <f t="shared" si="54"/>
        <v>0</v>
      </c>
      <c r="BJ412" s="136">
        <f t="shared" si="54"/>
        <v>-545495</v>
      </c>
      <c r="BK412" s="136">
        <f t="shared" si="54"/>
        <v>0</v>
      </c>
      <c r="BL412" s="136">
        <f t="shared" si="54"/>
        <v>0</v>
      </c>
      <c r="BM412" s="136">
        <f t="shared" si="54"/>
        <v>0</v>
      </c>
      <c r="BN412" s="136">
        <f t="shared" si="54"/>
        <v>0</v>
      </c>
      <c r="BO412" s="136">
        <f t="shared" si="54"/>
        <v>-523673</v>
      </c>
      <c r="BP412" s="136">
        <f t="shared" si="54"/>
        <v>0</v>
      </c>
      <c r="BQ412" s="136">
        <f t="shared" si="54"/>
        <v>0</v>
      </c>
      <c r="BR412" s="136">
        <f t="shared" si="53"/>
        <v>0</v>
      </c>
      <c r="BS412" s="136">
        <f t="shared" si="51"/>
        <v>0</v>
      </c>
      <c r="BT412" s="136">
        <f t="shared" si="51"/>
        <v>5632177</v>
      </c>
      <c r="BU412" s="136">
        <f t="shared" si="51"/>
        <v>0</v>
      </c>
      <c r="BV412" s="136">
        <f t="shared" si="51"/>
        <v>0</v>
      </c>
      <c r="BW412" s="136">
        <f t="shared" si="51"/>
        <v>0</v>
      </c>
      <c r="BX412" s="136">
        <f t="shared" si="51"/>
        <v>0</v>
      </c>
      <c r="BZ412" s="136">
        <f t="shared" si="52"/>
        <v>0</v>
      </c>
      <c r="CA412" s="136">
        <f t="shared" si="52"/>
        <v>0</v>
      </c>
    </row>
    <row r="413" spans="5:79" hidden="1" x14ac:dyDescent="0.3">
      <c r="G413" s="136">
        <f t="shared" si="54"/>
        <v>-2643108</v>
      </c>
      <c r="H413" s="136">
        <f t="shared" si="54"/>
        <v>0</v>
      </c>
      <c r="I413" s="136">
        <f t="shared" si="54"/>
        <v>0</v>
      </c>
      <c r="J413" s="136">
        <f t="shared" ref="J413:BQ413" si="55">J19-CB19</f>
        <v>0</v>
      </c>
      <c r="K413" s="136">
        <f t="shared" si="55"/>
        <v>0</v>
      </c>
      <c r="L413" s="136">
        <f t="shared" si="55"/>
        <v>503583</v>
      </c>
      <c r="M413" s="136">
        <f t="shared" si="55"/>
        <v>0</v>
      </c>
      <c r="N413" s="136">
        <f t="shared" si="55"/>
        <v>0</v>
      </c>
      <c r="O413" s="136">
        <f t="shared" si="55"/>
        <v>0</v>
      </c>
      <c r="P413" s="136">
        <f t="shared" si="55"/>
        <v>0</v>
      </c>
      <c r="Q413" s="136">
        <f t="shared" si="55"/>
        <v>425590</v>
      </c>
      <c r="R413" s="136">
        <f t="shared" si="55"/>
        <v>0</v>
      </c>
      <c r="S413" s="136">
        <f t="shared" si="55"/>
        <v>0</v>
      </c>
      <c r="T413" s="136">
        <f t="shared" si="55"/>
        <v>0</v>
      </c>
      <c r="U413" s="136">
        <f t="shared" si="55"/>
        <v>0</v>
      </c>
      <c r="V413" s="136">
        <f t="shared" si="55"/>
        <v>301699</v>
      </c>
      <c r="W413" s="136">
        <f t="shared" si="55"/>
        <v>0</v>
      </c>
      <c r="X413" s="136">
        <f t="shared" si="55"/>
        <v>0</v>
      </c>
      <c r="Y413" s="136">
        <f t="shared" si="55"/>
        <v>0</v>
      </c>
      <c r="Z413" s="136">
        <f t="shared" si="55"/>
        <v>0</v>
      </c>
      <c r="AA413" s="136">
        <f t="shared" si="55"/>
        <v>398906</v>
      </c>
      <c r="AB413" s="136">
        <f t="shared" si="55"/>
        <v>0</v>
      </c>
      <c r="AC413" s="136">
        <f t="shared" si="55"/>
        <v>0</v>
      </c>
      <c r="AD413" s="136">
        <f t="shared" si="55"/>
        <v>0</v>
      </c>
      <c r="AE413" s="136">
        <f t="shared" si="55"/>
        <v>0</v>
      </c>
      <c r="AF413" s="136">
        <f t="shared" si="55"/>
        <v>1322351</v>
      </c>
      <c r="AG413" s="136">
        <f t="shared" si="55"/>
        <v>0</v>
      </c>
      <c r="AH413" s="136">
        <f t="shared" si="55"/>
        <v>0</v>
      </c>
      <c r="AI413" s="136">
        <f t="shared" si="55"/>
        <v>0</v>
      </c>
      <c r="AJ413" s="136">
        <f t="shared" si="55"/>
        <v>0</v>
      </c>
      <c r="AK413" s="136">
        <f t="shared" si="55"/>
        <v>385479</v>
      </c>
      <c r="AL413" s="136">
        <f t="shared" si="55"/>
        <v>0</v>
      </c>
      <c r="AM413" s="136">
        <f t="shared" si="55"/>
        <v>0</v>
      </c>
      <c r="AN413" s="136">
        <f t="shared" si="55"/>
        <v>0</v>
      </c>
      <c r="AO413" s="136">
        <f t="shared" si="55"/>
        <v>0</v>
      </c>
      <c r="AP413" s="136">
        <f t="shared" si="55"/>
        <v>1160070</v>
      </c>
      <c r="AQ413" s="136">
        <f t="shared" si="55"/>
        <v>0</v>
      </c>
      <c r="AR413" s="136">
        <f t="shared" si="55"/>
        <v>0</v>
      </c>
      <c r="AS413" s="136">
        <f t="shared" si="55"/>
        <v>0</v>
      </c>
      <c r="AT413" s="136">
        <f t="shared" si="55"/>
        <v>0</v>
      </c>
      <c r="AU413" s="136">
        <f t="shared" si="55"/>
        <v>804997</v>
      </c>
      <c r="AV413" s="136">
        <f t="shared" si="55"/>
        <v>0</v>
      </c>
      <c r="AW413" s="136">
        <f t="shared" si="55"/>
        <v>0</v>
      </c>
      <c r="AX413" s="136">
        <f t="shared" si="55"/>
        <v>0</v>
      </c>
      <c r="AY413" s="136">
        <f t="shared" si="55"/>
        <v>0</v>
      </c>
      <c r="AZ413" s="136">
        <f t="shared" si="55"/>
        <v>130891</v>
      </c>
      <c r="BA413" s="136">
        <f t="shared" si="55"/>
        <v>0</v>
      </c>
      <c r="BB413" s="136">
        <f t="shared" si="55"/>
        <v>0</v>
      </c>
      <c r="BC413" s="136">
        <f t="shared" si="55"/>
        <v>0</v>
      </c>
      <c r="BD413" s="136">
        <f t="shared" si="55"/>
        <v>0</v>
      </c>
      <c r="BE413" s="136">
        <f t="shared" si="55"/>
        <v>198611</v>
      </c>
      <c r="BF413" s="136">
        <f t="shared" si="55"/>
        <v>0</v>
      </c>
      <c r="BG413" s="136">
        <f t="shared" si="55"/>
        <v>0</v>
      </c>
      <c r="BH413" s="136">
        <f t="shared" si="55"/>
        <v>0</v>
      </c>
      <c r="BI413" s="136">
        <f t="shared" si="55"/>
        <v>0</v>
      </c>
      <c r="BJ413" s="136">
        <f t="shared" si="55"/>
        <v>-545495</v>
      </c>
      <c r="BK413" s="136">
        <f t="shared" si="55"/>
        <v>0</v>
      </c>
      <c r="BL413" s="136">
        <f t="shared" si="55"/>
        <v>0</v>
      </c>
      <c r="BM413" s="136">
        <f t="shared" si="55"/>
        <v>0</v>
      </c>
      <c r="BN413" s="136">
        <f t="shared" si="55"/>
        <v>0</v>
      </c>
      <c r="BO413" s="136">
        <f t="shared" si="55"/>
        <v>-523673</v>
      </c>
      <c r="BP413" s="136">
        <f t="shared" si="55"/>
        <v>0</v>
      </c>
      <c r="BQ413" s="136">
        <f t="shared" si="55"/>
        <v>0</v>
      </c>
      <c r="BR413" s="136">
        <f t="shared" si="53"/>
        <v>0</v>
      </c>
      <c r="BS413" s="136">
        <f t="shared" si="51"/>
        <v>0</v>
      </c>
      <c r="BT413" s="136">
        <f t="shared" si="51"/>
        <v>5632177</v>
      </c>
      <c r="BU413" s="136">
        <f t="shared" si="51"/>
        <v>0</v>
      </c>
      <c r="BV413" s="136">
        <f t="shared" si="51"/>
        <v>0</v>
      </c>
      <c r="BW413" s="136">
        <f t="shared" si="51"/>
        <v>0</v>
      </c>
      <c r="BX413" s="136">
        <f t="shared" si="51"/>
        <v>0</v>
      </c>
      <c r="BZ413" s="136">
        <f t="shared" si="52"/>
        <v>0</v>
      </c>
      <c r="CA413" s="136">
        <f t="shared" si="52"/>
        <v>0</v>
      </c>
    </row>
    <row r="414" spans="5:79" hidden="1" x14ac:dyDescent="0.3">
      <c r="G414" s="136">
        <f t="shared" ref="G414:BR417" si="56">G21-BY21</f>
        <v>0</v>
      </c>
      <c r="H414" s="136">
        <f t="shared" si="56"/>
        <v>0</v>
      </c>
      <c r="I414" s="136">
        <f t="shared" si="56"/>
        <v>0</v>
      </c>
      <c r="J414" s="136">
        <f t="shared" si="56"/>
        <v>0</v>
      </c>
      <c r="K414" s="136">
        <f t="shared" si="56"/>
        <v>0</v>
      </c>
      <c r="L414" s="136">
        <f t="shared" si="56"/>
        <v>0</v>
      </c>
      <c r="M414" s="136">
        <f t="shared" si="56"/>
        <v>0</v>
      </c>
      <c r="N414" s="136">
        <f t="shared" si="56"/>
        <v>0</v>
      </c>
      <c r="O414" s="136">
        <f t="shared" si="56"/>
        <v>0</v>
      </c>
      <c r="P414" s="136">
        <f t="shared" si="56"/>
        <v>0</v>
      </c>
      <c r="Q414" s="136">
        <f t="shared" si="56"/>
        <v>0</v>
      </c>
      <c r="R414" s="136">
        <f t="shared" si="56"/>
        <v>0</v>
      </c>
      <c r="S414" s="136">
        <f t="shared" si="56"/>
        <v>0</v>
      </c>
      <c r="T414" s="136">
        <f t="shared" si="56"/>
        <v>0</v>
      </c>
      <c r="U414" s="136">
        <f t="shared" si="56"/>
        <v>0</v>
      </c>
      <c r="V414" s="136">
        <f t="shared" si="56"/>
        <v>0</v>
      </c>
      <c r="W414" s="136">
        <f t="shared" si="56"/>
        <v>0</v>
      </c>
      <c r="X414" s="136">
        <f t="shared" si="56"/>
        <v>0</v>
      </c>
      <c r="Y414" s="136">
        <f t="shared" si="56"/>
        <v>0</v>
      </c>
      <c r="Z414" s="136">
        <f t="shared" si="56"/>
        <v>0</v>
      </c>
      <c r="AA414" s="136">
        <f t="shared" si="56"/>
        <v>0</v>
      </c>
      <c r="AB414" s="136">
        <f t="shared" si="56"/>
        <v>0</v>
      </c>
      <c r="AC414" s="136">
        <f t="shared" si="56"/>
        <v>0</v>
      </c>
      <c r="AD414" s="136">
        <f t="shared" si="56"/>
        <v>0</v>
      </c>
      <c r="AE414" s="136">
        <f t="shared" si="56"/>
        <v>0</v>
      </c>
      <c r="AF414" s="136">
        <f t="shared" si="56"/>
        <v>0</v>
      </c>
      <c r="AG414" s="136">
        <f t="shared" si="56"/>
        <v>0</v>
      </c>
      <c r="AH414" s="136">
        <f t="shared" si="56"/>
        <v>0</v>
      </c>
      <c r="AI414" s="136">
        <f t="shared" si="56"/>
        <v>0</v>
      </c>
      <c r="AJ414" s="136">
        <f t="shared" si="56"/>
        <v>0</v>
      </c>
      <c r="AK414" s="136">
        <f t="shared" si="56"/>
        <v>0</v>
      </c>
      <c r="AL414" s="136">
        <f t="shared" si="56"/>
        <v>0</v>
      </c>
      <c r="AM414" s="136">
        <f t="shared" si="56"/>
        <v>0</v>
      </c>
      <c r="AN414" s="136">
        <f t="shared" si="56"/>
        <v>0</v>
      </c>
      <c r="AO414" s="136">
        <f t="shared" si="56"/>
        <v>0</v>
      </c>
      <c r="AP414" s="136">
        <f t="shared" si="56"/>
        <v>0</v>
      </c>
      <c r="AQ414" s="136">
        <f t="shared" si="56"/>
        <v>0</v>
      </c>
      <c r="AR414" s="136">
        <f t="shared" si="56"/>
        <v>0</v>
      </c>
      <c r="AS414" s="136">
        <f t="shared" si="56"/>
        <v>0</v>
      </c>
      <c r="AT414" s="136">
        <f t="shared" si="56"/>
        <v>0</v>
      </c>
      <c r="AU414" s="136">
        <f t="shared" si="56"/>
        <v>0</v>
      </c>
      <c r="AV414" s="136">
        <f t="shared" si="56"/>
        <v>0</v>
      </c>
      <c r="AW414" s="136">
        <f t="shared" si="56"/>
        <v>0</v>
      </c>
      <c r="AX414" s="136">
        <f t="shared" si="56"/>
        <v>0</v>
      </c>
      <c r="AY414" s="136">
        <f t="shared" si="56"/>
        <v>0</v>
      </c>
      <c r="AZ414" s="136">
        <f t="shared" si="56"/>
        <v>0</v>
      </c>
      <c r="BA414" s="136">
        <f t="shared" si="56"/>
        <v>0</v>
      </c>
      <c r="BB414" s="136">
        <f t="shared" si="56"/>
        <v>0</v>
      </c>
      <c r="BC414" s="136">
        <f t="shared" si="56"/>
        <v>0</v>
      </c>
      <c r="BD414" s="136">
        <f t="shared" si="56"/>
        <v>0</v>
      </c>
      <c r="BE414" s="136">
        <f t="shared" si="56"/>
        <v>0</v>
      </c>
      <c r="BF414" s="136">
        <f t="shared" si="56"/>
        <v>0</v>
      </c>
      <c r="BG414" s="136">
        <f t="shared" si="56"/>
        <v>0</v>
      </c>
      <c r="BH414" s="136">
        <f t="shared" si="56"/>
        <v>0</v>
      </c>
      <c r="BI414" s="136">
        <f t="shared" si="56"/>
        <v>0</v>
      </c>
      <c r="BJ414" s="136">
        <f t="shared" si="56"/>
        <v>0</v>
      </c>
      <c r="BK414" s="136">
        <f t="shared" si="56"/>
        <v>0</v>
      </c>
      <c r="BL414" s="136">
        <f t="shared" si="56"/>
        <v>0</v>
      </c>
      <c r="BM414" s="136">
        <f t="shared" si="56"/>
        <v>0</v>
      </c>
      <c r="BN414" s="136">
        <f t="shared" si="56"/>
        <v>0</v>
      </c>
      <c r="BO414" s="136">
        <f t="shared" si="56"/>
        <v>0</v>
      </c>
      <c r="BP414" s="136">
        <f t="shared" si="56"/>
        <v>0</v>
      </c>
      <c r="BQ414" s="136">
        <f t="shared" si="56"/>
        <v>0</v>
      </c>
      <c r="BR414" s="136">
        <f t="shared" si="56"/>
        <v>0</v>
      </c>
      <c r="BS414" s="136">
        <f t="shared" ref="BS414:BX429" si="57">BS21-EK21</f>
        <v>0</v>
      </c>
      <c r="BT414" s="136">
        <f t="shared" si="57"/>
        <v>0</v>
      </c>
      <c r="BU414" s="136">
        <f t="shared" si="57"/>
        <v>0</v>
      </c>
      <c r="BV414" s="136">
        <f t="shared" si="57"/>
        <v>0</v>
      </c>
      <c r="BW414" s="136">
        <f t="shared" si="57"/>
        <v>0</v>
      </c>
      <c r="BX414" s="136">
        <f t="shared" si="57"/>
        <v>0</v>
      </c>
      <c r="BZ414" s="136">
        <f t="shared" ref="BZ414:CA429" si="58">BZ21-ER21</f>
        <v>0</v>
      </c>
      <c r="CA414" s="136">
        <f t="shared" si="58"/>
        <v>0</v>
      </c>
    </row>
    <row r="415" spans="5:79" hidden="1" x14ac:dyDescent="0.3">
      <c r="G415" s="136">
        <f t="shared" si="56"/>
        <v>0</v>
      </c>
      <c r="H415" s="136">
        <f t="shared" si="56"/>
        <v>0</v>
      </c>
      <c r="I415" s="136">
        <f t="shared" si="56"/>
        <v>0</v>
      </c>
      <c r="J415" s="136">
        <f t="shared" si="56"/>
        <v>0</v>
      </c>
      <c r="K415" s="136">
        <f t="shared" si="56"/>
        <v>0</v>
      </c>
      <c r="L415" s="136">
        <f t="shared" si="56"/>
        <v>0</v>
      </c>
      <c r="M415" s="136">
        <f t="shared" si="56"/>
        <v>0</v>
      </c>
      <c r="N415" s="136">
        <f t="shared" si="56"/>
        <v>0</v>
      </c>
      <c r="O415" s="136">
        <f t="shared" si="56"/>
        <v>0</v>
      </c>
      <c r="P415" s="136">
        <f t="shared" si="56"/>
        <v>0</v>
      </c>
      <c r="Q415" s="136">
        <f t="shared" si="56"/>
        <v>0</v>
      </c>
      <c r="R415" s="136">
        <f t="shared" si="56"/>
        <v>0</v>
      </c>
      <c r="S415" s="136">
        <f t="shared" si="56"/>
        <v>0</v>
      </c>
      <c r="T415" s="136">
        <f t="shared" si="56"/>
        <v>0</v>
      </c>
      <c r="U415" s="136">
        <f t="shared" si="56"/>
        <v>0</v>
      </c>
      <c r="V415" s="136">
        <f t="shared" si="56"/>
        <v>0</v>
      </c>
      <c r="W415" s="136">
        <f t="shared" si="56"/>
        <v>0</v>
      </c>
      <c r="X415" s="136">
        <f t="shared" si="56"/>
        <v>0</v>
      </c>
      <c r="Y415" s="136">
        <f t="shared" si="56"/>
        <v>0</v>
      </c>
      <c r="Z415" s="136">
        <f t="shared" si="56"/>
        <v>0</v>
      </c>
      <c r="AA415" s="136">
        <f t="shared" si="56"/>
        <v>0</v>
      </c>
      <c r="AB415" s="136">
        <f t="shared" si="56"/>
        <v>0</v>
      </c>
      <c r="AC415" s="136">
        <f t="shared" si="56"/>
        <v>0</v>
      </c>
      <c r="AD415" s="136">
        <f t="shared" si="56"/>
        <v>0</v>
      </c>
      <c r="AE415" s="136">
        <f t="shared" si="56"/>
        <v>0</v>
      </c>
      <c r="AF415" s="136">
        <f t="shared" si="56"/>
        <v>0</v>
      </c>
      <c r="AG415" s="136">
        <f t="shared" si="56"/>
        <v>0</v>
      </c>
      <c r="AH415" s="136">
        <f t="shared" si="56"/>
        <v>0</v>
      </c>
      <c r="AI415" s="136">
        <f t="shared" si="56"/>
        <v>0</v>
      </c>
      <c r="AJ415" s="136">
        <f t="shared" si="56"/>
        <v>0</v>
      </c>
      <c r="AK415" s="136">
        <f t="shared" si="56"/>
        <v>0</v>
      </c>
      <c r="AL415" s="136">
        <f t="shared" si="56"/>
        <v>0</v>
      </c>
      <c r="AM415" s="136">
        <f t="shared" si="56"/>
        <v>0</v>
      </c>
      <c r="AN415" s="136">
        <f t="shared" si="56"/>
        <v>0</v>
      </c>
      <c r="AO415" s="136">
        <f t="shared" si="56"/>
        <v>0</v>
      </c>
      <c r="AP415" s="136">
        <f t="shared" si="56"/>
        <v>0</v>
      </c>
      <c r="AQ415" s="136">
        <f t="shared" si="56"/>
        <v>0</v>
      </c>
      <c r="AR415" s="136">
        <f t="shared" si="56"/>
        <v>0</v>
      </c>
      <c r="AS415" s="136">
        <f t="shared" si="56"/>
        <v>0</v>
      </c>
      <c r="AT415" s="136">
        <f t="shared" si="56"/>
        <v>0</v>
      </c>
      <c r="AU415" s="136">
        <f t="shared" si="56"/>
        <v>0</v>
      </c>
      <c r="AV415" s="136">
        <f t="shared" si="56"/>
        <v>0</v>
      </c>
      <c r="AW415" s="136">
        <f t="shared" si="56"/>
        <v>0</v>
      </c>
      <c r="AX415" s="136">
        <f t="shared" si="56"/>
        <v>0</v>
      </c>
      <c r="AY415" s="136">
        <f t="shared" si="56"/>
        <v>0</v>
      </c>
      <c r="AZ415" s="136">
        <f t="shared" si="56"/>
        <v>0</v>
      </c>
      <c r="BA415" s="136">
        <f t="shared" si="56"/>
        <v>0</v>
      </c>
      <c r="BB415" s="136">
        <f t="shared" si="56"/>
        <v>0</v>
      </c>
      <c r="BC415" s="136">
        <f t="shared" si="56"/>
        <v>0</v>
      </c>
      <c r="BD415" s="136">
        <f t="shared" si="56"/>
        <v>0</v>
      </c>
      <c r="BE415" s="136">
        <f t="shared" si="56"/>
        <v>0</v>
      </c>
      <c r="BF415" s="136">
        <f t="shared" si="56"/>
        <v>0</v>
      </c>
      <c r="BG415" s="136">
        <f t="shared" si="56"/>
        <v>0</v>
      </c>
      <c r="BH415" s="136">
        <f t="shared" si="56"/>
        <v>0</v>
      </c>
      <c r="BI415" s="136">
        <f t="shared" si="56"/>
        <v>0</v>
      </c>
      <c r="BJ415" s="136">
        <f t="shared" si="56"/>
        <v>0</v>
      </c>
      <c r="BK415" s="136">
        <f t="shared" si="56"/>
        <v>0</v>
      </c>
      <c r="BL415" s="136">
        <f t="shared" si="56"/>
        <v>0</v>
      </c>
      <c r="BM415" s="136">
        <f t="shared" si="56"/>
        <v>0</v>
      </c>
      <c r="BN415" s="136">
        <f t="shared" si="56"/>
        <v>0</v>
      </c>
      <c r="BO415" s="136">
        <f t="shared" si="56"/>
        <v>0</v>
      </c>
      <c r="BP415" s="136">
        <f t="shared" si="56"/>
        <v>0</v>
      </c>
      <c r="BQ415" s="136">
        <f t="shared" si="56"/>
        <v>0</v>
      </c>
      <c r="BR415" s="136">
        <f t="shared" si="56"/>
        <v>0</v>
      </c>
      <c r="BS415" s="136">
        <f t="shared" si="57"/>
        <v>0</v>
      </c>
      <c r="BT415" s="136">
        <f t="shared" si="57"/>
        <v>0</v>
      </c>
      <c r="BU415" s="136">
        <f t="shared" si="57"/>
        <v>0</v>
      </c>
      <c r="BV415" s="136">
        <f t="shared" si="57"/>
        <v>0</v>
      </c>
      <c r="BW415" s="136">
        <f t="shared" si="57"/>
        <v>0</v>
      </c>
      <c r="BX415" s="136">
        <f t="shared" si="57"/>
        <v>0</v>
      </c>
      <c r="BZ415" s="136">
        <f t="shared" si="58"/>
        <v>0</v>
      </c>
      <c r="CA415" s="136">
        <f t="shared" si="58"/>
        <v>0</v>
      </c>
    </row>
    <row r="416" spans="5:79" hidden="1" x14ac:dyDescent="0.3">
      <c r="G416" s="136">
        <f t="shared" si="56"/>
        <v>0</v>
      </c>
      <c r="H416" s="136">
        <f t="shared" si="56"/>
        <v>0</v>
      </c>
      <c r="I416" s="136">
        <f t="shared" si="56"/>
        <v>0</v>
      </c>
      <c r="J416" s="136">
        <f t="shared" si="56"/>
        <v>0</v>
      </c>
      <c r="K416" s="136">
        <f t="shared" si="56"/>
        <v>0</v>
      </c>
      <c r="L416" s="136">
        <f t="shared" si="56"/>
        <v>0</v>
      </c>
      <c r="M416" s="136">
        <f t="shared" si="56"/>
        <v>0</v>
      </c>
      <c r="N416" s="136">
        <f t="shared" si="56"/>
        <v>0</v>
      </c>
      <c r="O416" s="136">
        <f t="shared" si="56"/>
        <v>0</v>
      </c>
      <c r="P416" s="136">
        <f t="shared" si="56"/>
        <v>0</v>
      </c>
      <c r="Q416" s="136">
        <f t="shared" si="56"/>
        <v>0</v>
      </c>
      <c r="R416" s="136">
        <f t="shared" si="56"/>
        <v>0</v>
      </c>
      <c r="S416" s="136">
        <f t="shared" si="56"/>
        <v>0</v>
      </c>
      <c r="T416" s="136">
        <f t="shared" si="56"/>
        <v>0</v>
      </c>
      <c r="U416" s="136">
        <f t="shared" si="56"/>
        <v>0</v>
      </c>
      <c r="V416" s="136">
        <f t="shared" si="56"/>
        <v>0</v>
      </c>
      <c r="W416" s="136">
        <f t="shared" si="56"/>
        <v>0</v>
      </c>
      <c r="X416" s="136">
        <f t="shared" si="56"/>
        <v>0</v>
      </c>
      <c r="Y416" s="136">
        <f t="shared" si="56"/>
        <v>0</v>
      </c>
      <c r="Z416" s="136">
        <f t="shared" si="56"/>
        <v>0</v>
      </c>
      <c r="AA416" s="136">
        <f t="shared" si="56"/>
        <v>0</v>
      </c>
      <c r="AB416" s="136">
        <f t="shared" si="56"/>
        <v>0</v>
      </c>
      <c r="AC416" s="136">
        <f t="shared" si="56"/>
        <v>0</v>
      </c>
      <c r="AD416" s="136">
        <f t="shared" si="56"/>
        <v>0</v>
      </c>
      <c r="AE416" s="136">
        <f t="shared" si="56"/>
        <v>0</v>
      </c>
      <c r="AF416" s="136">
        <f t="shared" si="56"/>
        <v>0</v>
      </c>
      <c r="AG416" s="136">
        <f t="shared" si="56"/>
        <v>0</v>
      </c>
      <c r="AH416" s="136">
        <f t="shared" si="56"/>
        <v>0</v>
      </c>
      <c r="AI416" s="136">
        <f t="shared" si="56"/>
        <v>0</v>
      </c>
      <c r="AJ416" s="136">
        <f t="shared" si="56"/>
        <v>0</v>
      </c>
      <c r="AK416" s="136">
        <f t="shared" si="56"/>
        <v>0</v>
      </c>
      <c r="AL416" s="136">
        <f t="shared" si="56"/>
        <v>0</v>
      </c>
      <c r="AM416" s="136">
        <f t="shared" si="56"/>
        <v>0</v>
      </c>
      <c r="AN416" s="136">
        <f t="shared" si="56"/>
        <v>0</v>
      </c>
      <c r="AO416" s="136">
        <f t="shared" si="56"/>
        <v>0</v>
      </c>
      <c r="AP416" s="136">
        <f t="shared" si="56"/>
        <v>0</v>
      </c>
      <c r="AQ416" s="136">
        <f t="shared" si="56"/>
        <v>0</v>
      </c>
      <c r="AR416" s="136">
        <f t="shared" si="56"/>
        <v>0</v>
      </c>
      <c r="AS416" s="136">
        <f t="shared" si="56"/>
        <v>0</v>
      </c>
      <c r="AT416" s="136">
        <f t="shared" si="56"/>
        <v>0</v>
      </c>
      <c r="AU416" s="136">
        <f t="shared" si="56"/>
        <v>0</v>
      </c>
      <c r="AV416" s="136">
        <f t="shared" si="56"/>
        <v>0</v>
      </c>
      <c r="AW416" s="136">
        <f t="shared" si="56"/>
        <v>0</v>
      </c>
      <c r="AX416" s="136">
        <f t="shared" si="56"/>
        <v>0</v>
      </c>
      <c r="AY416" s="136">
        <f t="shared" si="56"/>
        <v>0</v>
      </c>
      <c r="AZ416" s="136">
        <f t="shared" si="56"/>
        <v>0</v>
      </c>
      <c r="BA416" s="136">
        <f t="shared" si="56"/>
        <v>0</v>
      </c>
      <c r="BB416" s="136">
        <f t="shared" si="56"/>
        <v>0</v>
      </c>
      <c r="BC416" s="136">
        <f t="shared" si="56"/>
        <v>0</v>
      </c>
      <c r="BD416" s="136">
        <f t="shared" si="56"/>
        <v>0</v>
      </c>
      <c r="BE416" s="136">
        <f t="shared" si="56"/>
        <v>0</v>
      </c>
      <c r="BF416" s="136">
        <f t="shared" si="56"/>
        <v>0</v>
      </c>
      <c r="BG416" s="136">
        <f t="shared" si="56"/>
        <v>0</v>
      </c>
      <c r="BH416" s="136">
        <f t="shared" si="56"/>
        <v>0</v>
      </c>
      <c r="BI416" s="136">
        <f t="shared" si="56"/>
        <v>0</v>
      </c>
      <c r="BJ416" s="136">
        <f t="shared" si="56"/>
        <v>0</v>
      </c>
      <c r="BK416" s="136">
        <f t="shared" si="56"/>
        <v>0</v>
      </c>
      <c r="BL416" s="136">
        <f t="shared" si="56"/>
        <v>0</v>
      </c>
      <c r="BM416" s="136">
        <f t="shared" si="56"/>
        <v>0</v>
      </c>
      <c r="BN416" s="136">
        <f t="shared" si="56"/>
        <v>0</v>
      </c>
      <c r="BO416" s="136">
        <f t="shared" si="56"/>
        <v>0</v>
      </c>
      <c r="BP416" s="136">
        <f t="shared" si="56"/>
        <v>0</v>
      </c>
      <c r="BQ416" s="136">
        <f t="shared" si="56"/>
        <v>0</v>
      </c>
      <c r="BR416" s="136">
        <f t="shared" si="56"/>
        <v>0</v>
      </c>
      <c r="BS416" s="136">
        <f t="shared" si="57"/>
        <v>0</v>
      </c>
      <c r="BT416" s="136">
        <f t="shared" si="57"/>
        <v>0</v>
      </c>
      <c r="BU416" s="136">
        <f t="shared" si="57"/>
        <v>0</v>
      </c>
      <c r="BV416" s="136">
        <f t="shared" si="57"/>
        <v>0</v>
      </c>
      <c r="BW416" s="136">
        <f t="shared" si="57"/>
        <v>0</v>
      </c>
      <c r="BX416" s="136">
        <f t="shared" si="57"/>
        <v>0</v>
      </c>
      <c r="BZ416" s="136">
        <f t="shared" si="58"/>
        <v>0</v>
      </c>
      <c r="CA416" s="136">
        <f t="shared" si="58"/>
        <v>0</v>
      </c>
    </row>
    <row r="417" spans="7:79" hidden="1" x14ac:dyDescent="0.3">
      <c r="G417" s="136">
        <f t="shared" si="56"/>
        <v>0</v>
      </c>
      <c r="H417" s="136">
        <f t="shared" si="56"/>
        <v>0</v>
      </c>
      <c r="I417" s="136">
        <f t="shared" si="56"/>
        <v>0</v>
      </c>
      <c r="J417" s="136">
        <f t="shared" si="56"/>
        <v>0</v>
      </c>
      <c r="K417" s="136">
        <f t="shared" si="56"/>
        <v>0</v>
      </c>
      <c r="L417" s="136">
        <f t="shared" si="56"/>
        <v>0</v>
      </c>
      <c r="M417" s="136">
        <f t="shared" si="56"/>
        <v>0</v>
      </c>
      <c r="N417" s="136">
        <f t="shared" si="56"/>
        <v>0</v>
      </c>
      <c r="O417" s="136">
        <f t="shared" si="56"/>
        <v>0</v>
      </c>
      <c r="P417" s="136">
        <f t="shared" si="56"/>
        <v>0</v>
      </c>
      <c r="Q417" s="136">
        <f t="shared" si="56"/>
        <v>0</v>
      </c>
      <c r="R417" s="136">
        <f t="shared" si="56"/>
        <v>0</v>
      </c>
      <c r="S417" s="136">
        <f t="shared" si="56"/>
        <v>0</v>
      </c>
      <c r="T417" s="136">
        <f t="shared" si="56"/>
        <v>0</v>
      </c>
      <c r="U417" s="136">
        <f t="shared" si="56"/>
        <v>0</v>
      </c>
      <c r="V417" s="136">
        <f t="shared" si="56"/>
        <v>0</v>
      </c>
      <c r="W417" s="136">
        <f t="shared" si="56"/>
        <v>0</v>
      </c>
      <c r="X417" s="136">
        <f t="shared" si="56"/>
        <v>0</v>
      </c>
      <c r="Y417" s="136">
        <f t="shared" si="56"/>
        <v>0</v>
      </c>
      <c r="Z417" s="136">
        <f t="shared" si="56"/>
        <v>0</v>
      </c>
      <c r="AA417" s="136">
        <f t="shared" si="56"/>
        <v>0</v>
      </c>
      <c r="AB417" s="136">
        <f t="shared" si="56"/>
        <v>0</v>
      </c>
      <c r="AC417" s="136">
        <f t="shared" si="56"/>
        <v>0</v>
      </c>
      <c r="AD417" s="136">
        <f t="shared" si="56"/>
        <v>0</v>
      </c>
      <c r="AE417" s="136">
        <f t="shared" si="56"/>
        <v>0</v>
      </c>
      <c r="AF417" s="136">
        <f t="shared" si="56"/>
        <v>0</v>
      </c>
      <c r="AG417" s="136">
        <f t="shared" si="56"/>
        <v>0</v>
      </c>
      <c r="AH417" s="136">
        <f t="shared" si="56"/>
        <v>0</v>
      </c>
      <c r="AI417" s="136">
        <f t="shared" si="56"/>
        <v>0</v>
      </c>
      <c r="AJ417" s="136">
        <f t="shared" si="56"/>
        <v>0</v>
      </c>
      <c r="AK417" s="136">
        <f t="shared" si="56"/>
        <v>0</v>
      </c>
      <c r="AL417" s="136">
        <f t="shared" si="56"/>
        <v>0</v>
      </c>
      <c r="AM417" s="136">
        <f t="shared" si="56"/>
        <v>0</v>
      </c>
      <c r="AN417" s="136">
        <f t="shared" si="56"/>
        <v>0</v>
      </c>
      <c r="AO417" s="136">
        <f t="shared" si="56"/>
        <v>0</v>
      </c>
      <c r="AP417" s="136">
        <f t="shared" si="56"/>
        <v>0</v>
      </c>
      <c r="AQ417" s="136">
        <f t="shared" si="56"/>
        <v>0</v>
      </c>
      <c r="AR417" s="136">
        <f t="shared" si="56"/>
        <v>0</v>
      </c>
      <c r="AS417" s="136">
        <f t="shared" si="56"/>
        <v>0</v>
      </c>
      <c r="AT417" s="136">
        <f t="shared" si="56"/>
        <v>0</v>
      </c>
      <c r="AU417" s="136">
        <f t="shared" si="56"/>
        <v>0</v>
      </c>
      <c r="AV417" s="136">
        <f t="shared" si="56"/>
        <v>0</v>
      </c>
      <c r="AW417" s="136">
        <f t="shared" si="56"/>
        <v>0</v>
      </c>
      <c r="AX417" s="136">
        <f t="shared" si="56"/>
        <v>0</v>
      </c>
      <c r="AY417" s="136">
        <f t="shared" si="56"/>
        <v>0</v>
      </c>
      <c r="AZ417" s="136">
        <f t="shared" si="56"/>
        <v>0</v>
      </c>
      <c r="BA417" s="136">
        <f t="shared" si="56"/>
        <v>0</v>
      </c>
      <c r="BB417" s="136">
        <f t="shared" si="56"/>
        <v>0</v>
      </c>
      <c r="BC417" s="136">
        <f t="shared" si="56"/>
        <v>0</v>
      </c>
      <c r="BD417" s="136">
        <f t="shared" si="56"/>
        <v>0</v>
      </c>
      <c r="BE417" s="136">
        <f t="shared" si="56"/>
        <v>0</v>
      </c>
      <c r="BF417" s="136">
        <f t="shared" si="56"/>
        <v>0</v>
      </c>
      <c r="BG417" s="136">
        <f t="shared" si="56"/>
        <v>0</v>
      </c>
      <c r="BH417" s="136">
        <f t="shared" si="56"/>
        <v>0</v>
      </c>
      <c r="BI417" s="136">
        <f t="shared" si="56"/>
        <v>0</v>
      </c>
      <c r="BJ417" s="136">
        <f t="shared" si="56"/>
        <v>0</v>
      </c>
      <c r="BK417" s="136">
        <f t="shared" si="56"/>
        <v>0</v>
      </c>
      <c r="BL417" s="136">
        <f t="shared" si="56"/>
        <v>0</v>
      </c>
      <c r="BM417" s="136">
        <f t="shared" si="56"/>
        <v>0</v>
      </c>
      <c r="BN417" s="136">
        <f t="shared" si="56"/>
        <v>0</v>
      </c>
      <c r="BO417" s="136">
        <f t="shared" si="56"/>
        <v>0</v>
      </c>
      <c r="BP417" s="136">
        <f t="shared" si="56"/>
        <v>0</v>
      </c>
      <c r="BQ417" s="136">
        <f t="shared" si="56"/>
        <v>0</v>
      </c>
      <c r="BR417" s="136">
        <f t="shared" ref="BR417:BX432" si="59">BR24-EJ24</f>
        <v>0</v>
      </c>
      <c r="BS417" s="136">
        <f t="shared" si="57"/>
        <v>0</v>
      </c>
      <c r="BT417" s="136">
        <f t="shared" si="57"/>
        <v>0</v>
      </c>
      <c r="BU417" s="136">
        <f t="shared" si="57"/>
        <v>0</v>
      </c>
      <c r="BV417" s="136">
        <f t="shared" si="57"/>
        <v>0</v>
      </c>
      <c r="BW417" s="136">
        <f t="shared" si="57"/>
        <v>0</v>
      </c>
      <c r="BX417" s="136">
        <f t="shared" si="57"/>
        <v>0</v>
      </c>
      <c r="BZ417" s="136">
        <f t="shared" si="58"/>
        <v>0</v>
      </c>
      <c r="CA417" s="136">
        <f t="shared" si="58"/>
        <v>0</v>
      </c>
    </row>
    <row r="418" spans="7:79" hidden="1" x14ac:dyDescent="0.3">
      <c r="G418" s="136">
        <f t="shared" ref="G418:BQ422" si="60">G25-BY25</f>
        <v>0</v>
      </c>
      <c r="H418" s="136">
        <f t="shared" si="60"/>
        <v>0</v>
      </c>
      <c r="I418" s="136">
        <f t="shared" si="60"/>
        <v>0</v>
      </c>
      <c r="J418" s="136">
        <f t="shared" si="60"/>
        <v>0</v>
      </c>
      <c r="K418" s="136">
        <f t="shared" si="60"/>
        <v>0</v>
      </c>
      <c r="L418" s="136">
        <f t="shared" si="60"/>
        <v>0</v>
      </c>
      <c r="M418" s="136">
        <f t="shared" si="60"/>
        <v>0</v>
      </c>
      <c r="N418" s="136">
        <f t="shared" si="60"/>
        <v>0</v>
      </c>
      <c r="O418" s="136">
        <f t="shared" si="60"/>
        <v>0</v>
      </c>
      <c r="P418" s="136">
        <f t="shared" si="60"/>
        <v>0</v>
      </c>
      <c r="Q418" s="136">
        <f t="shared" si="60"/>
        <v>0</v>
      </c>
      <c r="R418" s="136">
        <f t="shared" si="60"/>
        <v>0</v>
      </c>
      <c r="S418" s="136">
        <f t="shared" si="60"/>
        <v>0</v>
      </c>
      <c r="T418" s="136">
        <f t="shared" si="60"/>
        <v>0</v>
      </c>
      <c r="U418" s="136">
        <f t="shared" si="60"/>
        <v>0</v>
      </c>
      <c r="V418" s="136">
        <f t="shared" si="60"/>
        <v>0</v>
      </c>
      <c r="W418" s="136">
        <f t="shared" si="60"/>
        <v>0</v>
      </c>
      <c r="X418" s="136">
        <f t="shared" si="60"/>
        <v>0</v>
      </c>
      <c r="Y418" s="136">
        <f t="shared" si="60"/>
        <v>0</v>
      </c>
      <c r="Z418" s="136">
        <f t="shared" si="60"/>
        <v>0</v>
      </c>
      <c r="AA418" s="136">
        <f t="shared" si="60"/>
        <v>0</v>
      </c>
      <c r="AB418" s="136">
        <f t="shared" si="60"/>
        <v>0</v>
      </c>
      <c r="AC418" s="136">
        <f t="shared" si="60"/>
        <v>0</v>
      </c>
      <c r="AD418" s="136">
        <f t="shared" si="60"/>
        <v>0</v>
      </c>
      <c r="AE418" s="136">
        <f t="shared" si="60"/>
        <v>0</v>
      </c>
      <c r="AF418" s="136">
        <f t="shared" si="60"/>
        <v>0</v>
      </c>
      <c r="AG418" s="136">
        <f t="shared" si="60"/>
        <v>0</v>
      </c>
      <c r="AH418" s="136">
        <f t="shared" si="60"/>
        <v>0</v>
      </c>
      <c r="AI418" s="136">
        <f t="shared" si="60"/>
        <v>0</v>
      </c>
      <c r="AJ418" s="136">
        <f t="shared" si="60"/>
        <v>0</v>
      </c>
      <c r="AK418" s="136">
        <f t="shared" si="60"/>
        <v>0</v>
      </c>
      <c r="AL418" s="136">
        <f t="shared" si="60"/>
        <v>0</v>
      </c>
      <c r="AM418" s="136">
        <f t="shared" si="60"/>
        <v>0</v>
      </c>
      <c r="AN418" s="136">
        <f t="shared" si="60"/>
        <v>0</v>
      </c>
      <c r="AO418" s="136">
        <f t="shared" si="60"/>
        <v>0</v>
      </c>
      <c r="AP418" s="136">
        <f t="shared" si="60"/>
        <v>0</v>
      </c>
      <c r="AQ418" s="136">
        <f t="shared" si="60"/>
        <v>0</v>
      </c>
      <c r="AR418" s="136">
        <f t="shared" si="60"/>
        <v>0</v>
      </c>
      <c r="AS418" s="136">
        <f t="shared" si="60"/>
        <v>0</v>
      </c>
      <c r="AT418" s="136">
        <f t="shared" si="60"/>
        <v>0</v>
      </c>
      <c r="AU418" s="136">
        <f t="shared" si="60"/>
        <v>0</v>
      </c>
      <c r="AV418" s="136">
        <f t="shared" si="60"/>
        <v>0</v>
      </c>
      <c r="AW418" s="136">
        <f t="shared" si="60"/>
        <v>0</v>
      </c>
      <c r="AX418" s="136">
        <f t="shared" si="60"/>
        <v>0</v>
      </c>
      <c r="AY418" s="136">
        <f t="shared" si="60"/>
        <v>0</v>
      </c>
      <c r="AZ418" s="136">
        <f t="shared" si="60"/>
        <v>0</v>
      </c>
      <c r="BA418" s="136">
        <f t="shared" si="60"/>
        <v>0</v>
      </c>
      <c r="BB418" s="136">
        <f t="shared" si="60"/>
        <v>0</v>
      </c>
      <c r="BC418" s="136">
        <f t="shared" si="60"/>
        <v>0</v>
      </c>
      <c r="BD418" s="136">
        <f t="shared" si="60"/>
        <v>0</v>
      </c>
      <c r="BE418" s="136">
        <f t="shared" si="60"/>
        <v>0</v>
      </c>
      <c r="BF418" s="136">
        <f t="shared" si="60"/>
        <v>0</v>
      </c>
      <c r="BG418" s="136">
        <f t="shared" si="60"/>
        <v>0</v>
      </c>
      <c r="BH418" s="136">
        <f t="shared" si="60"/>
        <v>0</v>
      </c>
      <c r="BI418" s="136">
        <f t="shared" si="60"/>
        <v>0</v>
      </c>
      <c r="BJ418" s="136">
        <f t="shared" si="60"/>
        <v>0</v>
      </c>
      <c r="BK418" s="136">
        <f t="shared" si="60"/>
        <v>0</v>
      </c>
      <c r="BL418" s="136">
        <f t="shared" si="60"/>
        <v>0</v>
      </c>
      <c r="BM418" s="136">
        <f t="shared" si="60"/>
        <v>0</v>
      </c>
      <c r="BN418" s="136">
        <f t="shared" si="60"/>
        <v>0</v>
      </c>
      <c r="BO418" s="136">
        <f t="shared" si="60"/>
        <v>0</v>
      </c>
      <c r="BP418" s="136">
        <f t="shared" si="60"/>
        <v>0</v>
      </c>
      <c r="BQ418" s="136">
        <f t="shared" si="60"/>
        <v>0</v>
      </c>
      <c r="BR418" s="136">
        <f t="shared" si="59"/>
        <v>0</v>
      </c>
      <c r="BS418" s="136">
        <f t="shared" si="57"/>
        <v>0</v>
      </c>
      <c r="BT418" s="136">
        <f t="shared" si="57"/>
        <v>0</v>
      </c>
      <c r="BU418" s="136">
        <f t="shared" si="57"/>
        <v>0</v>
      </c>
      <c r="BV418" s="136">
        <f t="shared" si="57"/>
        <v>0</v>
      </c>
      <c r="BW418" s="136">
        <f t="shared" si="57"/>
        <v>0</v>
      </c>
      <c r="BX418" s="136">
        <f t="shared" si="57"/>
        <v>0</v>
      </c>
      <c r="BZ418" s="136">
        <f t="shared" si="58"/>
        <v>0</v>
      </c>
      <c r="CA418" s="136">
        <f t="shared" si="58"/>
        <v>0</v>
      </c>
    </row>
    <row r="419" spans="7:79" hidden="1" x14ac:dyDescent="0.3">
      <c r="G419" s="136">
        <f t="shared" si="60"/>
        <v>0</v>
      </c>
      <c r="H419" s="136">
        <f t="shared" si="60"/>
        <v>0</v>
      </c>
      <c r="I419" s="136">
        <f t="shared" si="60"/>
        <v>0</v>
      </c>
      <c r="J419" s="136">
        <f t="shared" si="60"/>
        <v>0</v>
      </c>
      <c r="K419" s="136">
        <f t="shared" si="60"/>
        <v>0</v>
      </c>
      <c r="L419" s="136">
        <f t="shared" si="60"/>
        <v>0</v>
      </c>
      <c r="M419" s="136">
        <f t="shared" si="60"/>
        <v>0</v>
      </c>
      <c r="N419" s="136">
        <f t="shared" si="60"/>
        <v>0</v>
      </c>
      <c r="O419" s="136">
        <f t="shared" si="60"/>
        <v>0</v>
      </c>
      <c r="P419" s="136">
        <f t="shared" si="60"/>
        <v>0</v>
      </c>
      <c r="Q419" s="136">
        <f t="shared" si="60"/>
        <v>0</v>
      </c>
      <c r="R419" s="136">
        <f t="shared" si="60"/>
        <v>0</v>
      </c>
      <c r="S419" s="136">
        <f t="shared" si="60"/>
        <v>0</v>
      </c>
      <c r="T419" s="136">
        <f t="shared" si="60"/>
        <v>0</v>
      </c>
      <c r="U419" s="136">
        <f t="shared" si="60"/>
        <v>0</v>
      </c>
      <c r="V419" s="136">
        <f t="shared" si="60"/>
        <v>0</v>
      </c>
      <c r="W419" s="136">
        <f t="shared" si="60"/>
        <v>0</v>
      </c>
      <c r="X419" s="136">
        <f t="shared" si="60"/>
        <v>0</v>
      </c>
      <c r="Y419" s="136">
        <f t="shared" si="60"/>
        <v>0</v>
      </c>
      <c r="Z419" s="136">
        <f t="shared" si="60"/>
        <v>0</v>
      </c>
      <c r="AA419" s="136">
        <f t="shared" si="60"/>
        <v>0</v>
      </c>
      <c r="AB419" s="136">
        <f t="shared" si="60"/>
        <v>0</v>
      </c>
      <c r="AC419" s="136">
        <f t="shared" si="60"/>
        <v>0</v>
      </c>
      <c r="AD419" s="136">
        <f t="shared" si="60"/>
        <v>0</v>
      </c>
      <c r="AE419" s="136">
        <f t="shared" si="60"/>
        <v>0</v>
      </c>
      <c r="AF419" s="136">
        <f t="shared" si="60"/>
        <v>0</v>
      </c>
      <c r="AG419" s="136">
        <f t="shared" si="60"/>
        <v>0</v>
      </c>
      <c r="AH419" s="136">
        <f t="shared" si="60"/>
        <v>0</v>
      </c>
      <c r="AI419" s="136">
        <f t="shared" si="60"/>
        <v>0</v>
      </c>
      <c r="AJ419" s="136">
        <f t="shared" si="60"/>
        <v>0</v>
      </c>
      <c r="AK419" s="136">
        <f t="shared" si="60"/>
        <v>0</v>
      </c>
      <c r="AL419" s="136">
        <f t="shared" si="60"/>
        <v>0</v>
      </c>
      <c r="AM419" s="136">
        <f t="shared" si="60"/>
        <v>0</v>
      </c>
      <c r="AN419" s="136">
        <f t="shared" si="60"/>
        <v>0</v>
      </c>
      <c r="AO419" s="136">
        <f t="shared" si="60"/>
        <v>0</v>
      </c>
      <c r="AP419" s="136">
        <f t="shared" si="60"/>
        <v>0</v>
      </c>
      <c r="AQ419" s="136">
        <f t="shared" si="60"/>
        <v>0</v>
      </c>
      <c r="AR419" s="136">
        <f t="shared" si="60"/>
        <v>0</v>
      </c>
      <c r="AS419" s="136">
        <f t="shared" si="60"/>
        <v>0</v>
      </c>
      <c r="AT419" s="136">
        <f t="shared" si="60"/>
        <v>0</v>
      </c>
      <c r="AU419" s="136">
        <f t="shared" si="60"/>
        <v>0</v>
      </c>
      <c r="AV419" s="136">
        <f t="shared" si="60"/>
        <v>0</v>
      </c>
      <c r="AW419" s="136">
        <f t="shared" si="60"/>
        <v>0</v>
      </c>
      <c r="AX419" s="136">
        <f t="shared" si="60"/>
        <v>0</v>
      </c>
      <c r="AY419" s="136">
        <f t="shared" si="60"/>
        <v>0</v>
      </c>
      <c r="AZ419" s="136">
        <f t="shared" si="60"/>
        <v>0</v>
      </c>
      <c r="BA419" s="136">
        <f t="shared" si="60"/>
        <v>0</v>
      </c>
      <c r="BB419" s="136">
        <f t="shared" si="60"/>
        <v>0</v>
      </c>
      <c r="BC419" s="136">
        <f t="shared" si="60"/>
        <v>0</v>
      </c>
      <c r="BD419" s="136">
        <f t="shared" si="60"/>
        <v>0</v>
      </c>
      <c r="BE419" s="136">
        <f t="shared" si="60"/>
        <v>0</v>
      </c>
      <c r="BF419" s="136">
        <f t="shared" si="60"/>
        <v>0</v>
      </c>
      <c r="BG419" s="136">
        <f t="shared" si="60"/>
        <v>0</v>
      </c>
      <c r="BH419" s="136">
        <f t="shared" si="60"/>
        <v>0</v>
      </c>
      <c r="BI419" s="136">
        <f t="shared" si="60"/>
        <v>0</v>
      </c>
      <c r="BJ419" s="136">
        <f t="shared" si="60"/>
        <v>0</v>
      </c>
      <c r="BK419" s="136">
        <f t="shared" si="60"/>
        <v>0</v>
      </c>
      <c r="BL419" s="136">
        <f t="shared" si="60"/>
        <v>0</v>
      </c>
      <c r="BM419" s="136">
        <f t="shared" si="60"/>
        <v>0</v>
      </c>
      <c r="BN419" s="136">
        <f t="shared" si="60"/>
        <v>0</v>
      </c>
      <c r="BO419" s="136">
        <f t="shared" si="60"/>
        <v>0</v>
      </c>
      <c r="BP419" s="136">
        <f t="shared" si="60"/>
        <v>0</v>
      </c>
      <c r="BQ419" s="136">
        <f t="shared" si="60"/>
        <v>0</v>
      </c>
      <c r="BR419" s="136">
        <f t="shared" si="59"/>
        <v>0</v>
      </c>
      <c r="BS419" s="136">
        <f t="shared" si="57"/>
        <v>0</v>
      </c>
      <c r="BT419" s="136">
        <f t="shared" si="57"/>
        <v>0</v>
      </c>
      <c r="BU419" s="136">
        <f t="shared" si="57"/>
        <v>0</v>
      </c>
      <c r="BV419" s="136">
        <f t="shared" si="57"/>
        <v>0</v>
      </c>
      <c r="BW419" s="136">
        <f t="shared" si="57"/>
        <v>0</v>
      </c>
      <c r="BX419" s="136">
        <f t="shared" si="57"/>
        <v>0</v>
      </c>
      <c r="BZ419" s="136">
        <f t="shared" si="58"/>
        <v>0</v>
      </c>
      <c r="CA419" s="136">
        <f t="shared" si="58"/>
        <v>0</v>
      </c>
    </row>
    <row r="420" spans="7:79" hidden="1" x14ac:dyDescent="0.3">
      <c r="G420" s="136">
        <f t="shared" si="60"/>
        <v>0</v>
      </c>
      <c r="H420" s="136">
        <f t="shared" si="60"/>
        <v>0</v>
      </c>
      <c r="I420" s="136">
        <f t="shared" si="60"/>
        <v>0</v>
      </c>
      <c r="J420" s="136">
        <f t="shared" si="60"/>
        <v>0</v>
      </c>
      <c r="K420" s="136">
        <f t="shared" si="60"/>
        <v>0</v>
      </c>
      <c r="L420" s="136">
        <f t="shared" si="60"/>
        <v>0</v>
      </c>
      <c r="M420" s="136">
        <f t="shared" si="60"/>
        <v>0</v>
      </c>
      <c r="N420" s="136">
        <f t="shared" si="60"/>
        <v>0</v>
      </c>
      <c r="O420" s="136">
        <f t="shared" si="60"/>
        <v>0</v>
      </c>
      <c r="P420" s="136">
        <f t="shared" si="60"/>
        <v>0</v>
      </c>
      <c r="Q420" s="136">
        <f t="shared" si="60"/>
        <v>0</v>
      </c>
      <c r="R420" s="136">
        <f t="shared" si="60"/>
        <v>0</v>
      </c>
      <c r="S420" s="136">
        <f t="shared" si="60"/>
        <v>0</v>
      </c>
      <c r="T420" s="136">
        <f t="shared" si="60"/>
        <v>0</v>
      </c>
      <c r="U420" s="136">
        <f t="shared" si="60"/>
        <v>0</v>
      </c>
      <c r="V420" s="136">
        <f t="shared" si="60"/>
        <v>0</v>
      </c>
      <c r="W420" s="136">
        <f t="shared" si="60"/>
        <v>0</v>
      </c>
      <c r="X420" s="136">
        <f t="shared" si="60"/>
        <v>0</v>
      </c>
      <c r="Y420" s="136">
        <f t="shared" si="60"/>
        <v>0</v>
      </c>
      <c r="Z420" s="136">
        <f t="shared" si="60"/>
        <v>0</v>
      </c>
      <c r="AA420" s="136">
        <f t="shared" si="60"/>
        <v>0</v>
      </c>
      <c r="AB420" s="136">
        <f t="shared" si="60"/>
        <v>0</v>
      </c>
      <c r="AC420" s="136">
        <f t="shared" si="60"/>
        <v>0</v>
      </c>
      <c r="AD420" s="136">
        <f t="shared" si="60"/>
        <v>0</v>
      </c>
      <c r="AE420" s="136">
        <f t="shared" si="60"/>
        <v>0</v>
      </c>
      <c r="AF420" s="136">
        <f t="shared" si="60"/>
        <v>0</v>
      </c>
      <c r="AG420" s="136">
        <f t="shared" si="60"/>
        <v>0</v>
      </c>
      <c r="AH420" s="136">
        <f t="shared" si="60"/>
        <v>0</v>
      </c>
      <c r="AI420" s="136">
        <f t="shared" si="60"/>
        <v>0</v>
      </c>
      <c r="AJ420" s="136">
        <f t="shared" si="60"/>
        <v>0</v>
      </c>
      <c r="AK420" s="136">
        <f t="shared" si="60"/>
        <v>0</v>
      </c>
      <c r="AL420" s="136">
        <f t="shared" si="60"/>
        <v>0</v>
      </c>
      <c r="AM420" s="136">
        <f t="shared" si="60"/>
        <v>0</v>
      </c>
      <c r="AN420" s="136">
        <f t="shared" si="60"/>
        <v>0</v>
      </c>
      <c r="AO420" s="136">
        <f t="shared" si="60"/>
        <v>0</v>
      </c>
      <c r="AP420" s="136">
        <f t="shared" si="60"/>
        <v>0</v>
      </c>
      <c r="AQ420" s="136">
        <f t="shared" si="60"/>
        <v>0</v>
      </c>
      <c r="AR420" s="136">
        <f t="shared" si="60"/>
        <v>0</v>
      </c>
      <c r="AS420" s="136">
        <f t="shared" si="60"/>
        <v>0</v>
      </c>
      <c r="AT420" s="136">
        <f t="shared" si="60"/>
        <v>0</v>
      </c>
      <c r="AU420" s="136">
        <f t="shared" si="60"/>
        <v>0</v>
      </c>
      <c r="AV420" s="136">
        <f t="shared" si="60"/>
        <v>0</v>
      </c>
      <c r="AW420" s="136">
        <f t="shared" si="60"/>
        <v>0</v>
      </c>
      <c r="AX420" s="136">
        <f t="shared" si="60"/>
        <v>0</v>
      </c>
      <c r="AY420" s="136">
        <f t="shared" si="60"/>
        <v>0</v>
      </c>
      <c r="AZ420" s="136">
        <f t="shared" si="60"/>
        <v>0</v>
      </c>
      <c r="BA420" s="136">
        <f t="shared" si="60"/>
        <v>0</v>
      </c>
      <c r="BB420" s="136">
        <f t="shared" si="60"/>
        <v>0</v>
      </c>
      <c r="BC420" s="136">
        <f t="shared" si="60"/>
        <v>0</v>
      </c>
      <c r="BD420" s="136">
        <f t="shared" si="60"/>
        <v>0</v>
      </c>
      <c r="BE420" s="136">
        <f t="shared" si="60"/>
        <v>0</v>
      </c>
      <c r="BF420" s="136">
        <f t="shared" si="60"/>
        <v>0</v>
      </c>
      <c r="BG420" s="136">
        <f t="shared" si="60"/>
        <v>0</v>
      </c>
      <c r="BH420" s="136">
        <f t="shared" si="60"/>
        <v>0</v>
      </c>
      <c r="BI420" s="136">
        <f t="shared" si="60"/>
        <v>0</v>
      </c>
      <c r="BJ420" s="136">
        <f t="shared" si="60"/>
        <v>0</v>
      </c>
      <c r="BK420" s="136">
        <f t="shared" si="60"/>
        <v>0</v>
      </c>
      <c r="BL420" s="136">
        <f t="shared" si="60"/>
        <v>0</v>
      </c>
      <c r="BM420" s="136">
        <f t="shared" si="60"/>
        <v>0</v>
      </c>
      <c r="BN420" s="136">
        <f t="shared" si="60"/>
        <v>0</v>
      </c>
      <c r="BO420" s="136">
        <f t="shared" si="60"/>
        <v>0</v>
      </c>
      <c r="BP420" s="136">
        <f t="shared" si="60"/>
        <v>0</v>
      </c>
      <c r="BQ420" s="136">
        <f t="shared" si="60"/>
        <v>0</v>
      </c>
      <c r="BR420" s="136">
        <f t="shared" si="59"/>
        <v>0</v>
      </c>
      <c r="BS420" s="136">
        <f t="shared" si="57"/>
        <v>0</v>
      </c>
      <c r="BT420" s="136">
        <f t="shared" si="57"/>
        <v>0</v>
      </c>
      <c r="BU420" s="136">
        <f t="shared" si="57"/>
        <v>0</v>
      </c>
      <c r="BV420" s="136">
        <f t="shared" si="57"/>
        <v>0</v>
      </c>
      <c r="BW420" s="136">
        <f t="shared" si="57"/>
        <v>0</v>
      </c>
      <c r="BX420" s="136">
        <f t="shared" si="57"/>
        <v>0</v>
      </c>
      <c r="BZ420" s="136">
        <f t="shared" si="58"/>
        <v>0</v>
      </c>
      <c r="CA420" s="136">
        <f t="shared" si="58"/>
        <v>0</v>
      </c>
    </row>
    <row r="421" spans="7:79" hidden="1" x14ac:dyDescent="0.3">
      <c r="G421" s="136">
        <f t="shared" si="60"/>
        <v>-6825659</v>
      </c>
      <c r="H421" s="136">
        <f t="shared" si="60"/>
        <v>0</v>
      </c>
      <c r="I421" s="136">
        <f t="shared" si="60"/>
        <v>0</v>
      </c>
      <c r="J421" s="136">
        <f t="shared" si="60"/>
        <v>0</v>
      </c>
      <c r="K421" s="136">
        <f t="shared" si="60"/>
        <v>0</v>
      </c>
      <c r="L421" s="136">
        <f t="shared" si="60"/>
        <v>-484328</v>
      </c>
      <c r="M421" s="136">
        <f t="shared" si="60"/>
        <v>0</v>
      </c>
      <c r="N421" s="136">
        <f t="shared" si="60"/>
        <v>0</v>
      </c>
      <c r="O421" s="136">
        <f t="shared" si="60"/>
        <v>0</v>
      </c>
      <c r="P421" s="136">
        <f t="shared" si="60"/>
        <v>0</v>
      </c>
      <c r="Q421" s="136">
        <f t="shared" si="60"/>
        <v>-850726</v>
      </c>
      <c r="R421" s="136">
        <f t="shared" si="60"/>
        <v>0</v>
      </c>
      <c r="S421" s="136">
        <f t="shared" si="60"/>
        <v>0</v>
      </c>
      <c r="T421" s="136">
        <f t="shared" si="60"/>
        <v>0</v>
      </c>
      <c r="U421" s="136">
        <f t="shared" si="60"/>
        <v>0</v>
      </c>
      <c r="V421" s="136">
        <f t="shared" si="60"/>
        <v>-390117</v>
      </c>
      <c r="W421" s="136">
        <f t="shared" si="60"/>
        <v>0</v>
      </c>
      <c r="X421" s="136">
        <f t="shared" si="60"/>
        <v>0</v>
      </c>
      <c r="Y421" s="136">
        <f t="shared" si="60"/>
        <v>0</v>
      </c>
      <c r="Z421" s="136">
        <f t="shared" si="60"/>
        <v>0</v>
      </c>
      <c r="AA421" s="136">
        <f t="shared" si="60"/>
        <v>0</v>
      </c>
      <c r="AB421" s="136">
        <f t="shared" si="60"/>
        <v>0</v>
      </c>
      <c r="AC421" s="136">
        <f t="shared" si="60"/>
        <v>0</v>
      </c>
      <c r="AD421" s="136">
        <f t="shared" si="60"/>
        <v>0</v>
      </c>
      <c r="AE421" s="136">
        <f t="shared" si="60"/>
        <v>0</v>
      </c>
      <c r="AF421" s="136">
        <f t="shared" si="60"/>
        <v>-286240</v>
      </c>
      <c r="AG421" s="136">
        <f t="shared" si="60"/>
        <v>0</v>
      </c>
      <c r="AH421" s="136">
        <f t="shared" si="60"/>
        <v>0</v>
      </c>
      <c r="AI421" s="136">
        <f t="shared" si="60"/>
        <v>0</v>
      </c>
      <c r="AJ421" s="136">
        <f t="shared" si="60"/>
        <v>0</v>
      </c>
      <c r="AK421" s="136">
        <f t="shared" si="60"/>
        <v>-123945</v>
      </c>
      <c r="AL421" s="136">
        <f t="shared" si="60"/>
        <v>0</v>
      </c>
      <c r="AM421" s="136">
        <f t="shared" si="60"/>
        <v>0</v>
      </c>
      <c r="AN421" s="136">
        <f t="shared" si="60"/>
        <v>0</v>
      </c>
      <c r="AO421" s="136">
        <f t="shared" si="60"/>
        <v>0</v>
      </c>
      <c r="AP421" s="136">
        <f t="shared" si="60"/>
        <v>-15625</v>
      </c>
      <c r="AQ421" s="136">
        <f t="shared" si="60"/>
        <v>0</v>
      </c>
      <c r="AR421" s="136">
        <f t="shared" si="60"/>
        <v>0</v>
      </c>
      <c r="AS421" s="136">
        <f t="shared" si="60"/>
        <v>0</v>
      </c>
      <c r="AT421" s="136">
        <f t="shared" si="60"/>
        <v>0</v>
      </c>
      <c r="AU421" s="136">
        <f t="shared" si="60"/>
        <v>0</v>
      </c>
      <c r="AV421" s="136">
        <f t="shared" si="60"/>
        <v>0</v>
      </c>
      <c r="AW421" s="136">
        <f t="shared" si="60"/>
        <v>0</v>
      </c>
      <c r="AX421" s="136">
        <f t="shared" si="60"/>
        <v>0</v>
      </c>
      <c r="AY421" s="136">
        <f t="shared" si="60"/>
        <v>0</v>
      </c>
      <c r="AZ421" s="136">
        <f t="shared" si="60"/>
        <v>0</v>
      </c>
      <c r="BA421" s="136">
        <f t="shared" si="60"/>
        <v>0</v>
      </c>
      <c r="BB421" s="136">
        <f t="shared" si="60"/>
        <v>0</v>
      </c>
      <c r="BC421" s="136">
        <f t="shared" si="60"/>
        <v>0</v>
      </c>
      <c r="BD421" s="136">
        <f t="shared" si="60"/>
        <v>0</v>
      </c>
      <c r="BE421" s="136">
        <f t="shared" si="60"/>
        <v>0</v>
      </c>
      <c r="BF421" s="136">
        <f t="shared" si="60"/>
        <v>0</v>
      </c>
      <c r="BG421" s="136">
        <f t="shared" si="60"/>
        <v>0</v>
      </c>
      <c r="BH421" s="136">
        <f t="shared" si="60"/>
        <v>0</v>
      </c>
      <c r="BI421" s="136">
        <f t="shared" si="60"/>
        <v>0</v>
      </c>
      <c r="BJ421" s="136">
        <f t="shared" si="60"/>
        <v>-1079385</v>
      </c>
      <c r="BK421" s="136">
        <f t="shared" si="60"/>
        <v>0</v>
      </c>
      <c r="BL421" s="136">
        <f t="shared" si="60"/>
        <v>0</v>
      </c>
      <c r="BM421" s="136">
        <f t="shared" si="60"/>
        <v>0</v>
      </c>
      <c r="BN421" s="136">
        <f t="shared" si="60"/>
        <v>0</v>
      </c>
      <c r="BO421" s="136">
        <f t="shared" si="60"/>
        <v>-3595293</v>
      </c>
      <c r="BP421" s="136">
        <f t="shared" si="60"/>
        <v>0</v>
      </c>
      <c r="BQ421" s="136">
        <f t="shared" si="60"/>
        <v>0</v>
      </c>
      <c r="BR421" s="136">
        <f t="shared" si="59"/>
        <v>0</v>
      </c>
      <c r="BS421" s="136">
        <f t="shared" si="57"/>
        <v>0</v>
      </c>
      <c r="BT421" s="136">
        <f t="shared" si="57"/>
        <v>-2150981</v>
      </c>
      <c r="BU421" s="136">
        <f t="shared" si="57"/>
        <v>0</v>
      </c>
      <c r="BV421" s="136">
        <f t="shared" si="57"/>
        <v>0</v>
      </c>
      <c r="BW421" s="136">
        <f t="shared" si="57"/>
        <v>0</v>
      </c>
      <c r="BX421" s="136">
        <f t="shared" si="57"/>
        <v>0</v>
      </c>
      <c r="BZ421" s="136">
        <f t="shared" si="58"/>
        <v>0</v>
      </c>
      <c r="CA421" s="136">
        <f t="shared" si="58"/>
        <v>0</v>
      </c>
    </row>
    <row r="422" spans="7:79" hidden="1" x14ac:dyDescent="0.3">
      <c r="G422" s="136">
        <f t="shared" si="60"/>
        <v>-4283892</v>
      </c>
      <c r="H422" s="136">
        <f t="shared" si="60"/>
        <v>0</v>
      </c>
      <c r="I422" s="136">
        <f t="shared" si="60"/>
        <v>0</v>
      </c>
      <c r="J422" s="136">
        <f t="shared" ref="J422:BQ426" si="61">J29-CB29</f>
        <v>0</v>
      </c>
      <c r="K422" s="136">
        <f t="shared" si="61"/>
        <v>0</v>
      </c>
      <c r="L422" s="136">
        <f t="shared" si="61"/>
        <v>-314427</v>
      </c>
      <c r="M422" s="136">
        <f t="shared" si="61"/>
        <v>0</v>
      </c>
      <c r="N422" s="136">
        <f t="shared" si="61"/>
        <v>0</v>
      </c>
      <c r="O422" s="136">
        <f t="shared" si="61"/>
        <v>0</v>
      </c>
      <c r="P422" s="136">
        <f t="shared" si="61"/>
        <v>0</v>
      </c>
      <c r="Q422" s="136">
        <f t="shared" si="61"/>
        <v>-556283</v>
      </c>
      <c r="R422" s="136">
        <f t="shared" si="61"/>
        <v>0</v>
      </c>
      <c r="S422" s="136">
        <f t="shared" si="61"/>
        <v>0</v>
      </c>
      <c r="T422" s="136">
        <f t="shared" si="61"/>
        <v>0</v>
      </c>
      <c r="U422" s="136">
        <f t="shared" si="61"/>
        <v>0</v>
      </c>
      <c r="V422" s="136">
        <f t="shared" si="61"/>
        <v>-254616</v>
      </c>
      <c r="W422" s="136">
        <f t="shared" si="61"/>
        <v>0</v>
      </c>
      <c r="X422" s="136">
        <f t="shared" si="61"/>
        <v>0</v>
      </c>
      <c r="Y422" s="136">
        <f t="shared" si="61"/>
        <v>0</v>
      </c>
      <c r="Z422" s="136">
        <f t="shared" si="61"/>
        <v>0</v>
      </c>
      <c r="AA422" s="136">
        <f t="shared" si="61"/>
        <v>0</v>
      </c>
      <c r="AB422" s="136">
        <f t="shared" si="61"/>
        <v>0</v>
      </c>
      <c r="AC422" s="136">
        <f t="shared" si="61"/>
        <v>0</v>
      </c>
      <c r="AD422" s="136">
        <f t="shared" si="61"/>
        <v>0</v>
      </c>
      <c r="AE422" s="136">
        <f t="shared" si="61"/>
        <v>0</v>
      </c>
      <c r="AF422" s="136">
        <f t="shared" si="61"/>
        <v>-182136</v>
      </c>
      <c r="AG422" s="136">
        <f t="shared" si="61"/>
        <v>0</v>
      </c>
      <c r="AH422" s="136">
        <f t="shared" si="61"/>
        <v>0</v>
      </c>
      <c r="AI422" s="136">
        <f t="shared" si="61"/>
        <v>0</v>
      </c>
      <c r="AJ422" s="136">
        <f t="shared" si="61"/>
        <v>0</v>
      </c>
      <c r="AK422" s="136">
        <f t="shared" si="61"/>
        <v>-79180</v>
      </c>
      <c r="AL422" s="136">
        <f t="shared" si="61"/>
        <v>0</v>
      </c>
      <c r="AM422" s="136">
        <f t="shared" si="61"/>
        <v>0</v>
      </c>
      <c r="AN422" s="136">
        <f t="shared" si="61"/>
        <v>0</v>
      </c>
      <c r="AO422" s="136">
        <f t="shared" si="61"/>
        <v>0</v>
      </c>
      <c r="AP422" s="136">
        <f t="shared" si="61"/>
        <v>-9828</v>
      </c>
      <c r="AQ422" s="136">
        <f t="shared" si="61"/>
        <v>0</v>
      </c>
      <c r="AR422" s="136">
        <f t="shared" si="61"/>
        <v>0</v>
      </c>
      <c r="AS422" s="136">
        <f t="shared" si="61"/>
        <v>0</v>
      </c>
      <c r="AT422" s="136">
        <f t="shared" si="61"/>
        <v>0</v>
      </c>
      <c r="AU422" s="136">
        <f t="shared" si="61"/>
        <v>0</v>
      </c>
      <c r="AV422" s="136">
        <f t="shared" si="61"/>
        <v>0</v>
      </c>
      <c r="AW422" s="136">
        <f t="shared" si="61"/>
        <v>0</v>
      </c>
      <c r="AX422" s="136">
        <f t="shared" si="61"/>
        <v>0</v>
      </c>
      <c r="AY422" s="136">
        <f t="shared" si="61"/>
        <v>0</v>
      </c>
      <c r="AZ422" s="136">
        <f t="shared" si="61"/>
        <v>0</v>
      </c>
      <c r="BA422" s="136">
        <f t="shared" si="61"/>
        <v>0</v>
      </c>
      <c r="BB422" s="136">
        <f t="shared" si="61"/>
        <v>0</v>
      </c>
      <c r="BC422" s="136">
        <f t="shared" si="61"/>
        <v>0</v>
      </c>
      <c r="BD422" s="136">
        <f t="shared" si="61"/>
        <v>0</v>
      </c>
      <c r="BE422" s="136">
        <f t="shared" si="61"/>
        <v>0</v>
      </c>
      <c r="BF422" s="136">
        <f t="shared" si="61"/>
        <v>0</v>
      </c>
      <c r="BG422" s="136">
        <f t="shared" si="61"/>
        <v>0</v>
      </c>
      <c r="BH422" s="136">
        <f t="shared" si="61"/>
        <v>0</v>
      </c>
      <c r="BI422" s="136">
        <f t="shared" si="61"/>
        <v>0</v>
      </c>
      <c r="BJ422" s="136">
        <f t="shared" si="61"/>
        <v>-664717</v>
      </c>
      <c r="BK422" s="136">
        <f t="shared" si="61"/>
        <v>0</v>
      </c>
      <c r="BL422" s="136">
        <f t="shared" si="61"/>
        <v>0</v>
      </c>
      <c r="BM422" s="136">
        <f t="shared" si="61"/>
        <v>0</v>
      </c>
      <c r="BN422" s="136">
        <f t="shared" si="61"/>
        <v>0</v>
      </c>
      <c r="BO422" s="136">
        <f t="shared" si="61"/>
        <v>-2222705</v>
      </c>
      <c r="BP422" s="136">
        <f t="shared" si="61"/>
        <v>0</v>
      </c>
      <c r="BQ422" s="136">
        <f t="shared" si="61"/>
        <v>0</v>
      </c>
      <c r="BR422" s="136">
        <f t="shared" si="59"/>
        <v>0</v>
      </c>
      <c r="BS422" s="136">
        <f t="shared" si="57"/>
        <v>0</v>
      </c>
      <c r="BT422" s="136">
        <f t="shared" si="57"/>
        <v>-1396470</v>
      </c>
      <c r="BU422" s="136">
        <f t="shared" si="57"/>
        <v>0</v>
      </c>
      <c r="BV422" s="136">
        <f t="shared" si="57"/>
        <v>0</v>
      </c>
      <c r="BW422" s="136">
        <f t="shared" si="57"/>
        <v>0</v>
      </c>
      <c r="BX422" s="136">
        <f t="shared" si="57"/>
        <v>0</v>
      </c>
      <c r="BZ422" s="136">
        <f t="shared" si="58"/>
        <v>0</v>
      </c>
      <c r="CA422" s="136">
        <f t="shared" si="58"/>
        <v>0</v>
      </c>
    </row>
    <row r="423" spans="7:79" hidden="1" x14ac:dyDescent="0.3">
      <c r="G423" s="136">
        <f t="shared" ref="G423:V438" si="62">G30-BY30</f>
        <v>-61308</v>
      </c>
      <c r="H423" s="136">
        <f t="shared" si="62"/>
        <v>0</v>
      </c>
      <c r="I423" s="136">
        <f t="shared" si="62"/>
        <v>0</v>
      </c>
      <c r="J423" s="136">
        <f t="shared" si="61"/>
        <v>0</v>
      </c>
      <c r="K423" s="136">
        <f t="shared" si="61"/>
        <v>0</v>
      </c>
      <c r="L423" s="136">
        <f t="shared" si="61"/>
        <v>-5573</v>
      </c>
      <c r="M423" s="136">
        <f t="shared" si="61"/>
        <v>0</v>
      </c>
      <c r="N423" s="136">
        <f t="shared" si="61"/>
        <v>0</v>
      </c>
      <c r="O423" s="136">
        <f t="shared" si="61"/>
        <v>0</v>
      </c>
      <c r="P423" s="136">
        <f t="shared" si="61"/>
        <v>0</v>
      </c>
      <c r="Q423" s="136">
        <f t="shared" si="61"/>
        <v>-3717</v>
      </c>
      <c r="R423" s="136">
        <f t="shared" si="61"/>
        <v>0</v>
      </c>
      <c r="S423" s="136">
        <f t="shared" si="61"/>
        <v>0</v>
      </c>
      <c r="T423" s="136">
        <f t="shared" si="61"/>
        <v>0</v>
      </c>
      <c r="U423" s="136">
        <f t="shared" si="61"/>
        <v>0</v>
      </c>
      <c r="V423" s="136">
        <f t="shared" si="61"/>
        <v>-584</v>
      </c>
      <c r="W423" s="136">
        <f t="shared" si="61"/>
        <v>0</v>
      </c>
      <c r="X423" s="136">
        <f t="shared" si="61"/>
        <v>0</v>
      </c>
      <c r="Y423" s="136">
        <f t="shared" si="61"/>
        <v>0</v>
      </c>
      <c r="Z423" s="136">
        <f t="shared" si="61"/>
        <v>0</v>
      </c>
      <c r="AA423" s="136">
        <f t="shared" si="61"/>
        <v>0</v>
      </c>
      <c r="AB423" s="136">
        <f t="shared" si="61"/>
        <v>0</v>
      </c>
      <c r="AC423" s="136">
        <f t="shared" si="61"/>
        <v>0</v>
      </c>
      <c r="AD423" s="136">
        <f t="shared" si="61"/>
        <v>0</v>
      </c>
      <c r="AE423" s="136">
        <f t="shared" si="61"/>
        <v>0</v>
      </c>
      <c r="AF423" s="136">
        <f t="shared" si="61"/>
        <v>-2864</v>
      </c>
      <c r="AG423" s="136">
        <f t="shared" si="61"/>
        <v>0</v>
      </c>
      <c r="AH423" s="136">
        <f t="shared" si="61"/>
        <v>0</v>
      </c>
      <c r="AI423" s="136">
        <f t="shared" si="61"/>
        <v>0</v>
      </c>
      <c r="AJ423" s="136">
        <f t="shared" si="61"/>
        <v>0</v>
      </c>
      <c r="AK423" s="136">
        <f t="shared" si="61"/>
        <v>-820</v>
      </c>
      <c r="AL423" s="136">
        <f t="shared" si="61"/>
        <v>0</v>
      </c>
      <c r="AM423" s="136">
        <f t="shared" si="61"/>
        <v>0</v>
      </c>
      <c r="AN423" s="136">
        <f t="shared" si="61"/>
        <v>0</v>
      </c>
      <c r="AO423" s="136">
        <f t="shared" si="61"/>
        <v>0</v>
      </c>
      <c r="AP423" s="136">
        <f t="shared" si="61"/>
        <v>-172</v>
      </c>
      <c r="AQ423" s="136">
        <f t="shared" si="61"/>
        <v>0</v>
      </c>
      <c r="AR423" s="136">
        <f t="shared" si="61"/>
        <v>0</v>
      </c>
      <c r="AS423" s="136">
        <f t="shared" si="61"/>
        <v>0</v>
      </c>
      <c r="AT423" s="136">
        <f t="shared" si="61"/>
        <v>0</v>
      </c>
      <c r="AU423" s="136">
        <f t="shared" si="61"/>
        <v>0</v>
      </c>
      <c r="AV423" s="136">
        <f t="shared" si="61"/>
        <v>0</v>
      </c>
      <c r="AW423" s="136">
        <f t="shared" si="61"/>
        <v>0</v>
      </c>
      <c r="AX423" s="136">
        <f t="shared" si="61"/>
        <v>0</v>
      </c>
      <c r="AY423" s="136">
        <f t="shared" si="61"/>
        <v>0</v>
      </c>
      <c r="AZ423" s="136">
        <f t="shared" si="61"/>
        <v>0</v>
      </c>
      <c r="BA423" s="136">
        <f t="shared" si="61"/>
        <v>0</v>
      </c>
      <c r="BB423" s="136">
        <f t="shared" si="61"/>
        <v>0</v>
      </c>
      <c r="BC423" s="136">
        <f t="shared" si="61"/>
        <v>0</v>
      </c>
      <c r="BD423" s="136">
        <f t="shared" si="61"/>
        <v>0</v>
      </c>
      <c r="BE423" s="136">
        <f t="shared" si="61"/>
        <v>0</v>
      </c>
      <c r="BF423" s="136">
        <f t="shared" si="61"/>
        <v>0</v>
      </c>
      <c r="BG423" s="136">
        <f t="shared" si="61"/>
        <v>0</v>
      </c>
      <c r="BH423" s="136">
        <f t="shared" si="61"/>
        <v>0</v>
      </c>
      <c r="BI423" s="136">
        <f t="shared" si="61"/>
        <v>0</v>
      </c>
      <c r="BJ423" s="136">
        <f t="shared" si="61"/>
        <v>-15283</v>
      </c>
      <c r="BK423" s="136">
        <f t="shared" si="61"/>
        <v>0</v>
      </c>
      <c r="BL423" s="136">
        <f t="shared" si="61"/>
        <v>0</v>
      </c>
      <c r="BM423" s="136">
        <f t="shared" si="61"/>
        <v>0</v>
      </c>
      <c r="BN423" s="136">
        <f t="shared" si="61"/>
        <v>0</v>
      </c>
      <c r="BO423" s="136">
        <f t="shared" si="61"/>
        <v>-32295</v>
      </c>
      <c r="BP423" s="136">
        <f t="shared" si="61"/>
        <v>0</v>
      </c>
      <c r="BQ423" s="136">
        <f t="shared" si="61"/>
        <v>0</v>
      </c>
      <c r="BR423" s="136">
        <f t="shared" si="59"/>
        <v>0</v>
      </c>
      <c r="BS423" s="136">
        <f t="shared" si="57"/>
        <v>0</v>
      </c>
      <c r="BT423" s="136">
        <f t="shared" si="57"/>
        <v>-13730</v>
      </c>
      <c r="BU423" s="136">
        <f t="shared" si="57"/>
        <v>0</v>
      </c>
      <c r="BV423" s="136">
        <f t="shared" si="57"/>
        <v>0</v>
      </c>
      <c r="BW423" s="136">
        <f t="shared" si="57"/>
        <v>0</v>
      </c>
      <c r="BX423" s="136">
        <f t="shared" si="57"/>
        <v>0</v>
      </c>
      <c r="BZ423" s="136">
        <f t="shared" si="58"/>
        <v>0</v>
      </c>
      <c r="CA423" s="136">
        <f t="shared" si="58"/>
        <v>0</v>
      </c>
    </row>
    <row r="424" spans="7:79" hidden="1" x14ac:dyDescent="0.3">
      <c r="G424" s="136">
        <f t="shared" si="62"/>
        <v>200</v>
      </c>
      <c r="H424" s="136">
        <f t="shared" si="62"/>
        <v>0</v>
      </c>
      <c r="I424" s="136">
        <f t="shared" si="62"/>
        <v>0</v>
      </c>
      <c r="J424" s="136">
        <f t="shared" si="61"/>
        <v>0</v>
      </c>
      <c r="K424" s="136">
        <f t="shared" si="61"/>
        <v>0</v>
      </c>
      <c r="L424" s="136">
        <f t="shared" si="61"/>
        <v>0</v>
      </c>
      <c r="M424" s="136">
        <f t="shared" si="61"/>
        <v>0</v>
      </c>
      <c r="N424" s="136">
        <f t="shared" si="61"/>
        <v>0</v>
      </c>
      <c r="O424" s="136">
        <f t="shared" si="61"/>
        <v>0</v>
      </c>
      <c r="P424" s="136">
        <f t="shared" si="61"/>
        <v>0</v>
      </c>
      <c r="Q424" s="136">
        <f t="shared" si="61"/>
        <v>0</v>
      </c>
      <c r="R424" s="136">
        <f t="shared" si="61"/>
        <v>0</v>
      </c>
      <c r="S424" s="136">
        <f t="shared" si="61"/>
        <v>0</v>
      </c>
      <c r="T424" s="136">
        <f t="shared" si="61"/>
        <v>0</v>
      </c>
      <c r="U424" s="136">
        <f t="shared" si="61"/>
        <v>0</v>
      </c>
      <c r="V424" s="136">
        <f t="shared" si="61"/>
        <v>200</v>
      </c>
      <c r="W424" s="136">
        <f t="shared" si="61"/>
        <v>0</v>
      </c>
      <c r="X424" s="136">
        <f t="shared" si="61"/>
        <v>0</v>
      </c>
      <c r="Y424" s="136">
        <f t="shared" si="61"/>
        <v>0</v>
      </c>
      <c r="Z424" s="136">
        <f t="shared" si="61"/>
        <v>0</v>
      </c>
      <c r="AA424" s="136">
        <f t="shared" si="61"/>
        <v>0</v>
      </c>
      <c r="AB424" s="136">
        <f t="shared" si="61"/>
        <v>0</v>
      </c>
      <c r="AC424" s="136">
        <f t="shared" si="61"/>
        <v>0</v>
      </c>
      <c r="AD424" s="136">
        <f t="shared" si="61"/>
        <v>0</v>
      </c>
      <c r="AE424" s="136">
        <f t="shared" si="61"/>
        <v>0</v>
      </c>
      <c r="AF424" s="136">
        <f t="shared" si="61"/>
        <v>0</v>
      </c>
      <c r="AG424" s="136">
        <f t="shared" si="61"/>
        <v>0</v>
      </c>
      <c r="AH424" s="136">
        <f t="shared" si="61"/>
        <v>0</v>
      </c>
      <c r="AI424" s="136">
        <f t="shared" si="61"/>
        <v>0</v>
      </c>
      <c r="AJ424" s="136">
        <f t="shared" si="61"/>
        <v>0</v>
      </c>
      <c r="AK424" s="136">
        <f t="shared" si="61"/>
        <v>0</v>
      </c>
      <c r="AL424" s="136">
        <f t="shared" si="61"/>
        <v>0</v>
      </c>
      <c r="AM424" s="136">
        <f t="shared" si="61"/>
        <v>0</v>
      </c>
      <c r="AN424" s="136">
        <f t="shared" si="61"/>
        <v>0</v>
      </c>
      <c r="AO424" s="136">
        <f t="shared" si="61"/>
        <v>0</v>
      </c>
      <c r="AP424" s="136">
        <f t="shared" si="61"/>
        <v>0</v>
      </c>
      <c r="AQ424" s="136">
        <f t="shared" si="61"/>
        <v>0</v>
      </c>
      <c r="AR424" s="136">
        <f t="shared" si="61"/>
        <v>0</v>
      </c>
      <c r="AS424" s="136">
        <f t="shared" si="61"/>
        <v>0</v>
      </c>
      <c r="AT424" s="136">
        <f t="shared" si="61"/>
        <v>0</v>
      </c>
      <c r="AU424" s="136">
        <f t="shared" si="61"/>
        <v>0</v>
      </c>
      <c r="AV424" s="136">
        <f t="shared" si="61"/>
        <v>0</v>
      </c>
      <c r="AW424" s="136">
        <f t="shared" si="61"/>
        <v>0</v>
      </c>
      <c r="AX424" s="136">
        <f t="shared" si="61"/>
        <v>0</v>
      </c>
      <c r="AY424" s="136">
        <f t="shared" si="61"/>
        <v>0</v>
      </c>
      <c r="AZ424" s="136">
        <f t="shared" si="61"/>
        <v>0</v>
      </c>
      <c r="BA424" s="136">
        <f t="shared" si="61"/>
        <v>0</v>
      </c>
      <c r="BB424" s="136">
        <f t="shared" si="61"/>
        <v>0</v>
      </c>
      <c r="BC424" s="136">
        <f t="shared" si="61"/>
        <v>0</v>
      </c>
      <c r="BD424" s="136">
        <f t="shared" si="61"/>
        <v>0</v>
      </c>
      <c r="BE424" s="136">
        <f t="shared" si="61"/>
        <v>0</v>
      </c>
      <c r="BF424" s="136">
        <f t="shared" si="61"/>
        <v>0</v>
      </c>
      <c r="BG424" s="136">
        <f t="shared" si="61"/>
        <v>0</v>
      </c>
      <c r="BH424" s="136">
        <f t="shared" si="61"/>
        <v>0</v>
      </c>
      <c r="BI424" s="136">
        <f t="shared" si="61"/>
        <v>0</v>
      </c>
      <c r="BJ424" s="136">
        <f t="shared" si="61"/>
        <v>0</v>
      </c>
      <c r="BK424" s="136">
        <f t="shared" si="61"/>
        <v>0</v>
      </c>
      <c r="BL424" s="136">
        <f t="shared" si="61"/>
        <v>0</v>
      </c>
      <c r="BM424" s="136">
        <f t="shared" si="61"/>
        <v>0</v>
      </c>
      <c r="BN424" s="136">
        <f t="shared" si="61"/>
        <v>0</v>
      </c>
      <c r="BO424" s="136">
        <f t="shared" si="61"/>
        <v>0</v>
      </c>
      <c r="BP424" s="136">
        <f t="shared" si="61"/>
        <v>0</v>
      </c>
      <c r="BQ424" s="136">
        <f t="shared" si="61"/>
        <v>0</v>
      </c>
      <c r="BR424" s="136">
        <f t="shared" si="59"/>
        <v>0</v>
      </c>
      <c r="BS424" s="136">
        <f t="shared" si="57"/>
        <v>0</v>
      </c>
      <c r="BT424" s="136">
        <f t="shared" si="57"/>
        <v>200</v>
      </c>
      <c r="BU424" s="136">
        <f t="shared" si="57"/>
        <v>0</v>
      </c>
      <c r="BV424" s="136">
        <f t="shared" si="57"/>
        <v>0</v>
      </c>
      <c r="BW424" s="136">
        <f t="shared" si="57"/>
        <v>0</v>
      </c>
      <c r="BX424" s="136">
        <f t="shared" si="57"/>
        <v>0</v>
      </c>
      <c r="BZ424" s="136">
        <f t="shared" si="58"/>
        <v>0</v>
      </c>
      <c r="CA424" s="136">
        <f t="shared" si="58"/>
        <v>0</v>
      </c>
    </row>
    <row r="425" spans="7:79" hidden="1" x14ac:dyDescent="0.3">
      <c r="G425" s="136">
        <f t="shared" si="62"/>
        <v>-2480659</v>
      </c>
      <c r="H425" s="136">
        <f t="shared" si="62"/>
        <v>0</v>
      </c>
      <c r="I425" s="136">
        <f t="shared" si="62"/>
        <v>0</v>
      </c>
      <c r="J425" s="136">
        <f t="shared" si="61"/>
        <v>0</v>
      </c>
      <c r="K425" s="136">
        <f t="shared" si="61"/>
        <v>0</v>
      </c>
      <c r="L425" s="136">
        <f t="shared" si="61"/>
        <v>-164328</v>
      </c>
      <c r="M425" s="136">
        <f t="shared" si="61"/>
        <v>0</v>
      </c>
      <c r="N425" s="136">
        <f t="shared" si="61"/>
        <v>0</v>
      </c>
      <c r="O425" s="136">
        <f t="shared" si="61"/>
        <v>0</v>
      </c>
      <c r="P425" s="136">
        <f t="shared" si="61"/>
        <v>0</v>
      </c>
      <c r="Q425" s="136">
        <f t="shared" si="61"/>
        <v>-290726</v>
      </c>
      <c r="R425" s="136">
        <f t="shared" si="61"/>
        <v>0</v>
      </c>
      <c r="S425" s="136">
        <f t="shared" si="61"/>
        <v>0</v>
      </c>
      <c r="T425" s="136">
        <f t="shared" si="61"/>
        <v>0</v>
      </c>
      <c r="U425" s="136">
        <f t="shared" si="61"/>
        <v>0</v>
      </c>
      <c r="V425" s="136">
        <f t="shared" si="61"/>
        <v>-135117</v>
      </c>
      <c r="W425" s="136">
        <f t="shared" si="61"/>
        <v>0</v>
      </c>
      <c r="X425" s="136">
        <f t="shared" si="61"/>
        <v>0</v>
      </c>
      <c r="Y425" s="136">
        <f t="shared" si="61"/>
        <v>0</v>
      </c>
      <c r="Z425" s="136">
        <f t="shared" si="61"/>
        <v>0</v>
      </c>
      <c r="AA425" s="136">
        <f t="shared" si="61"/>
        <v>0</v>
      </c>
      <c r="AB425" s="136">
        <f t="shared" si="61"/>
        <v>0</v>
      </c>
      <c r="AC425" s="136">
        <f t="shared" si="61"/>
        <v>0</v>
      </c>
      <c r="AD425" s="136">
        <f t="shared" si="61"/>
        <v>0</v>
      </c>
      <c r="AE425" s="136">
        <f t="shared" si="61"/>
        <v>0</v>
      </c>
      <c r="AF425" s="136">
        <f t="shared" si="61"/>
        <v>-101240</v>
      </c>
      <c r="AG425" s="136">
        <f t="shared" si="61"/>
        <v>0</v>
      </c>
      <c r="AH425" s="136">
        <f t="shared" si="61"/>
        <v>0</v>
      </c>
      <c r="AI425" s="136">
        <f t="shared" si="61"/>
        <v>0</v>
      </c>
      <c r="AJ425" s="136">
        <f t="shared" si="61"/>
        <v>0</v>
      </c>
      <c r="AK425" s="136">
        <f t="shared" si="61"/>
        <v>-43945</v>
      </c>
      <c r="AL425" s="136">
        <f t="shared" si="61"/>
        <v>0</v>
      </c>
      <c r="AM425" s="136">
        <f t="shared" si="61"/>
        <v>0</v>
      </c>
      <c r="AN425" s="136">
        <f t="shared" si="61"/>
        <v>0</v>
      </c>
      <c r="AO425" s="136">
        <f t="shared" si="61"/>
        <v>0</v>
      </c>
      <c r="AP425" s="136">
        <f t="shared" si="61"/>
        <v>-5625</v>
      </c>
      <c r="AQ425" s="136">
        <f t="shared" si="61"/>
        <v>0</v>
      </c>
      <c r="AR425" s="136">
        <f t="shared" si="61"/>
        <v>0</v>
      </c>
      <c r="AS425" s="136">
        <f t="shared" si="61"/>
        <v>0</v>
      </c>
      <c r="AT425" s="136">
        <f t="shared" si="61"/>
        <v>0</v>
      </c>
      <c r="AU425" s="136">
        <f t="shared" si="61"/>
        <v>0</v>
      </c>
      <c r="AV425" s="136">
        <f t="shared" si="61"/>
        <v>0</v>
      </c>
      <c r="AW425" s="136">
        <f t="shared" si="61"/>
        <v>0</v>
      </c>
      <c r="AX425" s="136">
        <f t="shared" si="61"/>
        <v>0</v>
      </c>
      <c r="AY425" s="136">
        <f t="shared" si="61"/>
        <v>0</v>
      </c>
      <c r="AZ425" s="136">
        <f t="shared" si="61"/>
        <v>0</v>
      </c>
      <c r="BA425" s="136">
        <f t="shared" si="61"/>
        <v>0</v>
      </c>
      <c r="BB425" s="136">
        <f t="shared" si="61"/>
        <v>0</v>
      </c>
      <c r="BC425" s="136">
        <f t="shared" si="61"/>
        <v>0</v>
      </c>
      <c r="BD425" s="136">
        <f t="shared" si="61"/>
        <v>0</v>
      </c>
      <c r="BE425" s="136">
        <f t="shared" si="61"/>
        <v>0</v>
      </c>
      <c r="BF425" s="136">
        <f t="shared" si="61"/>
        <v>0</v>
      </c>
      <c r="BG425" s="136">
        <f t="shared" si="61"/>
        <v>0</v>
      </c>
      <c r="BH425" s="136">
        <f t="shared" si="61"/>
        <v>0</v>
      </c>
      <c r="BI425" s="136">
        <f t="shared" si="61"/>
        <v>0</v>
      </c>
      <c r="BJ425" s="136">
        <f t="shared" si="61"/>
        <v>-399385</v>
      </c>
      <c r="BK425" s="136">
        <f t="shared" si="61"/>
        <v>0</v>
      </c>
      <c r="BL425" s="136">
        <f t="shared" si="61"/>
        <v>0</v>
      </c>
      <c r="BM425" s="136">
        <f t="shared" si="61"/>
        <v>0</v>
      </c>
      <c r="BN425" s="136">
        <f t="shared" si="61"/>
        <v>0</v>
      </c>
      <c r="BO425" s="136">
        <f t="shared" si="61"/>
        <v>-1340293</v>
      </c>
      <c r="BP425" s="136">
        <f t="shared" si="61"/>
        <v>0</v>
      </c>
      <c r="BQ425" s="136">
        <f t="shared" si="61"/>
        <v>0</v>
      </c>
      <c r="BR425" s="136">
        <f t="shared" si="59"/>
        <v>0</v>
      </c>
      <c r="BS425" s="136">
        <f t="shared" si="57"/>
        <v>0</v>
      </c>
      <c r="BT425" s="136">
        <f t="shared" si="57"/>
        <v>-740981</v>
      </c>
      <c r="BU425" s="136">
        <f t="shared" si="57"/>
        <v>0</v>
      </c>
      <c r="BV425" s="136">
        <f t="shared" si="57"/>
        <v>0</v>
      </c>
      <c r="BW425" s="136">
        <f t="shared" si="57"/>
        <v>0</v>
      </c>
      <c r="BX425" s="136">
        <f t="shared" si="57"/>
        <v>0</v>
      </c>
      <c r="BZ425" s="136">
        <f t="shared" si="58"/>
        <v>0</v>
      </c>
      <c r="CA425" s="136">
        <f t="shared" si="58"/>
        <v>0</v>
      </c>
    </row>
    <row r="426" spans="7:79" hidden="1" x14ac:dyDescent="0.3">
      <c r="G426" s="136">
        <f t="shared" si="62"/>
        <v>0</v>
      </c>
      <c r="H426" s="136">
        <f t="shared" si="62"/>
        <v>0</v>
      </c>
      <c r="I426" s="136">
        <f t="shared" si="62"/>
        <v>0</v>
      </c>
      <c r="J426" s="136">
        <f t="shared" si="61"/>
        <v>0</v>
      </c>
      <c r="K426" s="136">
        <f t="shared" si="61"/>
        <v>0</v>
      </c>
      <c r="L426" s="136">
        <f t="shared" si="61"/>
        <v>0</v>
      </c>
      <c r="M426" s="136">
        <f t="shared" si="61"/>
        <v>0</v>
      </c>
      <c r="N426" s="136">
        <f t="shared" si="61"/>
        <v>0</v>
      </c>
      <c r="O426" s="136">
        <f t="shared" si="61"/>
        <v>0</v>
      </c>
      <c r="P426" s="136">
        <f t="shared" si="61"/>
        <v>0</v>
      </c>
      <c r="Q426" s="136">
        <f t="shared" si="61"/>
        <v>0</v>
      </c>
      <c r="R426" s="136">
        <f t="shared" si="61"/>
        <v>0</v>
      </c>
      <c r="S426" s="136">
        <f t="shared" si="61"/>
        <v>0</v>
      </c>
      <c r="T426" s="136">
        <f t="shared" si="61"/>
        <v>0</v>
      </c>
      <c r="U426" s="136">
        <f t="shared" si="61"/>
        <v>0</v>
      </c>
      <c r="V426" s="136">
        <f t="shared" si="61"/>
        <v>0</v>
      </c>
      <c r="W426" s="136">
        <f t="shared" si="61"/>
        <v>0</v>
      </c>
      <c r="X426" s="136">
        <f t="shared" si="61"/>
        <v>0</v>
      </c>
      <c r="Y426" s="136">
        <f t="shared" ref="Y426:BQ431" si="63">Y33-CQ33</f>
        <v>0</v>
      </c>
      <c r="Z426" s="136">
        <f t="shared" si="63"/>
        <v>0</v>
      </c>
      <c r="AA426" s="136">
        <f t="shared" si="63"/>
        <v>0</v>
      </c>
      <c r="AB426" s="136">
        <f t="shared" si="63"/>
        <v>0</v>
      </c>
      <c r="AC426" s="136">
        <f t="shared" si="63"/>
        <v>0</v>
      </c>
      <c r="AD426" s="136">
        <f t="shared" si="63"/>
        <v>0</v>
      </c>
      <c r="AE426" s="136">
        <f t="shared" si="63"/>
        <v>0</v>
      </c>
      <c r="AF426" s="136">
        <f t="shared" si="63"/>
        <v>0</v>
      </c>
      <c r="AG426" s="136">
        <f t="shared" si="63"/>
        <v>0</v>
      </c>
      <c r="AH426" s="136">
        <f t="shared" si="63"/>
        <v>0</v>
      </c>
      <c r="AI426" s="136">
        <f t="shared" si="63"/>
        <v>0</v>
      </c>
      <c r="AJ426" s="136">
        <f t="shared" si="63"/>
        <v>0</v>
      </c>
      <c r="AK426" s="136">
        <f t="shared" si="63"/>
        <v>0</v>
      </c>
      <c r="AL426" s="136">
        <f t="shared" si="63"/>
        <v>0</v>
      </c>
      <c r="AM426" s="136">
        <f t="shared" si="63"/>
        <v>0</v>
      </c>
      <c r="AN426" s="136">
        <f t="shared" si="63"/>
        <v>0</v>
      </c>
      <c r="AO426" s="136">
        <f t="shared" si="63"/>
        <v>0</v>
      </c>
      <c r="AP426" s="136">
        <f t="shared" si="63"/>
        <v>0</v>
      </c>
      <c r="AQ426" s="136">
        <f t="shared" si="63"/>
        <v>0</v>
      </c>
      <c r="AR426" s="136">
        <f t="shared" si="63"/>
        <v>0</v>
      </c>
      <c r="AS426" s="136">
        <f t="shared" si="63"/>
        <v>0</v>
      </c>
      <c r="AT426" s="136">
        <f t="shared" si="63"/>
        <v>0</v>
      </c>
      <c r="AU426" s="136">
        <f t="shared" si="63"/>
        <v>0</v>
      </c>
      <c r="AV426" s="136">
        <f t="shared" si="63"/>
        <v>0</v>
      </c>
      <c r="AW426" s="136">
        <f t="shared" si="63"/>
        <v>0</v>
      </c>
      <c r="AX426" s="136">
        <f t="shared" si="63"/>
        <v>0</v>
      </c>
      <c r="AY426" s="136">
        <f t="shared" si="63"/>
        <v>0</v>
      </c>
      <c r="AZ426" s="136">
        <f t="shared" si="63"/>
        <v>0</v>
      </c>
      <c r="BA426" s="136">
        <f t="shared" si="63"/>
        <v>0</v>
      </c>
      <c r="BB426" s="136">
        <f t="shared" si="63"/>
        <v>0</v>
      </c>
      <c r="BC426" s="136">
        <f t="shared" si="63"/>
        <v>0</v>
      </c>
      <c r="BD426" s="136">
        <f t="shared" si="63"/>
        <v>0</v>
      </c>
      <c r="BE426" s="136">
        <f t="shared" si="63"/>
        <v>0</v>
      </c>
      <c r="BF426" s="136">
        <f t="shared" si="63"/>
        <v>0</v>
      </c>
      <c r="BG426" s="136">
        <f t="shared" si="63"/>
        <v>0</v>
      </c>
      <c r="BH426" s="136">
        <f t="shared" si="63"/>
        <v>0</v>
      </c>
      <c r="BI426" s="136">
        <f t="shared" si="63"/>
        <v>0</v>
      </c>
      <c r="BJ426" s="136">
        <f t="shared" si="63"/>
        <v>0</v>
      </c>
      <c r="BK426" s="136">
        <f t="shared" si="63"/>
        <v>0</v>
      </c>
      <c r="BL426" s="136">
        <f t="shared" si="63"/>
        <v>0</v>
      </c>
      <c r="BM426" s="136">
        <f t="shared" si="63"/>
        <v>0</v>
      </c>
      <c r="BN426" s="136">
        <f t="shared" si="63"/>
        <v>0</v>
      </c>
      <c r="BO426" s="136">
        <f t="shared" si="63"/>
        <v>0</v>
      </c>
      <c r="BP426" s="136">
        <f t="shared" si="63"/>
        <v>0</v>
      </c>
      <c r="BQ426" s="136">
        <f t="shared" si="63"/>
        <v>0</v>
      </c>
      <c r="BR426" s="136">
        <f t="shared" si="59"/>
        <v>0</v>
      </c>
      <c r="BS426" s="136">
        <f t="shared" si="57"/>
        <v>0</v>
      </c>
      <c r="BT426" s="136">
        <f t="shared" si="57"/>
        <v>0</v>
      </c>
      <c r="BU426" s="136">
        <f t="shared" si="57"/>
        <v>0</v>
      </c>
      <c r="BV426" s="136">
        <f t="shared" si="57"/>
        <v>0</v>
      </c>
      <c r="BW426" s="136">
        <f t="shared" si="57"/>
        <v>0</v>
      </c>
      <c r="BX426" s="136">
        <f t="shared" si="57"/>
        <v>0</v>
      </c>
      <c r="BZ426" s="136">
        <f t="shared" si="58"/>
        <v>0</v>
      </c>
      <c r="CA426" s="136">
        <f t="shared" si="58"/>
        <v>0</v>
      </c>
    </row>
    <row r="427" spans="7:79" hidden="1" x14ac:dyDescent="0.3">
      <c r="G427" s="136">
        <f t="shared" si="62"/>
        <v>0</v>
      </c>
      <c r="H427" s="136">
        <f t="shared" si="62"/>
        <v>0</v>
      </c>
      <c r="I427" s="136">
        <f t="shared" si="62"/>
        <v>0</v>
      </c>
      <c r="J427" s="136">
        <f t="shared" si="62"/>
        <v>0</v>
      </c>
      <c r="K427" s="136">
        <f t="shared" si="62"/>
        <v>0</v>
      </c>
      <c r="L427" s="136">
        <f t="shared" si="62"/>
        <v>0</v>
      </c>
      <c r="M427" s="136">
        <f t="shared" si="62"/>
        <v>0</v>
      </c>
      <c r="N427" s="136">
        <f t="shared" si="62"/>
        <v>0</v>
      </c>
      <c r="O427" s="136">
        <f t="shared" si="62"/>
        <v>0</v>
      </c>
      <c r="P427" s="136">
        <f t="shared" si="62"/>
        <v>0</v>
      </c>
      <c r="Q427" s="136">
        <f t="shared" si="62"/>
        <v>0</v>
      </c>
      <c r="R427" s="136">
        <f t="shared" si="62"/>
        <v>0</v>
      </c>
      <c r="S427" s="136">
        <f t="shared" si="62"/>
        <v>0</v>
      </c>
      <c r="T427" s="136">
        <f t="shared" si="62"/>
        <v>0</v>
      </c>
      <c r="U427" s="136">
        <f t="shared" si="62"/>
        <v>0</v>
      </c>
      <c r="V427" s="136">
        <f t="shared" si="62"/>
        <v>0</v>
      </c>
      <c r="W427" s="136">
        <f t="shared" ref="W427:AL442" si="64">W34-CO34</f>
        <v>0</v>
      </c>
      <c r="X427" s="136">
        <f t="shared" si="64"/>
        <v>0</v>
      </c>
      <c r="Y427" s="136">
        <f t="shared" si="63"/>
        <v>0</v>
      </c>
      <c r="Z427" s="136">
        <f t="shared" si="63"/>
        <v>0</v>
      </c>
      <c r="AA427" s="136">
        <f t="shared" si="63"/>
        <v>0</v>
      </c>
      <c r="AB427" s="136">
        <f t="shared" si="63"/>
        <v>0</v>
      </c>
      <c r="AC427" s="136">
        <f t="shared" si="63"/>
        <v>0</v>
      </c>
      <c r="AD427" s="136">
        <f t="shared" si="63"/>
        <v>0</v>
      </c>
      <c r="AE427" s="136">
        <f t="shared" si="63"/>
        <v>0</v>
      </c>
      <c r="AF427" s="136">
        <f t="shared" si="63"/>
        <v>0</v>
      </c>
      <c r="AG427" s="136">
        <f t="shared" si="63"/>
        <v>0</v>
      </c>
      <c r="AH427" s="136">
        <f t="shared" si="63"/>
        <v>0</v>
      </c>
      <c r="AI427" s="136">
        <f t="shared" si="63"/>
        <v>0</v>
      </c>
      <c r="AJ427" s="136">
        <f t="shared" si="63"/>
        <v>0</v>
      </c>
      <c r="AK427" s="136">
        <f t="shared" si="63"/>
        <v>0</v>
      </c>
      <c r="AL427" s="136">
        <f t="shared" si="63"/>
        <v>0</v>
      </c>
      <c r="AM427" s="136">
        <f t="shared" si="63"/>
        <v>0</v>
      </c>
      <c r="AN427" s="136">
        <f t="shared" si="63"/>
        <v>0</v>
      </c>
      <c r="AO427" s="136">
        <f t="shared" si="63"/>
        <v>0</v>
      </c>
      <c r="AP427" s="136">
        <f t="shared" si="63"/>
        <v>0</v>
      </c>
      <c r="AQ427" s="136">
        <f t="shared" si="63"/>
        <v>0</v>
      </c>
      <c r="AR427" s="136">
        <f t="shared" si="63"/>
        <v>0</v>
      </c>
      <c r="AS427" s="136">
        <f t="shared" si="63"/>
        <v>0</v>
      </c>
      <c r="AT427" s="136">
        <f t="shared" si="63"/>
        <v>0</v>
      </c>
      <c r="AU427" s="136">
        <f t="shared" si="63"/>
        <v>1176535</v>
      </c>
      <c r="AV427" s="136">
        <f t="shared" si="63"/>
        <v>0</v>
      </c>
      <c r="AW427" s="136">
        <f t="shared" si="63"/>
        <v>0</v>
      </c>
      <c r="AX427" s="136">
        <f t="shared" si="63"/>
        <v>0</v>
      </c>
      <c r="AY427" s="136">
        <f t="shared" si="63"/>
        <v>0</v>
      </c>
      <c r="AZ427" s="136">
        <f t="shared" si="63"/>
        <v>0</v>
      </c>
      <c r="BA427" s="136">
        <f t="shared" si="63"/>
        <v>0</v>
      </c>
      <c r="BB427" s="136">
        <f t="shared" si="63"/>
        <v>0</v>
      </c>
      <c r="BC427" s="136">
        <f t="shared" si="63"/>
        <v>0</v>
      </c>
      <c r="BD427" s="136">
        <f t="shared" si="63"/>
        <v>0</v>
      </c>
      <c r="BE427" s="136">
        <f t="shared" si="63"/>
        <v>0</v>
      </c>
      <c r="BF427" s="136">
        <f t="shared" si="63"/>
        <v>0</v>
      </c>
      <c r="BG427" s="136">
        <f t="shared" si="63"/>
        <v>0</v>
      </c>
      <c r="BH427" s="136">
        <f t="shared" si="63"/>
        <v>0</v>
      </c>
      <c r="BI427" s="136">
        <f t="shared" si="63"/>
        <v>0</v>
      </c>
      <c r="BJ427" s="136">
        <f t="shared" si="63"/>
        <v>0</v>
      </c>
      <c r="BK427" s="136">
        <f t="shared" si="63"/>
        <v>0</v>
      </c>
      <c r="BL427" s="136">
        <f t="shared" si="63"/>
        <v>0</v>
      </c>
      <c r="BM427" s="136">
        <f t="shared" si="63"/>
        <v>0</v>
      </c>
      <c r="BN427" s="136">
        <f t="shared" si="63"/>
        <v>0</v>
      </c>
      <c r="BO427" s="136">
        <f t="shared" si="63"/>
        <v>0</v>
      </c>
      <c r="BP427" s="136">
        <f t="shared" si="63"/>
        <v>0</v>
      </c>
      <c r="BQ427" s="136">
        <f t="shared" si="63"/>
        <v>0</v>
      </c>
      <c r="BR427" s="136">
        <f t="shared" si="59"/>
        <v>0</v>
      </c>
      <c r="BS427" s="136">
        <f t="shared" si="57"/>
        <v>0</v>
      </c>
      <c r="BT427" s="136">
        <f t="shared" si="57"/>
        <v>1176535</v>
      </c>
      <c r="BU427" s="136">
        <f t="shared" si="57"/>
        <v>0</v>
      </c>
      <c r="BV427" s="136">
        <f t="shared" si="57"/>
        <v>0</v>
      </c>
      <c r="BW427" s="136">
        <f t="shared" si="57"/>
        <v>0</v>
      </c>
      <c r="BX427" s="136">
        <f t="shared" si="57"/>
        <v>0</v>
      </c>
      <c r="BZ427" s="136">
        <f t="shared" si="58"/>
        <v>0</v>
      </c>
      <c r="CA427" s="136">
        <f t="shared" si="58"/>
        <v>0</v>
      </c>
    </row>
    <row r="428" spans="7:79" hidden="1" x14ac:dyDescent="0.3">
      <c r="G428" s="136">
        <f t="shared" si="62"/>
        <v>0</v>
      </c>
      <c r="H428" s="136">
        <f t="shared" si="62"/>
        <v>0</v>
      </c>
      <c r="I428" s="136">
        <f t="shared" si="62"/>
        <v>0</v>
      </c>
      <c r="J428" s="136">
        <f t="shared" si="62"/>
        <v>0</v>
      </c>
      <c r="K428" s="136">
        <f t="shared" si="62"/>
        <v>0</v>
      </c>
      <c r="L428" s="136">
        <f t="shared" si="62"/>
        <v>0</v>
      </c>
      <c r="M428" s="136">
        <f t="shared" si="62"/>
        <v>0</v>
      </c>
      <c r="N428" s="136">
        <f t="shared" si="62"/>
        <v>0</v>
      </c>
      <c r="O428" s="136">
        <f t="shared" si="62"/>
        <v>0</v>
      </c>
      <c r="P428" s="136">
        <f t="shared" si="62"/>
        <v>0</v>
      </c>
      <c r="Q428" s="136">
        <f t="shared" si="62"/>
        <v>0</v>
      </c>
      <c r="R428" s="136">
        <f t="shared" si="62"/>
        <v>0</v>
      </c>
      <c r="S428" s="136">
        <f t="shared" si="62"/>
        <v>0</v>
      </c>
      <c r="T428" s="136">
        <f t="shared" si="62"/>
        <v>0</v>
      </c>
      <c r="U428" s="136">
        <f t="shared" si="62"/>
        <v>0</v>
      </c>
      <c r="V428" s="136">
        <f t="shared" si="62"/>
        <v>0</v>
      </c>
      <c r="W428" s="136">
        <f t="shared" si="64"/>
        <v>0</v>
      </c>
      <c r="X428" s="136">
        <f t="shared" si="64"/>
        <v>0</v>
      </c>
      <c r="Y428" s="136">
        <f t="shared" si="63"/>
        <v>0</v>
      </c>
      <c r="Z428" s="136">
        <f t="shared" si="63"/>
        <v>0</v>
      </c>
      <c r="AA428" s="136">
        <f t="shared" si="63"/>
        <v>0</v>
      </c>
      <c r="AB428" s="136">
        <f t="shared" si="63"/>
        <v>0</v>
      </c>
      <c r="AC428" s="136">
        <f t="shared" si="63"/>
        <v>0</v>
      </c>
      <c r="AD428" s="136">
        <f t="shared" si="63"/>
        <v>0</v>
      </c>
      <c r="AE428" s="136">
        <f t="shared" si="63"/>
        <v>0</v>
      </c>
      <c r="AF428" s="136">
        <f t="shared" si="63"/>
        <v>0</v>
      </c>
      <c r="AG428" s="136">
        <f t="shared" si="63"/>
        <v>0</v>
      </c>
      <c r="AH428" s="136">
        <f t="shared" si="63"/>
        <v>0</v>
      </c>
      <c r="AI428" s="136">
        <f t="shared" si="63"/>
        <v>0</v>
      </c>
      <c r="AJ428" s="136">
        <f t="shared" si="63"/>
        <v>0</v>
      </c>
      <c r="AK428" s="136">
        <f t="shared" si="63"/>
        <v>0</v>
      </c>
      <c r="AL428" s="136">
        <f t="shared" si="63"/>
        <v>0</v>
      </c>
      <c r="AM428" s="136">
        <f t="shared" si="63"/>
        <v>0</v>
      </c>
      <c r="AN428" s="136">
        <f t="shared" si="63"/>
        <v>0</v>
      </c>
      <c r="AO428" s="136">
        <f t="shared" si="63"/>
        <v>0</v>
      </c>
      <c r="AP428" s="136">
        <f t="shared" si="63"/>
        <v>0</v>
      </c>
      <c r="AQ428" s="136">
        <f t="shared" si="63"/>
        <v>0</v>
      </c>
      <c r="AR428" s="136">
        <f t="shared" si="63"/>
        <v>0</v>
      </c>
      <c r="AS428" s="136">
        <f t="shared" si="63"/>
        <v>0</v>
      </c>
      <c r="AT428" s="136">
        <f t="shared" si="63"/>
        <v>0</v>
      </c>
      <c r="AU428" s="136">
        <f t="shared" si="63"/>
        <v>434693</v>
      </c>
      <c r="AV428" s="136">
        <f t="shared" si="63"/>
        <v>0</v>
      </c>
      <c r="AW428" s="136">
        <f t="shared" si="63"/>
        <v>0</v>
      </c>
      <c r="AX428" s="136">
        <f t="shared" si="63"/>
        <v>0</v>
      </c>
      <c r="AY428" s="136">
        <f t="shared" si="63"/>
        <v>0</v>
      </c>
      <c r="AZ428" s="136">
        <f t="shared" si="63"/>
        <v>0</v>
      </c>
      <c r="BA428" s="136">
        <f t="shared" si="63"/>
        <v>0</v>
      </c>
      <c r="BB428" s="136">
        <f t="shared" si="63"/>
        <v>0</v>
      </c>
      <c r="BC428" s="136">
        <f t="shared" si="63"/>
        <v>0</v>
      </c>
      <c r="BD428" s="136">
        <f t="shared" si="63"/>
        <v>0</v>
      </c>
      <c r="BE428" s="136">
        <f t="shared" si="63"/>
        <v>0</v>
      </c>
      <c r="BF428" s="136">
        <f t="shared" si="63"/>
        <v>0</v>
      </c>
      <c r="BG428" s="136">
        <f t="shared" si="63"/>
        <v>0</v>
      </c>
      <c r="BH428" s="136">
        <f t="shared" si="63"/>
        <v>0</v>
      </c>
      <c r="BI428" s="136">
        <f t="shared" si="63"/>
        <v>0</v>
      </c>
      <c r="BJ428" s="136">
        <f t="shared" si="63"/>
        <v>0</v>
      </c>
      <c r="BK428" s="136">
        <f t="shared" si="63"/>
        <v>0</v>
      </c>
      <c r="BL428" s="136">
        <f t="shared" si="63"/>
        <v>0</v>
      </c>
      <c r="BM428" s="136">
        <f t="shared" si="63"/>
        <v>0</v>
      </c>
      <c r="BN428" s="136">
        <f t="shared" si="63"/>
        <v>0</v>
      </c>
      <c r="BO428" s="136">
        <f t="shared" si="63"/>
        <v>0</v>
      </c>
      <c r="BP428" s="136">
        <f t="shared" si="63"/>
        <v>0</v>
      </c>
      <c r="BQ428" s="136">
        <f t="shared" si="63"/>
        <v>0</v>
      </c>
      <c r="BR428" s="136">
        <f t="shared" si="59"/>
        <v>0</v>
      </c>
      <c r="BS428" s="136">
        <f t="shared" si="57"/>
        <v>0</v>
      </c>
      <c r="BT428" s="136">
        <f t="shared" si="57"/>
        <v>434693</v>
      </c>
      <c r="BU428" s="136">
        <f t="shared" si="57"/>
        <v>0</v>
      </c>
      <c r="BV428" s="136">
        <f t="shared" si="57"/>
        <v>0</v>
      </c>
      <c r="BW428" s="136">
        <f t="shared" si="57"/>
        <v>0</v>
      </c>
      <c r="BX428" s="136">
        <f t="shared" si="57"/>
        <v>0</v>
      </c>
      <c r="BZ428" s="136">
        <f t="shared" si="58"/>
        <v>0</v>
      </c>
      <c r="CA428" s="136">
        <f t="shared" si="58"/>
        <v>0</v>
      </c>
    </row>
    <row r="429" spans="7:79" hidden="1" x14ac:dyDescent="0.3">
      <c r="G429" s="136">
        <f t="shared" si="62"/>
        <v>0</v>
      </c>
      <c r="H429" s="136">
        <f t="shared" si="62"/>
        <v>0</v>
      </c>
      <c r="I429" s="136">
        <f t="shared" si="62"/>
        <v>0</v>
      </c>
      <c r="J429" s="136">
        <f t="shared" si="62"/>
        <v>0</v>
      </c>
      <c r="K429" s="136">
        <f t="shared" si="62"/>
        <v>0</v>
      </c>
      <c r="L429" s="136">
        <f t="shared" si="62"/>
        <v>0</v>
      </c>
      <c r="M429" s="136">
        <f t="shared" si="62"/>
        <v>0</v>
      </c>
      <c r="N429" s="136">
        <f t="shared" si="62"/>
        <v>0</v>
      </c>
      <c r="O429" s="136">
        <f t="shared" si="62"/>
        <v>0</v>
      </c>
      <c r="P429" s="136">
        <f t="shared" si="62"/>
        <v>0</v>
      </c>
      <c r="Q429" s="136">
        <f t="shared" si="62"/>
        <v>0</v>
      </c>
      <c r="R429" s="136">
        <f t="shared" si="62"/>
        <v>0</v>
      </c>
      <c r="S429" s="136">
        <f t="shared" si="62"/>
        <v>0</v>
      </c>
      <c r="T429" s="136">
        <f t="shared" si="62"/>
        <v>0</v>
      </c>
      <c r="U429" s="136">
        <f t="shared" si="62"/>
        <v>0</v>
      </c>
      <c r="V429" s="136">
        <f t="shared" si="62"/>
        <v>0</v>
      </c>
      <c r="W429" s="136">
        <f t="shared" si="64"/>
        <v>0</v>
      </c>
      <c r="X429" s="136">
        <f t="shared" si="64"/>
        <v>0</v>
      </c>
      <c r="Y429" s="136">
        <f t="shared" si="63"/>
        <v>0</v>
      </c>
      <c r="Z429" s="136">
        <f t="shared" si="63"/>
        <v>0</v>
      </c>
      <c r="AA429" s="136">
        <f t="shared" si="63"/>
        <v>0</v>
      </c>
      <c r="AB429" s="136">
        <f t="shared" si="63"/>
        <v>0</v>
      </c>
      <c r="AC429" s="136">
        <f t="shared" si="63"/>
        <v>0</v>
      </c>
      <c r="AD429" s="136">
        <f t="shared" si="63"/>
        <v>0</v>
      </c>
      <c r="AE429" s="136">
        <f t="shared" si="63"/>
        <v>0</v>
      </c>
      <c r="AF429" s="136">
        <f t="shared" si="63"/>
        <v>0</v>
      </c>
      <c r="AG429" s="136">
        <f t="shared" si="63"/>
        <v>0</v>
      </c>
      <c r="AH429" s="136">
        <f t="shared" si="63"/>
        <v>0</v>
      </c>
      <c r="AI429" s="136">
        <f t="shared" si="63"/>
        <v>0</v>
      </c>
      <c r="AJ429" s="136">
        <f t="shared" si="63"/>
        <v>0</v>
      </c>
      <c r="AK429" s="136">
        <f t="shared" si="63"/>
        <v>0</v>
      </c>
      <c r="AL429" s="136">
        <f t="shared" si="63"/>
        <v>0</v>
      </c>
      <c r="AM429" s="136">
        <f t="shared" si="63"/>
        <v>0</v>
      </c>
      <c r="AN429" s="136">
        <f t="shared" si="63"/>
        <v>0</v>
      </c>
      <c r="AO429" s="136">
        <f t="shared" si="63"/>
        <v>0</v>
      </c>
      <c r="AP429" s="136">
        <f t="shared" si="63"/>
        <v>0</v>
      </c>
      <c r="AQ429" s="136">
        <f t="shared" si="63"/>
        <v>0</v>
      </c>
      <c r="AR429" s="136">
        <f t="shared" si="63"/>
        <v>0</v>
      </c>
      <c r="AS429" s="136">
        <f t="shared" si="63"/>
        <v>0</v>
      </c>
      <c r="AT429" s="136">
        <f t="shared" si="63"/>
        <v>0</v>
      </c>
      <c r="AU429" s="136">
        <f t="shared" si="63"/>
        <v>70307</v>
      </c>
      <c r="AV429" s="136">
        <f t="shared" si="63"/>
        <v>0</v>
      </c>
      <c r="AW429" s="136">
        <f t="shared" si="63"/>
        <v>0</v>
      </c>
      <c r="AX429" s="136">
        <f t="shared" si="63"/>
        <v>0</v>
      </c>
      <c r="AY429" s="136">
        <f t="shared" si="63"/>
        <v>0</v>
      </c>
      <c r="AZ429" s="136">
        <f t="shared" si="63"/>
        <v>0</v>
      </c>
      <c r="BA429" s="136">
        <f t="shared" si="63"/>
        <v>0</v>
      </c>
      <c r="BB429" s="136">
        <f t="shared" si="63"/>
        <v>0</v>
      </c>
      <c r="BC429" s="136">
        <f t="shared" si="63"/>
        <v>0</v>
      </c>
      <c r="BD429" s="136">
        <f t="shared" si="63"/>
        <v>0</v>
      </c>
      <c r="BE429" s="136">
        <f t="shared" si="63"/>
        <v>0</v>
      </c>
      <c r="BF429" s="136">
        <f t="shared" si="63"/>
        <v>0</v>
      </c>
      <c r="BG429" s="136">
        <f t="shared" si="63"/>
        <v>0</v>
      </c>
      <c r="BH429" s="136">
        <f t="shared" si="63"/>
        <v>0</v>
      </c>
      <c r="BI429" s="136">
        <f t="shared" si="63"/>
        <v>0</v>
      </c>
      <c r="BJ429" s="136">
        <f t="shared" si="63"/>
        <v>0</v>
      </c>
      <c r="BK429" s="136">
        <f t="shared" si="63"/>
        <v>0</v>
      </c>
      <c r="BL429" s="136">
        <f t="shared" si="63"/>
        <v>0</v>
      </c>
      <c r="BM429" s="136">
        <f t="shared" si="63"/>
        <v>0</v>
      </c>
      <c r="BN429" s="136">
        <f t="shared" si="63"/>
        <v>0</v>
      </c>
      <c r="BO429" s="136">
        <f t="shared" si="63"/>
        <v>0</v>
      </c>
      <c r="BP429" s="136">
        <f t="shared" si="63"/>
        <v>0</v>
      </c>
      <c r="BQ429" s="136">
        <f t="shared" si="63"/>
        <v>0</v>
      </c>
      <c r="BR429" s="136">
        <f t="shared" si="59"/>
        <v>0</v>
      </c>
      <c r="BS429" s="136">
        <f t="shared" si="57"/>
        <v>0</v>
      </c>
      <c r="BT429" s="136">
        <f t="shared" si="57"/>
        <v>70307</v>
      </c>
      <c r="BU429" s="136">
        <f t="shared" si="57"/>
        <v>0</v>
      </c>
      <c r="BV429" s="136">
        <f t="shared" si="57"/>
        <v>0</v>
      </c>
      <c r="BW429" s="136">
        <f t="shared" si="57"/>
        <v>0</v>
      </c>
      <c r="BX429" s="136">
        <f t="shared" si="57"/>
        <v>0</v>
      </c>
      <c r="BZ429" s="136">
        <f t="shared" si="58"/>
        <v>0</v>
      </c>
      <c r="CA429" s="136">
        <f t="shared" si="58"/>
        <v>0</v>
      </c>
    </row>
    <row r="430" spans="7:79" hidden="1" x14ac:dyDescent="0.3">
      <c r="G430" s="136">
        <f t="shared" si="62"/>
        <v>0</v>
      </c>
      <c r="H430" s="136">
        <f t="shared" si="62"/>
        <v>0</v>
      </c>
      <c r="I430" s="136">
        <f t="shared" si="62"/>
        <v>0</v>
      </c>
      <c r="J430" s="136">
        <f t="shared" si="62"/>
        <v>0</v>
      </c>
      <c r="K430" s="136">
        <f t="shared" si="62"/>
        <v>0</v>
      </c>
      <c r="L430" s="136">
        <f t="shared" si="62"/>
        <v>0</v>
      </c>
      <c r="M430" s="136">
        <f t="shared" si="62"/>
        <v>0</v>
      </c>
      <c r="N430" s="136">
        <f t="shared" si="62"/>
        <v>0</v>
      </c>
      <c r="O430" s="136">
        <f t="shared" si="62"/>
        <v>0</v>
      </c>
      <c r="P430" s="136">
        <f t="shared" si="62"/>
        <v>0</v>
      </c>
      <c r="Q430" s="136">
        <f t="shared" si="62"/>
        <v>0</v>
      </c>
      <c r="R430" s="136">
        <f t="shared" si="62"/>
        <v>0</v>
      </c>
      <c r="S430" s="136">
        <f t="shared" si="62"/>
        <v>0</v>
      </c>
      <c r="T430" s="136">
        <f t="shared" si="62"/>
        <v>0</v>
      </c>
      <c r="U430" s="136">
        <f t="shared" si="62"/>
        <v>0</v>
      </c>
      <c r="V430" s="136">
        <f t="shared" si="62"/>
        <v>0</v>
      </c>
      <c r="W430" s="136">
        <f t="shared" si="64"/>
        <v>0</v>
      </c>
      <c r="X430" s="136">
        <f t="shared" si="64"/>
        <v>0</v>
      </c>
      <c r="Y430" s="136">
        <f t="shared" si="63"/>
        <v>0</v>
      </c>
      <c r="Z430" s="136">
        <f t="shared" si="63"/>
        <v>0</v>
      </c>
      <c r="AA430" s="136">
        <f t="shared" si="63"/>
        <v>0</v>
      </c>
      <c r="AB430" s="136">
        <f t="shared" si="63"/>
        <v>0</v>
      </c>
      <c r="AC430" s="136">
        <f t="shared" si="63"/>
        <v>0</v>
      </c>
      <c r="AD430" s="136">
        <f t="shared" si="63"/>
        <v>0</v>
      </c>
      <c r="AE430" s="136">
        <f t="shared" si="63"/>
        <v>0</v>
      </c>
      <c r="AF430" s="136">
        <f t="shared" si="63"/>
        <v>0</v>
      </c>
      <c r="AG430" s="136">
        <f t="shared" si="63"/>
        <v>0</v>
      </c>
      <c r="AH430" s="136">
        <f t="shared" si="63"/>
        <v>0</v>
      </c>
      <c r="AI430" s="136">
        <f t="shared" si="63"/>
        <v>0</v>
      </c>
      <c r="AJ430" s="136">
        <f t="shared" si="63"/>
        <v>0</v>
      </c>
      <c r="AK430" s="136">
        <f t="shared" si="63"/>
        <v>0</v>
      </c>
      <c r="AL430" s="136">
        <f t="shared" si="63"/>
        <v>0</v>
      </c>
      <c r="AM430" s="136">
        <f t="shared" si="63"/>
        <v>0</v>
      </c>
      <c r="AN430" s="136">
        <f t="shared" si="63"/>
        <v>0</v>
      </c>
      <c r="AO430" s="136">
        <f t="shared" si="63"/>
        <v>0</v>
      </c>
      <c r="AP430" s="136">
        <f t="shared" si="63"/>
        <v>0</v>
      </c>
      <c r="AQ430" s="136">
        <f t="shared" si="63"/>
        <v>0</v>
      </c>
      <c r="AR430" s="136">
        <f t="shared" si="63"/>
        <v>0</v>
      </c>
      <c r="AS430" s="136">
        <f t="shared" si="63"/>
        <v>0</v>
      </c>
      <c r="AT430" s="136">
        <f t="shared" si="63"/>
        <v>0</v>
      </c>
      <c r="AU430" s="136">
        <f t="shared" si="63"/>
        <v>0</v>
      </c>
      <c r="AV430" s="136">
        <f t="shared" si="63"/>
        <v>0</v>
      </c>
      <c r="AW430" s="136">
        <f t="shared" si="63"/>
        <v>0</v>
      </c>
      <c r="AX430" s="136">
        <f t="shared" si="63"/>
        <v>0</v>
      </c>
      <c r="AY430" s="136">
        <f t="shared" si="63"/>
        <v>0</v>
      </c>
      <c r="AZ430" s="136">
        <f t="shared" si="63"/>
        <v>0</v>
      </c>
      <c r="BA430" s="136">
        <f t="shared" si="63"/>
        <v>0</v>
      </c>
      <c r="BB430" s="136">
        <f t="shared" si="63"/>
        <v>0</v>
      </c>
      <c r="BC430" s="136">
        <f t="shared" si="63"/>
        <v>0</v>
      </c>
      <c r="BD430" s="136">
        <f t="shared" si="63"/>
        <v>0</v>
      </c>
      <c r="BE430" s="136">
        <f t="shared" si="63"/>
        <v>0</v>
      </c>
      <c r="BF430" s="136">
        <f t="shared" si="63"/>
        <v>0</v>
      </c>
      <c r="BG430" s="136">
        <f t="shared" si="63"/>
        <v>0</v>
      </c>
      <c r="BH430" s="136">
        <f t="shared" si="63"/>
        <v>0</v>
      </c>
      <c r="BI430" s="136">
        <f t="shared" si="63"/>
        <v>0</v>
      </c>
      <c r="BJ430" s="136">
        <f t="shared" si="63"/>
        <v>0</v>
      </c>
      <c r="BK430" s="136">
        <f t="shared" si="63"/>
        <v>0</v>
      </c>
      <c r="BL430" s="136">
        <f t="shared" si="63"/>
        <v>0</v>
      </c>
      <c r="BM430" s="136">
        <f t="shared" si="63"/>
        <v>0</v>
      </c>
      <c r="BN430" s="136">
        <f t="shared" si="63"/>
        <v>0</v>
      </c>
      <c r="BO430" s="136">
        <f t="shared" si="63"/>
        <v>0</v>
      </c>
      <c r="BP430" s="136">
        <f t="shared" si="63"/>
        <v>0</v>
      </c>
      <c r="BQ430" s="136">
        <f t="shared" si="63"/>
        <v>0</v>
      </c>
      <c r="BR430" s="136">
        <f t="shared" si="59"/>
        <v>0</v>
      </c>
      <c r="BS430" s="136">
        <f t="shared" si="59"/>
        <v>0</v>
      </c>
      <c r="BT430" s="136">
        <f t="shared" si="59"/>
        <v>0</v>
      </c>
      <c r="BU430" s="136">
        <f t="shared" si="59"/>
        <v>0</v>
      </c>
      <c r="BV430" s="136">
        <f t="shared" si="59"/>
        <v>0</v>
      </c>
      <c r="BW430" s="136">
        <f t="shared" si="59"/>
        <v>0</v>
      </c>
      <c r="BX430" s="136">
        <f t="shared" si="59"/>
        <v>0</v>
      </c>
      <c r="BZ430" s="136">
        <f t="shared" ref="BZ430:CA445" si="65">BZ37-ER37</f>
        <v>0</v>
      </c>
      <c r="CA430" s="136">
        <f t="shared" si="65"/>
        <v>0</v>
      </c>
    </row>
    <row r="431" spans="7:79" hidden="1" x14ac:dyDescent="0.3">
      <c r="G431" s="136">
        <f t="shared" si="62"/>
        <v>0</v>
      </c>
      <c r="H431" s="136">
        <f t="shared" si="62"/>
        <v>0</v>
      </c>
      <c r="I431" s="136">
        <f t="shared" si="62"/>
        <v>0</v>
      </c>
      <c r="J431" s="136">
        <f t="shared" si="62"/>
        <v>0</v>
      </c>
      <c r="K431" s="136">
        <f t="shared" si="62"/>
        <v>0</v>
      </c>
      <c r="L431" s="136">
        <f t="shared" si="62"/>
        <v>0</v>
      </c>
      <c r="M431" s="136">
        <f t="shared" si="62"/>
        <v>0</v>
      </c>
      <c r="N431" s="136">
        <f t="shared" si="62"/>
        <v>0</v>
      </c>
      <c r="O431" s="136">
        <f t="shared" si="62"/>
        <v>0</v>
      </c>
      <c r="P431" s="136">
        <f t="shared" si="62"/>
        <v>0</v>
      </c>
      <c r="Q431" s="136">
        <f t="shared" si="62"/>
        <v>0</v>
      </c>
      <c r="R431" s="136">
        <f t="shared" si="62"/>
        <v>0</v>
      </c>
      <c r="S431" s="136">
        <f t="shared" si="62"/>
        <v>0</v>
      </c>
      <c r="T431" s="136">
        <f t="shared" si="62"/>
        <v>0</v>
      </c>
      <c r="U431" s="136">
        <f t="shared" si="62"/>
        <v>0</v>
      </c>
      <c r="V431" s="136">
        <f t="shared" si="62"/>
        <v>0</v>
      </c>
      <c r="W431" s="136">
        <f t="shared" si="64"/>
        <v>0</v>
      </c>
      <c r="X431" s="136">
        <f t="shared" si="64"/>
        <v>0</v>
      </c>
      <c r="Y431" s="136">
        <f t="shared" si="63"/>
        <v>0</v>
      </c>
      <c r="Z431" s="136">
        <f t="shared" si="63"/>
        <v>0</v>
      </c>
      <c r="AA431" s="136">
        <f t="shared" si="63"/>
        <v>0</v>
      </c>
      <c r="AB431" s="136">
        <f t="shared" si="63"/>
        <v>0</v>
      </c>
      <c r="AC431" s="136">
        <f t="shared" si="63"/>
        <v>0</v>
      </c>
      <c r="AD431" s="136">
        <f t="shared" si="63"/>
        <v>0</v>
      </c>
      <c r="AE431" s="136">
        <f t="shared" si="63"/>
        <v>0</v>
      </c>
      <c r="AF431" s="136">
        <f t="shared" si="63"/>
        <v>0</v>
      </c>
      <c r="AG431" s="136">
        <f t="shared" si="63"/>
        <v>0</v>
      </c>
      <c r="AH431" s="136">
        <f t="shared" si="63"/>
        <v>0</v>
      </c>
      <c r="AI431" s="136">
        <f t="shared" si="63"/>
        <v>0</v>
      </c>
      <c r="AJ431" s="136">
        <f t="shared" si="63"/>
        <v>0</v>
      </c>
      <c r="AK431" s="136">
        <f t="shared" si="63"/>
        <v>0</v>
      </c>
      <c r="AL431" s="136">
        <f t="shared" si="63"/>
        <v>0</v>
      </c>
      <c r="AM431" s="136">
        <f t="shared" si="63"/>
        <v>0</v>
      </c>
      <c r="AN431" s="136">
        <f t="shared" si="63"/>
        <v>0</v>
      </c>
      <c r="AO431" s="136">
        <f t="shared" si="63"/>
        <v>0</v>
      </c>
      <c r="AP431" s="136">
        <f t="shared" si="63"/>
        <v>0</v>
      </c>
      <c r="AQ431" s="136">
        <f t="shared" si="63"/>
        <v>0</v>
      </c>
      <c r="AR431" s="136">
        <f t="shared" si="63"/>
        <v>0</v>
      </c>
      <c r="AS431" s="136">
        <f t="shared" si="63"/>
        <v>0</v>
      </c>
      <c r="AT431" s="136">
        <f t="shared" si="63"/>
        <v>0</v>
      </c>
      <c r="AU431" s="136">
        <f t="shared" si="63"/>
        <v>671535</v>
      </c>
      <c r="AV431" s="136">
        <f t="shared" si="63"/>
        <v>0</v>
      </c>
      <c r="AW431" s="136">
        <f t="shared" si="63"/>
        <v>0</v>
      </c>
      <c r="AX431" s="136">
        <f t="shared" si="63"/>
        <v>0</v>
      </c>
      <c r="AY431" s="136">
        <f t="shared" si="63"/>
        <v>0</v>
      </c>
      <c r="AZ431" s="136">
        <f t="shared" si="63"/>
        <v>0</v>
      </c>
      <c r="BA431" s="136">
        <f t="shared" si="63"/>
        <v>0</v>
      </c>
      <c r="BB431" s="136">
        <f t="shared" si="63"/>
        <v>0</v>
      </c>
      <c r="BC431" s="136">
        <f t="shared" ref="BC431:BR446" si="66">BC38-DU38</f>
        <v>0</v>
      </c>
      <c r="BD431" s="136">
        <f t="shared" si="66"/>
        <v>0</v>
      </c>
      <c r="BE431" s="136">
        <f t="shared" si="66"/>
        <v>0</v>
      </c>
      <c r="BF431" s="136">
        <f t="shared" si="66"/>
        <v>0</v>
      </c>
      <c r="BG431" s="136">
        <f t="shared" si="66"/>
        <v>0</v>
      </c>
      <c r="BH431" s="136">
        <f t="shared" si="66"/>
        <v>0</v>
      </c>
      <c r="BI431" s="136">
        <f t="shared" si="66"/>
        <v>0</v>
      </c>
      <c r="BJ431" s="136">
        <f t="shared" si="66"/>
        <v>0</v>
      </c>
      <c r="BK431" s="136">
        <f t="shared" si="66"/>
        <v>0</v>
      </c>
      <c r="BL431" s="136">
        <f t="shared" si="66"/>
        <v>0</v>
      </c>
      <c r="BM431" s="136">
        <f t="shared" si="66"/>
        <v>0</v>
      </c>
      <c r="BN431" s="136">
        <f t="shared" si="66"/>
        <v>0</v>
      </c>
      <c r="BO431" s="136">
        <f t="shared" si="66"/>
        <v>0</v>
      </c>
      <c r="BP431" s="136">
        <f t="shared" si="66"/>
        <v>0</v>
      </c>
      <c r="BQ431" s="136">
        <f t="shared" si="66"/>
        <v>0</v>
      </c>
      <c r="BR431" s="136">
        <f t="shared" si="59"/>
        <v>0</v>
      </c>
      <c r="BS431" s="136">
        <f t="shared" si="59"/>
        <v>0</v>
      </c>
      <c r="BT431" s="136">
        <f t="shared" si="59"/>
        <v>671535</v>
      </c>
      <c r="BU431" s="136">
        <f t="shared" si="59"/>
        <v>0</v>
      </c>
      <c r="BV431" s="136">
        <f t="shared" si="59"/>
        <v>0</v>
      </c>
      <c r="BW431" s="136">
        <f t="shared" si="59"/>
        <v>0</v>
      </c>
      <c r="BX431" s="136">
        <f t="shared" si="59"/>
        <v>0</v>
      </c>
      <c r="BZ431" s="136">
        <f t="shared" si="65"/>
        <v>0</v>
      </c>
      <c r="CA431" s="136">
        <f t="shared" si="65"/>
        <v>0</v>
      </c>
    </row>
    <row r="432" spans="7:79" hidden="1" x14ac:dyDescent="0.3">
      <c r="G432" s="136">
        <f t="shared" si="62"/>
        <v>0</v>
      </c>
      <c r="H432" s="136">
        <f t="shared" si="62"/>
        <v>0</v>
      </c>
      <c r="I432" s="136">
        <f t="shared" si="62"/>
        <v>0</v>
      </c>
      <c r="J432" s="136">
        <f t="shared" si="62"/>
        <v>0</v>
      </c>
      <c r="K432" s="136">
        <f t="shared" si="62"/>
        <v>0</v>
      </c>
      <c r="L432" s="136">
        <f t="shared" si="62"/>
        <v>0</v>
      </c>
      <c r="M432" s="136">
        <f t="shared" si="62"/>
        <v>0</v>
      </c>
      <c r="N432" s="136">
        <f t="shared" si="62"/>
        <v>0</v>
      </c>
      <c r="O432" s="136">
        <f t="shared" si="62"/>
        <v>0</v>
      </c>
      <c r="P432" s="136">
        <f t="shared" si="62"/>
        <v>0</v>
      </c>
      <c r="Q432" s="136">
        <f t="shared" si="62"/>
        <v>0</v>
      </c>
      <c r="R432" s="136">
        <f t="shared" si="62"/>
        <v>0</v>
      </c>
      <c r="S432" s="136">
        <f t="shared" si="62"/>
        <v>0</v>
      </c>
      <c r="T432" s="136">
        <f t="shared" si="62"/>
        <v>0</v>
      </c>
      <c r="U432" s="136">
        <f t="shared" si="62"/>
        <v>0</v>
      </c>
      <c r="V432" s="136">
        <f t="shared" si="62"/>
        <v>0</v>
      </c>
      <c r="W432" s="136">
        <f t="shared" si="64"/>
        <v>0</v>
      </c>
      <c r="X432" s="136">
        <f t="shared" si="64"/>
        <v>0</v>
      </c>
      <c r="Y432" s="136">
        <f t="shared" si="64"/>
        <v>0</v>
      </c>
      <c r="Z432" s="136">
        <f t="shared" si="64"/>
        <v>0</v>
      </c>
      <c r="AA432" s="136">
        <f t="shared" si="64"/>
        <v>0</v>
      </c>
      <c r="AB432" s="136">
        <f t="shared" si="64"/>
        <v>0</v>
      </c>
      <c r="AC432" s="136">
        <f t="shared" si="64"/>
        <v>0</v>
      </c>
      <c r="AD432" s="136">
        <f t="shared" si="64"/>
        <v>0</v>
      </c>
      <c r="AE432" s="136">
        <f t="shared" si="64"/>
        <v>0</v>
      </c>
      <c r="AF432" s="136">
        <f t="shared" si="64"/>
        <v>0</v>
      </c>
      <c r="AG432" s="136">
        <f t="shared" si="64"/>
        <v>0</v>
      </c>
      <c r="AH432" s="136">
        <f t="shared" si="64"/>
        <v>0</v>
      </c>
      <c r="AI432" s="136">
        <f t="shared" si="64"/>
        <v>0</v>
      </c>
      <c r="AJ432" s="136">
        <f t="shared" si="64"/>
        <v>0</v>
      </c>
      <c r="AK432" s="136">
        <f t="shared" si="64"/>
        <v>0</v>
      </c>
      <c r="AL432" s="136">
        <f t="shared" si="64"/>
        <v>0</v>
      </c>
      <c r="AM432" s="136">
        <f t="shared" ref="AM432:BB447" si="67">AM39-DE39</f>
        <v>0</v>
      </c>
      <c r="AN432" s="136">
        <f t="shared" si="67"/>
        <v>0</v>
      </c>
      <c r="AO432" s="136">
        <f t="shared" si="67"/>
        <v>0</v>
      </c>
      <c r="AP432" s="136">
        <f t="shared" si="67"/>
        <v>0</v>
      </c>
      <c r="AQ432" s="136">
        <f t="shared" si="67"/>
        <v>0</v>
      </c>
      <c r="AR432" s="136">
        <f t="shared" si="67"/>
        <v>0</v>
      </c>
      <c r="AS432" s="136">
        <f t="shared" si="67"/>
        <v>0</v>
      </c>
      <c r="AT432" s="136">
        <f t="shared" si="67"/>
        <v>0</v>
      </c>
      <c r="AU432" s="136">
        <f t="shared" si="67"/>
        <v>0</v>
      </c>
      <c r="AV432" s="136">
        <f t="shared" si="67"/>
        <v>0</v>
      </c>
      <c r="AW432" s="136">
        <f t="shared" si="67"/>
        <v>0</v>
      </c>
      <c r="AX432" s="136">
        <f t="shared" si="67"/>
        <v>0</v>
      </c>
      <c r="AY432" s="136">
        <f t="shared" si="67"/>
        <v>0</v>
      </c>
      <c r="AZ432" s="136">
        <f t="shared" si="67"/>
        <v>0</v>
      </c>
      <c r="BA432" s="136">
        <f t="shared" si="67"/>
        <v>0</v>
      </c>
      <c r="BB432" s="136">
        <f t="shared" si="67"/>
        <v>0</v>
      </c>
      <c r="BC432" s="136">
        <f t="shared" si="66"/>
        <v>0</v>
      </c>
      <c r="BD432" s="136">
        <f t="shared" si="66"/>
        <v>0</v>
      </c>
      <c r="BE432" s="136">
        <f t="shared" si="66"/>
        <v>0</v>
      </c>
      <c r="BF432" s="136">
        <f t="shared" si="66"/>
        <v>0</v>
      </c>
      <c r="BG432" s="136">
        <f t="shared" si="66"/>
        <v>0</v>
      </c>
      <c r="BH432" s="136">
        <f t="shared" si="66"/>
        <v>0</v>
      </c>
      <c r="BI432" s="136">
        <f t="shared" si="66"/>
        <v>0</v>
      </c>
      <c r="BJ432" s="136">
        <f t="shared" si="66"/>
        <v>0</v>
      </c>
      <c r="BK432" s="136">
        <f t="shared" si="66"/>
        <v>0</v>
      </c>
      <c r="BL432" s="136">
        <f t="shared" si="66"/>
        <v>0</v>
      </c>
      <c r="BM432" s="136">
        <f t="shared" si="66"/>
        <v>0</v>
      </c>
      <c r="BN432" s="136">
        <f t="shared" si="66"/>
        <v>0</v>
      </c>
      <c r="BO432" s="136">
        <f t="shared" si="66"/>
        <v>0</v>
      </c>
      <c r="BP432" s="136">
        <f t="shared" si="66"/>
        <v>0</v>
      </c>
      <c r="BQ432" s="136">
        <f t="shared" si="66"/>
        <v>0</v>
      </c>
      <c r="BR432" s="136">
        <f t="shared" si="59"/>
        <v>0</v>
      </c>
      <c r="BS432" s="136">
        <f t="shared" si="59"/>
        <v>0</v>
      </c>
      <c r="BT432" s="136">
        <f t="shared" si="59"/>
        <v>0</v>
      </c>
      <c r="BU432" s="136">
        <f t="shared" si="59"/>
        <v>0</v>
      </c>
      <c r="BV432" s="136">
        <f t="shared" si="59"/>
        <v>0</v>
      </c>
      <c r="BW432" s="136">
        <f t="shared" si="59"/>
        <v>0</v>
      </c>
      <c r="BX432" s="136">
        <f t="shared" si="59"/>
        <v>0</v>
      </c>
      <c r="BZ432" s="136">
        <f t="shared" si="65"/>
        <v>0</v>
      </c>
      <c r="CA432" s="136">
        <f t="shared" si="65"/>
        <v>0</v>
      </c>
    </row>
    <row r="433" spans="7:79" hidden="1" x14ac:dyDescent="0.3">
      <c r="G433" s="136">
        <f t="shared" si="62"/>
        <v>-8418715</v>
      </c>
      <c r="H433" s="136">
        <f t="shared" si="62"/>
        <v>0</v>
      </c>
      <c r="I433" s="136">
        <f t="shared" si="62"/>
        <v>0</v>
      </c>
      <c r="J433" s="136">
        <f t="shared" si="62"/>
        <v>0</v>
      </c>
      <c r="K433" s="136">
        <f t="shared" si="62"/>
        <v>0</v>
      </c>
      <c r="L433" s="136">
        <f t="shared" si="62"/>
        <v>-133235</v>
      </c>
      <c r="M433" s="136">
        <f t="shared" si="62"/>
        <v>0</v>
      </c>
      <c r="N433" s="136">
        <f t="shared" si="62"/>
        <v>0</v>
      </c>
      <c r="O433" s="136">
        <f t="shared" si="62"/>
        <v>0</v>
      </c>
      <c r="P433" s="136">
        <f t="shared" si="62"/>
        <v>0</v>
      </c>
      <c r="Q433" s="136">
        <f t="shared" si="62"/>
        <v>1165586</v>
      </c>
      <c r="R433" s="136">
        <f t="shared" si="62"/>
        <v>0</v>
      </c>
      <c r="S433" s="136">
        <f t="shared" si="62"/>
        <v>0</v>
      </c>
      <c r="T433" s="136">
        <f t="shared" si="62"/>
        <v>0</v>
      </c>
      <c r="U433" s="136">
        <f t="shared" si="62"/>
        <v>0</v>
      </c>
      <c r="V433" s="136">
        <f t="shared" si="62"/>
        <v>758399</v>
      </c>
      <c r="W433" s="136">
        <f t="shared" si="64"/>
        <v>0</v>
      </c>
      <c r="X433" s="136">
        <f t="shared" si="64"/>
        <v>0</v>
      </c>
      <c r="Y433" s="136">
        <f t="shared" si="64"/>
        <v>0</v>
      </c>
      <c r="Z433" s="136">
        <f t="shared" si="64"/>
        <v>0</v>
      </c>
      <c r="AA433" s="136">
        <f t="shared" si="64"/>
        <v>-2463346</v>
      </c>
      <c r="AB433" s="136">
        <f t="shared" si="64"/>
        <v>0</v>
      </c>
      <c r="AC433" s="136">
        <f t="shared" si="64"/>
        <v>0</v>
      </c>
      <c r="AD433" s="136">
        <f t="shared" si="64"/>
        <v>0</v>
      </c>
      <c r="AE433" s="136">
        <f t="shared" si="64"/>
        <v>0</v>
      </c>
      <c r="AF433" s="136">
        <f t="shared" si="64"/>
        <v>-122514</v>
      </c>
      <c r="AG433" s="136">
        <f t="shared" si="64"/>
        <v>0</v>
      </c>
      <c r="AH433" s="136">
        <f t="shared" si="64"/>
        <v>0</v>
      </c>
      <c r="AI433" s="136">
        <f t="shared" si="64"/>
        <v>0</v>
      </c>
      <c r="AJ433" s="136">
        <f t="shared" si="64"/>
        <v>0</v>
      </c>
      <c r="AK433" s="136">
        <f t="shared" si="64"/>
        <v>-223294</v>
      </c>
      <c r="AL433" s="136">
        <f t="shared" si="64"/>
        <v>0</v>
      </c>
      <c r="AM433" s="136">
        <f t="shared" si="67"/>
        <v>0</v>
      </c>
      <c r="AN433" s="136">
        <f t="shared" si="67"/>
        <v>0</v>
      </c>
      <c r="AO433" s="136">
        <f t="shared" si="67"/>
        <v>0</v>
      </c>
      <c r="AP433" s="136">
        <f t="shared" si="67"/>
        <v>898186</v>
      </c>
      <c r="AQ433" s="136">
        <f t="shared" si="67"/>
        <v>0</v>
      </c>
      <c r="AR433" s="136">
        <f t="shared" si="67"/>
        <v>0</v>
      </c>
      <c r="AS433" s="136">
        <f t="shared" si="67"/>
        <v>0</v>
      </c>
      <c r="AT433" s="136">
        <f t="shared" si="67"/>
        <v>0</v>
      </c>
      <c r="AU433" s="136">
        <f t="shared" si="67"/>
        <v>-18538</v>
      </c>
      <c r="AV433" s="136">
        <f t="shared" si="67"/>
        <v>0</v>
      </c>
      <c r="AW433" s="136">
        <f t="shared" si="67"/>
        <v>0</v>
      </c>
      <c r="AX433" s="136">
        <f t="shared" si="67"/>
        <v>0</v>
      </c>
      <c r="AY433" s="136">
        <f t="shared" si="67"/>
        <v>0</v>
      </c>
      <c r="AZ433" s="136">
        <f t="shared" si="67"/>
        <v>-18910</v>
      </c>
      <c r="BA433" s="136">
        <f t="shared" si="67"/>
        <v>0</v>
      </c>
      <c r="BB433" s="136">
        <f t="shared" si="67"/>
        <v>0</v>
      </c>
      <c r="BC433" s="136">
        <f t="shared" si="66"/>
        <v>0</v>
      </c>
      <c r="BD433" s="136">
        <f t="shared" si="66"/>
        <v>0</v>
      </c>
      <c r="BE433" s="136">
        <f t="shared" si="66"/>
        <v>0</v>
      </c>
      <c r="BF433" s="136">
        <f t="shared" si="66"/>
        <v>0</v>
      </c>
      <c r="BG433" s="136">
        <f t="shared" si="66"/>
        <v>0</v>
      </c>
      <c r="BH433" s="136">
        <f t="shared" si="66"/>
        <v>0</v>
      </c>
      <c r="BI433" s="136">
        <f t="shared" si="66"/>
        <v>0</v>
      </c>
      <c r="BJ433" s="136">
        <f t="shared" si="66"/>
        <v>-1713808</v>
      </c>
      <c r="BK433" s="136">
        <f t="shared" si="66"/>
        <v>0</v>
      </c>
      <c r="BL433" s="136">
        <f t="shared" si="66"/>
        <v>0</v>
      </c>
      <c r="BM433" s="136">
        <f t="shared" si="66"/>
        <v>0</v>
      </c>
      <c r="BN433" s="136">
        <f t="shared" si="66"/>
        <v>0</v>
      </c>
      <c r="BO433" s="136">
        <f t="shared" si="66"/>
        <v>-701292</v>
      </c>
      <c r="BP433" s="136">
        <f t="shared" si="66"/>
        <v>0</v>
      </c>
      <c r="BQ433" s="136">
        <f t="shared" si="66"/>
        <v>0</v>
      </c>
      <c r="BR433" s="136">
        <f t="shared" si="66"/>
        <v>0</v>
      </c>
      <c r="BS433" s="136">
        <f t="shared" ref="BS433:BX447" si="68">BS40-EK40</f>
        <v>0</v>
      </c>
      <c r="BT433" s="136">
        <f t="shared" si="68"/>
        <v>-157666</v>
      </c>
      <c r="BU433" s="136">
        <f t="shared" si="68"/>
        <v>0</v>
      </c>
      <c r="BV433" s="136">
        <f t="shared" si="68"/>
        <v>0</v>
      </c>
      <c r="BW433" s="136">
        <f t="shared" si="68"/>
        <v>0</v>
      </c>
      <c r="BX433" s="136">
        <f t="shared" si="68"/>
        <v>0</v>
      </c>
      <c r="BZ433" s="136">
        <f t="shared" si="65"/>
        <v>0</v>
      </c>
      <c r="CA433" s="136">
        <f t="shared" si="65"/>
        <v>0</v>
      </c>
    </row>
    <row r="434" spans="7:79" hidden="1" x14ac:dyDescent="0.3">
      <c r="G434" s="136">
        <f t="shared" si="62"/>
        <v>-6023979</v>
      </c>
      <c r="H434" s="136">
        <f t="shared" si="62"/>
        <v>0</v>
      </c>
      <c r="I434" s="136">
        <f t="shared" si="62"/>
        <v>0</v>
      </c>
      <c r="J434" s="136">
        <f t="shared" si="62"/>
        <v>0</v>
      </c>
      <c r="K434" s="136">
        <f t="shared" si="62"/>
        <v>0</v>
      </c>
      <c r="L434" s="136">
        <f t="shared" si="62"/>
        <v>-98055</v>
      </c>
      <c r="M434" s="136">
        <f t="shared" si="62"/>
        <v>0</v>
      </c>
      <c r="N434" s="136">
        <f t="shared" si="62"/>
        <v>0</v>
      </c>
      <c r="O434" s="136">
        <f t="shared" si="62"/>
        <v>0</v>
      </c>
      <c r="P434" s="136">
        <f t="shared" si="62"/>
        <v>0</v>
      </c>
      <c r="Q434" s="136">
        <f t="shared" si="62"/>
        <v>763394</v>
      </c>
      <c r="R434" s="136">
        <f t="shared" si="62"/>
        <v>0</v>
      </c>
      <c r="S434" s="136">
        <f t="shared" si="62"/>
        <v>0</v>
      </c>
      <c r="T434" s="136">
        <f t="shared" si="62"/>
        <v>0</v>
      </c>
      <c r="U434" s="136">
        <f t="shared" si="62"/>
        <v>0</v>
      </c>
      <c r="V434" s="136">
        <f t="shared" si="62"/>
        <v>493773</v>
      </c>
      <c r="W434" s="136">
        <f t="shared" si="64"/>
        <v>0</v>
      </c>
      <c r="X434" s="136">
        <f t="shared" si="64"/>
        <v>0</v>
      </c>
      <c r="Y434" s="136">
        <f t="shared" si="64"/>
        <v>0</v>
      </c>
      <c r="Z434" s="136">
        <f t="shared" si="64"/>
        <v>0</v>
      </c>
      <c r="AA434" s="136">
        <f t="shared" si="64"/>
        <v>-1788898</v>
      </c>
      <c r="AB434" s="136">
        <f t="shared" si="64"/>
        <v>0</v>
      </c>
      <c r="AC434" s="136">
        <f t="shared" si="64"/>
        <v>0</v>
      </c>
      <c r="AD434" s="136">
        <f t="shared" si="64"/>
        <v>0</v>
      </c>
      <c r="AE434" s="136">
        <f t="shared" si="64"/>
        <v>0</v>
      </c>
      <c r="AF434" s="136">
        <f t="shared" si="64"/>
        <v>-128345</v>
      </c>
      <c r="AG434" s="136">
        <f t="shared" si="64"/>
        <v>0</v>
      </c>
      <c r="AH434" s="136">
        <f t="shared" si="64"/>
        <v>0</v>
      </c>
      <c r="AI434" s="136">
        <f t="shared" si="64"/>
        <v>0</v>
      </c>
      <c r="AJ434" s="136">
        <f t="shared" si="64"/>
        <v>0</v>
      </c>
      <c r="AK434" s="136">
        <f t="shared" si="64"/>
        <v>-162058</v>
      </c>
      <c r="AL434" s="136">
        <f t="shared" si="64"/>
        <v>0</v>
      </c>
      <c r="AM434" s="136">
        <f t="shared" si="67"/>
        <v>0</v>
      </c>
      <c r="AN434" s="136">
        <f t="shared" si="67"/>
        <v>0</v>
      </c>
      <c r="AO434" s="136">
        <f t="shared" si="67"/>
        <v>0</v>
      </c>
      <c r="AP434" s="136">
        <f t="shared" si="67"/>
        <v>564542</v>
      </c>
      <c r="AQ434" s="136">
        <f t="shared" si="67"/>
        <v>0</v>
      </c>
      <c r="AR434" s="136">
        <f t="shared" si="67"/>
        <v>0</v>
      </c>
      <c r="AS434" s="136">
        <f t="shared" si="67"/>
        <v>0</v>
      </c>
      <c r="AT434" s="136">
        <f t="shared" si="67"/>
        <v>0</v>
      </c>
      <c r="AU434" s="136">
        <f t="shared" si="67"/>
        <v>-36953</v>
      </c>
      <c r="AV434" s="136">
        <f t="shared" si="67"/>
        <v>0</v>
      </c>
      <c r="AW434" s="136">
        <f t="shared" si="67"/>
        <v>0</v>
      </c>
      <c r="AX434" s="136">
        <f t="shared" si="67"/>
        <v>0</v>
      </c>
      <c r="AY434" s="136">
        <f t="shared" si="67"/>
        <v>0</v>
      </c>
      <c r="AZ434" s="136">
        <f t="shared" si="67"/>
        <v>-12717</v>
      </c>
      <c r="BA434" s="136">
        <f t="shared" si="67"/>
        <v>0</v>
      </c>
      <c r="BB434" s="136">
        <f t="shared" si="67"/>
        <v>0</v>
      </c>
      <c r="BC434" s="136">
        <f t="shared" si="66"/>
        <v>0</v>
      </c>
      <c r="BD434" s="136">
        <f t="shared" si="66"/>
        <v>0</v>
      </c>
      <c r="BE434" s="136">
        <f t="shared" si="66"/>
        <v>0</v>
      </c>
      <c r="BF434" s="136">
        <f t="shared" si="66"/>
        <v>0</v>
      </c>
      <c r="BG434" s="136">
        <f t="shared" si="66"/>
        <v>0</v>
      </c>
      <c r="BH434" s="136">
        <f t="shared" si="66"/>
        <v>0</v>
      </c>
      <c r="BI434" s="136">
        <f t="shared" si="66"/>
        <v>0</v>
      </c>
      <c r="BJ434" s="136">
        <f t="shared" si="66"/>
        <v>-1185705</v>
      </c>
      <c r="BK434" s="136">
        <f t="shared" si="66"/>
        <v>0</v>
      </c>
      <c r="BL434" s="136">
        <f t="shared" si="66"/>
        <v>0</v>
      </c>
      <c r="BM434" s="136">
        <f t="shared" si="66"/>
        <v>0</v>
      </c>
      <c r="BN434" s="136">
        <f t="shared" si="66"/>
        <v>0</v>
      </c>
      <c r="BO434" s="136">
        <f t="shared" si="66"/>
        <v>-488603</v>
      </c>
      <c r="BP434" s="136">
        <f t="shared" si="66"/>
        <v>0</v>
      </c>
      <c r="BQ434" s="136">
        <f t="shared" si="66"/>
        <v>0</v>
      </c>
      <c r="BR434" s="136">
        <f t="shared" si="66"/>
        <v>0</v>
      </c>
      <c r="BS434" s="136">
        <f t="shared" si="68"/>
        <v>0</v>
      </c>
      <c r="BT434" s="136">
        <f t="shared" si="68"/>
        <v>-405317</v>
      </c>
      <c r="BU434" s="136">
        <f t="shared" si="68"/>
        <v>0</v>
      </c>
      <c r="BV434" s="136">
        <f t="shared" si="68"/>
        <v>0</v>
      </c>
      <c r="BW434" s="136">
        <f t="shared" si="68"/>
        <v>0</v>
      </c>
      <c r="BX434" s="136">
        <f t="shared" si="68"/>
        <v>0</v>
      </c>
      <c r="BZ434" s="136">
        <f t="shared" si="65"/>
        <v>0</v>
      </c>
      <c r="CA434" s="136">
        <f t="shared" si="65"/>
        <v>0</v>
      </c>
    </row>
    <row r="435" spans="7:79" hidden="1" x14ac:dyDescent="0.3">
      <c r="G435" s="136">
        <f t="shared" si="62"/>
        <v>-751021</v>
      </c>
      <c r="H435" s="136">
        <f t="shared" si="62"/>
        <v>0</v>
      </c>
      <c r="I435" s="136">
        <f t="shared" si="62"/>
        <v>0</v>
      </c>
      <c r="J435" s="136">
        <f t="shared" si="62"/>
        <v>0</v>
      </c>
      <c r="K435" s="136">
        <f t="shared" si="62"/>
        <v>0</v>
      </c>
      <c r="L435" s="136">
        <f t="shared" si="62"/>
        <v>-11945</v>
      </c>
      <c r="M435" s="136">
        <f t="shared" si="62"/>
        <v>0</v>
      </c>
      <c r="N435" s="136">
        <f t="shared" si="62"/>
        <v>0</v>
      </c>
      <c r="O435" s="136">
        <f t="shared" si="62"/>
        <v>0</v>
      </c>
      <c r="P435" s="136">
        <f t="shared" si="62"/>
        <v>0</v>
      </c>
      <c r="Q435" s="136">
        <f t="shared" si="62"/>
        <v>101606</v>
      </c>
      <c r="R435" s="136">
        <f t="shared" si="62"/>
        <v>0</v>
      </c>
      <c r="S435" s="136">
        <f t="shared" si="62"/>
        <v>0</v>
      </c>
      <c r="T435" s="136">
        <f t="shared" si="62"/>
        <v>0</v>
      </c>
      <c r="U435" s="136">
        <f t="shared" si="62"/>
        <v>0</v>
      </c>
      <c r="V435" s="136">
        <f t="shared" si="62"/>
        <v>56227</v>
      </c>
      <c r="W435" s="136">
        <f t="shared" si="64"/>
        <v>0</v>
      </c>
      <c r="X435" s="136">
        <f t="shared" si="64"/>
        <v>0</v>
      </c>
      <c r="Y435" s="136">
        <f t="shared" si="64"/>
        <v>0</v>
      </c>
      <c r="Z435" s="136">
        <f t="shared" si="64"/>
        <v>0</v>
      </c>
      <c r="AA435" s="136">
        <f t="shared" si="64"/>
        <v>-216102</v>
      </c>
      <c r="AB435" s="136">
        <f t="shared" si="64"/>
        <v>0</v>
      </c>
      <c r="AC435" s="136">
        <f t="shared" si="64"/>
        <v>0</v>
      </c>
      <c r="AD435" s="136">
        <f t="shared" si="64"/>
        <v>0</v>
      </c>
      <c r="AE435" s="136">
        <f t="shared" si="64"/>
        <v>0</v>
      </c>
      <c r="AF435" s="136">
        <f t="shared" si="64"/>
        <v>-1655</v>
      </c>
      <c r="AG435" s="136">
        <f t="shared" si="64"/>
        <v>0</v>
      </c>
      <c r="AH435" s="136">
        <f t="shared" si="64"/>
        <v>0</v>
      </c>
      <c r="AI435" s="136">
        <f t="shared" si="64"/>
        <v>0</v>
      </c>
      <c r="AJ435" s="136">
        <f t="shared" si="64"/>
        <v>0</v>
      </c>
      <c r="AK435" s="136">
        <f t="shared" si="64"/>
        <v>-17942</v>
      </c>
      <c r="AL435" s="136">
        <f t="shared" si="64"/>
        <v>0</v>
      </c>
      <c r="AM435" s="136">
        <f t="shared" si="67"/>
        <v>0</v>
      </c>
      <c r="AN435" s="136">
        <f t="shared" si="67"/>
        <v>0</v>
      </c>
      <c r="AO435" s="136">
        <f t="shared" si="67"/>
        <v>0</v>
      </c>
      <c r="AP435" s="136">
        <f t="shared" si="67"/>
        <v>105458</v>
      </c>
      <c r="AQ435" s="136">
        <f t="shared" si="67"/>
        <v>0</v>
      </c>
      <c r="AR435" s="136">
        <f t="shared" si="67"/>
        <v>0</v>
      </c>
      <c r="AS435" s="136">
        <f t="shared" si="67"/>
        <v>0</v>
      </c>
      <c r="AT435" s="136">
        <f t="shared" si="67"/>
        <v>0</v>
      </c>
      <c r="AU435" s="136">
        <f t="shared" si="67"/>
        <v>1953</v>
      </c>
      <c r="AV435" s="136">
        <f t="shared" si="67"/>
        <v>0</v>
      </c>
      <c r="AW435" s="136">
        <f t="shared" si="67"/>
        <v>0</v>
      </c>
      <c r="AX435" s="136">
        <f t="shared" si="67"/>
        <v>0</v>
      </c>
      <c r="AY435" s="136">
        <f t="shared" si="67"/>
        <v>0</v>
      </c>
      <c r="AZ435" s="136">
        <f t="shared" si="67"/>
        <v>-2283</v>
      </c>
      <c r="BA435" s="136">
        <f t="shared" si="67"/>
        <v>0</v>
      </c>
      <c r="BB435" s="136">
        <f t="shared" si="67"/>
        <v>0</v>
      </c>
      <c r="BC435" s="136">
        <f t="shared" si="66"/>
        <v>0</v>
      </c>
      <c r="BD435" s="136">
        <f t="shared" si="66"/>
        <v>0</v>
      </c>
      <c r="BE435" s="136">
        <f t="shared" si="66"/>
        <v>0</v>
      </c>
      <c r="BF435" s="136">
        <f t="shared" si="66"/>
        <v>0</v>
      </c>
      <c r="BG435" s="136">
        <f t="shared" si="66"/>
        <v>0</v>
      </c>
      <c r="BH435" s="136">
        <f t="shared" si="66"/>
        <v>0</v>
      </c>
      <c r="BI435" s="136">
        <f t="shared" si="66"/>
        <v>0</v>
      </c>
      <c r="BJ435" s="136">
        <f t="shared" si="66"/>
        <v>-164295</v>
      </c>
      <c r="BK435" s="136">
        <f t="shared" si="66"/>
        <v>0</v>
      </c>
      <c r="BL435" s="136">
        <f t="shared" si="66"/>
        <v>0</v>
      </c>
      <c r="BM435" s="136">
        <f t="shared" si="66"/>
        <v>0</v>
      </c>
      <c r="BN435" s="136">
        <f t="shared" si="66"/>
        <v>0</v>
      </c>
      <c r="BO435" s="136">
        <f t="shared" si="66"/>
        <v>-61397</v>
      </c>
      <c r="BP435" s="136">
        <f t="shared" si="66"/>
        <v>0</v>
      </c>
      <c r="BQ435" s="136">
        <f t="shared" si="66"/>
        <v>0</v>
      </c>
      <c r="BR435" s="136">
        <f t="shared" si="66"/>
        <v>0</v>
      </c>
      <c r="BS435" s="136">
        <f t="shared" si="68"/>
        <v>0</v>
      </c>
      <c r="BT435" s="136">
        <f t="shared" si="68"/>
        <v>15317</v>
      </c>
      <c r="BU435" s="136">
        <f t="shared" si="68"/>
        <v>0</v>
      </c>
      <c r="BV435" s="136">
        <f t="shared" si="68"/>
        <v>0</v>
      </c>
      <c r="BW435" s="136">
        <f t="shared" si="68"/>
        <v>0</v>
      </c>
      <c r="BX435" s="136">
        <f t="shared" si="68"/>
        <v>0</v>
      </c>
      <c r="BZ435" s="136">
        <f t="shared" si="65"/>
        <v>0</v>
      </c>
      <c r="CA435" s="136">
        <f t="shared" si="65"/>
        <v>0</v>
      </c>
    </row>
    <row r="436" spans="7:79" hidden="1" x14ac:dyDescent="0.3">
      <c r="G436" s="136">
        <f t="shared" si="62"/>
        <v>0</v>
      </c>
      <c r="H436" s="136">
        <f t="shared" si="62"/>
        <v>0</v>
      </c>
      <c r="I436" s="136">
        <f t="shared" si="62"/>
        <v>0</v>
      </c>
      <c r="J436" s="136">
        <f t="shared" si="62"/>
        <v>0</v>
      </c>
      <c r="K436" s="136">
        <f t="shared" si="62"/>
        <v>0</v>
      </c>
      <c r="L436" s="136">
        <f t="shared" si="62"/>
        <v>0</v>
      </c>
      <c r="M436" s="136">
        <f t="shared" si="62"/>
        <v>0</v>
      </c>
      <c r="N436" s="136">
        <f t="shared" si="62"/>
        <v>0</v>
      </c>
      <c r="O436" s="136">
        <f t="shared" si="62"/>
        <v>0</v>
      </c>
      <c r="P436" s="136">
        <f t="shared" si="62"/>
        <v>0</v>
      </c>
      <c r="Q436" s="136">
        <f t="shared" si="62"/>
        <v>0</v>
      </c>
      <c r="R436" s="136">
        <f t="shared" si="62"/>
        <v>0</v>
      </c>
      <c r="S436" s="136">
        <f t="shared" si="62"/>
        <v>0</v>
      </c>
      <c r="T436" s="136">
        <f t="shared" si="62"/>
        <v>0</v>
      </c>
      <c r="U436" s="136">
        <f t="shared" si="62"/>
        <v>0</v>
      </c>
      <c r="V436" s="136">
        <f t="shared" si="62"/>
        <v>0</v>
      </c>
      <c r="W436" s="136">
        <f t="shared" si="64"/>
        <v>0</v>
      </c>
      <c r="X436" s="136">
        <f t="shared" si="64"/>
        <v>0</v>
      </c>
      <c r="Y436" s="136">
        <f t="shared" si="64"/>
        <v>0</v>
      </c>
      <c r="Z436" s="136">
        <f t="shared" si="64"/>
        <v>0</v>
      </c>
      <c r="AA436" s="136">
        <f t="shared" si="64"/>
        <v>0</v>
      </c>
      <c r="AB436" s="136">
        <f t="shared" si="64"/>
        <v>0</v>
      </c>
      <c r="AC436" s="136">
        <f t="shared" si="64"/>
        <v>0</v>
      </c>
      <c r="AD436" s="136">
        <f t="shared" si="64"/>
        <v>0</v>
      </c>
      <c r="AE436" s="136">
        <f t="shared" si="64"/>
        <v>0</v>
      </c>
      <c r="AF436" s="136">
        <f t="shared" si="64"/>
        <v>0</v>
      </c>
      <c r="AG436" s="136">
        <f t="shared" si="64"/>
        <v>0</v>
      </c>
      <c r="AH436" s="136">
        <f t="shared" si="64"/>
        <v>0</v>
      </c>
      <c r="AI436" s="136">
        <f t="shared" si="64"/>
        <v>0</v>
      </c>
      <c r="AJ436" s="136">
        <f t="shared" si="64"/>
        <v>0</v>
      </c>
      <c r="AK436" s="136">
        <f t="shared" si="64"/>
        <v>0</v>
      </c>
      <c r="AL436" s="136">
        <f t="shared" si="64"/>
        <v>0</v>
      </c>
      <c r="AM436" s="136">
        <f t="shared" si="67"/>
        <v>0</v>
      </c>
      <c r="AN436" s="136">
        <f t="shared" si="67"/>
        <v>0</v>
      </c>
      <c r="AO436" s="136">
        <f t="shared" si="67"/>
        <v>0</v>
      </c>
      <c r="AP436" s="136">
        <f t="shared" si="67"/>
        <v>0</v>
      </c>
      <c r="AQ436" s="136">
        <f t="shared" si="67"/>
        <v>0</v>
      </c>
      <c r="AR436" s="136">
        <f t="shared" si="67"/>
        <v>0</v>
      </c>
      <c r="AS436" s="136">
        <f t="shared" si="67"/>
        <v>0</v>
      </c>
      <c r="AT436" s="136">
        <f t="shared" si="67"/>
        <v>0</v>
      </c>
      <c r="AU436" s="136">
        <f t="shared" si="67"/>
        <v>0</v>
      </c>
      <c r="AV436" s="136">
        <f t="shared" si="67"/>
        <v>0</v>
      </c>
      <c r="AW436" s="136">
        <f t="shared" si="67"/>
        <v>0</v>
      </c>
      <c r="AX436" s="136">
        <f t="shared" si="67"/>
        <v>0</v>
      </c>
      <c r="AY436" s="136">
        <f t="shared" si="67"/>
        <v>0</v>
      </c>
      <c r="AZ436" s="136">
        <f t="shared" si="67"/>
        <v>0</v>
      </c>
      <c r="BA436" s="136">
        <f t="shared" si="67"/>
        <v>0</v>
      </c>
      <c r="BB436" s="136">
        <f t="shared" si="67"/>
        <v>0</v>
      </c>
      <c r="BC436" s="136">
        <f t="shared" si="66"/>
        <v>0</v>
      </c>
      <c r="BD436" s="136">
        <f t="shared" si="66"/>
        <v>0</v>
      </c>
      <c r="BE436" s="136">
        <f t="shared" si="66"/>
        <v>0</v>
      </c>
      <c r="BF436" s="136">
        <f t="shared" si="66"/>
        <v>0</v>
      </c>
      <c r="BG436" s="136">
        <f t="shared" si="66"/>
        <v>0</v>
      </c>
      <c r="BH436" s="136">
        <f t="shared" si="66"/>
        <v>0</v>
      </c>
      <c r="BI436" s="136">
        <f t="shared" si="66"/>
        <v>0</v>
      </c>
      <c r="BJ436" s="136">
        <f t="shared" si="66"/>
        <v>0</v>
      </c>
      <c r="BK436" s="136">
        <f t="shared" si="66"/>
        <v>0</v>
      </c>
      <c r="BL436" s="136">
        <f t="shared" si="66"/>
        <v>0</v>
      </c>
      <c r="BM436" s="136">
        <f t="shared" si="66"/>
        <v>0</v>
      </c>
      <c r="BN436" s="136">
        <f t="shared" si="66"/>
        <v>0</v>
      </c>
      <c r="BO436" s="136">
        <f t="shared" si="66"/>
        <v>0</v>
      </c>
      <c r="BP436" s="136">
        <f t="shared" si="66"/>
        <v>0</v>
      </c>
      <c r="BQ436" s="136">
        <f t="shared" si="66"/>
        <v>0</v>
      </c>
      <c r="BR436" s="136">
        <f t="shared" si="66"/>
        <v>0</v>
      </c>
      <c r="BS436" s="136">
        <f t="shared" si="68"/>
        <v>0</v>
      </c>
      <c r="BT436" s="136">
        <f t="shared" si="68"/>
        <v>0</v>
      </c>
      <c r="BU436" s="136">
        <f t="shared" si="68"/>
        <v>0</v>
      </c>
      <c r="BV436" s="136">
        <f t="shared" si="68"/>
        <v>0</v>
      </c>
      <c r="BW436" s="136">
        <f t="shared" si="68"/>
        <v>0</v>
      </c>
      <c r="BX436" s="136">
        <f t="shared" si="68"/>
        <v>0</v>
      </c>
      <c r="BZ436" s="136">
        <f t="shared" si="65"/>
        <v>0</v>
      </c>
      <c r="CA436" s="136">
        <f t="shared" si="65"/>
        <v>0</v>
      </c>
    </row>
    <row r="437" spans="7:79" hidden="1" x14ac:dyDescent="0.3">
      <c r="G437" s="136">
        <f t="shared" si="62"/>
        <v>-1643715</v>
      </c>
      <c r="H437" s="136">
        <f t="shared" si="62"/>
        <v>0</v>
      </c>
      <c r="I437" s="136">
        <f t="shared" si="62"/>
        <v>0</v>
      </c>
      <c r="J437" s="136">
        <f t="shared" si="62"/>
        <v>0</v>
      </c>
      <c r="K437" s="136">
        <f t="shared" si="62"/>
        <v>0</v>
      </c>
      <c r="L437" s="136">
        <f t="shared" si="62"/>
        <v>-23235</v>
      </c>
      <c r="M437" s="136">
        <f t="shared" si="62"/>
        <v>0</v>
      </c>
      <c r="N437" s="136">
        <f t="shared" si="62"/>
        <v>0</v>
      </c>
      <c r="O437" s="136">
        <f t="shared" si="62"/>
        <v>0</v>
      </c>
      <c r="P437" s="136">
        <f t="shared" si="62"/>
        <v>0</v>
      </c>
      <c r="Q437" s="136">
        <f t="shared" si="62"/>
        <v>300586</v>
      </c>
      <c r="R437" s="136">
        <f t="shared" si="62"/>
        <v>0</v>
      </c>
      <c r="S437" s="136">
        <f t="shared" si="62"/>
        <v>0</v>
      </c>
      <c r="T437" s="136">
        <f t="shared" si="62"/>
        <v>0</v>
      </c>
      <c r="U437" s="136">
        <f t="shared" si="62"/>
        <v>0</v>
      </c>
      <c r="V437" s="136">
        <f t="shared" si="62"/>
        <v>208399</v>
      </c>
      <c r="W437" s="136">
        <f t="shared" si="64"/>
        <v>0</v>
      </c>
      <c r="X437" s="136">
        <f t="shared" si="64"/>
        <v>0</v>
      </c>
      <c r="Y437" s="136">
        <f t="shared" si="64"/>
        <v>0</v>
      </c>
      <c r="Z437" s="136">
        <f t="shared" si="64"/>
        <v>0</v>
      </c>
      <c r="AA437" s="136">
        <f t="shared" si="64"/>
        <v>-458346</v>
      </c>
      <c r="AB437" s="136">
        <f t="shared" si="64"/>
        <v>0</v>
      </c>
      <c r="AC437" s="136">
        <f t="shared" si="64"/>
        <v>0</v>
      </c>
      <c r="AD437" s="136">
        <f t="shared" si="64"/>
        <v>0</v>
      </c>
      <c r="AE437" s="136">
        <f t="shared" si="64"/>
        <v>0</v>
      </c>
      <c r="AF437" s="136">
        <f t="shared" si="64"/>
        <v>7486</v>
      </c>
      <c r="AG437" s="136">
        <f t="shared" si="64"/>
        <v>0</v>
      </c>
      <c r="AH437" s="136">
        <f t="shared" si="64"/>
        <v>0</v>
      </c>
      <c r="AI437" s="136">
        <f t="shared" si="64"/>
        <v>0</v>
      </c>
      <c r="AJ437" s="136">
        <f t="shared" si="64"/>
        <v>0</v>
      </c>
      <c r="AK437" s="136">
        <f t="shared" si="64"/>
        <v>-43294</v>
      </c>
      <c r="AL437" s="136">
        <f t="shared" si="64"/>
        <v>0</v>
      </c>
      <c r="AM437" s="136">
        <f t="shared" si="67"/>
        <v>0</v>
      </c>
      <c r="AN437" s="136">
        <f t="shared" si="67"/>
        <v>0</v>
      </c>
      <c r="AO437" s="136">
        <f t="shared" si="67"/>
        <v>0</v>
      </c>
      <c r="AP437" s="136">
        <f t="shared" si="67"/>
        <v>228186</v>
      </c>
      <c r="AQ437" s="136">
        <f t="shared" si="67"/>
        <v>0</v>
      </c>
      <c r="AR437" s="136">
        <f t="shared" si="67"/>
        <v>0</v>
      </c>
      <c r="AS437" s="136">
        <f t="shared" si="67"/>
        <v>0</v>
      </c>
      <c r="AT437" s="136">
        <f t="shared" si="67"/>
        <v>0</v>
      </c>
      <c r="AU437" s="136">
        <f t="shared" si="67"/>
        <v>16462</v>
      </c>
      <c r="AV437" s="136">
        <f t="shared" si="67"/>
        <v>0</v>
      </c>
      <c r="AW437" s="136">
        <f t="shared" si="67"/>
        <v>0</v>
      </c>
      <c r="AX437" s="136">
        <f t="shared" si="67"/>
        <v>0</v>
      </c>
      <c r="AY437" s="136">
        <f t="shared" si="67"/>
        <v>0</v>
      </c>
      <c r="AZ437" s="136">
        <f t="shared" si="67"/>
        <v>-3910</v>
      </c>
      <c r="BA437" s="136">
        <f t="shared" si="67"/>
        <v>0</v>
      </c>
      <c r="BB437" s="136">
        <f t="shared" si="67"/>
        <v>0</v>
      </c>
      <c r="BC437" s="136">
        <f t="shared" si="66"/>
        <v>0</v>
      </c>
      <c r="BD437" s="136">
        <f t="shared" si="66"/>
        <v>0</v>
      </c>
      <c r="BE437" s="136">
        <f t="shared" si="66"/>
        <v>0</v>
      </c>
      <c r="BF437" s="136">
        <f t="shared" si="66"/>
        <v>0</v>
      </c>
      <c r="BG437" s="136">
        <f t="shared" si="66"/>
        <v>0</v>
      </c>
      <c r="BH437" s="136">
        <f t="shared" si="66"/>
        <v>0</v>
      </c>
      <c r="BI437" s="136">
        <f t="shared" si="66"/>
        <v>0</v>
      </c>
      <c r="BJ437" s="136">
        <f t="shared" si="66"/>
        <v>-363808</v>
      </c>
      <c r="BK437" s="136">
        <f t="shared" si="66"/>
        <v>0</v>
      </c>
      <c r="BL437" s="136">
        <f t="shared" si="66"/>
        <v>0</v>
      </c>
      <c r="BM437" s="136">
        <f t="shared" si="66"/>
        <v>0</v>
      </c>
      <c r="BN437" s="136">
        <f t="shared" si="66"/>
        <v>0</v>
      </c>
      <c r="BO437" s="136">
        <f t="shared" si="66"/>
        <v>-151292</v>
      </c>
      <c r="BP437" s="136">
        <f t="shared" si="66"/>
        <v>0</v>
      </c>
      <c r="BQ437" s="136">
        <f t="shared" si="66"/>
        <v>0</v>
      </c>
      <c r="BR437" s="136">
        <f t="shared" si="66"/>
        <v>0</v>
      </c>
      <c r="BS437" s="136">
        <f t="shared" si="68"/>
        <v>0</v>
      </c>
      <c r="BT437" s="136">
        <f t="shared" si="68"/>
        <v>232334</v>
      </c>
      <c r="BU437" s="136">
        <f t="shared" si="68"/>
        <v>0</v>
      </c>
      <c r="BV437" s="136">
        <f t="shared" si="68"/>
        <v>0</v>
      </c>
      <c r="BW437" s="136">
        <f t="shared" si="68"/>
        <v>0</v>
      </c>
      <c r="BX437" s="136">
        <f t="shared" si="68"/>
        <v>0</v>
      </c>
      <c r="BZ437" s="136">
        <f t="shared" si="65"/>
        <v>0</v>
      </c>
      <c r="CA437" s="136">
        <f t="shared" si="65"/>
        <v>0</v>
      </c>
    </row>
    <row r="438" spans="7:79" hidden="1" x14ac:dyDescent="0.3">
      <c r="G438" s="136">
        <f t="shared" si="62"/>
        <v>0</v>
      </c>
      <c r="H438" s="136">
        <f t="shared" si="62"/>
        <v>0</v>
      </c>
      <c r="I438" s="136">
        <f t="shared" si="62"/>
        <v>0</v>
      </c>
      <c r="J438" s="136">
        <f t="shared" si="62"/>
        <v>0</v>
      </c>
      <c r="K438" s="136">
        <f t="shared" si="62"/>
        <v>0</v>
      </c>
      <c r="L438" s="136">
        <f t="shared" si="62"/>
        <v>0</v>
      </c>
      <c r="M438" s="136">
        <f t="shared" si="62"/>
        <v>0</v>
      </c>
      <c r="N438" s="136">
        <f t="shared" si="62"/>
        <v>0</v>
      </c>
      <c r="O438" s="136">
        <f t="shared" si="62"/>
        <v>0</v>
      </c>
      <c r="P438" s="136">
        <f t="shared" si="62"/>
        <v>0</v>
      </c>
      <c r="Q438" s="136">
        <f t="shared" si="62"/>
        <v>0</v>
      </c>
      <c r="R438" s="136">
        <f t="shared" si="62"/>
        <v>0</v>
      </c>
      <c r="S438" s="136">
        <f t="shared" si="62"/>
        <v>0</v>
      </c>
      <c r="T438" s="136">
        <f t="shared" si="62"/>
        <v>0</v>
      </c>
      <c r="U438" s="136">
        <f t="shared" si="62"/>
        <v>0</v>
      </c>
      <c r="V438" s="136">
        <f t="shared" si="62"/>
        <v>0</v>
      </c>
      <c r="W438" s="136">
        <f t="shared" si="64"/>
        <v>0</v>
      </c>
      <c r="X438" s="136">
        <f t="shared" si="64"/>
        <v>0</v>
      </c>
      <c r="Y438" s="136">
        <f t="shared" si="64"/>
        <v>0</v>
      </c>
      <c r="Z438" s="136">
        <f t="shared" si="64"/>
        <v>0</v>
      </c>
      <c r="AA438" s="136">
        <f t="shared" si="64"/>
        <v>0</v>
      </c>
      <c r="AB438" s="136">
        <f t="shared" si="64"/>
        <v>0</v>
      </c>
      <c r="AC438" s="136">
        <f t="shared" si="64"/>
        <v>0</v>
      </c>
      <c r="AD438" s="136">
        <f t="shared" si="64"/>
        <v>0</v>
      </c>
      <c r="AE438" s="136">
        <f t="shared" si="64"/>
        <v>0</v>
      </c>
      <c r="AF438" s="136">
        <f t="shared" si="64"/>
        <v>0</v>
      </c>
      <c r="AG438" s="136">
        <f t="shared" si="64"/>
        <v>0</v>
      </c>
      <c r="AH438" s="136">
        <f t="shared" si="64"/>
        <v>0</v>
      </c>
      <c r="AI438" s="136">
        <f t="shared" si="64"/>
        <v>0</v>
      </c>
      <c r="AJ438" s="136">
        <f t="shared" si="64"/>
        <v>0</v>
      </c>
      <c r="AK438" s="136">
        <f t="shared" si="64"/>
        <v>0</v>
      </c>
      <c r="AL438" s="136">
        <f t="shared" si="64"/>
        <v>0</v>
      </c>
      <c r="AM438" s="136">
        <f t="shared" si="67"/>
        <v>0</v>
      </c>
      <c r="AN438" s="136">
        <f t="shared" si="67"/>
        <v>0</v>
      </c>
      <c r="AO438" s="136">
        <f t="shared" si="67"/>
        <v>0</v>
      </c>
      <c r="AP438" s="136">
        <f t="shared" si="67"/>
        <v>0</v>
      </c>
      <c r="AQ438" s="136">
        <f t="shared" si="67"/>
        <v>0</v>
      </c>
      <c r="AR438" s="136">
        <f t="shared" si="67"/>
        <v>0</v>
      </c>
      <c r="AS438" s="136">
        <f t="shared" si="67"/>
        <v>0</v>
      </c>
      <c r="AT438" s="136">
        <f t="shared" si="67"/>
        <v>0</v>
      </c>
      <c r="AU438" s="136">
        <f t="shared" si="67"/>
        <v>0</v>
      </c>
      <c r="AV438" s="136">
        <f t="shared" si="67"/>
        <v>0</v>
      </c>
      <c r="AW438" s="136">
        <f t="shared" si="67"/>
        <v>0</v>
      </c>
      <c r="AX438" s="136">
        <f t="shared" si="67"/>
        <v>0</v>
      </c>
      <c r="AY438" s="136">
        <f t="shared" si="67"/>
        <v>0</v>
      </c>
      <c r="AZ438" s="136">
        <f t="shared" si="67"/>
        <v>0</v>
      </c>
      <c r="BA438" s="136">
        <f t="shared" si="67"/>
        <v>0</v>
      </c>
      <c r="BB438" s="136">
        <f t="shared" si="67"/>
        <v>0</v>
      </c>
      <c r="BC438" s="136">
        <f t="shared" si="66"/>
        <v>0</v>
      </c>
      <c r="BD438" s="136">
        <f t="shared" si="66"/>
        <v>0</v>
      </c>
      <c r="BE438" s="136">
        <f t="shared" si="66"/>
        <v>0</v>
      </c>
      <c r="BF438" s="136">
        <f t="shared" si="66"/>
        <v>0</v>
      </c>
      <c r="BG438" s="136">
        <f t="shared" si="66"/>
        <v>0</v>
      </c>
      <c r="BH438" s="136">
        <f t="shared" si="66"/>
        <v>0</v>
      </c>
      <c r="BI438" s="136">
        <f t="shared" si="66"/>
        <v>0</v>
      </c>
      <c r="BJ438" s="136">
        <f t="shared" si="66"/>
        <v>0</v>
      </c>
      <c r="BK438" s="136">
        <f t="shared" si="66"/>
        <v>0</v>
      </c>
      <c r="BL438" s="136">
        <f t="shared" si="66"/>
        <v>0</v>
      </c>
      <c r="BM438" s="136">
        <f t="shared" si="66"/>
        <v>0</v>
      </c>
      <c r="BN438" s="136">
        <f t="shared" si="66"/>
        <v>0</v>
      </c>
      <c r="BO438" s="136">
        <f t="shared" si="66"/>
        <v>0</v>
      </c>
      <c r="BP438" s="136">
        <f t="shared" si="66"/>
        <v>0</v>
      </c>
      <c r="BQ438" s="136">
        <f t="shared" si="66"/>
        <v>0</v>
      </c>
      <c r="BR438" s="136">
        <f t="shared" si="66"/>
        <v>0</v>
      </c>
      <c r="BS438" s="136">
        <f t="shared" si="68"/>
        <v>0</v>
      </c>
      <c r="BT438" s="136">
        <f t="shared" si="68"/>
        <v>0</v>
      </c>
      <c r="BU438" s="136">
        <f t="shared" si="68"/>
        <v>0</v>
      </c>
      <c r="BV438" s="136">
        <f t="shared" si="68"/>
        <v>0</v>
      </c>
      <c r="BW438" s="136">
        <f t="shared" si="68"/>
        <v>0</v>
      </c>
      <c r="BX438" s="136">
        <f t="shared" si="68"/>
        <v>0</v>
      </c>
      <c r="BZ438" s="136">
        <f t="shared" si="65"/>
        <v>0</v>
      </c>
      <c r="CA438" s="136">
        <f t="shared" si="65"/>
        <v>0</v>
      </c>
    </row>
    <row r="439" spans="7:79" hidden="1" x14ac:dyDescent="0.3">
      <c r="G439" s="136">
        <f t="shared" ref="G439:V447" si="69">G46-BY46</f>
        <v>-7353693</v>
      </c>
      <c r="H439" s="136">
        <f t="shared" si="69"/>
        <v>0</v>
      </c>
      <c r="I439" s="136">
        <f t="shared" si="69"/>
        <v>0</v>
      </c>
      <c r="J439" s="136">
        <f t="shared" si="69"/>
        <v>0</v>
      </c>
      <c r="K439" s="136">
        <f t="shared" si="69"/>
        <v>0</v>
      </c>
      <c r="L439" s="136">
        <f t="shared" si="69"/>
        <v>2990713</v>
      </c>
      <c r="M439" s="136">
        <f t="shared" si="69"/>
        <v>0</v>
      </c>
      <c r="N439" s="136">
        <f t="shared" si="69"/>
        <v>0</v>
      </c>
      <c r="O439" s="136">
        <f t="shared" si="69"/>
        <v>0</v>
      </c>
      <c r="P439" s="136">
        <f t="shared" si="69"/>
        <v>0</v>
      </c>
      <c r="Q439" s="136">
        <f t="shared" si="69"/>
        <v>1346170</v>
      </c>
      <c r="R439" s="136">
        <f t="shared" si="69"/>
        <v>0</v>
      </c>
      <c r="S439" s="136">
        <f t="shared" si="69"/>
        <v>0</v>
      </c>
      <c r="T439" s="136">
        <f t="shared" si="69"/>
        <v>0</v>
      </c>
      <c r="U439" s="136">
        <f t="shared" si="69"/>
        <v>0</v>
      </c>
      <c r="V439" s="136">
        <f t="shared" si="69"/>
        <v>54641</v>
      </c>
      <c r="W439" s="136">
        <f t="shared" si="64"/>
        <v>0</v>
      </c>
      <c r="X439" s="136">
        <f t="shared" si="64"/>
        <v>0</v>
      </c>
      <c r="Y439" s="136">
        <f t="shared" si="64"/>
        <v>0</v>
      </c>
      <c r="Z439" s="136">
        <f t="shared" si="64"/>
        <v>0</v>
      </c>
      <c r="AA439" s="136">
        <f t="shared" si="64"/>
        <v>1295886</v>
      </c>
      <c r="AB439" s="136">
        <f t="shared" si="64"/>
        <v>0</v>
      </c>
      <c r="AC439" s="136">
        <f t="shared" si="64"/>
        <v>0</v>
      </c>
      <c r="AD439" s="136">
        <f t="shared" si="64"/>
        <v>0</v>
      </c>
      <c r="AE439" s="136">
        <f t="shared" si="64"/>
        <v>0</v>
      </c>
      <c r="AF439" s="136">
        <f t="shared" si="64"/>
        <v>898425</v>
      </c>
      <c r="AG439" s="136">
        <f t="shared" si="64"/>
        <v>0</v>
      </c>
      <c r="AH439" s="136">
        <f t="shared" si="64"/>
        <v>0</v>
      </c>
      <c r="AI439" s="136">
        <f t="shared" si="64"/>
        <v>0</v>
      </c>
      <c r="AJ439" s="136">
        <f t="shared" si="64"/>
        <v>0</v>
      </c>
      <c r="AK439" s="136">
        <f t="shared" si="64"/>
        <v>3712986</v>
      </c>
      <c r="AL439" s="136">
        <f t="shared" si="64"/>
        <v>0</v>
      </c>
      <c r="AM439" s="136">
        <f t="shared" si="67"/>
        <v>0</v>
      </c>
      <c r="AN439" s="136">
        <f t="shared" si="67"/>
        <v>0</v>
      </c>
      <c r="AO439" s="136">
        <f t="shared" si="67"/>
        <v>0</v>
      </c>
      <c r="AP439" s="136">
        <f t="shared" si="67"/>
        <v>-1083061</v>
      </c>
      <c r="AQ439" s="136">
        <f t="shared" si="67"/>
        <v>0</v>
      </c>
      <c r="AR439" s="136">
        <f t="shared" si="67"/>
        <v>0</v>
      </c>
      <c r="AS439" s="136">
        <f t="shared" si="67"/>
        <v>0</v>
      </c>
      <c r="AT439" s="136">
        <f t="shared" si="67"/>
        <v>0</v>
      </c>
      <c r="AU439" s="136">
        <f t="shared" si="67"/>
        <v>2263083</v>
      </c>
      <c r="AV439" s="136">
        <f t="shared" si="67"/>
        <v>0</v>
      </c>
      <c r="AW439" s="136">
        <f t="shared" si="67"/>
        <v>0</v>
      </c>
      <c r="AX439" s="136">
        <f t="shared" si="67"/>
        <v>0</v>
      </c>
      <c r="AY439" s="136">
        <f t="shared" si="67"/>
        <v>0</v>
      </c>
      <c r="AZ439" s="136">
        <f t="shared" si="67"/>
        <v>387458</v>
      </c>
      <c r="BA439" s="136">
        <f t="shared" si="67"/>
        <v>0</v>
      </c>
      <c r="BB439" s="136">
        <f t="shared" si="67"/>
        <v>0</v>
      </c>
      <c r="BC439" s="136">
        <f t="shared" si="66"/>
        <v>0</v>
      </c>
      <c r="BD439" s="136">
        <f t="shared" si="66"/>
        <v>0</v>
      </c>
      <c r="BE439" s="136">
        <f t="shared" si="66"/>
        <v>481919</v>
      </c>
      <c r="BF439" s="136">
        <f t="shared" si="66"/>
        <v>0</v>
      </c>
      <c r="BG439" s="136">
        <f t="shared" si="66"/>
        <v>0</v>
      </c>
      <c r="BH439" s="136">
        <f t="shared" si="66"/>
        <v>0</v>
      </c>
      <c r="BI439" s="136">
        <f t="shared" si="66"/>
        <v>0</v>
      </c>
      <c r="BJ439" s="136">
        <f t="shared" si="66"/>
        <v>-500071</v>
      </c>
      <c r="BK439" s="136">
        <f t="shared" si="66"/>
        <v>0</v>
      </c>
      <c r="BL439" s="136">
        <f t="shared" si="66"/>
        <v>0</v>
      </c>
      <c r="BM439" s="136">
        <f t="shared" si="66"/>
        <v>0</v>
      </c>
      <c r="BN439" s="136">
        <f t="shared" si="66"/>
        <v>0</v>
      </c>
      <c r="BO439" s="136">
        <f t="shared" si="66"/>
        <v>-61120</v>
      </c>
      <c r="BP439" s="136">
        <f t="shared" si="66"/>
        <v>0</v>
      </c>
      <c r="BQ439" s="136">
        <f t="shared" si="66"/>
        <v>0</v>
      </c>
      <c r="BR439" s="136">
        <f t="shared" si="66"/>
        <v>0</v>
      </c>
      <c r="BS439" s="136">
        <f t="shared" si="68"/>
        <v>0</v>
      </c>
      <c r="BT439" s="136">
        <f t="shared" si="68"/>
        <v>12348220</v>
      </c>
      <c r="BU439" s="136">
        <f t="shared" si="68"/>
        <v>0</v>
      </c>
      <c r="BV439" s="136">
        <f t="shared" si="68"/>
        <v>0</v>
      </c>
      <c r="BW439" s="136">
        <f t="shared" si="68"/>
        <v>0</v>
      </c>
      <c r="BX439" s="136">
        <f t="shared" si="68"/>
        <v>0</v>
      </c>
      <c r="BZ439" s="136">
        <f t="shared" si="65"/>
        <v>0</v>
      </c>
      <c r="CA439" s="136">
        <f t="shared" si="65"/>
        <v>0</v>
      </c>
    </row>
    <row r="440" spans="7:79" hidden="1" x14ac:dyDescent="0.3">
      <c r="G440" s="136">
        <f t="shared" si="69"/>
        <v>-4155684</v>
      </c>
      <c r="H440" s="136">
        <f t="shared" si="69"/>
        <v>0</v>
      </c>
      <c r="I440" s="136">
        <f t="shared" si="69"/>
        <v>0</v>
      </c>
      <c r="J440" s="136">
        <f t="shared" si="69"/>
        <v>0</v>
      </c>
      <c r="K440" s="136">
        <f t="shared" si="69"/>
        <v>0</v>
      </c>
      <c r="L440" s="136">
        <f t="shared" si="69"/>
        <v>1650361</v>
      </c>
      <c r="M440" s="136">
        <f t="shared" si="69"/>
        <v>0</v>
      </c>
      <c r="N440" s="136">
        <f t="shared" si="69"/>
        <v>0</v>
      </c>
      <c r="O440" s="136">
        <f t="shared" si="69"/>
        <v>0</v>
      </c>
      <c r="P440" s="136">
        <f t="shared" si="69"/>
        <v>0</v>
      </c>
      <c r="Q440" s="136">
        <f t="shared" si="69"/>
        <v>731903</v>
      </c>
      <c r="R440" s="136">
        <f t="shared" si="69"/>
        <v>0</v>
      </c>
      <c r="S440" s="136">
        <f t="shared" si="69"/>
        <v>0</v>
      </c>
      <c r="T440" s="136">
        <f t="shared" si="69"/>
        <v>0</v>
      </c>
      <c r="U440" s="136">
        <f t="shared" si="69"/>
        <v>0</v>
      </c>
      <c r="V440" s="136">
        <f t="shared" si="69"/>
        <v>-17760</v>
      </c>
      <c r="W440" s="136">
        <f t="shared" si="64"/>
        <v>0</v>
      </c>
      <c r="X440" s="136">
        <f t="shared" si="64"/>
        <v>0</v>
      </c>
      <c r="Y440" s="136">
        <f t="shared" si="64"/>
        <v>0</v>
      </c>
      <c r="Z440" s="136">
        <f t="shared" si="64"/>
        <v>0</v>
      </c>
      <c r="AA440" s="136">
        <f t="shared" si="64"/>
        <v>661948</v>
      </c>
      <c r="AB440" s="136">
        <f t="shared" si="64"/>
        <v>0</v>
      </c>
      <c r="AC440" s="136">
        <f t="shared" si="64"/>
        <v>0</v>
      </c>
      <c r="AD440" s="136">
        <f t="shared" si="64"/>
        <v>0</v>
      </c>
      <c r="AE440" s="136">
        <f t="shared" si="64"/>
        <v>0</v>
      </c>
      <c r="AF440" s="136">
        <f t="shared" si="64"/>
        <v>450524</v>
      </c>
      <c r="AG440" s="136">
        <f t="shared" si="64"/>
        <v>0</v>
      </c>
      <c r="AH440" s="136">
        <f t="shared" si="64"/>
        <v>0</v>
      </c>
      <c r="AI440" s="136">
        <f t="shared" si="64"/>
        <v>0</v>
      </c>
      <c r="AJ440" s="136">
        <f t="shared" si="64"/>
        <v>0</v>
      </c>
      <c r="AK440" s="136">
        <f t="shared" si="64"/>
        <v>1853608</v>
      </c>
      <c r="AL440" s="136">
        <f t="shared" si="64"/>
        <v>0</v>
      </c>
      <c r="AM440" s="136">
        <f t="shared" si="67"/>
        <v>0</v>
      </c>
      <c r="AN440" s="136">
        <f t="shared" si="67"/>
        <v>0</v>
      </c>
      <c r="AO440" s="136">
        <f t="shared" si="67"/>
        <v>0</v>
      </c>
      <c r="AP440" s="136">
        <f t="shared" si="67"/>
        <v>-652082</v>
      </c>
      <c r="AQ440" s="136">
        <f t="shared" si="67"/>
        <v>0</v>
      </c>
      <c r="AR440" s="136">
        <f t="shared" si="67"/>
        <v>0</v>
      </c>
      <c r="AS440" s="136">
        <f t="shared" si="67"/>
        <v>0</v>
      </c>
      <c r="AT440" s="136">
        <f t="shared" si="67"/>
        <v>0</v>
      </c>
      <c r="AU440" s="136">
        <f t="shared" si="67"/>
        <v>1018108</v>
      </c>
      <c r="AV440" s="136">
        <f t="shared" si="67"/>
        <v>0</v>
      </c>
      <c r="AW440" s="136">
        <f t="shared" si="67"/>
        <v>0</v>
      </c>
      <c r="AX440" s="136">
        <f t="shared" si="67"/>
        <v>0</v>
      </c>
      <c r="AY440" s="136">
        <f t="shared" si="67"/>
        <v>0</v>
      </c>
      <c r="AZ440" s="136">
        <f t="shared" si="67"/>
        <v>68598</v>
      </c>
      <c r="BA440" s="136">
        <f t="shared" si="67"/>
        <v>0</v>
      </c>
      <c r="BB440" s="136">
        <f t="shared" si="67"/>
        <v>0</v>
      </c>
      <c r="BC440" s="136">
        <f t="shared" si="66"/>
        <v>0</v>
      </c>
      <c r="BD440" s="136">
        <f t="shared" si="66"/>
        <v>0</v>
      </c>
      <c r="BE440" s="136">
        <f t="shared" si="66"/>
        <v>199949</v>
      </c>
      <c r="BF440" s="136">
        <f t="shared" si="66"/>
        <v>0</v>
      </c>
      <c r="BG440" s="136">
        <f t="shared" si="66"/>
        <v>0</v>
      </c>
      <c r="BH440" s="136">
        <f t="shared" si="66"/>
        <v>0</v>
      </c>
      <c r="BI440" s="136">
        <f t="shared" si="66"/>
        <v>0</v>
      </c>
      <c r="BJ440" s="136">
        <f t="shared" si="66"/>
        <v>-281404</v>
      </c>
      <c r="BK440" s="136">
        <f t="shared" si="66"/>
        <v>0</v>
      </c>
      <c r="BL440" s="136">
        <f t="shared" si="66"/>
        <v>0</v>
      </c>
      <c r="BM440" s="136">
        <f t="shared" si="66"/>
        <v>0</v>
      </c>
      <c r="BN440" s="136">
        <f t="shared" si="66"/>
        <v>0</v>
      </c>
      <c r="BO440" s="136">
        <f t="shared" si="66"/>
        <v>-34277</v>
      </c>
      <c r="BP440" s="136">
        <f t="shared" si="66"/>
        <v>0</v>
      </c>
      <c r="BQ440" s="136">
        <f t="shared" si="66"/>
        <v>0</v>
      </c>
      <c r="BR440" s="136">
        <f t="shared" si="66"/>
        <v>0</v>
      </c>
      <c r="BS440" s="136">
        <f t="shared" si="68"/>
        <v>0</v>
      </c>
      <c r="BT440" s="136">
        <f t="shared" si="68"/>
        <v>5965157</v>
      </c>
      <c r="BU440" s="136">
        <f t="shared" si="68"/>
        <v>0</v>
      </c>
      <c r="BV440" s="136">
        <f t="shared" si="68"/>
        <v>0</v>
      </c>
      <c r="BW440" s="136">
        <f t="shared" si="68"/>
        <v>0</v>
      </c>
      <c r="BX440" s="136">
        <f t="shared" si="68"/>
        <v>0</v>
      </c>
      <c r="BZ440" s="136">
        <f t="shared" si="65"/>
        <v>0</v>
      </c>
      <c r="CA440" s="136">
        <f t="shared" si="65"/>
        <v>0</v>
      </c>
    </row>
    <row r="441" spans="7:79" hidden="1" x14ac:dyDescent="0.3">
      <c r="G441" s="136">
        <f t="shared" si="69"/>
        <v>-1384316</v>
      </c>
      <c r="H441" s="136">
        <f t="shared" si="69"/>
        <v>0</v>
      </c>
      <c r="I441" s="136">
        <f t="shared" si="69"/>
        <v>0</v>
      </c>
      <c r="J441" s="136">
        <f t="shared" si="69"/>
        <v>0</v>
      </c>
      <c r="K441" s="136">
        <f t="shared" si="69"/>
        <v>0</v>
      </c>
      <c r="L441" s="136">
        <f t="shared" si="69"/>
        <v>539639</v>
      </c>
      <c r="M441" s="136">
        <f t="shared" si="69"/>
        <v>0</v>
      </c>
      <c r="N441" s="136">
        <f t="shared" si="69"/>
        <v>0</v>
      </c>
      <c r="O441" s="136">
        <f t="shared" si="69"/>
        <v>0</v>
      </c>
      <c r="P441" s="136">
        <f t="shared" si="69"/>
        <v>0</v>
      </c>
      <c r="Q441" s="136">
        <f t="shared" si="69"/>
        <v>228097</v>
      </c>
      <c r="R441" s="136">
        <f t="shared" si="69"/>
        <v>0</v>
      </c>
      <c r="S441" s="136">
        <f t="shared" si="69"/>
        <v>0</v>
      </c>
      <c r="T441" s="136">
        <f t="shared" si="69"/>
        <v>0</v>
      </c>
      <c r="U441" s="136">
        <f t="shared" si="69"/>
        <v>0</v>
      </c>
      <c r="V441" s="136">
        <f t="shared" si="69"/>
        <v>7760</v>
      </c>
      <c r="W441" s="136">
        <f t="shared" si="64"/>
        <v>0</v>
      </c>
      <c r="X441" s="136">
        <f t="shared" si="64"/>
        <v>0</v>
      </c>
      <c r="Y441" s="136">
        <f t="shared" si="64"/>
        <v>0</v>
      </c>
      <c r="Z441" s="136">
        <f t="shared" si="64"/>
        <v>0</v>
      </c>
      <c r="AA441" s="136">
        <f t="shared" si="64"/>
        <v>253052</v>
      </c>
      <c r="AB441" s="136">
        <f t="shared" si="64"/>
        <v>0</v>
      </c>
      <c r="AC441" s="136">
        <f t="shared" si="64"/>
        <v>0</v>
      </c>
      <c r="AD441" s="136">
        <f t="shared" si="64"/>
        <v>0</v>
      </c>
      <c r="AE441" s="136">
        <f t="shared" si="64"/>
        <v>0</v>
      </c>
      <c r="AF441" s="136">
        <f t="shared" si="64"/>
        <v>174476</v>
      </c>
      <c r="AG441" s="136">
        <f t="shared" si="64"/>
        <v>0</v>
      </c>
      <c r="AH441" s="136">
        <f t="shared" si="64"/>
        <v>0</v>
      </c>
      <c r="AI441" s="136">
        <f t="shared" si="64"/>
        <v>0</v>
      </c>
      <c r="AJ441" s="136">
        <f t="shared" si="64"/>
        <v>0</v>
      </c>
      <c r="AK441" s="136">
        <f t="shared" si="64"/>
        <v>741392</v>
      </c>
      <c r="AL441" s="136">
        <f t="shared" si="64"/>
        <v>0</v>
      </c>
      <c r="AM441" s="136">
        <f t="shared" si="67"/>
        <v>0</v>
      </c>
      <c r="AN441" s="136">
        <f t="shared" si="67"/>
        <v>0</v>
      </c>
      <c r="AO441" s="136">
        <f t="shared" si="67"/>
        <v>0</v>
      </c>
      <c r="AP441" s="136">
        <f t="shared" si="67"/>
        <v>-192918</v>
      </c>
      <c r="AQ441" s="136">
        <f t="shared" si="67"/>
        <v>0</v>
      </c>
      <c r="AR441" s="136">
        <f t="shared" si="67"/>
        <v>0</v>
      </c>
      <c r="AS441" s="136">
        <f t="shared" si="67"/>
        <v>0</v>
      </c>
      <c r="AT441" s="136">
        <f t="shared" si="67"/>
        <v>0</v>
      </c>
      <c r="AU441" s="136">
        <f t="shared" si="67"/>
        <v>521892</v>
      </c>
      <c r="AV441" s="136">
        <f t="shared" si="67"/>
        <v>0</v>
      </c>
      <c r="AW441" s="136">
        <f t="shared" si="67"/>
        <v>0</v>
      </c>
      <c r="AX441" s="136">
        <f t="shared" si="67"/>
        <v>0</v>
      </c>
      <c r="AY441" s="136">
        <f t="shared" si="67"/>
        <v>0</v>
      </c>
      <c r="AZ441" s="136">
        <f t="shared" si="67"/>
        <v>141402</v>
      </c>
      <c r="BA441" s="136">
        <f t="shared" si="67"/>
        <v>0</v>
      </c>
      <c r="BB441" s="136">
        <f t="shared" si="67"/>
        <v>0</v>
      </c>
      <c r="BC441" s="136">
        <f t="shared" si="66"/>
        <v>0</v>
      </c>
      <c r="BD441" s="136">
        <f t="shared" si="66"/>
        <v>0</v>
      </c>
      <c r="BE441" s="136">
        <f t="shared" si="66"/>
        <v>110051</v>
      </c>
      <c r="BF441" s="136">
        <f t="shared" si="66"/>
        <v>0</v>
      </c>
      <c r="BG441" s="136">
        <f t="shared" si="66"/>
        <v>0</v>
      </c>
      <c r="BH441" s="136">
        <f t="shared" si="66"/>
        <v>0</v>
      </c>
      <c r="BI441" s="136">
        <f t="shared" si="66"/>
        <v>0</v>
      </c>
      <c r="BJ441" s="136">
        <f t="shared" si="66"/>
        <v>-88596</v>
      </c>
      <c r="BK441" s="136">
        <f t="shared" si="66"/>
        <v>0</v>
      </c>
      <c r="BL441" s="136">
        <f t="shared" si="66"/>
        <v>0</v>
      </c>
      <c r="BM441" s="136">
        <f t="shared" si="66"/>
        <v>0</v>
      </c>
      <c r="BN441" s="136">
        <f t="shared" si="66"/>
        <v>0</v>
      </c>
      <c r="BO441" s="136">
        <f t="shared" si="66"/>
        <v>-10723</v>
      </c>
      <c r="BP441" s="136">
        <f t="shared" si="66"/>
        <v>0</v>
      </c>
      <c r="BQ441" s="136">
        <f t="shared" si="66"/>
        <v>0</v>
      </c>
      <c r="BR441" s="136">
        <f t="shared" si="66"/>
        <v>0</v>
      </c>
      <c r="BS441" s="136">
        <f t="shared" si="68"/>
        <v>0</v>
      </c>
      <c r="BT441" s="136">
        <f t="shared" si="68"/>
        <v>2524843</v>
      </c>
      <c r="BU441" s="136">
        <f t="shared" si="68"/>
        <v>0</v>
      </c>
      <c r="BV441" s="136">
        <f t="shared" si="68"/>
        <v>0</v>
      </c>
      <c r="BW441" s="136">
        <f t="shared" si="68"/>
        <v>0</v>
      </c>
      <c r="BX441" s="136">
        <f t="shared" si="68"/>
        <v>0</v>
      </c>
      <c r="BZ441" s="136">
        <f t="shared" si="65"/>
        <v>0</v>
      </c>
      <c r="CA441" s="136">
        <f t="shared" si="65"/>
        <v>0</v>
      </c>
    </row>
    <row r="442" spans="7:79" hidden="1" x14ac:dyDescent="0.3">
      <c r="G442" s="136">
        <f t="shared" si="69"/>
        <v>0</v>
      </c>
      <c r="H442" s="136">
        <f t="shared" si="69"/>
        <v>0</v>
      </c>
      <c r="I442" s="136">
        <f t="shared" si="69"/>
        <v>0</v>
      </c>
      <c r="J442" s="136">
        <f t="shared" si="69"/>
        <v>0</v>
      </c>
      <c r="K442" s="136">
        <f t="shared" si="69"/>
        <v>0</v>
      </c>
      <c r="L442" s="136">
        <f t="shared" si="69"/>
        <v>0</v>
      </c>
      <c r="M442" s="136">
        <f t="shared" si="69"/>
        <v>0</v>
      </c>
      <c r="N442" s="136">
        <f t="shared" si="69"/>
        <v>0</v>
      </c>
      <c r="O442" s="136">
        <f t="shared" si="69"/>
        <v>0</v>
      </c>
      <c r="P442" s="136">
        <f t="shared" si="69"/>
        <v>0</v>
      </c>
      <c r="Q442" s="136">
        <f t="shared" si="69"/>
        <v>0</v>
      </c>
      <c r="R442" s="136">
        <f t="shared" si="69"/>
        <v>0</v>
      </c>
      <c r="S442" s="136">
        <f t="shared" si="69"/>
        <v>0</v>
      </c>
      <c r="T442" s="136">
        <f t="shared" si="69"/>
        <v>0</v>
      </c>
      <c r="U442" s="136">
        <f t="shared" si="69"/>
        <v>0</v>
      </c>
      <c r="V442" s="136">
        <f t="shared" si="69"/>
        <v>0</v>
      </c>
      <c r="W442" s="136">
        <f t="shared" si="64"/>
        <v>0</v>
      </c>
      <c r="X442" s="136">
        <f t="shared" si="64"/>
        <v>0</v>
      </c>
      <c r="Y442" s="136">
        <f t="shared" si="64"/>
        <v>0</v>
      </c>
      <c r="Z442" s="136">
        <f t="shared" si="64"/>
        <v>0</v>
      </c>
      <c r="AA442" s="136">
        <f t="shared" si="64"/>
        <v>0</v>
      </c>
      <c r="AB442" s="136">
        <f t="shared" si="64"/>
        <v>0</v>
      </c>
      <c r="AC442" s="136">
        <f t="shared" si="64"/>
        <v>0</v>
      </c>
      <c r="AD442" s="136">
        <f t="shared" si="64"/>
        <v>0</v>
      </c>
      <c r="AE442" s="136">
        <f t="shared" si="64"/>
        <v>0</v>
      </c>
      <c r="AF442" s="136">
        <f t="shared" si="64"/>
        <v>0</v>
      </c>
      <c r="AG442" s="136">
        <f t="shared" si="64"/>
        <v>0</v>
      </c>
      <c r="AH442" s="136">
        <f t="shared" si="64"/>
        <v>0</v>
      </c>
      <c r="AI442" s="136">
        <f t="shared" si="64"/>
        <v>0</v>
      </c>
      <c r="AJ442" s="136">
        <f t="shared" si="64"/>
        <v>0</v>
      </c>
      <c r="AK442" s="136">
        <f t="shared" si="64"/>
        <v>0</v>
      </c>
      <c r="AL442" s="136">
        <f t="shared" si="64"/>
        <v>0</v>
      </c>
      <c r="AM442" s="136">
        <f t="shared" si="67"/>
        <v>0</v>
      </c>
      <c r="AN442" s="136">
        <f t="shared" si="67"/>
        <v>0</v>
      </c>
      <c r="AO442" s="136">
        <f t="shared" si="67"/>
        <v>0</v>
      </c>
      <c r="AP442" s="136">
        <f t="shared" si="67"/>
        <v>0</v>
      </c>
      <c r="AQ442" s="136">
        <f t="shared" si="67"/>
        <v>0</v>
      </c>
      <c r="AR442" s="136">
        <f t="shared" si="67"/>
        <v>0</v>
      </c>
      <c r="AS442" s="136">
        <f t="shared" si="67"/>
        <v>0</v>
      </c>
      <c r="AT442" s="136">
        <f t="shared" si="67"/>
        <v>0</v>
      </c>
      <c r="AU442" s="136">
        <f t="shared" si="67"/>
        <v>0</v>
      </c>
      <c r="AV442" s="136">
        <f t="shared" si="67"/>
        <v>0</v>
      </c>
      <c r="AW442" s="136">
        <f t="shared" si="67"/>
        <v>0</v>
      </c>
      <c r="AX442" s="136">
        <f t="shared" si="67"/>
        <v>0</v>
      </c>
      <c r="AY442" s="136">
        <f t="shared" si="67"/>
        <v>0</v>
      </c>
      <c r="AZ442" s="136">
        <f t="shared" si="67"/>
        <v>0</v>
      </c>
      <c r="BA442" s="136">
        <f t="shared" si="67"/>
        <v>0</v>
      </c>
      <c r="BB442" s="136">
        <f t="shared" si="67"/>
        <v>0</v>
      </c>
      <c r="BC442" s="136">
        <f t="shared" si="66"/>
        <v>0</v>
      </c>
      <c r="BD442" s="136">
        <f t="shared" si="66"/>
        <v>0</v>
      </c>
      <c r="BE442" s="136">
        <f t="shared" si="66"/>
        <v>0</v>
      </c>
      <c r="BF442" s="136">
        <f t="shared" si="66"/>
        <v>0</v>
      </c>
      <c r="BG442" s="136">
        <f t="shared" si="66"/>
        <v>0</v>
      </c>
      <c r="BH442" s="136">
        <f t="shared" si="66"/>
        <v>0</v>
      </c>
      <c r="BI442" s="136">
        <f t="shared" si="66"/>
        <v>0</v>
      </c>
      <c r="BJ442" s="136">
        <f t="shared" si="66"/>
        <v>0</v>
      </c>
      <c r="BK442" s="136">
        <f t="shared" si="66"/>
        <v>0</v>
      </c>
      <c r="BL442" s="136">
        <f t="shared" si="66"/>
        <v>0</v>
      </c>
      <c r="BM442" s="136">
        <f t="shared" si="66"/>
        <v>0</v>
      </c>
      <c r="BN442" s="136">
        <f t="shared" si="66"/>
        <v>0</v>
      </c>
      <c r="BO442" s="136">
        <f t="shared" si="66"/>
        <v>0</v>
      </c>
      <c r="BP442" s="136">
        <f t="shared" si="66"/>
        <v>0</v>
      </c>
      <c r="BQ442" s="136">
        <f t="shared" si="66"/>
        <v>0</v>
      </c>
      <c r="BR442" s="136">
        <f t="shared" si="66"/>
        <v>0</v>
      </c>
      <c r="BS442" s="136">
        <f t="shared" si="68"/>
        <v>0</v>
      </c>
      <c r="BT442" s="136">
        <f t="shared" si="68"/>
        <v>0</v>
      </c>
      <c r="BU442" s="136">
        <f t="shared" si="68"/>
        <v>0</v>
      </c>
      <c r="BV442" s="136">
        <f t="shared" si="68"/>
        <v>0</v>
      </c>
      <c r="BW442" s="136">
        <f t="shared" si="68"/>
        <v>0</v>
      </c>
      <c r="BX442" s="136">
        <f t="shared" si="68"/>
        <v>0</v>
      </c>
      <c r="BZ442" s="136">
        <f t="shared" si="65"/>
        <v>0</v>
      </c>
      <c r="CA442" s="136">
        <f t="shared" si="65"/>
        <v>0</v>
      </c>
    </row>
    <row r="443" spans="7:79" hidden="1" x14ac:dyDescent="0.3">
      <c r="G443" s="136">
        <f t="shared" si="69"/>
        <v>-1813693</v>
      </c>
      <c r="H443" s="136">
        <f t="shared" si="69"/>
        <v>0</v>
      </c>
      <c r="I443" s="136">
        <f t="shared" si="69"/>
        <v>0</v>
      </c>
      <c r="J443" s="136">
        <f t="shared" si="69"/>
        <v>0</v>
      </c>
      <c r="K443" s="136">
        <f t="shared" si="69"/>
        <v>0</v>
      </c>
      <c r="L443" s="136">
        <f t="shared" si="69"/>
        <v>800713</v>
      </c>
      <c r="M443" s="136">
        <f t="shared" si="69"/>
        <v>0</v>
      </c>
      <c r="N443" s="136">
        <f t="shared" si="69"/>
        <v>0</v>
      </c>
      <c r="O443" s="136">
        <f t="shared" si="69"/>
        <v>0</v>
      </c>
      <c r="P443" s="136">
        <f t="shared" si="69"/>
        <v>0</v>
      </c>
      <c r="Q443" s="136">
        <f t="shared" si="69"/>
        <v>386170</v>
      </c>
      <c r="R443" s="136">
        <f t="shared" si="69"/>
        <v>0</v>
      </c>
      <c r="S443" s="136">
        <f t="shared" si="69"/>
        <v>0</v>
      </c>
      <c r="T443" s="136">
        <f t="shared" si="69"/>
        <v>0</v>
      </c>
      <c r="U443" s="136">
        <f t="shared" si="69"/>
        <v>0</v>
      </c>
      <c r="V443" s="136">
        <f t="shared" si="69"/>
        <v>64641</v>
      </c>
      <c r="W443" s="136">
        <f t="shared" ref="W443:AL447" si="70">W50-CO50</f>
        <v>0</v>
      </c>
      <c r="X443" s="136">
        <f t="shared" si="70"/>
        <v>0</v>
      </c>
      <c r="Y443" s="136">
        <f t="shared" si="70"/>
        <v>0</v>
      </c>
      <c r="Z443" s="136">
        <f t="shared" si="70"/>
        <v>0</v>
      </c>
      <c r="AA443" s="136">
        <f t="shared" si="70"/>
        <v>380886</v>
      </c>
      <c r="AB443" s="136">
        <f t="shared" si="70"/>
        <v>0</v>
      </c>
      <c r="AC443" s="136">
        <f t="shared" si="70"/>
        <v>0</v>
      </c>
      <c r="AD443" s="136">
        <f t="shared" si="70"/>
        <v>0</v>
      </c>
      <c r="AE443" s="136">
        <f t="shared" si="70"/>
        <v>0</v>
      </c>
      <c r="AF443" s="136">
        <f t="shared" si="70"/>
        <v>273425</v>
      </c>
      <c r="AG443" s="136">
        <f t="shared" si="70"/>
        <v>0</v>
      </c>
      <c r="AH443" s="136">
        <f t="shared" si="70"/>
        <v>0</v>
      </c>
      <c r="AI443" s="136">
        <f t="shared" si="70"/>
        <v>0</v>
      </c>
      <c r="AJ443" s="136">
        <f t="shared" si="70"/>
        <v>0</v>
      </c>
      <c r="AK443" s="136">
        <f t="shared" si="70"/>
        <v>1117986</v>
      </c>
      <c r="AL443" s="136">
        <f t="shared" si="70"/>
        <v>0</v>
      </c>
      <c r="AM443" s="136">
        <f t="shared" si="67"/>
        <v>0</v>
      </c>
      <c r="AN443" s="136">
        <f t="shared" si="67"/>
        <v>0</v>
      </c>
      <c r="AO443" s="136">
        <f t="shared" si="67"/>
        <v>0</v>
      </c>
      <c r="AP443" s="136">
        <f t="shared" si="67"/>
        <v>-238061</v>
      </c>
      <c r="AQ443" s="136">
        <f t="shared" si="67"/>
        <v>0</v>
      </c>
      <c r="AR443" s="136">
        <f t="shared" si="67"/>
        <v>0</v>
      </c>
      <c r="AS443" s="136">
        <f t="shared" si="67"/>
        <v>0</v>
      </c>
      <c r="AT443" s="136">
        <f t="shared" si="67"/>
        <v>0</v>
      </c>
      <c r="AU443" s="136">
        <f t="shared" si="67"/>
        <v>723083</v>
      </c>
      <c r="AV443" s="136">
        <f t="shared" si="67"/>
        <v>0</v>
      </c>
      <c r="AW443" s="136">
        <f t="shared" si="67"/>
        <v>0</v>
      </c>
      <c r="AX443" s="136">
        <f t="shared" si="67"/>
        <v>0</v>
      </c>
      <c r="AY443" s="136">
        <f t="shared" si="67"/>
        <v>0</v>
      </c>
      <c r="AZ443" s="136">
        <f t="shared" si="67"/>
        <v>177458</v>
      </c>
      <c r="BA443" s="136">
        <f t="shared" si="67"/>
        <v>0</v>
      </c>
      <c r="BB443" s="136">
        <f t="shared" si="67"/>
        <v>0</v>
      </c>
      <c r="BC443" s="136">
        <f t="shared" si="66"/>
        <v>0</v>
      </c>
      <c r="BD443" s="136">
        <f t="shared" si="66"/>
        <v>0</v>
      </c>
      <c r="BE443" s="136">
        <f t="shared" si="66"/>
        <v>171919</v>
      </c>
      <c r="BF443" s="136">
        <f t="shared" si="66"/>
        <v>0</v>
      </c>
      <c r="BG443" s="136">
        <f t="shared" si="66"/>
        <v>0</v>
      </c>
      <c r="BH443" s="136">
        <f t="shared" si="66"/>
        <v>0</v>
      </c>
      <c r="BI443" s="136">
        <f t="shared" si="66"/>
        <v>0</v>
      </c>
      <c r="BJ443" s="136">
        <f t="shared" si="66"/>
        <v>-130071</v>
      </c>
      <c r="BK443" s="136">
        <f t="shared" si="66"/>
        <v>0</v>
      </c>
      <c r="BL443" s="136">
        <f t="shared" si="66"/>
        <v>0</v>
      </c>
      <c r="BM443" s="136">
        <f t="shared" si="66"/>
        <v>0</v>
      </c>
      <c r="BN443" s="136">
        <f t="shared" si="66"/>
        <v>0</v>
      </c>
      <c r="BO443" s="136">
        <f t="shared" si="66"/>
        <v>-16120</v>
      </c>
      <c r="BP443" s="136">
        <f t="shared" si="66"/>
        <v>0</v>
      </c>
      <c r="BQ443" s="136">
        <f t="shared" si="66"/>
        <v>0</v>
      </c>
      <c r="BR443" s="136">
        <f t="shared" si="66"/>
        <v>0</v>
      </c>
      <c r="BS443" s="136">
        <f t="shared" si="68"/>
        <v>0</v>
      </c>
      <c r="BT443" s="136">
        <f t="shared" si="68"/>
        <v>3858220</v>
      </c>
      <c r="BU443" s="136">
        <f t="shared" si="68"/>
        <v>0</v>
      </c>
      <c r="BV443" s="136">
        <f t="shared" si="68"/>
        <v>0</v>
      </c>
      <c r="BW443" s="136">
        <f t="shared" si="68"/>
        <v>0</v>
      </c>
      <c r="BX443" s="136">
        <f t="shared" si="68"/>
        <v>0</v>
      </c>
      <c r="BZ443" s="136">
        <f t="shared" si="65"/>
        <v>0</v>
      </c>
      <c r="CA443" s="136">
        <f t="shared" si="65"/>
        <v>0</v>
      </c>
    </row>
    <row r="444" spans="7:79" hidden="1" x14ac:dyDescent="0.3">
      <c r="G444" s="136">
        <f t="shared" si="69"/>
        <v>0</v>
      </c>
      <c r="H444" s="136">
        <f t="shared" si="69"/>
        <v>0</v>
      </c>
      <c r="I444" s="136">
        <f t="shared" si="69"/>
        <v>0</v>
      </c>
      <c r="J444" s="136">
        <f t="shared" si="69"/>
        <v>0</v>
      </c>
      <c r="K444" s="136">
        <f t="shared" si="69"/>
        <v>0</v>
      </c>
      <c r="L444" s="136">
        <f t="shared" si="69"/>
        <v>0</v>
      </c>
      <c r="M444" s="136">
        <f t="shared" si="69"/>
        <v>0</v>
      </c>
      <c r="N444" s="136">
        <f t="shared" si="69"/>
        <v>0</v>
      </c>
      <c r="O444" s="136">
        <f t="shared" si="69"/>
        <v>0</v>
      </c>
      <c r="P444" s="136">
        <f t="shared" si="69"/>
        <v>0</v>
      </c>
      <c r="Q444" s="136">
        <f t="shared" si="69"/>
        <v>0</v>
      </c>
      <c r="R444" s="136">
        <f t="shared" si="69"/>
        <v>0</v>
      </c>
      <c r="S444" s="136">
        <f t="shared" si="69"/>
        <v>0</v>
      </c>
      <c r="T444" s="136">
        <f t="shared" si="69"/>
        <v>0</v>
      </c>
      <c r="U444" s="136">
        <f t="shared" si="69"/>
        <v>0</v>
      </c>
      <c r="V444" s="136">
        <f t="shared" si="69"/>
        <v>0</v>
      </c>
      <c r="W444" s="136">
        <f t="shared" si="70"/>
        <v>0</v>
      </c>
      <c r="X444" s="136">
        <f t="shared" si="70"/>
        <v>0</v>
      </c>
      <c r="Y444" s="136">
        <f t="shared" si="70"/>
        <v>0</v>
      </c>
      <c r="Z444" s="136">
        <f t="shared" si="70"/>
        <v>0</v>
      </c>
      <c r="AA444" s="136">
        <f t="shared" si="70"/>
        <v>0</v>
      </c>
      <c r="AB444" s="136">
        <f t="shared" si="70"/>
        <v>0</v>
      </c>
      <c r="AC444" s="136">
        <f t="shared" si="70"/>
        <v>0</v>
      </c>
      <c r="AD444" s="136">
        <f t="shared" si="70"/>
        <v>0</v>
      </c>
      <c r="AE444" s="136">
        <f t="shared" si="70"/>
        <v>0</v>
      </c>
      <c r="AF444" s="136">
        <f t="shared" si="70"/>
        <v>0</v>
      </c>
      <c r="AG444" s="136">
        <f t="shared" si="70"/>
        <v>0</v>
      </c>
      <c r="AH444" s="136">
        <f t="shared" si="70"/>
        <v>0</v>
      </c>
      <c r="AI444" s="136">
        <f t="shared" si="70"/>
        <v>0</v>
      </c>
      <c r="AJ444" s="136">
        <f t="shared" si="70"/>
        <v>0</v>
      </c>
      <c r="AK444" s="136">
        <f t="shared" si="70"/>
        <v>0</v>
      </c>
      <c r="AL444" s="136">
        <f t="shared" si="70"/>
        <v>0</v>
      </c>
      <c r="AM444" s="136">
        <f t="shared" si="67"/>
        <v>0</v>
      </c>
      <c r="AN444" s="136">
        <f t="shared" si="67"/>
        <v>0</v>
      </c>
      <c r="AO444" s="136">
        <f t="shared" si="67"/>
        <v>0</v>
      </c>
      <c r="AP444" s="136">
        <f t="shared" si="67"/>
        <v>0</v>
      </c>
      <c r="AQ444" s="136">
        <f t="shared" si="67"/>
        <v>0</v>
      </c>
      <c r="AR444" s="136">
        <f t="shared" si="67"/>
        <v>0</v>
      </c>
      <c r="AS444" s="136">
        <f t="shared" si="67"/>
        <v>0</v>
      </c>
      <c r="AT444" s="136">
        <f t="shared" si="67"/>
        <v>0</v>
      </c>
      <c r="AU444" s="136">
        <f t="shared" si="67"/>
        <v>0</v>
      </c>
      <c r="AV444" s="136">
        <f t="shared" si="67"/>
        <v>0</v>
      </c>
      <c r="AW444" s="136">
        <f t="shared" si="67"/>
        <v>0</v>
      </c>
      <c r="AX444" s="136">
        <f t="shared" si="67"/>
        <v>0</v>
      </c>
      <c r="AY444" s="136">
        <f t="shared" si="67"/>
        <v>0</v>
      </c>
      <c r="AZ444" s="136">
        <f t="shared" si="67"/>
        <v>0</v>
      </c>
      <c r="BA444" s="136">
        <f t="shared" si="67"/>
        <v>0</v>
      </c>
      <c r="BB444" s="136">
        <f t="shared" si="67"/>
        <v>0</v>
      </c>
      <c r="BC444" s="136">
        <f t="shared" si="66"/>
        <v>0</v>
      </c>
      <c r="BD444" s="136">
        <f t="shared" si="66"/>
        <v>0</v>
      </c>
      <c r="BE444" s="136">
        <f t="shared" si="66"/>
        <v>0</v>
      </c>
      <c r="BF444" s="136">
        <f t="shared" si="66"/>
        <v>0</v>
      </c>
      <c r="BG444" s="136">
        <f t="shared" si="66"/>
        <v>0</v>
      </c>
      <c r="BH444" s="136">
        <f t="shared" si="66"/>
        <v>0</v>
      </c>
      <c r="BI444" s="136">
        <f t="shared" si="66"/>
        <v>0</v>
      </c>
      <c r="BJ444" s="136">
        <f t="shared" si="66"/>
        <v>0</v>
      </c>
      <c r="BK444" s="136">
        <f t="shared" si="66"/>
        <v>0</v>
      </c>
      <c r="BL444" s="136">
        <f t="shared" si="66"/>
        <v>0</v>
      </c>
      <c r="BM444" s="136">
        <f t="shared" si="66"/>
        <v>0</v>
      </c>
      <c r="BN444" s="136">
        <f t="shared" si="66"/>
        <v>0</v>
      </c>
      <c r="BO444" s="136">
        <f t="shared" si="66"/>
        <v>0</v>
      </c>
      <c r="BP444" s="136">
        <f t="shared" si="66"/>
        <v>0</v>
      </c>
      <c r="BQ444" s="136">
        <f t="shared" si="66"/>
        <v>0</v>
      </c>
      <c r="BR444" s="136">
        <f t="shared" si="66"/>
        <v>0</v>
      </c>
      <c r="BS444" s="136">
        <f t="shared" si="68"/>
        <v>0</v>
      </c>
      <c r="BT444" s="136">
        <f t="shared" si="68"/>
        <v>0</v>
      </c>
      <c r="BU444" s="136">
        <f t="shared" si="68"/>
        <v>0</v>
      </c>
      <c r="BV444" s="136">
        <f t="shared" si="68"/>
        <v>0</v>
      </c>
      <c r="BW444" s="136">
        <f t="shared" si="68"/>
        <v>0</v>
      </c>
      <c r="BX444" s="136">
        <f t="shared" si="68"/>
        <v>0</v>
      </c>
      <c r="BZ444" s="136">
        <f t="shared" si="65"/>
        <v>0</v>
      </c>
      <c r="CA444" s="136">
        <f t="shared" si="65"/>
        <v>0</v>
      </c>
    </row>
    <row r="445" spans="7:79" hidden="1" x14ac:dyDescent="0.3">
      <c r="G445" s="136">
        <f t="shared" si="69"/>
        <v>0</v>
      </c>
      <c r="H445" s="136">
        <f t="shared" si="69"/>
        <v>0</v>
      </c>
      <c r="I445" s="136">
        <f t="shared" si="69"/>
        <v>0</v>
      </c>
      <c r="J445" s="136">
        <f t="shared" si="69"/>
        <v>0</v>
      </c>
      <c r="K445" s="136">
        <f t="shared" si="69"/>
        <v>0</v>
      </c>
      <c r="L445" s="136">
        <f t="shared" si="69"/>
        <v>0</v>
      </c>
      <c r="M445" s="136">
        <f t="shared" si="69"/>
        <v>0</v>
      </c>
      <c r="N445" s="136">
        <f t="shared" si="69"/>
        <v>0</v>
      </c>
      <c r="O445" s="136">
        <f t="shared" si="69"/>
        <v>0</v>
      </c>
      <c r="P445" s="136">
        <f t="shared" si="69"/>
        <v>0</v>
      </c>
      <c r="Q445" s="136">
        <f t="shared" si="69"/>
        <v>0</v>
      </c>
      <c r="R445" s="136">
        <f t="shared" si="69"/>
        <v>0</v>
      </c>
      <c r="S445" s="136">
        <f t="shared" si="69"/>
        <v>0</v>
      </c>
      <c r="T445" s="136">
        <f t="shared" si="69"/>
        <v>0</v>
      </c>
      <c r="U445" s="136">
        <f t="shared" si="69"/>
        <v>0</v>
      </c>
      <c r="V445" s="136">
        <f t="shared" si="69"/>
        <v>0</v>
      </c>
      <c r="W445" s="136">
        <f t="shared" si="70"/>
        <v>0</v>
      </c>
      <c r="X445" s="136">
        <f t="shared" si="70"/>
        <v>0</v>
      </c>
      <c r="Y445" s="136">
        <f t="shared" si="70"/>
        <v>0</v>
      </c>
      <c r="Z445" s="136">
        <f t="shared" si="70"/>
        <v>0</v>
      </c>
      <c r="AA445" s="136">
        <f t="shared" si="70"/>
        <v>0</v>
      </c>
      <c r="AB445" s="136">
        <f t="shared" si="70"/>
        <v>0</v>
      </c>
      <c r="AC445" s="136">
        <f t="shared" si="70"/>
        <v>0</v>
      </c>
      <c r="AD445" s="136">
        <f t="shared" si="70"/>
        <v>0</v>
      </c>
      <c r="AE445" s="136">
        <f t="shared" si="70"/>
        <v>0</v>
      </c>
      <c r="AF445" s="136">
        <f t="shared" si="70"/>
        <v>0</v>
      </c>
      <c r="AG445" s="136">
        <f t="shared" si="70"/>
        <v>0</v>
      </c>
      <c r="AH445" s="136">
        <f t="shared" si="70"/>
        <v>0</v>
      </c>
      <c r="AI445" s="136">
        <f t="shared" si="70"/>
        <v>0</v>
      </c>
      <c r="AJ445" s="136">
        <f t="shared" si="70"/>
        <v>0</v>
      </c>
      <c r="AK445" s="136">
        <f t="shared" si="70"/>
        <v>0</v>
      </c>
      <c r="AL445" s="136">
        <f t="shared" si="70"/>
        <v>0</v>
      </c>
      <c r="AM445" s="136">
        <f t="shared" si="67"/>
        <v>0</v>
      </c>
      <c r="AN445" s="136">
        <f t="shared" si="67"/>
        <v>0</v>
      </c>
      <c r="AO445" s="136">
        <f t="shared" si="67"/>
        <v>0</v>
      </c>
      <c r="AP445" s="136">
        <f t="shared" si="67"/>
        <v>0</v>
      </c>
      <c r="AQ445" s="136">
        <f t="shared" si="67"/>
        <v>0</v>
      </c>
      <c r="AR445" s="136">
        <f t="shared" si="67"/>
        <v>0</v>
      </c>
      <c r="AS445" s="136">
        <f t="shared" si="67"/>
        <v>0</v>
      </c>
      <c r="AT445" s="136">
        <f t="shared" si="67"/>
        <v>0</v>
      </c>
      <c r="AU445" s="136">
        <f t="shared" si="67"/>
        <v>0</v>
      </c>
      <c r="AV445" s="136">
        <f t="shared" si="67"/>
        <v>0</v>
      </c>
      <c r="AW445" s="136">
        <f t="shared" si="67"/>
        <v>0</v>
      </c>
      <c r="AX445" s="136">
        <f t="shared" si="67"/>
        <v>0</v>
      </c>
      <c r="AY445" s="136">
        <f t="shared" si="67"/>
        <v>0</v>
      </c>
      <c r="AZ445" s="136">
        <f t="shared" si="67"/>
        <v>0</v>
      </c>
      <c r="BA445" s="136">
        <f t="shared" si="67"/>
        <v>0</v>
      </c>
      <c r="BB445" s="136">
        <f t="shared" si="67"/>
        <v>0</v>
      </c>
      <c r="BC445" s="136">
        <f t="shared" si="66"/>
        <v>0</v>
      </c>
      <c r="BD445" s="136">
        <f t="shared" si="66"/>
        <v>0</v>
      </c>
      <c r="BE445" s="136">
        <f t="shared" si="66"/>
        <v>0</v>
      </c>
      <c r="BF445" s="136">
        <f t="shared" si="66"/>
        <v>0</v>
      </c>
      <c r="BG445" s="136">
        <f t="shared" si="66"/>
        <v>0</v>
      </c>
      <c r="BH445" s="136">
        <f t="shared" si="66"/>
        <v>0</v>
      </c>
      <c r="BI445" s="136">
        <f t="shared" si="66"/>
        <v>0</v>
      </c>
      <c r="BJ445" s="136">
        <f t="shared" si="66"/>
        <v>0</v>
      </c>
      <c r="BK445" s="136">
        <f t="shared" si="66"/>
        <v>0</v>
      </c>
      <c r="BL445" s="136">
        <f t="shared" si="66"/>
        <v>0</v>
      </c>
      <c r="BM445" s="136">
        <f t="shared" si="66"/>
        <v>0</v>
      </c>
      <c r="BN445" s="136">
        <f t="shared" si="66"/>
        <v>0</v>
      </c>
      <c r="BO445" s="136">
        <f t="shared" si="66"/>
        <v>0</v>
      </c>
      <c r="BP445" s="136">
        <f t="shared" si="66"/>
        <v>0</v>
      </c>
      <c r="BQ445" s="136">
        <f t="shared" si="66"/>
        <v>0</v>
      </c>
      <c r="BR445" s="136">
        <f t="shared" si="66"/>
        <v>0</v>
      </c>
      <c r="BS445" s="136">
        <f t="shared" si="68"/>
        <v>0</v>
      </c>
      <c r="BT445" s="136">
        <f t="shared" si="68"/>
        <v>0</v>
      </c>
      <c r="BU445" s="136">
        <f t="shared" si="68"/>
        <v>0</v>
      </c>
      <c r="BV445" s="136">
        <f t="shared" si="68"/>
        <v>0</v>
      </c>
      <c r="BW445" s="136">
        <f t="shared" si="68"/>
        <v>0</v>
      </c>
      <c r="BX445" s="136">
        <f t="shared" si="68"/>
        <v>0</v>
      </c>
      <c r="BZ445" s="136">
        <f t="shared" si="65"/>
        <v>0</v>
      </c>
      <c r="CA445" s="136">
        <f t="shared" si="65"/>
        <v>0</v>
      </c>
    </row>
    <row r="446" spans="7:79" hidden="1" x14ac:dyDescent="0.3">
      <c r="G446" s="136">
        <f t="shared" si="69"/>
        <v>0</v>
      </c>
      <c r="H446" s="136">
        <f t="shared" si="69"/>
        <v>0</v>
      </c>
      <c r="I446" s="136">
        <f t="shared" si="69"/>
        <v>0</v>
      </c>
      <c r="J446" s="136">
        <f t="shared" si="69"/>
        <v>0</v>
      </c>
      <c r="K446" s="136">
        <f t="shared" si="69"/>
        <v>0</v>
      </c>
      <c r="L446" s="136">
        <f t="shared" si="69"/>
        <v>0</v>
      </c>
      <c r="M446" s="136">
        <f t="shared" si="69"/>
        <v>0</v>
      </c>
      <c r="N446" s="136">
        <f t="shared" si="69"/>
        <v>0</v>
      </c>
      <c r="O446" s="136">
        <f t="shared" si="69"/>
        <v>0</v>
      </c>
      <c r="P446" s="136">
        <f t="shared" si="69"/>
        <v>0</v>
      </c>
      <c r="Q446" s="136">
        <f t="shared" si="69"/>
        <v>0</v>
      </c>
      <c r="R446" s="136">
        <f t="shared" si="69"/>
        <v>0</v>
      </c>
      <c r="S446" s="136">
        <f t="shared" si="69"/>
        <v>0</v>
      </c>
      <c r="T446" s="136">
        <f t="shared" si="69"/>
        <v>0</v>
      </c>
      <c r="U446" s="136">
        <f t="shared" si="69"/>
        <v>0</v>
      </c>
      <c r="V446" s="136">
        <f t="shared" si="69"/>
        <v>0</v>
      </c>
      <c r="W446" s="136">
        <f t="shared" si="70"/>
        <v>0</v>
      </c>
      <c r="X446" s="136">
        <f t="shared" si="70"/>
        <v>0</v>
      </c>
      <c r="Y446" s="136">
        <f t="shared" si="70"/>
        <v>0</v>
      </c>
      <c r="Z446" s="136">
        <f t="shared" si="70"/>
        <v>0</v>
      </c>
      <c r="AA446" s="136">
        <f t="shared" si="70"/>
        <v>0</v>
      </c>
      <c r="AB446" s="136">
        <f t="shared" si="70"/>
        <v>0</v>
      </c>
      <c r="AC446" s="136">
        <f t="shared" si="70"/>
        <v>0</v>
      </c>
      <c r="AD446" s="136">
        <f t="shared" si="70"/>
        <v>0</v>
      </c>
      <c r="AE446" s="136">
        <f t="shared" si="70"/>
        <v>0</v>
      </c>
      <c r="AF446" s="136">
        <f t="shared" si="70"/>
        <v>0</v>
      </c>
      <c r="AG446" s="136">
        <f t="shared" si="70"/>
        <v>0</v>
      </c>
      <c r="AH446" s="136">
        <f t="shared" si="70"/>
        <v>0</v>
      </c>
      <c r="AI446" s="136">
        <f t="shared" si="70"/>
        <v>0</v>
      </c>
      <c r="AJ446" s="136">
        <f t="shared" si="70"/>
        <v>0</v>
      </c>
      <c r="AK446" s="136">
        <f t="shared" si="70"/>
        <v>0</v>
      </c>
      <c r="AL446" s="136">
        <f t="shared" si="70"/>
        <v>0</v>
      </c>
      <c r="AM446" s="136">
        <f t="shared" si="67"/>
        <v>0</v>
      </c>
      <c r="AN446" s="136">
        <f t="shared" si="67"/>
        <v>0</v>
      </c>
      <c r="AO446" s="136">
        <f t="shared" si="67"/>
        <v>0</v>
      </c>
      <c r="AP446" s="136">
        <f t="shared" si="67"/>
        <v>0</v>
      </c>
      <c r="AQ446" s="136">
        <f t="shared" si="67"/>
        <v>0</v>
      </c>
      <c r="AR446" s="136">
        <f t="shared" si="67"/>
        <v>0</v>
      </c>
      <c r="AS446" s="136">
        <f t="shared" si="67"/>
        <v>0</v>
      </c>
      <c r="AT446" s="136">
        <f t="shared" si="67"/>
        <v>0</v>
      </c>
      <c r="AU446" s="136">
        <f t="shared" si="67"/>
        <v>0</v>
      </c>
      <c r="AV446" s="136">
        <f t="shared" si="67"/>
        <v>0</v>
      </c>
      <c r="AW446" s="136">
        <f t="shared" si="67"/>
        <v>0</v>
      </c>
      <c r="AX446" s="136">
        <f t="shared" si="67"/>
        <v>0</v>
      </c>
      <c r="AY446" s="136">
        <f t="shared" si="67"/>
        <v>0</v>
      </c>
      <c r="AZ446" s="136">
        <f t="shared" si="67"/>
        <v>0</v>
      </c>
      <c r="BA446" s="136">
        <f t="shared" si="67"/>
        <v>0</v>
      </c>
      <c r="BB446" s="136">
        <f t="shared" si="67"/>
        <v>0</v>
      </c>
      <c r="BC446" s="136">
        <f t="shared" si="66"/>
        <v>0</v>
      </c>
      <c r="BD446" s="136">
        <f t="shared" si="66"/>
        <v>0</v>
      </c>
      <c r="BE446" s="136">
        <f t="shared" si="66"/>
        <v>0</v>
      </c>
      <c r="BF446" s="136">
        <f t="shared" si="66"/>
        <v>0</v>
      </c>
      <c r="BG446" s="136">
        <f t="shared" si="66"/>
        <v>0</v>
      </c>
      <c r="BH446" s="136">
        <f t="shared" si="66"/>
        <v>0</v>
      </c>
      <c r="BI446" s="136">
        <f t="shared" si="66"/>
        <v>0</v>
      </c>
      <c r="BJ446" s="136">
        <f t="shared" si="66"/>
        <v>0</v>
      </c>
      <c r="BK446" s="136">
        <f t="shared" si="66"/>
        <v>0</v>
      </c>
      <c r="BL446" s="136">
        <f t="shared" si="66"/>
        <v>0</v>
      </c>
      <c r="BM446" s="136">
        <f t="shared" si="66"/>
        <v>0</v>
      </c>
      <c r="BN446" s="136">
        <f t="shared" si="66"/>
        <v>0</v>
      </c>
      <c r="BO446" s="136">
        <f t="shared" si="66"/>
        <v>0</v>
      </c>
      <c r="BP446" s="136">
        <f t="shared" si="66"/>
        <v>0</v>
      </c>
      <c r="BQ446" s="136">
        <f t="shared" si="66"/>
        <v>0</v>
      </c>
      <c r="BR446" s="136">
        <f t="shared" si="66"/>
        <v>0</v>
      </c>
      <c r="BS446" s="136">
        <f t="shared" si="68"/>
        <v>0</v>
      </c>
      <c r="BT446" s="136">
        <f t="shared" si="68"/>
        <v>0</v>
      </c>
      <c r="BU446" s="136">
        <f t="shared" si="68"/>
        <v>0</v>
      </c>
      <c r="BV446" s="136">
        <f t="shared" si="68"/>
        <v>0</v>
      </c>
      <c r="BW446" s="136">
        <f t="shared" si="68"/>
        <v>0</v>
      </c>
      <c r="BX446" s="136">
        <f t="shared" si="68"/>
        <v>0</v>
      </c>
      <c r="BZ446" s="136">
        <f t="shared" ref="BZ446:CA447" si="71">BZ53-ER53</f>
        <v>0</v>
      </c>
      <c r="CA446" s="136">
        <f t="shared" si="71"/>
        <v>0</v>
      </c>
    </row>
    <row r="447" spans="7:79" hidden="1" x14ac:dyDescent="0.3">
      <c r="G447" s="136">
        <f t="shared" si="69"/>
        <v>0</v>
      </c>
      <c r="H447" s="136">
        <f t="shared" si="69"/>
        <v>0</v>
      </c>
      <c r="I447" s="136">
        <f t="shared" si="69"/>
        <v>0</v>
      </c>
      <c r="J447" s="136">
        <f t="shared" si="69"/>
        <v>0</v>
      </c>
      <c r="K447" s="136">
        <f t="shared" si="69"/>
        <v>0</v>
      </c>
      <c r="L447" s="136">
        <f t="shared" si="69"/>
        <v>0</v>
      </c>
      <c r="M447" s="136">
        <f t="shared" si="69"/>
        <v>0</v>
      </c>
      <c r="N447" s="136">
        <f t="shared" si="69"/>
        <v>0</v>
      </c>
      <c r="O447" s="136">
        <f t="shared" si="69"/>
        <v>0</v>
      </c>
      <c r="P447" s="136">
        <f t="shared" si="69"/>
        <v>0</v>
      </c>
      <c r="Q447" s="136">
        <f t="shared" si="69"/>
        <v>0</v>
      </c>
      <c r="R447" s="136">
        <f t="shared" si="69"/>
        <v>0</v>
      </c>
      <c r="S447" s="136">
        <f t="shared" si="69"/>
        <v>0</v>
      </c>
      <c r="T447" s="136">
        <f t="shared" si="69"/>
        <v>0</v>
      </c>
      <c r="U447" s="136">
        <f t="shared" si="69"/>
        <v>0</v>
      </c>
      <c r="V447" s="136">
        <f t="shared" si="69"/>
        <v>0</v>
      </c>
      <c r="W447" s="136">
        <f t="shared" si="70"/>
        <v>0</v>
      </c>
      <c r="X447" s="136">
        <f t="shared" si="70"/>
        <v>0</v>
      </c>
      <c r="Y447" s="136">
        <f t="shared" si="70"/>
        <v>0</v>
      </c>
      <c r="Z447" s="136">
        <f t="shared" si="70"/>
        <v>0</v>
      </c>
      <c r="AA447" s="136">
        <f t="shared" si="70"/>
        <v>0</v>
      </c>
      <c r="AB447" s="136">
        <f t="shared" si="70"/>
        <v>0</v>
      </c>
      <c r="AC447" s="136">
        <f t="shared" si="70"/>
        <v>0</v>
      </c>
      <c r="AD447" s="136">
        <f t="shared" si="70"/>
        <v>0</v>
      </c>
      <c r="AE447" s="136">
        <f t="shared" si="70"/>
        <v>0</v>
      </c>
      <c r="AF447" s="136">
        <f t="shared" si="70"/>
        <v>0</v>
      </c>
      <c r="AG447" s="136">
        <f t="shared" si="70"/>
        <v>0</v>
      </c>
      <c r="AH447" s="136">
        <f t="shared" si="70"/>
        <v>0</v>
      </c>
      <c r="AI447" s="136">
        <f t="shared" si="70"/>
        <v>0</v>
      </c>
      <c r="AJ447" s="136">
        <f t="shared" si="70"/>
        <v>0</v>
      </c>
      <c r="AK447" s="136">
        <f t="shared" si="70"/>
        <v>0</v>
      </c>
      <c r="AL447" s="136">
        <f t="shared" si="70"/>
        <v>0</v>
      </c>
      <c r="AM447" s="136">
        <f t="shared" si="67"/>
        <v>0</v>
      </c>
      <c r="AN447" s="136">
        <f t="shared" si="67"/>
        <v>0</v>
      </c>
      <c r="AO447" s="136">
        <f t="shared" si="67"/>
        <v>0</v>
      </c>
      <c r="AP447" s="136">
        <f t="shared" si="67"/>
        <v>0</v>
      </c>
      <c r="AQ447" s="136">
        <f t="shared" si="67"/>
        <v>0</v>
      </c>
      <c r="AR447" s="136">
        <f t="shared" si="67"/>
        <v>0</v>
      </c>
      <c r="AS447" s="136">
        <f t="shared" si="67"/>
        <v>0</v>
      </c>
      <c r="AT447" s="136">
        <f t="shared" si="67"/>
        <v>0</v>
      </c>
      <c r="AU447" s="136">
        <f t="shared" si="67"/>
        <v>0</v>
      </c>
      <c r="AV447" s="136">
        <f t="shared" si="67"/>
        <v>0</v>
      </c>
      <c r="AW447" s="136">
        <f t="shared" si="67"/>
        <v>0</v>
      </c>
      <c r="AX447" s="136">
        <f t="shared" si="67"/>
        <v>0</v>
      </c>
      <c r="AY447" s="136">
        <f t="shared" si="67"/>
        <v>0</v>
      </c>
      <c r="AZ447" s="136">
        <f t="shared" si="67"/>
        <v>0</v>
      </c>
      <c r="BA447" s="136">
        <f t="shared" si="67"/>
        <v>0</v>
      </c>
      <c r="BB447" s="136">
        <f t="shared" ref="BB447:BR447" si="72">BB54-DT54</f>
        <v>0</v>
      </c>
      <c r="BC447" s="136">
        <f t="shared" si="72"/>
        <v>0</v>
      </c>
      <c r="BD447" s="136">
        <f t="shared" si="72"/>
        <v>0</v>
      </c>
      <c r="BE447" s="136">
        <f t="shared" si="72"/>
        <v>0</v>
      </c>
      <c r="BF447" s="136">
        <f t="shared" si="72"/>
        <v>0</v>
      </c>
      <c r="BG447" s="136">
        <f t="shared" si="72"/>
        <v>0</v>
      </c>
      <c r="BH447" s="136">
        <f t="shared" si="72"/>
        <v>0</v>
      </c>
      <c r="BI447" s="136">
        <f t="shared" si="72"/>
        <v>0</v>
      </c>
      <c r="BJ447" s="136">
        <f t="shared" si="72"/>
        <v>0</v>
      </c>
      <c r="BK447" s="136">
        <f t="shared" si="72"/>
        <v>0</v>
      </c>
      <c r="BL447" s="136">
        <f t="shared" si="72"/>
        <v>0</v>
      </c>
      <c r="BM447" s="136">
        <f t="shared" si="72"/>
        <v>0</v>
      </c>
      <c r="BN447" s="136">
        <f t="shared" si="72"/>
        <v>0</v>
      </c>
      <c r="BO447" s="136">
        <f t="shared" si="72"/>
        <v>0</v>
      </c>
      <c r="BP447" s="136">
        <f t="shared" si="72"/>
        <v>0</v>
      </c>
      <c r="BQ447" s="136">
        <f t="shared" si="72"/>
        <v>0</v>
      </c>
      <c r="BR447" s="136">
        <f t="shared" si="72"/>
        <v>0</v>
      </c>
      <c r="BS447" s="136">
        <f t="shared" si="68"/>
        <v>0</v>
      </c>
      <c r="BT447" s="136">
        <f t="shared" si="68"/>
        <v>0</v>
      </c>
      <c r="BU447" s="136">
        <f t="shared" si="68"/>
        <v>0</v>
      </c>
      <c r="BV447" s="136">
        <f t="shared" si="68"/>
        <v>0</v>
      </c>
      <c r="BW447" s="136">
        <f t="shared" si="68"/>
        <v>0</v>
      </c>
      <c r="BX447" s="136">
        <f t="shared" si="68"/>
        <v>0</v>
      </c>
      <c r="BZ447" s="136">
        <f t="shared" si="71"/>
        <v>0</v>
      </c>
      <c r="CA447" s="136">
        <f t="shared" si="71"/>
        <v>0</v>
      </c>
    </row>
    <row r="448" spans="7:79" hidden="1" x14ac:dyDescent="0.3">
      <c r="G448" s="136">
        <f t="shared" ref="G448:BR452" si="73">G56-BY56</f>
        <v>0</v>
      </c>
      <c r="H448" s="136">
        <f t="shared" si="73"/>
        <v>0</v>
      </c>
      <c r="I448" s="136">
        <f t="shared" si="73"/>
        <v>0</v>
      </c>
      <c r="J448" s="136">
        <f t="shared" si="73"/>
        <v>0</v>
      </c>
      <c r="K448" s="136">
        <f t="shared" si="73"/>
        <v>0</v>
      </c>
      <c r="L448" s="136">
        <f t="shared" si="73"/>
        <v>0</v>
      </c>
      <c r="M448" s="136">
        <f t="shared" si="73"/>
        <v>0</v>
      </c>
      <c r="N448" s="136">
        <f t="shared" si="73"/>
        <v>0</v>
      </c>
      <c r="O448" s="136">
        <f t="shared" si="73"/>
        <v>0</v>
      </c>
      <c r="P448" s="136">
        <f t="shared" si="73"/>
        <v>0</v>
      </c>
      <c r="Q448" s="136">
        <f t="shared" si="73"/>
        <v>0</v>
      </c>
      <c r="R448" s="136">
        <f t="shared" si="73"/>
        <v>0</v>
      </c>
      <c r="S448" s="136">
        <f t="shared" si="73"/>
        <v>0</v>
      </c>
      <c r="T448" s="136">
        <f t="shared" si="73"/>
        <v>0</v>
      </c>
      <c r="U448" s="136">
        <f t="shared" si="73"/>
        <v>0</v>
      </c>
      <c r="V448" s="136">
        <f t="shared" si="73"/>
        <v>0</v>
      </c>
      <c r="W448" s="136">
        <f t="shared" si="73"/>
        <v>0</v>
      </c>
      <c r="X448" s="136">
        <f t="shared" si="73"/>
        <v>0</v>
      </c>
      <c r="Y448" s="136">
        <f t="shared" si="73"/>
        <v>0</v>
      </c>
      <c r="Z448" s="136">
        <f t="shared" si="73"/>
        <v>0</v>
      </c>
      <c r="AA448" s="136">
        <f t="shared" si="73"/>
        <v>0</v>
      </c>
      <c r="AB448" s="136">
        <f t="shared" si="73"/>
        <v>0</v>
      </c>
      <c r="AC448" s="136">
        <f t="shared" si="73"/>
        <v>0</v>
      </c>
      <c r="AD448" s="136">
        <f t="shared" si="73"/>
        <v>0</v>
      </c>
      <c r="AE448" s="136">
        <f t="shared" si="73"/>
        <v>0</v>
      </c>
      <c r="AF448" s="136">
        <f t="shared" si="73"/>
        <v>0</v>
      </c>
      <c r="AG448" s="136">
        <f t="shared" si="73"/>
        <v>0</v>
      </c>
      <c r="AH448" s="136">
        <f t="shared" si="73"/>
        <v>0</v>
      </c>
      <c r="AI448" s="136">
        <f t="shared" si="73"/>
        <v>0</v>
      </c>
      <c r="AJ448" s="136">
        <f t="shared" si="73"/>
        <v>0</v>
      </c>
      <c r="AK448" s="136">
        <f t="shared" si="73"/>
        <v>0</v>
      </c>
      <c r="AL448" s="136">
        <f t="shared" si="73"/>
        <v>0</v>
      </c>
      <c r="AM448" s="136">
        <f t="shared" si="73"/>
        <v>0</v>
      </c>
      <c r="AN448" s="136">
        <f t="shared" si="73"/>
        <v>0</v>
      </c>
      <c r="AO448" s="136">
        <f t="shared" si="73"/>
        <v>0</v>
      </c>
      <c r="AP448" s="136">
        <f t="shared" si="73"/>
        <v>0</v>
      </c>
      <c r="AQ448" s="136">
        <f t="shared" si="73"/>
        <v>0</v>
      </c>
      <c r="AR448" s="136">
        <f t="shared" si="73"/>
        <v>0</v>
      </c>
      <c r="AS448" s="136">
        <f t="shared" si="73"/>
        <v>0</v>
      </c>
      <c r="AT448" s="136">
        <f t="shared" si="73"/>
        <v>0</v>
      </c>
      <c r="AU448" s="136">
        <f t="shared" si="73"/>
        <v>0</v>
      </c>
      <c r="AV448" s="136">
        <f t="shared" si="73"/>
        <v>0</v>
      </c>
      <c r="AW448" s="136">
        <f t="shared" si="73"/>
        <v>0</v>
      </c>
      <c r="AX448" s="136">
        <f t="shared" si="73"/>
        <v>0</v>
      </c>
      <c r="AY448" s="136">
        <f t="shared" si="73"/>
        <v>0</v>
      </c>
      <c r="AZ448" s="136">
        <f t="shared" si="73"/>
        <v>0</v>
      </c>
      <c r="BA448" s="136">
        <f t="shared" si="73"/>
        <v>0</v>
      </c>
      <c r="BB448" s="136">
        <f t="shared" si="73"/>
        <v>0</v>
      </c>
      <c r="BC448" s="136">
        <f t="shared" si="73"/>
        <v>0</v>
      </c>
      <c r="BD448" s="136">
        <f t="shared" si="73"/>
        <v>0</v>
      </c>
      <c r="BE448" s="136">
        <f t="shared" si="73"/>
        <v>0</v>
      </c>
      <c r="BF448" s="136">
        <f t="shared" si="73"/>
        <v>0</v>
      </c>
      <c r="BG448" s="136">
        <f t="shared" si="73"/>
        <v>0</v>
      </c>
      <c r="BH448" s="136">
        <f t="shared" si="73"/>
        <v>0</v>
      </c>
      <c r="BI448" s="136">
        <f t="shared" si="73"/>
        <v>0</v>
      </c>
      <c r="BJ448" s="136">
        <f t="shared" si="73"/>
        <v>0</v>
      </c>
      <c r="BK448" s="136">
        <f t="shared" si="73"/>
        <v>0</v>
      </c>
      <c r="BL448" s="136">
        <f t="shared" si="73"/>
        <v>0</v>
      </c>
      <c r="BM448" s="136">
        <f t="shared" si="73"/>
        <v>0</v>
      </c>
      <c r="BN448" s="136">
        <f t="shared" si="73"/>
        <v>0</v>
      </c>
      <c r="BO448" s="136">
        <f t="shared" si="73"/>
        <v>0</v>
      </c>
      <c r="BP448" s="136">
        <f t="shared" si="73"/>
        <v>0</v>
      </c>
      <c r="BQ448" s="136">
        <f t="shared" si="73"/>
        <v>0</v>
      </c>
      <c r="BR448" s="136">
        <f t="shared" si="73"/>
        <v>0</v>
      </c>
      <c r="BS448" s="136">
        <f t="shared" ref="BO448:BX452" si="74">BS56-EK56</f>
        <v>0</v>
      </c>
      <c r="BT448" s="136">
        <f t="shared" si="74"/>
        <v>0</v>
      </c>
      <c r="BU448" s="136">
        <f t="shared" si="74"/>
        <v>0</v>
      </c>
      <c r="BV448" s="136">
        <f t="shared" si="74"/>
        <v>0</v>
      </c>
      <c r="BW448" s="136">
        <f t="shared" si="74"/>
        <v>0</v>
      </c>
      <c r="BX448" s="136">
        <f t="shared" si="74"/>
        <v>0</v>
      </c>
      <c r="BZ448" s="136">
        <f t="shared" ref="BZ448:CA452" si="75">BZ56-ER56</f>
        <v>0</v>
      </c>
      <c r="CA448" s="136">
        <f t="shared" si="75"/>
        <v>0</v>
      </c>
    </row>
    <row r="449" spans="7:79" hidden="1" x14ac:dyDescent="0.3">
      <c r="G449" s="136">
        <f t="shared" si="73"/>
        <v>0</v>
      </c>
      <c r="H449" s="136">
        <f t="shared" si="73"/>
        <v>0</v>
      </c>
      <c r="I449" s="136">
        <f t="shared" si="73"/>
        <v>0</v>
      </c>
      <c r="J449" s="136">
        <f t="shared" si="73"/>
        <v>0</v>
      </c>
      <c r="K449" s="136">
        <f t="shared" si="73"/>
        <v>0</v>
      </c>
      <c r="L449" s="136">
        <f t="shared" si="73"/>
        <v>0</v>
      </c>
      <c r="M449" s="136">
        <f t="shared" si="73"/>
        <v>0</v>
      </c>
      <c r="N449" s="136">
        <f t="shared" si="73"/>
        <v>0</v>
      </c>
      <c r="O449" s="136">
        <f t="shared" si="73"/>
        <v>0</v>
      </c>
      <c r="P449" s="136">
        <f t="shared" si="73"/>
        <v>0</v>
      </c>
      <c r="Q449" s="136">
        <f t="shared" si="73"/>
        <v>0</v>
      </c>
      <c r="R449" s="136">
        <f t="shared" si="73"/>
        <v>0</v>
      </c>
      <c r="S449" s="136">
        <f t="shared" si="73"/>
        <v>0</v>
      </c>
      <c r="T449" s="136">
        <f t="shared" si="73"/>
        <v>0</v>
      </c>
      <c r="U449" s="136">
        <f t="shared" si="73"/>
        <v>0</v>
      </c>
      <c r="V449" s="136">
        <f t="shared" si="73"/>
        <v>0</v>
      </c>
      <c r="W449" s="136">
        <f t="shared" si="73"/>
        <v>0</v>
      </c>
      <c r="X449" s="136">
        <f t="shared" si="73"/>
        <v>0</v>
      </c>
      <c r="Y449" s="136">
        <f t="shared" si="73"/>
        <v>0</v>
      </c>
      <c r="Z449" s="136">
        <f t="shared" si="73"/>
        <v>0</v>
      </c>
      <c r="AA449" s="136">
        <f t="shared" si="73"/>
        <v>0</v>
      </c>
      <c r="AB449" s="136">
        <f t="shared" si="73"/>
        <v>0</v>
      </c>
      <c r="AC449" s="136">
        <f t="shared" si="73"/>
        <v>0</v>
      </c>
      <c r="AD449" s="136">
        <f t="shared" si="73"/>
        <v>0</v>
      </c>
      <c r="AE449" s="136">
        <f t="shared" si="73"/>
        <v>0</v>
      </c>
      <c r="AF449" s="136">
        <f t="shared" si="73"/>
        <v>0</v>
      </c>
      <c r="AG449" s="136">
        <f t="shared" si="73"/>
        <v>0</v>
      </c>
      <c r="AH449" s="136">
        <f t="shared" si="73"/>
        <v>0</v>
      </c>
      <c r="AI449" s="136">
        <f t="shared" si="73"/>
        <v>0</v>
      </c>
      <c r="AJ449" s="136">
        <f t="shared" si="73"/>
        <v>0</v>
      </c>
      <c r="AK449" s="136">
        <f t="shared" si="73"/>
        <v>0</v>
      </c>
      <c r="AL449" s="136">
        <f t="shared" si="73"/>
        <v>0</v>
      </c>
      <c r="AM449" s="136">
        <f t="shared" si="73"/>
        <v>0</v>
      </c>
      <c r="AN449" s="136">
        <f t="shared" si="73"/>
        <v>0</v>
      </c>
      <c r="AO449" s="136">
        <f t="shared" si="73"/>
        <v>0</v>
      </c>
      <c r="AP449" s="136">
        <f t="shared" si="73"/>
        <v>0</v>
      </c>
      <c r="AQ449" s="136">
        <f t="shared" si="73"/>
        <v>0</v>
      </c>
      <c r="AR449" s="136">
        <f t="shared" si="73"/>
        <v>0</v>
      </c>
      <c r="AS449" s="136">
        <f t="shared" si="73"/>
        <v>0</v>
      </c>
      <c r="AT449" s="136">
        <f t="shared" si="73"/>
        <v>0</v>
      </c>
      <c r="AU449" s="136">
        <f t="shared" si="73"/>
        <v>0</v>
      </c>
      <c r="AV449" s="136">
        <f t="shared" si="73"/>
        <v>0</v>
      </c>
      <c r="AW449" s="136">
        <f t="shared" si="73"/>
        <v>0</v>
      </c>
      <c r="AX449" s="136">
        <f t="shared" si="73"/>
        <v>0</v>
      </c>
      <c r="AY449" s="136">
        <f t="shared" si="73"/>
        <v>0</v>
      </c>
      <c r="AZ449" s="136">
        <f t="shared" si="73"/>
        <v>0</v>
      </c>
      <c r="BA449" s="136">
        <f t="shared" si="73"/>
        <v>0</v>
      </c>
      <c r="BB449" s="136">
        <f t="shared" si="73"/>
        <v>0</v>
      </c>
      <c r="BC449" s="136">
        <f t="shared" si="73"/>
        <v>0</v>
      </c>
      <c r="BD449" s="136">
        <f t="shared" si="73"/>
        <v>0</v>
      </c>
      <c r="BE449" s="136">
        <f t="shared" si="73"/>
        <v>0</v>
      </c>
      <c r="BF449" s="136">
        <f t="shared" si="73"/>
        <v>0</v>
      </c>
      <c r="BG449" s="136">
        <f t="shared" si="73"/>
        <v>0</v>
      </c>
      <c r="BH449" s="136">
        <f t="shared" si="73"/>
        <v>0</v>
      </c>
      <c r="BI449" s="136">
        <f t="shared" si="73"/>
        <v>0</v>
      </c>
      <c r="BJ449" s="136">
        <f t="shared" si="73"/>
        <v>0</v>
      </c>
      <c r="BK449" s="136">
        <f t="shared" si="73"/>
        <v>0</v>
      </c>
      <c r="BL449" s="136">
        <f t="shared" si="73"/>
        <v>0</v>
      </c>
      <c r="BM449" s="136">
        <f t="shared" si="73"/>
        <v>0</v>
      </c>
      <c r="BN449" s="136">
        <f t="shared" si="73"/>
        <v>0</v>
      </c>
      <c r="BO449" s="136">
        <f t="shared" si="74"/>
        <v>0</v>
      </c>
      <c r="BP449" s="136">
        <f t="shared" si="74"/>
        <v>0</v>
      </c>
      <c r="BQ449" s="136">
        <f t="shared" si="74"/>
        <v>0</v>
      </c>
      <c r="BR449" s="136">
        <f t="shared" si="74"/>
        <v>0</v>
      </c>
      <c r="BS449" s="136">
        <f t="shared" si="74"/>
        <v>0</v>
      </c>
      <c r="BT449" s="136">
        <f t="shared" si="74"/>
        <v>0</v>
      </c>
      <c r="BU449" s="136">
        <f t="shared" si="74"/>
        <v>0</v>
      </c>
      <c r="BV449" s="136">
        <f t="shared" si="74"/>
        <v>0</v>
      </c>
      <c r="BW449" s="136">
        <f t="shared" si="74"/>
        <v>0</v>
      </c>
      <c r="BX449" s="136">
        <f t="shared" si="74"/>
        <v>0</v>
      </c>
      <c r="BZ449" s="136">
        <f t="shared" si="75"/>
        <v>0</v>
      </c>
      <c r="CA449" s="136">
        <f t="shared" si="75"/>
        <v>0</v>
      </c>
    </row>
    <row r="450" spans="7:79" hidden="1" x14ac:dyDescent="0.3">
      <c r="G450" s="136">
        <f t="shared" si="73"/>
        <v>-14568929</v>
      </c>
      <c r="H450" s="136">
        <f t="shared" si="73"/>
        <v>0</v>
      </c>
      <c r="I450" s="136">
        <f t="shared" si="73"/>
        <v>0</v>
      </c>
      <c r="J450" s="136">
        <f t="shared" si="73"/>
        <v>0</v>
      </c>
      <c r="K450" s="136">
        <f t="shared" si="73"/>
        <v>0</v>
      </c>
      <c r="L450" s="136">
        <f t="shared" si="73"/>
        <v>-780849</v>
      </c>
      <c r="M450" s="136">
        <f t="shared" si="73"/>
        <v>0</v>
      </c>
      <c r="N450" s="136">
        <f t="shared" si="73"/>
        <v>0</v>
      </c>
      <c r="O450" s="136">
        <f t="shared" si="73"/>
        <v>0</v>
      </c>
      <c r="P450" s="136">
        <f t="shared" si="73"/>
        <v>0</v>
      </c>
      <c r="Q450" s="136">
        <f t="shared" si="73"/>
        <v>-499141</v>
      </c>
      <c r="R450" s="136">
        <f t="shared" si="73"/>
        <v>0</v>
      </c>
      <c r="S450" s="136">
        <f t="shared" si="73"/>
        <v>0</v>
      </c>
      <c r="T450" s="136">
        <f t="shared" si="73"/>
        <v>0</v>
      </c>
      <c r="U450" s="136">
        <f t="shared" si="73"/>
        <v>0</v>
      </c>
      <c r="V450" s="136">
        <f t="shared" si="73"/>
        <v>-1826823</v>
      </c>
      <c r="W450" s="136">
        <f t="shared" si="73"/>
        <v>0</v>
      </c>
      <c r="X450" s="136">
        <f t="shared" si="73"/>
        <v>0</v>
      </c>
      <c r="Y450" s="136">
        <f t="shared" si="73"/>
        <v>0</v>
      </c>
      <c r="Z450" s="136">
        <f t="shared" si="73"/>
        <v>0</v>
      </c>
      <c r="AA450" s="136">
        <f t="shared" si="73"/>
        <v>-449059</v>
      </c>
      <c r="AB450" s="136">
        <f t="shared" si="73"/>
        <v>0</v>
      </c>
      <c r="AC450" s="136">
        <f t="shared" si="73"/>
        <v>0</v>
      </c>
      <c r="AD450" s="136">
        <f t="shared" si="73"/>
        <v>0</v>
      </c>
      <c r="AE450" s="136">
        <f t="shared" si="73"/>
        <v>0</v>
      </c>
      <c r="AF450" s="136">
        <f t="shared" si="73"/>
        <v>-564349</v>
      </c>
      <c r="AG450" s="136">
        <f t="shared" si="73"/>
        <v>0</v>
      </c>
      <c r="AH450" s="136">
        <f t="shared" si="73"/>
        <v>0</v>
      </c>
      <c r="AI450" s="136">
        <f t="shared" si="73"/>
        <v>0</v>
      </c>
      <c r="AJ450" s="136">
        <f t="shared" si="73"/>
        <v>0</v>
      </c>
      <c r="AK450" s="136">
        <f t="shared" si="73"/>
        <v>-1070097</v>
      </c>
      <c r="AL450" s="136">
        <f t="shared" si="73"/>
        <v>0</v>
      </c>
      <c r="AM450" s="136">
        <f t="shared" si="73"/>
        <v>0</v>
      </c>
      <c r="AN450" s="136">
        <f t="shared" si="73"/>
        <v>0</v>
      </c>
      <c r="AO450" s="136">
        <f t="shared" si="73"/>
        <v>0</v>
      </c>
      <c r="AP450" s="136">
        <f t="shared" si="73"/>
        <v>-1097082</v>
      </c>
      <c r="AQ450" s="136">
        <f t="shared" si="73"/>
        <v>0</v>
      </c>
      <c r="AR450" s="136">
        <f t="shared" si="73"/>
        <v>0</v>
      </c>
      <c r="AS450" s="136">
        <f t="shared" si="73"/>
        <v>0</v>
      </c>
      <c r="AT450" s="136">
        <f t="shared" si="73"/>
        <v>0</v>
      </c>
      <c r="AU450" s="136">
        <f t="shared" si="73"/>
        <v>-361044</v>
      </c>
      <c r="AV450" s="136">
        <f t="shared" si="73"/>
        <v>0</v>
      </c>
      <c r="AW450" s="136">
        <f t="shared" si="73"/>
        <v>0</v>
      </c>
      <c r="AX450" s="136">
        <f t="shared" si="73"/>
        <v>0</v>
      </c>
      <c r="AY450" s="136">
        <f t="shared" si="73"/>
        <v>0</v>
      </c>
      <c r="AZ450" s="136">
        <f t="shared" si="73"/>
        <v>279936</v>
      </c>
      <c r="BA450" s="136">
        <f t="shared" si="73"/>
        <v>0</v>
      </c>
      <c r="BB450" s="136">
        <f t="shared" si="73"/>
        <v>0</v>
      </c>
      <c r="BC450" s="136">
        <f t="shared" si="73"/>
        <v>0</v>
      </c>
      <c r="BD450" s="136">
        <f t="shared" si="73"/>
        <v>0</v>
      </c>
      <c r="BE450" s="136">
        <f t="shared" si="73"/>
        <v>-676866</v>
      </c>
      <c r="BF450" s="136">
        <f t="shared" si="73"/>
        <v>0</v>
      </c>
      <c r="BG450" s="136">
        <f t="shared" si="73"/>
        <v>0</v>
      </c>
      <c r="BH450" s="136">
        <f t="shared" si="73"/>
        <v>0</v>
      </c>
      <c r="BI450" s="136">
        <f t="shared" si="73"/>
        <v>0</v>
      </c>
      <c r="BJ450" s="136">
        <f t="shared" si="73"/>
        <v>-190016</v>
      </c>
      <c r="BK450" s="136">
        <f t="shared" si="73"/>
        <v>0</v>
      </c>
      <c r="BL450" s="136">
        <f t="shared" si="73"/>
        <v>0</v>
      </c>
      <c r="BM450" s="136">
        <f t="shared" si="73"/>
        <v>0</v>
      </c>
      <c r="BN450" s="136">
        <f t="shared" si="73"/>
        <v>0</v>
      </c>
      <c r="BO450" s="136">
        <f t="shared" si="74"/>
        <v>-127378</v>
      </c>
      <c r="BP450" s="136">
        <f t="shared" si="74"/>
        <v>0</v>
      </c>
      <c r="BQ450" s="136">
        <f t="shared" si="74"/>
        <v>0</v>
      </c>
      <c r="BR450" s="136">
        <f t="shared" si="74"/>
        <v>0</v>
      </c>
      <c r="BS450" s="136">
        <f t="shared" si="74"/>
        <v>0</v>
      </c>
      <c r="BT450" s="136">
        <f t="shared" si="74"/>
        <v>-7045374</v>
      </c>
      <c r="BU450" s="136">
        <f t="shared" si="74"/>
        <v>0</v>
      </c>
      <c r="BV450" s="136">
        <f t="shared" si="74"/>
        <v>0</v>
      </c>
      <c r="BW450" s="136">
        <f t="shared" si="74"/>
        <v>0</v>
      </c>
      <c r="BX450" s="136">
        <f t="shared" si="74"/>
        <v>0</v>
      </c>
      <c r="BZ450" s="136">
        <f t="shared" si="75"/>
        <v>0</v>
      </c>
      <c r="CA450" s="136">
        <f t="shared" si="75"/>
        <v>0</v>
      </c>
    </row>
    <row r="451" spans="7:79" hidden="1" x14ac:dyDescent="0.3">
      <c r="G451" s="136">
        <f t="shared" si="73"/>
        <v>-6158974</v>
      </c>
      <c r="H451" s="136">
        <f t="shared" si="73"/>
        <v>0</v>
      </c>
      <c r="I451" s="136">
        <f t="shared" si="73"/>
        <v>0</v>
      </c>
      <c r="J451" s="136">
        <f t="shared" si="73"/>
        <v>0</v>
      </c>
      <c r="K451" s="136">
        <f t="shared" si="73"/>
        <v>0</v>
      </c>
      <c r="L451" s="136">
        <f t="shared" si="73"/>
        <v>-337481</v>
      </c>
      <c r="M451" s="136">
        <f t="shared" si="73"/>
        <v>0</v>
      </c>
      <c r="N451" s="136">
        <f t="shared" si="73"/>
        <v>0</v>
      </c>
      <c r="O451" s="136">
        <f t="shared" si="73"/>
        <v>0</v>
      </c>
      <c r="P451" s="136">
        <f t="shared" si="73"/>
        <v>0</v>
      </c>
      <c r="Q451" s="136">
        <f t="shared" si="73"/>
        <v>-225660</v>
      </c>
      <c r="R451" s="136">
        <f t="shared" si="73"/>
        <v>0</v>
      </c>
      <c r="S451" s="136">
        <f t="shared" si="73"/>
        <v>0</v>
      </c>
      <c r="T451" s="136">
        <f t="shared" si="73"/>
        <v>0</v>
      </c>
      <c r="U451" s="136">
        <f t="shared" si="73"/>
        <v>0</v>
      </c>
      <c r="V451" s="136">
        <f t="shared" si="73"/>
        <v>-850178</v>
      </c>
      <c r="W451" s="136">
        <f t="shared" si="73"/>
        <v>0</v>
      </c>
      <c r="X451" s="136">
        <f t="shared" si="73"/>
        <v>0</v>
      </c>
      <c r="Y451" s="136">
        <f t="shared" si="73"/>
        <v>0</v>
      </c>
      <c r="Z451" s="136">
        <f t="shared" si="73"/>
        <v>0</v>
      </c>
      <c r="AA451" s="136">
        <f t="shared" si="73"/>
        <v>-198644</v>
      </c>
      <c r="AB451" s="136">
        <f t="shared" si="73"/>
        <v>0</v>
      </c>
      <c r="AC451" s="136">
        <f t="shared" si="73"/>
        <v>0</v>
      </c>
      <c r="AD451" s="136">
        <f t="shared" si="73"/>
        <v>0</v>
      </c>
      <c r="AE451" s="136">
        <f t="shared" si="73"/>
        <v>0</v>
      </c>
      <c r="AF451" s="136">
        <f t="shared" si="73"/>
        <v>-262955</v>
      </c>
      <c r="AG451" s="136">
        <f t="shared" si="73"/>
        <v>0</v>
      </c>
      <c r="AH451" s="136">
        <f t="shared" si="73"/>
        <v>0</v>
      </c>
      <c r="AI451" s="136">
        <f t="shared" si="73"/>
        <v>0</v>
      </c>
      <c r="AJ451" s="136">
        <f t="shared" si="73"/>
        <v>0</v>
      </c>
      <c r="AK451" s="136">
        <f t="shared" si="73"/>
        <v>-499605</v>
      </c>
      <c r="AL451" s="136">
        <f t="shared" si="73"/>
        <v>0</v>
      </c>
      <c r="AM451" s="136">
        <f t="shared" si="73"/>
        <v>0</v>
      </c>
      <c r="AN451" s="136">
        <f t="shared" si="73"/>
        <v>0</v>
      </c>
      <c r="AO451" s="136">
        <f t="shared" si="73"/>
        <v>0</v>
      </c>
      <c r="AP451" s="136">
        <f t="shared" si="73"/>
        <v>-478222</v>
      </c>
      <c r="AQ451" s="136">
        <f t="shared" si="73"/>
        <v>0</v>
      </c>
      <c r="AR451" s="136">
        <f t="shared" si="73"/>
        <v>0</v>
      </c>
      <c r="AS451" s="136">
        <f t="shared" si="73"/>
        <v>0</v>
      </c>
      <c r="AT451" s="136">
        <f t="shared" si="73"/>
        <v>0</v>
      </c>
      <c r="AU451" s="136">
        <f t="shared" si="73"/>
        <v>-164184</v>
      </c>
      <c r="AV451" s="136">
        <f t="shared" si="73"/>
        <v>0</v>
      </c>
      <c r="AW451" s="136">
        <f t="shared" si="73"/>
        <v>0</v>
      </c>
      <c r="AX451" s="136">
        <f t="shared" si="73"/>
        <v>0</v>
      </c>
      <c r="AY451" s="136">
        <f t="shared" si="73"/>
        <v>0</v>
      </c>
      <c r="AZ451" s="136">
        <f t="shared" si="73"/>
        <v>86429</v>
      </c>
      <c r="BA451" s="136">
        <f t="shared" si="73"/>
        <v>0</v>
      </c>
      <c r="BB451" s="136">
        <f t="shared" si="73"/>
        <v>0</v>
      </c>
      <c r="BC451" s="136">
        <f t="shared" si="73"/>
        <v>0</v>
      </c>
      <c r="BD451" s="136">
        <f t="shared" si="73"/>
        <v>0</v>
      </c>
      <c r="BE451" s="136">
        <f t="shared" si="73"/>
        <v>-330768</v>
      </c>
      <c r="BF451" s="136">
        <f t="shared" si="73"/>
        <v>0</v>
      </c>
      <c r="BG451" s="136">
        <f t="shared" si="73"/>
        <v>0</v>
      </c>
      <c r="BH451" s="136">
        <f t="shared" si="73"/>
        <v>0</v>
      </c>
      <c r="BI451" s="136">
        <f t="shared" si="73"/>
        <v>0</v>
      </c>
      <c r="BJ451" s="136">
        <f t="shared" si="73"/>
        <v>-80602</v>
      </c>
      <c r="BK451" s="136">
        <f t="shared" si="73"/>
        <v>0</v>
      </c>
      <c r="BL451" s="136">
        <f t="shared" si="73"/>
        <v>0</v>
      </c>
      <c r="BM451" s="136">
        <f t="shared" si="73"/>
        <v>0</v>
      </c>
      <c r="BN451" s="136">
        <f t="shared" si="73"/>
        <v>0</v>
      </c>
      <c r="BO451" s="136">
        <f t="shared" si="74"/>
        <v>-55792</v>
      </c>
      <c r="BP451" s="136">
        <f t="shared" si="74"/>
        <v>0</v>
      </c>
      <c r="BQ451" s="136">
        <f t="shared" si="74"/>
        <v>0</v>
      </c>
      <c r="BR451" s="136">
        <f t="shared" si="74"/>
        <v>0</v>
      </c>
      <c r="BS451" s="136">
        <f t="shared" si="74"/>
        <v>0</v>
      </c>
      <c r="BT451" s="136">
        <f t="shared" si="74"/>
        <v>-3261268</v>
      </c>
      <c r="BU451" s="136">
        <f t="shared" si="74"/>
        <v>0</v>
      </c>
      <c r="BV451" s="136">
        <f t="shared" si="74"/>
        <v>0</v>
      </c>
      <c r="BW451" s="136">
        <f t="shared" si="74"/>
        <v>0</v>
      </c>
      <c r="BX451" s="136">
        <f t="shared" si="74"/>
        <v>0</v>
      </c>
      <c r="BZ451" s="136">
        <f t="shared" si="75"/>
        <v>0</v>
      </c>
      <c r="CA451" s="136">
        <f t="shared" si="75"/>
        <v>0</v>
      </c>
    </row>
    <row r="452" spans="7:79" hidden="1" x14ac:dyDescent="0.3">
      <c r="G452" s="136">
        <f t="shared" si="73"/>
        <v>-3276026</v>
      </c>
      <c r="H452" s="136">
        <f t="shared" si="73"/>
        <v>0</v>
      </c>
      <c r="I452" s="136">
        <f t="shared" si="73"/>
        <v>0</v>
      </c>
      <c r="J452" s="136">
        <f t="shared" si="73"/>
        <v>0</v>
      </c>
      <c r="K452" s="136">
        <f t="shared" si="73"/>
        <v>0</v>
      </c>
      <c r="L452" s="136">
        <f t="shared" si="73"/>
        <v>-187519</v>
      </c>
      <c r="M452" s="136">
        <f t="shared" si="73"/>
        <v>0</v>
      </c>
      <c r="N452" s="136">
        <f t="shared" si="73"/>
        <v>0</v>
      </c>
      <c r="O452" s="136">
        <f t="shared" si="73"/>
        <v>0</v>
      </c>
      <c r="P452" s="136">
        <f t="shared" si="73"/>
        <v>0</v>
      </c>
      <c r="Q452" s="136">
        <f t="shared" si="73"/>
        <v>-129340</v>
      </c>
      <c r="R452" s="136">
        <f t="shared" ref="R452:BN452" si="76">R60-CJ60</f>
        <v>0</v>
      </c>
      <c r="S452" s="136">
        <f t="shared" si="76"/>
        <v>0</v>
      </c>
      <c r="T452" s="136">
        <f t="shared" si="76"/>
        <v>0</v>
      </c>
      <c r="U452" s="136">
        <f t="shared" si="76"/>
        <v>0</v>
      </c>
      <c r="V452" s="136">
        <f t="shared" si="76"/>
        <v>-409822</v>
      </c>
      <c r="W452" s="136">
        <f t="shared" si="76"/>
        <v>0</v>
      </c>
      <c r="X452" s="136">
        <f t="shared" si="76"/>
        <v>0</v>
      </c>
      <c r="Y452" s="136">
        <f t="shared" si="76"/>
        <v>0</v>
      </c>
      <c r="Z452" s="136">
        <f t="shared" si="76"/>
        <v>0</v>
      </c>
      <c r="AA452" s="136">
        <f t="shared" si="76"/>
        <v>-106356</v>
      </c>
      <c r="AB452" s="136">
        <f t="shared" si="76"/>
        <v>0</v>
      </c>
      <c r="AC452" s="136">
        <f t="shared" si="76"/>
        <v>0</v>
      </c>
      <c r="AD452" s="136">
        <f t="shared" si="76"/>
        <v>0</v>
      </c>
      <c r="AE452" s="136">
        <f t="shared" si="76"/>
        <v>0</v>
      </c>
      <c r="AF452" s="136">
        <f t="shared" si="76"/>
        <v>-162045</v>
      </c>
      <c r="AG452" s="136">
        <f t="shared" si="76"/>
        <v>0</v>
      </c>
      <c r="AH452" s="136">
        <f t="shared" si="76"/>
        <v>0</v>
      </c>
      <c r="AI452" s="136">
        <f t="shared" si="76"/>
        <v>0</v>
      </c>
      <c r="AJ452" s="136">
        <f t="shared" si="76"/>
        <v>0</v>
      </c>
      <c r="AK452" s="136">
        <f t="shared" si="76"/>
        <v>-240395</v>
      </c>
      <c r="AL452" s="136">
        <f t="shared" si="76"/>
        <v>0</v>
      </c>
      <c r="AM452" s="136">
        <f t="shared" si="76"/>
        <v>0</v>
      </c>
      <c r="AN452" s="136">
        <f t="shared" si="76"/>
        <v>0</v>
      </c>
      <c r="AO452" s="136">
        <f t="shared" si="76"/>
        <v>0</v>
      </c>
      <c r="AP452" s="136">
        <f t="shared" si="76"/>
        <v>-241778</v>
      </c>
      <c r="AQ452" s="136">
        <f t="shared" si="76"/>
        <v>0</v>
      </c>
      <c r="AR452" s="136">
        <f t="shared" si="76"/>
        <v>0</v>
      </c>
      <c r="AS452" s="136">
        <f t="shared" si="76"/>
        <v>0</v>
      </c>
      <c r="AT452" s="136">
        <f t="shared" si="76"/>
        <v>0</v>
      </c>
      <c r="AU452" s="136">
        <f t="shared" si="76"/>
        <v>-70816</v>
      </c>
      <c r="AV452" s="136">
        <f t="shared" si="76"/>
        <v>0</v>
      </c>
      <c r="AW452" s="136">
        <f t="shared" si="76"/>
        <v>0</v>
      </c>
      <c r="AX452" s="136">
        <f t="shared" si="76"/>
        <v>0</v>
      </c>
      <c r="AY452" s="136">
        <f t="shared" si="76"/>
        <v>0</v>
      </c>
      <c r="AZ452" s="136">
        <f t="shared" si="76"/>
        <v>78571</v>
      </c>
      <c r="BA452" s="136">
        <f t="shared" si="76"/>
        <v>0</v>
      </c>
      <c r="BB452" s="136">
        <f t="shared" si="76"/>
        <v>0</v>
      </c>
      <c r="BC452" s="136">
        <f t="shared" si="76"/>
        <v>0</v>
      </c>
      <c r="BD452" s="136">
        <f t="shared" si="76"/>
        <v>0</v>
      </c>
      <c r="BE452" s="136">
        <f t="shared" si="76"/>
        <v>-124232</v>
      </c>
      <c r="BF452" s="136">
        <f t="shared" si="76"/>
        <v>0</v>
      </c>
      <c r="BG452" s="136">
        <f t="shared" si="76"/>
        <v>0</v>
      </c>
      <c r="BH452" s="136">
        <f t="shared" si="76"/>
        <v>0</v>
      </c>
      <c r="BI452" s="136">
        <f t="shared" si="76"/>
        <v>0</v>
      </c>
      <c r="BJ452" s="136">
        <f t="shared" si="76"/>
        <v>-39398</v>
      </c>
      <c r="BK452" s="136">
        <f t="shared" si="76"/>
        <v>0</v>
      </c>
      <c r="BL452" s="136">
        <f t="shared" si="76"/>
        <v>0</v>
      </c>
      <c r="BM452" s="136">
        <f t="shared" si="76"/>
        <v>0</v>
      </c>
      <c r="BN452" s="136">
        <f t="shared" si="76"/>
        <v>0</v>
      </c>
      <c r="BO452" s="136">
        <f t="shared" si="74"/>
        <v>-24208</v>
      </c>
      <c r="BP452" s="136">
        <f t="shared" si="74"/>
        <v>0</v>
      </c>
      <c r="BQ452" s="136">
        <f t="shared" si="74"/>
        <v>0</v>
      </c>
      <c r="BR452" s="136">
        <f t="shared" si="74"/>
        <v>0</v>
      </c>
      <c r="BS452" s="136">
        <f t="shared" si="74"/>
        <v>0</v>
      </c>
      <c r="BT452" s="136">
        <f t="shared" si="74"/>
        <v>-1593732</v>
      </c>
      <c r="BU452" s="136">
        <f t="shared" si="74"/>
        <v>0</v>
      </c>
      <c r="BV452" s="136">
        <f t="shared" si="74"/>
        <v>0</v>
      </c>
      <c r="BW452" s="136">
        <f t="shared" si="74"/>
        <v>0</v>
      </c>
      <c r="BX452" s="136">
        <f t="shared" si="74"/>
        <v>0</v>
      </c>
      <c r="BZ452" s="136">
        <f t="shared" si="75"/>
        <v>0</v>
      </c>
      <c r="CA452" s="136">
        <f t="shared" si="75"/>
        <v>0</v>
      </c>
    </row>
    <row r="453" spans="7:79" hidden="1" x14ac:dyDescent="0.3">
      <c r="G453" s="136">
        <f t="shared" ref="G453:BR456" si="77">G62-BY62</f>
        <v>-5133929</v>
      </c>
      <c r="H453" s="136">
        <f t="shared" si="77"/>
        <v>0</v>
      </c>
      <c r="I453" s="136">
        <f t="shared" si="77"/>
        <v>0</v>
      </c>
      <c r="J453" s="136">
        <f t="shared" si="77"/>
        <v>0</v>
      </c>
      <c r="K453" s="136">
        <f t="shared" si="77"/>
        <v>0</v>
      </c>
      <c r="L453" s="136">
        <f t="shared" si="77"/>
        <v>-255849</v>
      </c>
      <c r="M453" s="136">
        <f t="shared" si="77"/>
        <v>0</v>
      </c>
      <c r="N453" s="136">
        <f t="shared" si="77"/>
        <v>0</v>
      </c>
      <c r="O453" s="136">
        <f t="shared" si="77"/>
        <v>0</v>
      </c>
      <c r="P453" s="136">
        <f t="shared" si="77"/>
        <v>0</v>
      </c>
      <c r="Q453" s="136">
        <f t="shared" si="77"/>
        <v>-144141</v>
      </c>
      <c r="R453" s="136">
        <f t="shared" si="77"/>
        <v>0</v>
      </c>
      <c r="S453" s="136">
        <f t="shared" si="77"/>
        <v>0</v>
      </c>
      <c r="T453" s="136">
        <f t="shared" si="77"/>
        <v>0</v>
      </c>
      <c r="U453" s="136">
        <f t="shared" si="77"/>
        <v>0</v>
      </c>
      <c r="V453" s="136">
        <f t="shared" si="77"/>
        <v>-566823</v>
      </c>
      <c r="W453" s="136">
        <f t="shared" si="77"/>
        <v>0</v>
      </c>
      <c r="X453" s="136">
        <f t="shared" si="77"/>
        <v>0</v>
      </c>
      <c r="Y453" s="136">
        <f t="shared" si="77"/>
        <v>0</v>
      </c>
      <c r="Z453" s="136">
        <f t="shared" si="77"/>
        <v>0</v>
      </c>
      <c r="AA453" s="136">
        <f t="shared" si="77"/>
        <v>-144059</v>
      </c>
      <c r="AB453" s="136">
        <f t="shared" si="77"/>
        <v>0</v>
      </c>
      <c r="AC453" s="136">
        <f t="shared" si="77"/>
        <v>0</v>
      </c>
      <c r="AD453" s="136">
        <f t="shared" si="77"/>
        <v>0</v>
      </c>
      <c r="AE453" s="136">
        <f t="shared" si="77"/>
        <v>0</v>
      </c>
      <c r="AF453" s="136">
        <f t="shared" si="77"/>
        <v>-139349</v>
      </c>
      <c r="AG453" s="136">
        <f t="shared" si="77"/>
        <v>0</v>
      </c>
      <c r="AH453" s="136">
        <f t="shared" si="77"/>
        <v>0</v>
      </c>
      <c r="AI453" s="136">
        <f t="shared" si="77"/>
        <v>0</v>
      </c>
      <c r="AJ453" s="136">
        <f t="shared" si="77"/>
        <v>0</v>
      </c>
      <c r="AK453" s="136">
        <f t="shared" si="77"/>
        <v>-330097</v>
      </c>
      <c r="AL453" s="136">
        <f t="shared" si="77"/>
        <v>0</v>
      </c>
      <c r="AM453" s="136">
        <f t="shared" si="77"/>
        <v>0</v>
      </c>
      <c r="AN453" s="136">
        <f t="shared" si="77"/>
        <v>0</v>
      </c>
      <c r="AO453" s="136">
        <f t="shared" si="77"/>
        <v>0</v>
      </c>
      <c r="AP453" s="136">
        <f t="shared" si="77"/>
        <v>-377082</v>
      </c>
      <c r="AQ453" s="136">
        <f t="shared" si="77"/>
        <v>0</v>
      </c>
      <c r="AR453" s="136">
        <f t="shared" si="77"/>
        <v>0</v>
      </c>
      <c r="AS453" s="136">
        <f t="shared" si="77"/>
        <v>0</v>
      </c>
      <c r="AT453" s="136">
        <f t="shared" si="77"/>
        <v>0</v>
      </c>
      <c r="AU453" s="136">
        <f t="shared" si="77"/>
        <v>-126044</v>
      </c>
      <c r="AV453" s="136">
        <f t="shared" si="77"/>
        <v>0</v>
      </c>
      <c r="AW453" s="136">
        <f t="shared" si="77"/>
        <v>0</v>
      </c>
      <c r="AX453" s="136">
        <f t="shared" si="77"/>
        <v>0</v>
      </c>
      <c r="AY453" s="136">
        <f t="shared" si="77"/>
        <v>0</v>
      </c>
      <c r="AZ453" s="136">
        <f t="shared" si="77"/>
        <v>114936</v>
      </c>
      <c r="BA453" s="136">
        <f t="shared" si="77"/>
        <v>0</v>
      </c>
      <c r="BB453" s="136">
        <f t="shared" si="77"/>
        <v>0</v>
      </c>
      <c r="BC453" s="136">
        <f t="shared" si="77"/>
        <v>0</v>
      </c>
      <c r="BD453" s="136">
        <f t="shared" si="77"/>
        <v>0</v>
      </c>
      <c r="BE453" s="136">
        <f t="shared" si="77"/>
        <v>-221866</v>
      </c>
      <c r="BF453" s="136">
        <f t="shared" si="77"/>
        <v>0</v>
      </c>
      <c r="BG453" s="136">
        <f t="shared" si="77"/>
        <v>0</v>
      </c>
      <c r="BH453" s="136">
        <f t="shared" si="77"/>
        <v>0</v>
      </c>
      <c r="BI453" s="136">
        <f t="shared" si="77"/>
        <v>0</v>
      </c>
      <c r="BJ453" s="136">
        <f t="shared" si="77"/>
        <v>-70016</v>
      </c>
      <c r="BK453" s="136">
        <f t="shared" si="77"/>
        <v>0</v>
      </c>
      <c r="BL453" s="136">
        <f t="shared" si="77"/>
        <v>0</v>
      </c>
      <c r="BM453" s="136">
        <f t="shared" si="77"/>
        <v>0</v>
      </c>
      <c r="BN453" s="136">
        <f t="shared" si="77"/>
        <v>0</v>
      </c>
      <c r="BO453" s="136">
        <f t="shared" si="77"/>
        <v>-47378</v>
      </c>
      <c r="BP453" s="136">
        <f t="shared" si="77"/>
        <v>0</v>
      </c>
      <c r="BQ453" s="136">
        <f t="shared" si="77"/>
        <v>0</v>
      </c>
      <c r="BR453" s="136">
        <f t="shared" si="77"/>
        <v>0</v>
      </c>
      <c r="BS453" s="136">
        <f t="shared" ref="BS453:BX468" si="78">BS62-EK62</f>
        <v>0</v>
      </c>
      <c r="BT453" s="136">
        <f t="shared" si="78"/>
        <v>-2190374</v>
      </c>
      <c r="BU453" s="136">
        <f t="shared" si="78"/>
        <v>0</v>
      </c>
      <c r="BV453" s="136">
        <f t="shared" si="78"/>
        <v>0</v>
      </c>
      <c r="BW453" s="136">
        <f t="shared" si="78"/>
        <v>0</v>
      </c>
      <c r="BX453" s="136">
        <f t="shared" si="78"/>
        <v>0</v>
      </c>
      <c r="BZ453" s="136">
        <f t="shared" ref="BZ453:CA468" si="79">BZ62-ER62</f>
        <v>0</v>
      </c>
      <c r="CA453" s="136">
        <f t="shared" si="79"/>
        <v>0</v>
      </c>
    </row>
    <row r="454" spans="7:79" hidden="1" x14ac:dyDescent="0.3">
      <c r="G454" s="136">
        <f t="shared" si="77"/>
        <v>0</v>
      </c>
      <c r="H454" s="136">
        <f t="shared" si="77"/>
        <v>0</v>
      </c>
      <c r="I454" s="136">
        <f t="shared" si="77"/>
        <v>0</v>
      </c>
      <c r="J454" s="136">
        <f t="shared" si="77"/>
        <v>0</v>
      </c>
      <c r="K454" s="136">
        <f t="shared" si="77"/>
        <v>0</v>
      </c>
      <c r="L454" s="136">
        <f t="shared" si="77"/>
        <v>0</v>
      </c>
      <c r="M454" s="136">
        <f t="shared" si="77"/>
        <v>0</v>
      </c>
      <c r="N454" s="136">
        <f t="shared" si="77"/>
        <v>0</v>
      </c>
      <c r="O454" s="136">
        <f t="shared" si="77"/>
        <v>0</v>
      </c>
      <c r="P454" s="136">
        <f t="shared" si="77"/>
        <v>0</v>
      </c>
      <c r="Q454" s="136">
        <f t="shared" si="77"/>
        <v>0</v>
      </c>
      <c r="R454" s="136">
        <f t="shared" si="77"/>
        <v>0</v>
      </c>
      <c r="S454" s="136">
        <f t="shared" si="77"/>
        <v>0</v>
      </c>
      <c r="T454" s="136">
        <f t="shared" si="77"/>
        <v>0</v>
      </c>
      <c r="U454" s="136">
        <f t="shared" si="77"/>
        <v>0</v>
      </c>
      <c r="V454" s="136">
        <f t="shared" si="77"/>
        <v>0</v>
      </c>
      <c r="W454" s="136">
        <f t="shared" si="77"/>
        <v>0</v>
      </c>
      <c r="X454" s="136">
        <f t="shared" si="77"/>
        <v>0</v>
      </c>
      <c r="Y454" s="136">
        <f t="shared" si="77"/>
        <v>0</v>
      </c>
      <c r="Z454" s="136">
        <f t="shared" si="77"/>
        <v>0</v>
      </c>
      <c r="AA454" s="136">
        <f t="shared" si="77"/>
        <v>0</v>
      </c>
      <c r="AB454" s="136">
        <f t="shared" si="77"/>
        <v>0</v>
      </c>
      <c r="AC454" s="136">
        <f t="shared" si="77"/>
        <v>0</v>
      </c>
      <c r="AD454" s="136">
        <f t="shared" si="77"/>
        <v>0</v>
      </c>
      <c r="AE454" s="136">
        <f t="shared" si="77"/>
        <v>0</v>
      </c>
      <c r="AF454" s="136">
        <f t="shared" si="77"/>
        <v>0</v>
      </c>
      <c r="AG454" s="136">
        <f t="shared" si="77"/>
        <v>0</v>
      </c>
      <c r="AH454" s="136">
        <f t="shared" si="77"/>
        <v>0</v>
      </c>
      <c r="AI454" s="136">
        <f t="shared" si="77"/>
        <v>0</v>
      </c>
      <c r="AJ454" s="136">
        <f t="shared" si="77"/>
        <v>0</v>
      </c>
      <c r="AK454" s="136">
        <f t="shared" si="77"/>
        <v>0</v>
      </c>
      <c r="AL454" s="136">
        <f t="shared" si="77"/>
        <v>0</v>
      </c>
      <c r="AM454" s="136">
        <f t="shared" si="77"/>
        <v>0</v>
      </c>
      <c r="AN454" s="136">
        <f t="shared" si="77"/>
        <v>0</v>
      </c>
      <c r="AO454" s="136">
        <f t="shared" si="77"/>
        <v>0</v>
      </c>
      <c r="AP454" s="136">
        <f t="shared" si="77"/>
        <v>0</v>
      </c>
      <c r="AQ454" s="136">
        <f t="shared" si="77"/>
        <v>0</v>
      </c>
      <c r="AR454" s="136">
        <f t="shared" si="77"/>
        <v>0</v>
      </c>
      <c r="AS454" s="136">
        <f t="shared" si="77"/>
        <v>0</v>
      </c>
      <c r="AT454" s="136">
        <f t="shared" si="77"/>
        <v>0</v>
      </c>
      <c r="AU454" s="136">
        <f t="shared" si="77"/>
        <v>0</v>
      </c>
      <c r="AV454" s="136">
        <f t="shared" si="77"/>
        <v>0</v>
      </c>
      <c r="AW454" s="136">
        <f t="shared" si="77"/>
        <v>0</v>
      </c>
      <c r="AX454" s="136">
        <f t="shared" si="77"/>
        <v>0</v>
      </c>
      <c r="AY454" s="136">
        <f t="shared" si="77"/>
        <v>0</v>
      </c>
      <c r="AZ454" s="136">
        <f t="shared" si="77"/>
        <v>0</v>
      </c>
      <c r="BA454" s="136">
        <f t="shared" si="77"/>
        <v>0</v>
      </c>
      <c r="BB454" s="136">
        <f t="shared" si="77"/>
        <v>0</v>
      </c>
      <c r="BC454" s="136">
        <f t="shared" si="77"/>
        <v>0</v>
      </c>
      <c r="BD454" s="136">
        <f t="shared" si="77"/>
        <v>0</v>
      </c>
      <c r="BE454" s="136">
        <f t="shared" si="77"/>
        <v>0</v>
      </c>
      <c r="BF454" s="136">
        <f t="shared" si="77"/>
        <v>0</v>
      </c>
      <c r="BG454" s="136">
        <f t="shared" si="77"/>
        <v>0</v>
      </c>
      <c r="BH454" s="136">
        <f t="shared" si="77"/>
        <v>0</v>
      </c>
      <c r="BI454" s="136">
        <f t="shared" si="77"/>
        <v>0</v>
      </c>
      <c r="BJ454" s="136">
        <f t="shared" si="77"/>
        <v>0</v>
      </c>
      <c r="BK454" s="136">
        <f t="shared" si="77"/>
        <v>0</v>
      </c>
      <c r="BL454" s="136">
        <f t="shared" si="77"/>
        <v>0</v>
      </c>
      <c r="BM454" s="136">
        <f t="shared" si="77"/>
        <v>0</v>
      </c>
      <c r="BN454" s="136">
        <f t="shared" si="77"/>
        <v>0</v>
      </c>
      <c r="BO454" s="136">
        <f t="shared" si="77"/>
        <v>0</v>
      </c>
      <c r="BP454" s="136">
        <f t="shared" si="77"/>
        <v>0</v>
      </c>
      <c r="BQ454" s="136">
        <f t="shared" si="77"/>
        <v>0</v>
      </c>
      <c r="BR454" s="136">
        <f t="shared" si="77"/>
        <v>0</v>
      </c>
      <c r="BS454" s="136">
        <f t="shared" si="78"/>
        <v>0</v>
      </c>
      <c r="BT454" s="136">
        <f t="shared" si="78"/>
        <v>0</v>
      </c>
      <c r="BU454" s="136">
        <f t="shared" si="78"/>
        <v>0</v>
      </c>
      <c r="BV454" s="136">
        <f t="shared" si="78"/>
        <v>0</v>
      </c>
      <c r="BW454" s="136">
        <f t="shared" si="78"/>
        <v>0</v>
      </c>
      <c r="BX454" s="136">
        <f t="shared" si="78"/>
        <v>0</v>
      </c>
      <c r="BZ454" s="136">
        <f t="shared" si="79"/>
        <v>0</v>
      </c>
      <c r="CA454" s="136">
        <f t="shared" si="79"/>
        <v>0</v>
      </c>
    </row>
    <row r="455" spans="7:79" hidden="1" x14ac:dyDescent="0.3">
      <c r="G455" s="136">
        <f t="shared" si="77"/>
        <v>-19443086</v>
      </c>
      <c r="H455" s="136">
        <f t="shared" si="77"/>
        <v>0</v>
      </c>
      <c r="I455" s="136">
        <f t="shared" si="77"/>
        <v>0</v>
      </c>
      <c r="J455" s="136">
        <f t="shared" si="77"/>
        <v>0</v>
      </c>
      <c r="K455" s="136">
        <f t="shared" si="77"/>
        <v>0</v>
      </c>
      <c r="L455" s="136">
        <f t="shared" si="77"/>
        <v>-398152</v>
      </c>
      <c r="M455" s="136">
        <f t="shared" si="77"/>
        <v>0</v>
      </c>
      <c r="N455" s="136">
        <f t="shared" si="77"/>
        <v>0</v>
      </c>
      <c r="O455" s="136">
        <f t="shared" si="77"/>
        <v>0</v>
      </c>
      <c r="P455" s="136">
        <f t="shared" si="77"/>
        <v>0</v>
      </c>
      <c r="Q455" s="136">
        <f t="shared" si="77"/>
        <v>-500537</v>
      </c>
      <c r="R455" s="136">
        <f t="shared" si="77"/>
        <v>0</v>
      </c>
      <c r="S455" s="136">
        <f t="shared" si="77"/>
        <v>0</v>
      </c>
      <c r="T455" s="136">
        <f t="shared" si="77"/>
        <v>0</v>
      </c>
      <c r="U455" s="136">
        <f t="shared" si="77"/>
        <v>0</v>
      </c>
      <c r="V455" s="136">
        <f t="shared" si="77"/>
        <v>1360369</v>
      </c>
      <c r="W455" s="136">
        <f t="shared" si="77"/>
        <v>0</v>
      </c>
      <c r="X455" s="136">
        <f t="shared" si="77"/>
        <v>0</v>
      </c>
      <c r="Y455" s="136">
        <f t="shared" si="77"/>
        <v>0</v>
      </c>
      <c r="Z455" s="136">
        <f t="shared" si="77"/>
        <v>0</v>
      </c>
      <c r="AA455" s="136">
        <f t="shared" si="77"/>
        <v>299961</v>
      </c>
      <c r="AB455" s="136">
        <f t="shared" si="77"/>
        <v>0</v>
      </c>
      <c r="AC455" s="136">
        <f t="shared" si="77"/>
        <v>0</v>
      </c>
      <c r="AD455" s="136">
        <f t="shared" si="77"/>
        <v>0</v>
      </c>
      <c r="AE455" s="136">
        <f t="shared" si="77"/>
        <v>0</v>
      </c>
      <c r="AF455" s="136">
        <f t="shared" si="77"/>
        <v>-150074</v>
      </c>
      <c r="AG455" s="136">
        <f t="shared" si="77"/>
        <v>0</v>
      </c>
      <c r="AH455" s="136">
        <f t="shared" si="77"/>
        <v>0</v>
      </c>
      <c r="AI455" s="136">
        <f t="shared" si="77"/>
        <v>0</v>
      </c>
      <c r="AJ455" s="136">
        <f t="shared" si="77"/>
        <v>0</v>
      </c>
      <c r="AK455" s="136">
        <f t="shared" si="77"/>
        <v>-1060559</v>
      </c>
      <c r="AL455" s="136">
        <f t="shared" si="77"/>
        <v>0</v>
      </c>
      <c r="AM455" s="136">
        <f t="shared" si="77"/>
        <v>0</v>
      </c>
      <c r="AN455" s="136">
        <f t="shared" si="77"/>
        <v>0</v>
      </c>
      <c r="AO455" s="136">
        <f t="shared" si="77"/>
        <v>0</v>
      </c>
      <c r="AP455" s="136">
        <f t="shared" si="77"/>
        <v>949389</v>
      </c>
      <c r="AQ455" s="136">
        <f t="shared" si="77"/>
        <v>0</v>
      </c>
      <c r="AR455" s="136">
        <f t="shared" si="77"/>
        <v>0</v>
      </c>
      <c r="AS455" s="136">
        <f t="shared" si="77"/>
        <v>0</v>
      </c>
      <c r="AT455" s="136">
        <f t="shared" si="77"/>
        <v>0</v>
      </c>
      <c r="AU455" s="136">
        <f t="shared" si="77"/>
        <v>-594599</v>
      </c>
      <c r="AV455" s="136">
        <f t="shared" si="77"/>
        <v>0</v>
      </c>
      <c r="AW455" s="136">
        <f t="shared" si="77"/>
        <v>0</v>
      </c>
      <c r="AX455" s="136">
        <f t="shared" si="77"/>
        <v>0</v>
      </c>
      <c r="AY455" s="136">
        <f t="shared" si="77"/>
        <v>0</v>
      </c>
      <c r="AZ455" s="136">
        <f t="shared" si="77"/>
        <v>-2952578</v>
      </c>
      <c r="BA455" s="136">
        <f t="shared" si="77"/>
        <v>0</v>
      </c>
      <c r="BB455" s="136">
        <f t="shared" si="77"/>
        <v>0</v>
      </c>
      <c r="BC455" s="136">
        <f t="shared" si="77"/>
        <v>0</v>
      </c>
      <c r="BD455" s="136">
        <f t="shared" si="77"/>
        <v>0</v>
      </c>
      <c r="BE455" s="136">
        <f t="shared" si="77"/>
        <v>-1170008</v>
      </c>
      <c r="BF455" s="136">
        <f t="shared" si="77"/>
        <v>0</v>
      </c>
      <c r="BG455" s="136">
        <f t="shared" si="77"/>
        <v>0</v>
      </c>
      <c r="BH455" s="136">
        <f t="shared" si="77"/>
        <v>0</v>
      </c>
      <c r="BI455" s="136">
        <f t="shared" si="77"/>
        <v>0</v>
      </c>
      <c r="BJ455" s="136">
        <f t="shared" si="77"/>
        <v>-1861992</v>
      </c>
      <c r="BK455" s="136">
        <f t="shared" si="77"/>
        <v>0</v>
      </c>
      <c r="BL455" s="136">
        <f t="shared" si="77"/>
        <v>0</v>
      </c>
      <c r="BM455" s="136">
        <f t="shared" si="77"/>
        <v>0</v>
      </c>
      <c r="BN455" s="136">
        <f t="shared" si="77"/>
        <v>0</v>
      </c>
      <c r="BO455" s="136">
        <f t="shared" si="77"/>
        <v>-1159927</v>
      </c>
      <c r="BP455" s="136">
        <f t="shared" si="77"/>
        <v>0</v>
      </c>
      <c r="BQ455" s="136">
        <f t="shared" si="77"/>
        <v>0</v>
      </c>
      <c r="BR455" s="136">
        <f t="shared" si="77"/>
        <v>0</v>
      </c>
      <c r="BS455" s="136">
        <f t="shared" si="78"/>
        <v>0</v>
      </c>
      <c r="BT455" s="136">
        <f t="shared" si="78"/>
        <v>-4216788</v>
      </c>
      <c r="BU455" s="136">
        <f t="shared" si="78"/>
        <v>0</v>
      </c>
      <c r="BV455" s="136">
        <f t="shared" si="78"/>
        <v>0</v>
      </c>
      <c r="BW455" s="136">
        <f t="shared" si="78"/>
        <v>0</v>
      </c>
      <c r="BX455" s="136">
        <f t="shared" si="78"/>
        <v>0</v>
      </c>
      <c r="BZ455" s="136">
        <f t="shared" si="79"/>
        <v>0</v>
      </c>
      <c r="CA455" s="136">
        <f t="shared" si="79"/>
        <v>0</v>
      </c>
    </row>
    <row r="456" spans="7:79" hidden="1" x14ac:dyDescent="0.3">
      <c r="G456" s="136">
        <f t="shared" si="77"/>
        <v>-8283003</v>
      </c>
      <c r="H456" s="136">
        <f t="shared" si="77"/>
        <v>0</v>
      </c>
      <c r="I456" s="136">
        <f t="shared" si="77"/>
        <v>0</v>
      </c>
      <c r="J456" s="136">
        <f t="shared" si="77"/>
        <v>0</v>
      </c>
      <c r="K456" s="136">
        <f t="shared" si="77"/>
        <v>0</v>
      </c>
      <c r="L456" s="136">
        <f t="shared" si="77"/>
        <v>-175494</v>
      </c>
      <c r="M456" s="136">
        <f t="shared" si="77"/>
        <v>0</v>
      </c>
      <c r="N456" s="136">
        <f t="shared" si="77"/>
        <v>0</v>
      </c>
      <c r="O456" s="136">
        <f t="shared" si="77"/>
        <v>0</v>
      </c>
      <c r="P456" s="136">
        <f t="shared" si="77"/>
        <v>0</v>
      </c>
      <c r="Q456" s="136">
        <f t="shared" si="77"/>
        <v>-214295</v>
      </c>
      <c r="R456" s="136">
        <f t="shared" si="77"/>
        <v>0</v>
      </c>
      <c r="S456" s="136">
        <f t="shared" si="77"/>
        <v>0</v>
      </c>
      <c r="T456" s="136">
        <f t="shared" si="77"/>
        <v>0</v>
      </c>
      <c r="U456" s="136">
        <f t="shared" si="77"/>
        <v>0</v>
      </c>
      <c r="V456" s="136">
        <f t="shared" si="77"/>
        <v>541829</v>
      </c>
      <c r="W456" s="136">
        <f t="shared" si="77"/>
        <v>0</v>
      </c>
      <c r="X456" s="136">
        <f t="shared" si="77"/>
        <v>0</v>
      </c>
      <c r="Y456" s="136">
        <f t="shared" si="77"/>
        <v>0</v>
      </c>
      <c r="Z456" s="136">
        <f t="shared" si="77"/>
        <v>0</v>
      </c>
      <c r="AA456" s="136">
        <f t="shared" si="77"/>
        <v>91044</v>
      </c>
      <c r="AB456" s="136">
        <f t="shared" si="77"/>
        <v>0</v>
      </c>
      <c r="AC456" s="136">
        <f t="shared" si="77"/>
        <v>0</v>
      </c>
      <c r="AD456" s="136">
        <f t="shared" si="77"/>
        <v>0</v>
      </c>
      <c r="AE456" s="136">
        <f t="shared" si="77"/>
        <v>0</v>
      </c>
      <c r="AF456" s="136">
        <f t="shared" si="77"/>
        <v>-125466</v>
      </c>
      <c r="AG456" s="136">
        <f t="shared" si="77"/>
        <v>0</v>
      </c>
      <c r="AH456" s="136">
        <f t="shared" si="77"/>
        <v>0</v>
      </c>
      <c r="AI456" s="136">
        <f t="shared" si="77"/>
        <v>0</v>
      </c>
      <c r="AJ456" s="136">
        <f t="shared" si="77"/>
        <v>0</v>
      </c>
      <c r="AK456" s="136">
        <f t="shared" si="77"/>
        <v>-502203</v>
      </c>
      <c r="AL456" s="136">
        <f t="shared" si="77"/>
        <v>0</v>
      </c>
      <c r="AM456" s="136">
        <f t="shared" si="77"/>
        <v>0</v>
      </c>
      <c r="AN456" s="136">
        <f t="shared" si="77"/>
        <v>0</v>
      </c>
      <c r="AO456" s="136">
        <f t="shared" si="77"/>
        <v>0</v>
      </c>
      <c r="AP456" s="136">
        <f t="shared" si="77"/>
        <v>179342</v>
      </c>
      <c r="AQ456" s="136">
        <f t="shared" si="77"/>
        <v>0</v>
      </c>
      <c r="AR456" s="136">
        <f t="shared" si="77"/>
        <v>0</v>
      </c>
      <c r="AS456" s="136">
        <f t="shared" si="77"/>
        <v>0</v>
      </c>
      <c r="AT456" s="136">
        <f t="shared" si="77"/>
        <v>0</v>
      </c>
      <c r="AU456" s="136">
        <f t="shared" si="77"/>
        <v>-359632</v>
      </c>
      <c r="AV456" s="136">
        <f t="shared" si="77"/>
        <v>0</v>
      </c>
      <c r="AW456" s="136">
        <f t="shared" si="77"/>
        <v>0</v>
      </c>
      <c r="AX456" s="136">
        <f t="shared" si="77"/>
        <v>0</v>
      </c>
      <c r="AY456" s="136">
        <f t="shared" si="77"/>
        <v>0</v>
      </c>
      <c r="AZ456" s="136">
        <f t="shared" si="77"/>
        <v>-1285667</v>
      </c>
      <c r="BA456" s="136">
        <f t="shared" si="77"/>
        <v>0</v>
      </c>
      <c r="BB456" s="136">
        <f t="shared" si="77"/>
        <v>0</v>
      </c>
      <c r="BC456" s="136">
        <f t="shared" si="77"/>
        <v>0</v>
      </c>
      <c r="BD456" s="136">
        <f t="shared" si="77"/>
        <v>0</v>
      </c>
      <c r="BE456" s="136">
        <f t="shared" si="77"/>
        <v>-517864</v>
      </c>
      <c r="BF456" s="136">
        <f t="shared" si="77"/>
        <v>0</v>
      </c>
      <c r="BG456" s="136">
        <f t="shared" si="77"/>
        <v>0</v>
      </c>
      <c r="BH456" s="136">
        <f t="shared" si="77"/>
        <v>0</v>
      </c>
      <c r="BI456" s="136">
        <f t="shared" si="77"/>
        <v>0</v>
      </c>
      <c r="BJ456" s="136">
        <f t="shared" si="77"/>
        <v>-846009</v>
      </c>
      <c r="BK456" s="136">
        <f t="shared" si="77"/>
        <v>0</v>
      </c>
      <c r="BL456" s="136">
        <f t="shared" si="77"/>
        <v>0</v>
      </c>
      <c r="BM456" s="136">
        <f t="shared" si="77"/>
        <v>0</v>
      </c>
      <c r="BN456" s="136">
        <f t="shared" si="77"/>
        <v>0</v>
      </c>
      <c r="BO456" s="136">
        <f t="shared" si="77"/>
        <v>-495663</v>
      </c>
      <c r="BP456" s="136">
        <f t="shared" si="77"/>
        <v>0</v>
      </c>
      <c r="BQ456" s="136">
        <f t="shared" si="77"/>
        <v>0</v>
      </c>
      <c r="BR456" s="136">
        <f t="shared" ref="BR456:BX469" si="80">BR65-EJ65</f>
        <v>0</v>
      </c>
      <c r="BS456" s="136">
        <f t="shared" si="78"/>
        <v>0</v>
      </c>
      <c r="BT456" s="136">
        <f t="shared" si="78"/>
        <v>-2368406</v>
      </c>
      <c r="BU456" s="136">
        <f t="shared" si="78"/>
        <v>0</v>
      </c>
      <c r="BV456" s="136">
        <f t="shared" si="78"/>
        <v>0</v>
      </c>
      <c r="BW456" s="136">
        <f t="shared" si="78"/>
        <v>0</v>
      </c>
      <c r="BX456" s="136">
        <f t="shared" si="78"/>
        <v>0</v>
      </c>
      <c r="BZ456" s="136">
        <f t="shared" si="79"/>
        <v>0</v>
      </c>
      <c r="CA456" s="136">
        <f t="shared" si="79"/>
        <v>0</v>
      </c>
    </row>
    <row r="457" spans="7:79" hidden="1" x14ac:dyDescent="0.3">
      <c r="G457" s="136">
        <f t="shared" ref="G457:BQ461" si="81">G66-BY66</f>
        <v>-4926997</v>
      </c>
      <c r="H457" s="136">
        <f t="shared" si="81"/>
        <v>0</v>
      </c>
      <c r="I457" s="136">
        <f t="shared" si="81"/>
        <v>0</v>
      </c>
      <c r="J457" s="136">
        <f t="shared" si="81"/>
        <v>0</v>
      </c>
      <c r="K457" s="136">
        <f t="shared" si="81"/>
        <v>0</v>
      </c>
      <c r="L457" s="136">
        <f t="shared" si="81"/>
        <v>-119506</v>
      </c>
      <c r="M457" s="136">
        <f t="shared" si="81"/>
        <v>0</v>
      </c>
      <c r="N457" s="136">
        <f t="shared" si="81"/>
        <v>0</v>
      </c>
      <c r="O457" s="136">
        <f t="shared" si="81"/>
        <v>0</v>
      </c>
      <c r="P457" s="136">
        <f t="shared" si="81"/>
        <v>0</v>
      </c>
      <c r="Q457" s="136">
        <f t="shared" si="81"/>
        <v>-135705</v>
      </c>
      <c r="R457" s="136">
        <f t="shared" si="81"/>
        <v>0</v>
      </c>
      <c r="S457" s="136">
        <f t="shared" si="81"/>
        <v>0</v>
      </c>
      <c r="T457" s="136">
        <f t="shared" si="81"/>
        <v>0</v>
      </c>
      <c r="U457" s="136">
        <f t="shared" si="81"/>
        <v>0</v>
      </c>
      <c r="V457" s="136">
        <f t="shared" si="81"/>
        <v>293171</v>
      </c>
      <c r="W457" s="136">
        <f t="shared" si="81"/>
        <v>0</v>
      </c>
      <c r="X457" s="136">
        <f t="shared" si="81"/>
        <v>0</v>
      </c>
      <c r="Y457" s="136">
        <f t="shared" si="81"/>
        <v>0</v>
      </c>
      <c r="Z457" s="136">
        <f t="shared" si="81"/>
        <v>0</v>
      </c>
      <c r="AA457" s="136">
        <f t="shared" si="81"/>
        <v>68956</v>
      </c>
      <c r="AB457" s="136">
        <f t="shared" si="81"/>
        <v>0</v>
      </c>
      <c r="AC457" s="136">
        <f t="shared" si="81"/>
        <v>0</v>
      </c>
      <c r="AD457" s="136">
        <f t="shared" si="81"/>
        <v>0</v>
      </c>
      <c r="AE457" s="136">
        <f t="shared" si="81"/>
        <v>0</v>
      </c>
      <c r="AF457" s="136">
        <f t="shared" si="81"/>
        <v>-69534</v>
      </c>
      <c r="AG457" s="136">
        <f t="shared" si="81"/>
        <v>0</v>
      </c>
      <c r="AH457" s="136">
        <f t="shared" si="81"/>
        <v>0</v>
      </c>
      <c r="AI457" s="136">
        <f t="shared" si="81"/>
        <v>0</v>
      </c>
      <c r="AJ457" s="136">
        <f t="shared" si="81"/>
        <v>0</v>
      </c>
      <c r="AK457" s="136">
        <f t="shared" si="81"/>
        <v>-267797</v>
      </c>
      <c r="AL457" s="136">
        <f t="shared" si="81"/>
        <v>0</v>
      </c>
      <c r="AM457" s="136">
        <f t="shared" si="81"/>
        <v>0</v>
      </c>
      <c r="AN457" s="136">
        <f t="shared" si="81"/>
        <v>0</v>
      </c>
      <c r="AO457" s="136">
        <f t="shared" si="81"/>
        <v>0</v>
      </c>
      <c r="AP457" s="136">
        <f t="shared" si="81"/>
        <v>340658</v>
      </c>
      <c r="AQ457" s="136">
        <f t="shared" si="81"/>
        <v>0</v>
      </c>
      <c r="AR457" s="136">
        <f t="shared" si="81"/>
        <v>0</v>
      </c>
      <c r="AS457" s="136">
        <f t="shared" si="81"/>
        <v>0</v>
      </c>
      <c r="AT457" s="136">
        <f t="shared" si="81"/>
        <v>0</v>
      </c>
      <c r="AU457" s="136">
        <f t="shared" si="81"/>
        <v>-105368</v>
      </c>
      <c r="AV457" s="136">
        <f t="shared" si="81"/>
        <v>0</v>
      </c>
      <c r="AW457" s="136">
        <f t="shared" si="81"/>
        <v>0</v>
      </c>
      <c r="AX457" s="136">
        <f t="shared" si="81"/>
        <v>0</v>
      </c>
      <c r="AY457" s="136">
        <f t="shared" si="81"/>
        <v>0</v>
      </c>
      <c r="AZ457" s="136">
        <f t="shared" si="81"/>
        <v>-724333</v>
      </c>
      <c r="BA457" s="136">
        <f t="shared" si="81"/>
        <v>0</v>
      </c>
      <c r="BB457" s="136">
        <f t="shared" si="81"/>
        <v>0</v>
      </c>
      <c r="BC457" s="136">
        <f t="shared" si="81"/>
        <v>0</v>
      </c>
      <c r="BD457" s="136">
        <f t="shared" si="81"/>
        <v>0</v>
      </c>
      <c r="BE457" s="136">
        <f t="shared" si="81"/>
        <v>-267136</v>
      </c>
      <c r="BF457" s="136">
        <f t="shared" si="81"/>
        <v>0</v>
      </c>
      <c r="BG457" s="136">
        <f t="shared" si="81"/>
        <v>0</v>
      </c>
      <c r="BH457" s="136">
        <f t="shared" si="81"/>
        <v>0</v>
      </c>
      <c r="BI457" s="136">
        <f t="shared" si="81"/>
        <v>0</v>
      </c>
      <c r="BJ457" s="136">
        <f t="shared" si="81"/>
        <v>-398991</v>
      </c>
      <c r="BK457" s="136">
        <f t="shared" si="81"/>
        <v>0</v>
      </c>
      <c r="BL457" s="136">
        <f t="shared" si="81"/>
        <v>0</v>
      </c>
      <c r="BM457" s="136">
        <f t="shared" si="81"/>
        <v>0</v>
      </c>
      <c r="BN457" s="136">
        <f t="shared" si="81"/>
        <v>0</v>
      </c>
      <c r="BO457" s="136">
        <f t="shared" si="81"/>
        <v>-274337</v>
      </c>
      <c r="BP457" s="136">
        <f t="shared" si="81"/>
        <v>0</v>
      </c>
      <c r="BQ457" s="136">
        <f t="shared" si="81"/>
        <v>0</v>
      </c>
      <c r="BR457" s="136">
        <f t="shared" si="80"/>
        <v>0</v>
      </c>
      <c r="BS457" s="136">
        <f t="shared" si="78"/>
        <v>0</v>
      </c>
      <c r="BT457" s="136">
        <f t="shared" si="78"/>
        <v>-986594</v>
      </c>
      <c r="BU457" s="136">
        <f t="shared" si="78"/>
        <v>0</v>
      </c>
      <c r="BV457" s="136">
        <f t="shared" si="78"/>
        <v>0</v>
      </c>
      <c r="BW457" s="136">
        <f t="shared" si="78"/>
        <v>0</v>
      </c>
      <c r="BX457" s="136">
        <f t="shared" si="78"/>
        <v>0</v>
      </c>
      <c r="BZ457" s="136">
        <f t="shared" si="79"/>
        <v>0</v>
      </c>
      <c r="CA457" s="136">
        <f t="shared" si="79"/>
        <v>0</v>
      </c>
    </row>
    <row r="458" spans="7:79" hidden="1" x14ac:dyDescent="0.3">
      <c r="G458" s="136">
        <f t="shared" si="81"/>
        <v>0</v>
      </c>
      <c r="H458" s="136">
        <f t="shared" si="81"/>
        <v>0</v>
      </c>
      <c r="I458" s="136">
        <f t="shared" si="81"/>
        <v>0</v>
      </c>
      <c r="J458" s="136">
        <f t="shared" si="81"/>
        <v>0</v>
      </c>
      <c r="K458" s="136">
        <f t="shared" si="81"/>
        <v>0</v>
      </c>
      <c r="L458" s="136">
        <f t="shared" si="81"/>
        <v>0</v>
      </c>
      <c r="M458" s="136">
        <f t="shared" si="81"/>
        <v>0</v>
      </c>
      <c r="N458" s="136">
        <f t="shared" si="81"/>
        <v>0</v>
      </c>
      <c r="O458" s="136">
        <f t="shared" si="81"/>
        <v>0</v>
      </c>
      <c r="P458" s="136">
        <f t="shared" si="81"/>
        <v>0</v>
      </c>
      <c r="Q458" s="136">
        <f t="shared" si="81"/>
        <v>0</v>
      </c>
      <c r="R458" s="136">
        <f t="shared" si="81"/>
        <v>0</v>
      </c>
      <c r="S458" s="136">
        <f t="shared" si="81"/>
        <v>0</v>
      </c>
      <c r="T458" s="136">
        <f t="shared" si="81"/>
        <v>0</v>
      </c>
      <c r="U458" s="136">
        <f t="shared" si="81"/>
        <v>0</v>
      </c>
      <c r="V458" s="136">
        <f t="shared" si="81"/>
        <v>0</v>
      </c>
      <c r="W458" s="136">
        <f t="shared" si="81"/>
        <v>0</v>
      </c>
      <c r="X458" s="136">
        <f t="shared" si="81"/>
        <v>0</v>
      </c>
      <c r="Y458" s="136">
        <f t="shared" si="81"/>
        <v>0</v>
      </c>
      <c r="Z458" s="136">
        <f t="shared" si="81"/>
        <v>0</v>
      </c>
      <c r="AA458" s="136">
        <f t="shared" si="81"/>
        <v>0</v>
      </c>
      <c r="AB458" s="136">
        <f t="shared" si="81"/>
        <v>0</v>
      </c>
      <c r="AC458" s="136">
        <f t="shared" si="81"/>
        <v>0</v>
      </c>
      <c r="AD458" s="136">
        <f t="shared" si="81"/>
        <v>0</v>
      </c>
      <c r="AE458" s="136">
        <f t="shared" si="81"/>
        <v>0</v>
      </c>
      <c r="AF458" s="136">
        <f t="shared" si="81"/>
        <v>0</v>
      </c>
      <c r="AG458" s="136">
        <f t="shared" si="81"/>
        <v>0</v>
      </c>
      <c r="AH458" s="136">
        <f t="shared" si="81"/>
        <v>0</v>
      </c>
      <c r="AI458" s="136">
        <f t="shared" si="81"/>
        <v>0</v>
      </c>
      <c r="AJ458" s="136">
        <f t="shared" si="81"/>
        <v>0</v>
      </c>
      <c r="AK458" s="136">
        <f t="shared" si="81"/>
        <v>0</v>
      </c>
      <c r="AL458" s="136">
        <f t="shared" si="81"/>
        <v>0</v>
      </c>
      <c r="AM458" s="136">
        <f t="shared" si="81"/>
        <v>0</v>
      </c>
      <c r="AN458" s="136">
        <f t="shared" si="81"/>
        <v>0</v>
      </c>
      <c r="AO458" s="136">
        <f t="shared" si="81"/>
        <v>0</v>
      </c>
      <c r="AP458" s="136">
        <f t="shared" si="81"/>
        <v>0</v>
      </c>
      <c r="AQ458" s="136">
        <f t="shared" si="81"/>
        <v>0</v>
      </c>
      <c r="AR458" s="136">
        <f t="shared" si="81"/>
        <v>0</v>
      </c>
      <c r="AS458" s="136">
        <f t="shared" si="81"/>
        <v>0</v>
      </c>
      <c r="AT458" s="136">
        <f t="shared" si="81"/>
        <v>0</v>
      </c>
      <c r="AU458" s="136">
        <f t="shared" si="81"/>
        <v>0</v>
      </c>
      <c r="AV458" s="136">
        <f t="shared" si="81"/>
        <v>0</v>
      </c>
      <c r="AW458" s="136">
        <f t="shared" si="81"/>
        <v>0</v>
      </c>
      <c r="AX458" s="136">
        <f t="shared" si="81"/>
        <v>0</v>
      </c>
      <c r="AY458" s="136">
        <f t="shared" si="81"/>
        <v>0</v>
      </c>
      <c r="AZ458" s="136">
        <f t="shared" si="81"/>
        <v>0</v>
      </c>
      <c r="BA458" s="136">
        <f t="shared" si="81"/>
        <v>0</v>
      </c>
      <c r="BB458" s="136">
        <f t="shared" si="81"/>
        <v>0</v>
      </c>
      <c r="BC458" s="136">
        <f t="shared" si="81"/>
        <v>0</v>
      </c>
      <c r="BD458" s="136">
        <f t="shared" si="81"/>
        <v>0</v>
      </c>
      <c r="BE458" s="136">
        <f t="shared" si="81"/>
        <v>0</v>
      </c>
      <c r="BF458" s="136">
        <f t="shared" si="81"/>
        <v>0</v>
      </c>
      <c r="BG458" s="136">
        <f t="shared" si="81"/>
        <v>0</v>
      </c>
      <c r="BH458" s="136">
        <f t="shared" si="81"/>
        <v>0</v>
      </c>
      <c r="BI458" s="136">
        <f t="shared" si="81"/>
        <v>0</v>
      </c>
      <c r="BJ458" s="136">
        <f t="shared" si="81"/>
        <v>0</v>
      </c>
      <c r="BK458" s="136">
        <f t="shared" si="81"/>
        <v>0</v>
      </c>
      <c r="BL458" s="136">
        <f t="shared" si="81"/>
        <v>0</v>
      </c>
      <c r="BM458" s="136">
        <f t="shared" si="81"/>
        <v>0</v>
      </c>
      <c r="BN458" s="136">
        <f t="shared" si="81"/>
        <v>0</v>
      </c>
      <c r="BO458" s="136">
        <f t="shared" si="81"/>
        <v>0</v>
      </c>
      <c r="BP458" s="136">
        <f t="shared" si="81"/>
        <v>0</v>
      </c>
      <c r="BQ458" s="136">
        <f t="shared" si="81"/>
        <v>0</v>
      </c>
      <c r="BR458" s="136">
        <f t="shared" si="80"/>
        <v>0</v>
      </c>
      <c r="BS458" s="136">
        <f t="shared" si="78"/>
        <v>0</v>
      </c>
      <c r="BT458" s="136">
        <f t="shared" si="78"/>
        <v>0</v>
      </c>
      <c r="BU458" s="136">
        <f t="shared" si="78"/>
        <v>0</v>
      </c>
      <c r="BV458" s="136">
        <f t="shared" si="78"/>
        <v>0</v>
      </c>
      <c r="BW458" s="136">
        <f t="shared" si="78"/>
        <v>0</v>
      </c>
      <c r="BX458" s="136">
        <f t="shared" si="78"/>
        <v>0</v>
      </c>
      <c r="BZ458" s="136">
        <f t="shared" si="79"/>
        <v>0</v>
      </c>
      <c r="CA458" s="136">
        <f t="shared" si="79"/>
        <v>0</v>
      </c>
    </row>
    <row r="459" spans="7:79" hidden="1" x14ac:dyDescent="0.3">
      <c r="G459" s="136">
        <f t="shared" si="81"/>
        <v>-6233086</v>
      </c>
      <c r="H459" s="136">
        <f t="shared" si="81"/>
        <v>0</v>
      </c>
      <c r="I459" s="136">
        <f t="shared" si="81"/>
        <v>0</v>
      </c>
      <c r="J459" s="136">
        <f t="shared" si="81"/>
        <v>0</v>
      </c>
      <c r="K459" s="136">
        <f t="shared" si="81"/>
        <v>0</v>
      </c>
      <c r="L459" s="136">
        <f t="shared" si="81"/>
        <v>-103152</v>
      </c>
      <c r="M459" s="136">
        <f t="shared" si="81"/>
        <v>0</v>
      </c>
      <c r="N459" s="136">
        <f t="shared" si="81"/>
        <v>0</v>
      </c>
      <c r="O459" s="136">
        <f t="shared" si="81"/>
        <v>0</v>
      </c>
      <c r="P459" s="136">
        <f t="shared" si="81"/>
        <v>0</v>
      </c>
      <c r="Q459" s="136">
        <f t="shared" si="81"/>
        <v>-150537</v>
      </c>
      <c r="R459" s="136">
        <f t="shared" si="81"/>
        <v>0</v>
      </c>
      <c r="S459" s="136">
        <f t="shared" si="81"/>
        <v>0</v>
      </c>
      <c r="T459" s="136">
        <f t="shared" si="81"/>
        <v>0</v>
      </c>
      <c r="U459" s="136">
        <f t="shared" si="81"/>
        <v>0</v>
      </c>
      <c r="V459" s="136">
        <f t="shared" si="81"/>
        <v>525369</v>
      </c>
      <c r="W459" s="136">
        <f t="shared" si="81"/>
        <v>0</v>
      </c>
      <c r="X459" s="136">
        <f t="shared" si="81"/>
        <v>0</v>
      </c>
      <c r="Y459" s="136">
        <f t="shared" si="81"/>
        <v>0</v>
      </c>
      <c r="Z459" s="136">
        <f t="shared" si="81"/>
        <v>0</v>
      </c>
      <c r="AA459" s="136">
        <f t="shared" si="81"/>
        <v>139961</v>
      </c>
      <c r="AB459" s="136">
        <f t="shared" si="81"/>
        <v>0</v>
      </c>
      <c r="AC459" s="136">
        <f t="shared" si="81"/>
        <v>0</v>
      </c>
      <c r="AD459" s="136">
        <f t="shared" si="81"/>
        <v>0</v>
      </c>
      <c r="AE459" s="136">
        <f t="shared" si="81"/>
        <v>0</v>
      </c>
      <c r="AF459" s="136">
        <f t="shared" si="81"/>
        <v>44926</v>
      </c>
      <c r="AG459" s="136">
        <f t="shared" si="81"/>
        <v>0</v>
      </c>
      <c r="AH459" s="136">
        <f t="shared" si="81"/>
        <v>0</v>
      </c>
      <c r="AI459" s="136">
        <f t="shared" si="81"/>
        <v>0</v>
      </c>
      <c r="AJ459" s="136">
        <f t="shared" si="81"/>
        <v>0</v>
      </c>
      <c r="AK459" s="136">
        <f t="shared" si="81"/>
        <v>-290559</v>
      </c>
      <c r="AL459" s="136">
        <f t="shared" si="81"/>
        <v>0</v>
      </c>
      <c r="AM459" s="136">
        <f t="shared" si="81"/>
        <v>0</v>
      </c>
      <c r="AN459" s="136">
        <f t="shared" si="81"/>
        <v>0</v>
      </c>
      <c r="AO459" s="136">
        <f t="shared" si="81"/>
        <v>0</v>
      </c>
      <c r="AP459" s="136">
        <f t="shared" si="81"/>
        <v>429389</v>
      </c>
      <c r="AQ459" s="136">
        <f t="shared" si="81"/>
        <v>0</v>
      </c>
      <c r="AR459" s="136">
        <f t="shared" si="81"/>
        <v>0</v>
      </c>
      <c r="AS459" s="136">
        <f t="shared" si="81"/>
        <v>0</v>
      </c>
      <c r="AT459" s="136">
        <f t="shared" si="81"/>
        <v>0</v>
      </c>
      <c r="AU459" s="136">
        <f t="shared" si="81"/>
        <v>-129599</v>
      </c>
      <c r="AV459" s="136">
        <f t="shared" si="81"/>
        <v>0</v>
      </c>
      <c r="AW459" s="136">
        <f t="shared" si="81"/>
        <v>0</v>
      </c>
      <c r="AX459" s="136">
        <f t="shared" si="81"/>
        <v>0</v>
      </c>
      <c r="AY459" s="136">
        <f t="shared" si="81"/>
        <v>0</v>
      </c>
      <c r="AZ459" s="136">
        <f t="shared" si="81"/>
        <v>-942578</v>
      </c>
      <c r="BA459" s="136">
        <f t="shared" si="81"/>
        <v>0</v>
      </c>
      <c r="BB459" s="136">
        <f t="shared" si="81"/>
        <v>0</v>
      </c>
      <c r="BC459" s="136">
        <f t="shared" si="81"/>
        <v>0</v>
      </c>
      <c r="BD459" s="136">
        <f t="shared" si="81"/>
        <v>0</v>
      </c>
      <c r="BE459" s="136">
        <f t="shared" si="81"/>
        <v>-385008</v>
      </c>
      <c r="BF459" s="136">
        <f t="shared" si="81"/>
        <v>0</v>
      </c>
      <c r="BG459" s="136">
        <f t="shared" si="81"/>
        <v>0</v>
      </c>
      <c r="BH459" s="136">
        <f t="shared" si="81"/>
        <v>0</v>
      </c>
      <c r="BI459" s="136">
        <f t="shared" si="81"/>
        <v>0</v>
      </c>
      <c r="BJ459" s="136">
        <f t="shared" si="81"/>
        <v>-616992</v>
      </c>
      <c r="BK459" s="136">
        <f t="shared" si="81"/>
        <v>0</v>
      </c>
      <c r="BL459" s="136">
        <f t="shared" si="81"/>
        <v>0</v>
      </c>
      <c r="BM459" s="136">
        <f t="shared" si="81"/>
        <v>0</v>
      </c>
      <c r="BN459" s="136">
        <f t="shared" si="81"/>
        <v>0</v>
      </c>
      <c r="BO459" s="136">
        <f t="shared" si="81"/>
        <v>-389927</v>
      </c>
      <c r="BP459" s="136">
        <f t="shared" si="81"/>
        <v>0</v>
      </c>
      <c r="BQ459" s="136">
        <f t="shared" si="81"/>
        <v>0</v>
      </c>
      <c r="BR459" s="136">
        <f t="shared" si="80"/>
        <v>0</v>
      </c>
      <c r="BS459" s="136">
        <f t="shared" si="78"/>
        <v>0</v>
      </c>
      <c r="BT459" s="136">
        <f t="shared" si="78"/>
        <v>-861788</v>
      </c>
      <c r="BU459" s="136">
        <f t="shared" si="78"/>
        <v>0</v>
      </c>
      <c r="BV459" s="136">
        <f t="shared" si="78"/>
        <v>0</v>
      </c>
      <c r="BW459" s="136">
        <f t="shared" si="78"/>
        <v>0</v>
      </c>
      <c r="BX459" s="136">
        <f t="shared" si="78"/>
        <v>0</v>
      </c>
      <c r="BZ459" s="136">
        <f t="shared" si="79"/>
        <v>0</v>
      </c>
      <c r="CA459" s="136">
        <f t="shared" si="79"/>
        <v>0</v>
      </c>
    </row>
    <row r="460" spans="7:79" hidden="1" x14ac:dyDescent="0.3">
      <c r="G460" s="136">
        <f t="shared" si="81"/>
        <v>0</v>
      </c>
      <c r="H460" s="136">
        <f t="shared" si="81"/>
        <v>0</v>
      </c>
      <c r="I460" s="136">
        <f t="shared" si="81"/>
        <v>0</v>
      </c>
      <c r="J460" s="136">
        <f t="shared" si="81"/>
        <v>0</v>
      </c>
      <c r="K460" s="136">
        <f t="shared" si="81"/>
        <v>0</v>
      </c>
      <c r="L460" s="136">
        <f t="shared" si="81"/>
        <v>0</v>
      </c>
      <c r="M460" s="136">
        <f t="shared" si="81"/>
        <v>0</v>
      </c>
      <c r="N460" s="136">
        <f t="shared" si="81"/>
        <v>0</v>
      </c>
      <c r="O460" s="136">
        <f t="shared" si="81"/>
        <v>0</v>
      </c>
      <c r="P460" s="136">
        <f t="shared" si="81"/>
        <v>0</v>
      </c>
      <c r="Q460" s="136">
        <f t="shared" si="81"/>
        <v>0</v>
      </c>
      <c r="R460" s="136">
        <f t="shared" si="81"/>
        <v>0</v>
      </c>
      <c r="S460" s="136">
        <f t="shared" si="81"/>
        <v>0</v>
      </c>
      <c r="T460" s="136">
        <f t="shared" si="81"/>
        <v>0</v>
      </c>
      <c r="U460" s="136">
        <f t="shared" si="81"/>
        <v>0</v>
      </c>
      <c r="V460" s="136">
        <f t="shared" si="81"/>
        <v>0</v>
      </c>
      <c r="W460" s="136">
        <f t="shared" si="81"/>
        <v>0</v>
      </c>
      <c r="X460" s="136">
        <f t="shared" si="81"/>
        <v>0</v>
      </c>
      <c r="Y460" s="136">
        <f t="shared" si="81"/>
        <v>0</v>
      </c>
      <c r="Z460" s="136">
        <f t="shared" si="81"/>
        <v>0</v>
      </c>
      <c r="AA460" s="136">
        <f t="shared" si="81"/>
        <v>0</v>
      </c>
      <c r="AB460" s="136">
        <f t="shared" si="81"/>
        <v>0</v>
      </c>
      <c r="AC460" s="136">
        <f t="shared" si="81"/>
        <v>0</v>
      </c>
      <c r="AD460" s="136">
        <f t="shared" si="81"/>
        <v>0</v>
      </c>
      <c r="AE460" s="136">
        <f t="shared" si="81"/>
        <v>0</v>
      </c>
      <c r="AF460" s="136">
        <f t="shared" si="81"/>
        <v>0</v>
      </c>
      <c r="AG460" s="136">
        <f t="shared" si="81"/>
        <v>0</v>
      </c>
      <c r="AH460" s="136">
        <f t="shared" si="81"/>
        <v>0</v>
      </c>
      <c r="AI460" s="136">
        <f t="shared" si="81"/>
        <v>0</v>
      </c>
      <c r="AJ460" s="136">
        <f t="shared" si="81"/>
        <v>0</v>
      </c>
      <c r="AK460" s="136">
        <f t="shared" si="81"/>
        <v>0</v>
      </c>
      <c r="AL460" s="136">
        <f t="shared" si="81"/>
        <v>0</v>
      </c>
      <c r="AM460" s="136">
        <f t="shared" si="81"/>
        <v>0</v>
      </c>
      <c r="AN460" s="136">
        <f t="shared" si="81"/>
        <v>0</v>
      </c>
      <c r="AO460" s="136">
        <f t="shared" si="81"/>
        <v>0</v>
      </c>
      <c r="AP460" s="136">
        <f t="shared" si="81"/>
        <v>0</v>
      </c>
      <c r="AQ460" s="136">
        <f t="shared" si="81"/>
        <v>0</v>
      </c>
      <c r="AR460" s="136">
        <f t="shared" si="81"/>
        <v>0</v>
      </c>
      <c r="AS460" s="136">
        <f t="shared" si="81"/>
        <v>0</v>
      </c>
      <c r="AT460" s="136">
        <f t="shared" si="81"/>
        <v>0</v>
      </c>
      <c r="AU460" s="136">
        <f t="shared" si="81"/>
        <v>0</v>
      </c>
      <c r="AV460" s="136">
        <f t="shared" si="81"/>
        <v>0</v>
      </c>
      <c r="AW460" s="136">
        <f t="shared" si="81"/>
        <v>0</v>
      </c>
      <c r="AX460" s="136">
        <f t="shared" si="81"/>
        <v>0</v>
      </c>
      <c r="AY460" s="136">
        <f t="shared" si="81"/>
        <v>0</v>
      </c>
      <c r="AZ460" s="136">
        <f t="shared" si="81"/>
        <v>0</v>
      </c>
      <c r="BA460" s="136">
        <f t="shared" si="81"/>
        <v>0</v>
      </c>
      <c r="BB460" s="136">
        <f t="shared" si="81"/>
        <v>0</v>
      </c>
      <c r="BC460" s="136">
        <f t="shared" si="81"/>
        <v>0</v>
      </c>
      <c r="BD460" s="136">
        <f t="shared" si="81"/>
        <v>0</v>
      </c>
      <c r="BE460" s="136">
        <f t="shared" si="81"/>
        <v>0</v>
      </c>
      <c r="BF460" s="136">
        <f t="shared" si="81"/>
        <v>0</v>
      </c>
      <c r="BG460" s="136">
        <f t="shared" si="81"/>
        <v>0</v>
      </c>
      <c r="BH460" s="136">
        <f t="shared" si="81"/>
        <v>0</v>
      </c>
      <c r="BI460" s="136">
        <f t="shared" si="81"/>
        <v>0</v>
      </c>
      <c r="BJ460" s="136">
        <f t="shared" si="81"/>
        <v>0</v>
      </c>
      <c r="BK460" s="136">
        <f t="shared" si="81"/>
        <v>0</v>
      </c>
      <c r="BL460" s="136">
        <f t="shared" si="81"/>
        <v>0</v>
      </c>
      <c r="BM460" s="136">
        <f t="shared" si="81"/>
        <v>0</v>
      </c>
      <c r="BN460" s="136">
        <f t="shared" si="81"/>
        <v>0</v>
      </c>
      <c r="BO460" s="136">
        <f t="shared" si="81"/>
        <v>0</v>
      </c>
      <c r="BP460" s="136">
        <f t="shared" si="81"/>
        <v>0</v>
      </c>
      <c r="BQ460" s="136">
        <f t="shared" si="81"/>
        <v>0</v>
      </c>
      <c r="BR460" s="136">
        <f t="shared" si="80"/>
        <v>0</v>
      </c>
      <c r="BS460" s="136">
        <f t="shared" si="78"/>
        <v>0</v>
      </c>
      <c r="BT460" s="136">
        <f t="shared" si="78"/>
        <v>0</v>
      </c>
      <c r="BU460" s="136">
        <f t="shared" si="78"/>
        <v>0</v>
      </c>
      <c r="BV460" s="136">
        <f t="shared" si="78"/>
        <v>0</v>
      </c>
      <c r="BW460" s="136">
        <f t="shared" si="78"/>
        <v>0</v>
      </c>
      <c r="BX460" s="136">
        <f t="shared" si="78"/>
        <v>0</v>
      </c>
      <c r="BZ460" s="136">
        <f t="shared" si="79"/>
        <v>0</v>
      </c>
      <c r="CA460" s="136">
        <f t="shared" si="79"/>
        <v>0</v>
      </c>
    </row>
    <row r="461" spans="7:79" hidden="1" x14ac:dyDescent="0.3">
      <c r="G461" s="136">
        <f t="shared" si="81"/>
        <v>-19625911</v>
      </c>
      <c r="H461" s="136">
        <f t="shared" si="81"/>
        <v>0</v>
      </c>
      <c r="I461" s="136">
        <f t="shared" si="81"/>
        <v>0</v>
      </c>
      <c r="J461" s="136">
        <f t="shared" ref="J461:BQ465" si="82">J70-CB70</f>
        <v>0</v>
      </c>
      <c r="K461" s="136">
        <f t="shared" si="82"/>
        <v>0</v>
      </c>
      <c r="L461" s="136">
        <f t="shared" si="82"/>
        <v>893664</v>
      </c>
      <c r="M461" s="136">
        <f t="shared" si="82"/>
        <v>0</v>
      </c>
      <c r="N461" s="136">
        <f t="shared" si="82"/>
        <v>0</v>
      </c>
      <c r="O461" s="136">
        <f t="shared" si="82"/>
        <v>0</v>
      </c>
      <c r="P461" s="136">
        <f t="shared" si="82"/>
        <v>0</v>
      </c>
      <c r="Q461" s="136">
        <f t="shared" si="82"/>
        <v>-2715587</v>
      </c>
      <c r="R461" s="136">
        <f t="shared" si="82"/>
        <v>0</v>
      </c>
      <c r="S461" s="136">
        <f t="shared" si="82"/>
        <v>0</v>
      </c>
      <c r="T461" s="136">
        <f t="shared" si="82"/>
        <v>0</v>
      </c>
      <c r="U461" s="136">
        <f t="shared" si="82"/>
        <v>0</v>
      </c>
      <c r="V461" s="136">
        <f t="shared" si="82"/>
        <v>830764</v>
      </c>
      <c r="W461" s="136">
        <f t="shared" si="82"/>
        <v>0</v>
      </c>
      <c r="X461" s="136">
        <f t="shared" si="82"/>
        <v>0</v>
      </c>
      <c r="Y461" s="136">
        <f t="shared" si="82"/>
        <v>0</v>
      </c>
      <c r="Z461" s="136">
        <f t="shared" si="82"/>
        <v>0</v>
      </c>
      <c r="AA461" s="136">
        <f t="shared" si="82"/>
        <v>-421627</v>
      </c>
      <c r="AB461" s="136">
        <f t="shared" si="82"/>
        <v>0</v>
      </c>
      <c r="AC461" s="136">
        <f t="shared" si="82"/>
        <v>0</v>
      </c>
      <c r="AD461" s="136">
        <f t="shared" si="82"/>
        <v>0</v>
      </c>
      <c r="AE461" s="136">
        <f t="shared" si="82"/>
        <v>0</v>
      </c>
      <c r="AF461" s="136">
        <f t="shared" si="82"/>
        <v>1648098</v>
      </c>
      <c r="AG461" s="136">
        <f t="shared" si="82"/>
        <v>0</v>
      </c>
      <c r="AH461" s="136">
        <f t="shared" si="82"/>
        <v>0</v>
      </c>
      <c r="AI461" s="136">
        <f t="shared" si="82"/>
        <v>0</v>
      </c>
      <c r="AJ461" s="136">
        <f t="shared" si="82"/>
        <v>0</v>
      </c>
      <c r="AK461" s="136">
        <f t="shared" si="82"/>
        <v>-1230439</v>
      </c>
      <c r="AL461" s="136">
        <f t="shared" si="82"/>
        <v>0</v>
      </c>
      <c r="AM461" s="136">
        <f t="shared" si="82"/>
        <v>0</v>
      </c>
      <c r="AN461" s="136">
        <f t="shared" si="82"/>
        <v>0</v>
      </c>
      <c r="AO461" s="136">
        <f t="shared" si="82"/>
        <v>0</v>
      </c>
      <c r="AP461" s="136">
        <f t="shared" si="82"/>
        <v>711059</v>
      </c>
      <c r="AQ461" s="136">
        <f t="shared" si="82"/>
        <v>0</v>
      </c>
      <c r="AR461" s="136">
        <f t="shared" si="82"/>
        <v>0</v>
      </c>
      <c r="AS461" s="136">
        <f t="shared" si="82"/>
        <v>0</v>
      </c>
      <c r="AT461" s="136">
        <f t="shared" si="82"/>
        <v>0</v>
      </c>
      <c r="AU461" s="136">
        <f t="shared" si="82"/>
        <v>-467910</v>
      </c>
      <c r="AV461" s="136">
        <f t="shared" si="82"/>
        <v>0</v>
      </c>
      <c r="AW461" s="136">
        <f t="shared" si="82"/>
        <v>0</v>
      </c>
      <c r="AX461" s="136">
        <f t="shared" si="82"/>
        <v>0</v>
      </c>
      <c r="AY461" s="136">
        <f t="shared" si="82"/>
        <v>0</v>
      </c>
      <c r="AZ461" s="136">
        <f t="shared" si="82"/>
        <v>-1847604</v>
      </c>
      <c r="BA461" s="136">
        <f t="shared" si="82"/>
        <v>0</v>
      </c>
      <c r="BB461" s="136">
        <f t="shared" si="82"/>
        <v>0</v>
      </c>
      <c r="BC461" s="136">
        <f t="shared" si="82"/>
        <v>0</v>
      </c>
      <c r="BD461" s="136">
        <f t="shared" si="82"/>
        <v>0</v>
      </c>
      <c r="BE461" s="136">
        <f t="shared" si="82"/>
        <v>-1974177</v>
      </c>
      <c r="BF461" s="136">
        <f t="shared" si="82"/>
        <v>0</v>
      </c>
      <c r="BG461" s="136">
        <f t="shared" si="82"/>
        <v>0</v>
      </c>
      <c r="BH461" s="136">
        <f t="shared" si="82"/>
        <v>0</v>
      </c>
      <c r="BI461" s="136">
        <f t="shared" si="82"/>
        <v>0</v>
      </c>
      <c r="BJ461" s="136">
        <f t="shared" si="82"/>
        <v>-1638587</v>
      </c>
      <c r="BK461" s="136">
        <f t="shared" si="82"/>
        <v>0</v>
      </c>
      <c r="BL461" s="136">
        <f t="shared" si="82"/>
        <v>0</v>
      </c>
      <c r="BM461" s="136">
        <f t="shared" si="82"/>
        <v>0</v>
      </c>
      <c r="BN461" s="136">
        <f t="shared" si="82"/>
        <v>0</v>
      </c>
      <c r="BO461" s="136">
        <f t="shared" si="82"/>
        <v>-910387</v>
      </c>
      <c r="BP461" s="136">
        <f t="shared" si="82"/>
        <v>0</v>
      </c>
      <c r="BQ461" s="136">
        <f t="shared" si="82"/>
        <v>0</v>
      </c>
      <c r="BR461" s="136">
        <f t="shared" si="80"/>
        <v>0</v>
      </c>
      <c r="BS461" s="136">
        <f t="shared" si="78"/>
        <v>0</v>
      </c>
      <c r="BT461" s="136">
        <f t="shared" si="78"/>
        <v>-4573759</v>
      </c>
      <c r="BU461" s="136">
        <f t="shared" si="78"/>
        <v>0</v>
      </c>
      <c r="BV461" s="136">
        <f t="shared" si="78"/>
        <v>0</v>
      </c>
      <c r="BW461" s="136">
        <f t="shared" si="78"/>
        <v>0</v>
      </c>
      <c r="BX461" s="136">
        <f t="shared" si="78"/>
        <v>0</v>
      </c>
      <c r="BZ461" s="136">
        <f t="shared" si="79"/>
        <v>0</v>
      </c>
      <c r="CA461" s="136">
        <f t="shared" si="79"/>
        <v>0</v>
      </c>
    </row>
    <row r="462" spans="7:79" hidden="1" x14ac:dyDescent="0.3">
      <c r="G462" s="136">
        <f t="shared" ref="G462:V469" si="83">G71-BY71</f>
        <v>-7120738</v>
      </c>
      <c r="H462" s="136">
        <f t="shared" si="83"/>
        <v>0</v>
      </c>
      <c r="I462" s="136">
        <f t="shared" si="83"/>
        <v>0</v>
      </c>
      <c r="J462" s="136">
        <f t="shared" si="82"/>
        <v>0</v>
      </c>
      <c r="K462" s="136">
        <f t="shared" si="82"/>
        <v>0</v>
      </c>
      <c r="L462" s="136">
        <f t="shared" si="82"/>
        <v>326207</v>
      </c>
      <c r="M462" s="136">
        <f t="shared" si="82"/>
        <v>0</v>
      </c>
      <c r="N462" s="136">
        <f t="shared" si="82"/>
        <v>0</v>
      </c>
      <c r="O462" s="136">
        <f t="shared" si="82"/>
        <v>0</v>
      </c>
      <c r="P462" s="136">
        <f t="shared" si="82"/>
        <v>0</v>
      </c>
      <c r="Q462" s="136">
        <f t="shared" si="82"/>
        <v>-997806</v>
      </c>
      <c r="R462" s="136">
        <f t="shared" si="82"/>
        <v>0</v>
      </c>
      <c r="S462" s="136">
        <f t="shared" si="82"/>
        <v>0</v>
      </c>
      <c r="T462" s="136">
        <f t="shared" si="82"/>
        <v>0</v>
      </c>
      <c r="U462" s="136">
        <f t="shared" si="82"/>
        <v>0</v>
      </c>
      <c r="V462" s="136">
        <f t="shared" si="82"/>
        <v>299885</v>
      </c>
      <c r="W462" s="136">
        <f t="shared" si="82"/>
        <v>0</v>
      </c>
      <c r="X462" s="136">
        <f t="shared" si="82"/>
        <v>0</v>
      </c>
      <c r="Y462" s="136">
        <f t="shared" si="82"/>
        <v>0</v>
      </c>
      <c r="Z462" s="136">
        <f t="shared" si="82"/>
        <v>0</v>
      </c>
      <c r="AA462" s="136">
        <f t="shared" si="82"/>
        <v>-189595</v>
      </c>
      <c r="AB462" s="136">
        <f t="shared" si="82"/>
        <v>0</v>
      </c>
      <c r="AC462" s="136">
        <f t="shared" si="82"/>
        <v>0</v>
      </c>
      <c r="AD462" s="136">
        <f t="shared" si="82"/>
        <v>0</v>
      </c>
      <c r="AE462" s="136">
        <f t="shared" si="82"/>
        <v>0</v>
      </c>
      <c r="AF462" s="136">
        <f t="shared" si="82"/>
        <v>481497</v>
      </c>
      <c r="AG462" s="136">
        <f t="shared" si="82"/>
        <v>0</v>
      </c>
      <c r="AH462" s="136">
        <f t="shared" si="82"/>
        <v>0</v>
      </c>
      <c r="AI462" s="136">
        <f t="shared" si="82"/>
        <v>0</v>
      </c>
      <c r="AJ462" s="136">
        <f t="shared" si="82"/>
        <v>0</v>
      </c>
      <c r="AK462" s="136">
        <f t="shared" si="82"/>
        <v>-479728</v>
      </c>
      <c r="AL462" s="136">
        <f t="shared" si="82"/>
        <v>0</v>
      </c>
      <c r="AM462" s="136">
        <f t="shared" si="82"/>
        <v>0</v>
      </c>
      <c r="AN462" s="136">
        <f t="shared" si="82"/>
        <v>0</v>
      </c>
      <c r="AO462" s="136">
        <f t="shared" si="82"/>
        <v>0</v>
      </c>
      <c r="AP462" s="136">
        <f t="shared" si="82"/>
        <v>-82531</v>
      </c>
      <c r="AQ462" s="136">
        <f t="shared" si="82"/>
        <v>0</v>
      </c>
      <c r="AR462" s="136">
        <f t="shared" si="82"/>
        <v>0</v>
      </c>
      <c r="AS462" s="136">
        <f t="shared" si="82"/>
        <v>0</v>
      </c>
      <c r="AT462" s="136">
        <f t="shared" si="82"/>
        <v>0</v>
      </c>
      <c r="AU462" s="136">
        <f t="shared" si="82"/>
        <v>-310876</v>
      </c>
      <c r="AV462" s="136">
        <f t="shared" si="82"/>
        <v>0</v>
      </c>
      <c r="AW462" s="136">
        <f t="shared" si="82"/>
        <v>0</v>
      </c>
      <c r="AX462" s="136">
        <f t="shared" si="82"/>
        <v>0</v>
      </c>
      <c r="AY462" s="136">
        <f t="shared" si="82"/>
        <v>0</v>
      </c>
      <c r="AZ462" s="136">
        <f t="shared" si="82"/>
        <v>-709615</v>
      </c>
      <c r="BA462" s="136">
        <f t="shared" si="82"/>
        <v>0</v>
      </c>
      <c r="BB462" s="136">
        <f t="shared" si="82"/>
        <v>0</v>
      </c>
      <c r="BC462" s="136">
        <f t="shared" si="82"/>
        <v>0</v>
      </c>
      <c r="BD462" s="136">
        <f t="shared" si="82"/>
        <v>0</v>
      </c>
      <c r="BE462" s="136">
        <f t="shared" si="82"/>
        <v>-805917</v>
      </c>
      <c r="BF462" s="136">
        <f t="shared" si="82"/>
        <v>0</v>
      </c>
      <c r="BG462" s="136">
        <f t="shared" si="82"/>
        <v>0</v>
      </c>
      <c r="BH462" s="136">
        <f t="shared" si="82"/>
        <v>0</v>
      </c>
      <c r="BI462" s="136">
        <f t="shared" si="82"/>
        <v>0</v>
      </c>
      <c r="BJ462" s="136">
        <f t="shared" si="82"/>
        <v>-621799</v>
      </c>
      <c r="BK462" s="136">
        <f t="shared" si="82"/>
        <v>0</v>
      </c>
      <c r="BL462" s="136">
        <f t="shared" si="82"/>
        <v>0</v>
      </c>
      <c r="BM462" s="136">
        <f t="shared" si="82"/>
        <v>0</v>
      </c>
      <c r="BN462" s="136">
        <f t="shared" si="82"/>
        <v>0</v>
      </c>
      <c r="BO462" s="136">
        <f t="shared" si="82"/>
        <v>-328113</v>
      </c>
      <c r="BP462" s="136">
        <f t="shared" si="82"/>
        <v>0</v>
      </c>
      <c r="BQ462" s="136">
        <f t="shared" si="82"/>
        <v>0</v>
      </c>
      <c r="BR462" s="136">
        <f t="shared" si="80"/>
        <v>0</v>
      </c>
      <c r="BS462" s="136">
        <f t="shared" si="78"/>
        <v>0</v>
      </c>
      <c r="BT462" s="136">
        <f t="shared" si="78"/>
        <v>-2468479</v>
      </c>
      <c r="BU462" s="136">
        <f t="shared" si="78"/>
        <v>0</v>
      </c>
      <c r="BV462" s="136">
        <f t="shared" si="78"/>
        <v>0</v>
      </c>
      <c r="BW462" s="136">
        <f t="shared" si="78"/>
        <v>0</v>
      </c>
      <c r="BX462" s="136">
        <f t="shared" si="78"/>
        <v>0</v>
      </c>
      <c r="BZ462" s="136">
        <f t="shared" si="79"/>
        <v>0</v>
      </c>
      <c r="CA462" s="136">
        <f t="shared" si="79"/>
        <v>0</v>
      </c>
    </row>
    <row r="463" spans="7:79" hidden="1" x14ac:dyDescent="0.3">
      <c r="G463" s="136">
        <f t="shared" si="83"/>
        <v>-5484262</v>
      </c>
      <c r="H463" s="136">
        <f t="shared" si="83"/>
        <v>0</v>
      </c>
      <c r="I463" s="136">
        <f t="shared" si="83"/>
        <v>0</v>
      </c>
      <c r="J463" s="136">
        <f t="shared" si="82"/>
        <v>0</v>
      </c>
      <c r="K463" s="136">
        <f t="shared" si="82"/>
        <v>0</v>
      </c>
      <c r="L463" s="136">
        <f t="shared" si="82"/>
        <v>208793</v>
      </c>
      <c r="M463" s="136">
        <f t="shared" si="82"/>
        <v>0</v>
      </c>
      <c r="N463" s="136">
        <f t="shared" si="82"/>
        <v>0</v>
      </c>
      <c r="O463" s="136">
        <f t="shared" si="82"/>
        <v>0</v>
      </c>
      <c r="P463" s="136">
        <f t="shared" si="82"/>
        <v>0</v>
      </c>
      <c r="Q463" s="136">
        <f t="shared" si="82"/>
        <v>-792194</v>
      </c>
      <c r="R463" s="136">
        <f t="shared" si="82"/>
        <v>0</v>
      </c>
      <c r="S463" s="136">
        <f t="shared" si="82"/>
        <v>0</v>
      </c>
      <c r="T463" s="136">
        <f t="shared" si="82"/>
        <v>0</v>
      </c>
      <c r="U463" s="136">
        <f t="shared" si="82"/>
        <v>0</v>
      </c>
      <c r="V463" s="136">
        <f t="shared" si="82"/>
        <v>205115</v>
      </c>
      <c r="W463" s="136">
        <f t="shared" si="82"/>
        <v>0</v>
      </c>
      <c r="X463" s="136">
        <f t="shared" si="82"/>
        <v>0</v>
      </c>
      <c r="Y463" s="136">
        <f t="shared" si="82"/>
        <v>0</v>
      </c>
      <c r="Z463" s="136">
        <f t="shared" si="82"/>
        <v>0</v>
      </c>
      <c r="AA463" s="136">
        <f t="shared" si="82"/>
        <v>-135405</v>
      </c>
      <c r="AB463" s="136">
        <f t="shared" si="82"/>
        <v>0</v>
      </c>
      <c r="AC463" s="136">
        <f t="shared" si="82"/>
        <v>0</v>
      </c>
      <c r="AD463" s="136">
        <f t="shared" si="82"/>
        <v>0</v>
      </c>
      <c r="AE463" s="136">
        <f t="shared" si="82"/>
        <v>0</v>
      </c>
      <c r="AF463" s="136">
        <f t="shared" si="82"/>
        <v>483503</v>
      </c>
      <c r="AG463" s="136">
        <f t="shared" si="82"/>
        <v>0</v>
      </c>
      <c r="AH463" s="136">
        <f t="shared" si="82"/>
        <v>0</v>
      </c>
      <c r="AI463" s="136">
        <f t="shared" si="82"/>
        <v>0</v>
      </c>
      <c r="AJ463" s="136">
        <f t="shared" si="82"/>
        <v>0</v>
      </c>
      <c r="AK463" s="136">
        <f t="shared" si="82"/>
        <v>-345272</v>
      </c>
      <c r="AL463" s="136">
        <f t="shared" si="82"/>
        <v>0</v>
      </c>
      <c r="AM463" s="136">
        <f t="shared" si="82"/>
        <v>0</v>
      </c>
      <c r="AN463" s="136">
        <f t="shared" si="82"/>
        <v>0</v>
      </c>
      <c r="AO463" s="136">
        <f t="shared" si="82"/>
        <v>0</v>
      </c>
      <c r="AP463" s="136">
        <f t="shared" si="82"/>
        <v>402531</v>
      </c>
      <c r="AQ463" s="136">
        <f t="shared" si="82"/>
        <v>0</v>
      </c>
      <c r="AR463" s="136">
        <f t="shared" si="82"/>
        <v>0</v>
      </c>
      <c r="AS463" s="136">
        <f t="shared" si="82"/>
        <v>0</v>
      </c>
      <c r="AT463" s="136">
        <f t="shared" si="82"/>
        <v>0</v>
      </c>
      <c r="AU463" s="136">
        <f t="shared" si="82"/>
        <v>-39124</v>
      </c>
      <c r="AV463" s="136">
        <f t="shared" si="82"/>
        <v>0</v>
      </c>
      <c r="AW463" s="136">
        <f t="shared" si="82"/>
        <v>0</v>
      </c>
      <c r="AX463" s="136">
        <f t="shared" si="82"/>
        <v>0</v>
      </c>
      <c r="AY463" s="136">
        <f t="shared" si="82"/>
        <v>0</v>
      </c>
      <c r="AZ463" s="136">
        <f t="shared" si="82"/>
        <v>-475385</v>
      </c>
      <c r="BA463" s="136">
        <f t="shared" si="82"/>
        <v>0</v>
      </c>
      <c r="BB463" s="136">
        <f t="shared" si="82"/>
        <v>0</v>
      </c>
      <c r="BC463" s="136">
        <f t="shared" si="82"/>
        <v>0</v>
      </c>
      <c r="BD463" s="136">
        <f t="shared" si="82"/>
        <v>0</v>
      </c>
      <c r="BE463" s="136">
        <f t="shared" si="82"/>
        <v>-474083</v>
      </c>
      <c r="BF463" s="136">
        <f t="shared" si="82"/>
        <v>0</v>
      </c>
      <c r="BG463" s="136">
        <f t="shared" si="82"/>
        <v>0</v>
      </c>
      <c r="BH463" s="136">
        <f t="shared" si="82"/>
        <v>0</v>
      </c>
      <c r="BI463" s="136">
        <f t="shared" si="82"/>
        <v>0</v>
      </c>
      <c r="BJ463" s="136">
        <f t="shared" si="82"/>
        <v>-413201</v>
      </c>
      <c r="BK463" s="136">
        <f t="shared" si="82"/>
        <v>0</v>
      </c>
      <c r="BL463" s="136">
        <f t="shared" si="82"/>
        <v>0</v>
      </c>
      <c r="BM463" s="136">
        <f t="shared" si="82"/>
        <v>0</v>
      </c>
      <c r="BN463" s="136">
        <f t="shared" si="82"/>
        <v>0</v>
      </c>
      <c r="BO463" s="136">
        <f t="shared" si="82"/>
        <v>-241887</v>
      </c>
      <c r="BP463" s="136">
        <f t="shared" si="82"/>
        <v>0</v>
      </c>
      <c r="BQ463" s="136">
        <f t="shared" si="82"/>
        <v>0</v>
      </c>
      <c r="BR463" s="136">
        <f t="shared" si="80"/>
        <v>0</v>
      </c>
      <c r="BS463" s="136">
        <f t="shared" si="78"/>
        <v>0</v>
      </c>
      <c r="BT463" s="136">
        <f t="shared" si="78"/>
        <v>-961521</v>
      </c>
      <c r="BU463" s="136">
        <f t="shared" si="78"/>
        <v>0</v>
      </c>
      <c r="BV463" s="136">
        <f t="shared" si="78"/>
        <v>0</v>
      </c>
      <c r="BW463" s="136">
        <f t="shared" si="78"/>
        <v>0</v>
      </c>
      <c r="BX463" s="136">
        <f t="shared" si="78"/>
        <v>0</v>
      </c>
      <c r="BZ463" s="136">
        <f t="shared" si="79"/>
        <v>0</v>
      </c>
      <c r="CA463" s="136">
        <f t="shared" si="79"/>
        <v>0</v>
      </c>
    </row>
    <row r="464" spans="7:79" hidden="1" x14ac:dyDescent="0.3">
      <c r="G464" s="136">
        <f t="shared" si="83"/>
        <v>0</v>
      </c>
      <c r="H464" s="136">
        <f t="shared" si="83"/>
        <v>0</v>
      </c>
      <c r="I464" s="136">
        <f t="shared" si="83"/>
        <v>0</v>
      </c>
      <c r="J464" s="136">
        <f t="shared" si="82"/>
        <v>0</v>
      </c>
      <c r="K464" s="136">
        <f t="shared" si="82"/>
        <v>0</v>
      </c>
      <c r="L464" s="136">
        <f t="shared" si="82"/>
        <v>0</v>
      </c>
      <c r="M464" s="136">
        <f t="shared" si="82"/>
        <v>0</v>
      </c>
      <c r="N464" s="136">
        <f t="shared" si="82"/>
        <v>0</v>
      </c>
      <c r="O464" s="136">
        <f t="shared" si="82"/>
        <v>0</v>
      </c>
      <c r="P464" s="136">
        <f t="shared" si="82"/>
        <v>0</v>
      </c>
      <c r="Q464" s="136">
        <f t="shared" si="82"/>
        <v>0</v>
      </c>
      <c r="R464" s="136">
        <f t="shared" si="82"/>
        <v>0</v>
      </c>
      <c r="S464" s="136">
        <f t="shared" si="82"/>
        <v>0</v>
      </c>
      <c r="T464" s="136">
        <f t="shared" si="82"/>
        <v>0</v>
      </c>
      <c r="U464" s="136">
        <f t="shared" si="82"/>
        <v>0</v>
      </c>
      <c r="V464" s="136">
        <f t="shared" si="82"/>
        <v>0</v>
      </c>
      <c r="W464" s="136">
        <f t="shared" si="82"/>
        <v>0</v>
      </c>
      <c r="X464" s="136">
        <f t="shared" si="82"/>
        <v>0</v>
      </c>
      <c r="Y464" s="136">
        <f t="shared" si="82"/>
        <v>0</v>
      </c>
      <c r="Z464" s="136">
        <f t="shared" si="82"/>
        <v>0</v>
      </c>
      <c r="AA464" s="136">
        <f t="shared" si="82"/>
        <v>0</v>
      </c>
      <c r="AB464" s="136">
        <f t="shared" si="82"/>
        <v>0</v>
      </c>
      <c r="AC464" s="136">
        <f t="shared" si="82"/>
        <v>0</v>
      </c>
      <c r="AD464" s="136">
        <f t="shared" si="82"/>
        <v>0</v>
      </c>
      <c r="AE464" s="136">
        <f t="shared" si="82"/>
        <v>0</v>
      </c>
      <c r="AF464" s="136">
        <f t="shared" si="82"/>
        <v>0</v>
      </c>
      <c r="AG464" s="136">
        <f t="shared" si="82"/>
        <v>0</v>
      </c>
      <c r="AH464" s="136">
        <f t="shared" si="82"/>
        <v>0</v>
      </c>
      <c r="AI464" s="136">
        <f t="shared" si="82"/>
        <v>0</v>
      </c>
      <c r="AJ464" s="136">
        <f t="shared" si="82"/>
        <v>0</v>
      </c>
      <c r="AK464" s="136">
        <f t="shared" si="82"/>
        <v>0</v>
      </c>
      <c r="AL464" s="136">
        <f t="shared" si="82"/>
        <v>0</v>
      </c>
      <c r="AM464" s="136">
        <f t="shared" si="82"/>
        <v>0</v>
      </c>
      <c r="AN464" s="136">
        <f t="shared" si="82"/>
        <v>0</v>
      </c>
      <c r="AO464" s="136">
        <f t="shared" si="82"/>
        <v>0</v>
      </c>
      <c r="AP464" s="136">
        <f t="shared" si="82"/>
        <v>0</v>
      </c>
      <c r="AQ464" s="136">
        <f t="shared" si="82"/>
        <v>0</v>
      </c>
      <c r="AR464" s="136">
        <f t="shared" si="82"/>
        <v>0</v>
      </c>
      <c r="AS464" s="136">
        <f t="shared" si="82"/>
        <v>0</v>
      </c>
      <c r="AT464" s="136">
        <f t="shared" si="82"/>
        <v>0</v>
      </c>
      <c r="AU464" s="136">
        <f t="shared" si="82"/>
        <v>0</v>
      </c>
      <c r="AV464" s="136">
        <f t="shared" si="82"/>
        <v>0</v>
      </c>
      <c r="AW464" s="136">
        <f t="shared" si="82"/>
        <v>0</v>
      </c>
      <c r="AX464" s="136">
        <f t="shared" si="82"/>
        <v>0</v>
      </c>
      <c r="AY464" s="136">
        <f t="shared" si="82"/>
        <v>0</v>
      </c>
      <c r="AZ464" s="136">
        <f t="shared" si="82"/>
        <v>0</v>
      </c>
      <c r="BA464" s="136">
        <f t="shared" si="82"/>
        <v>0</v>
      </c>
      <c r="BB464" s="136">
        <f t="shared" si="82"/>
        <v>0</v>
      </c>
      <c r="BC464" s="136">
        <f t="shared" si="82"/>
        <v>0</v>
      </c>
      <c r="BD464" s="136">
        <f t="shared" si="82"/>
        <v>0</v>
      </c>
      <c r="BE464" s="136">
        <f t="shared" si="82"/>
        <v>0</v>
      </c>
      <c r="BF464" s="136">
        <f t="shared" si="82"/>
        <v>0</v>
      </c>
      <c r="BG464" s="136">
        <f t="shared" si="82"/>
        <v>0</v>
      </c>
      <c r="BH464" s="136">
        <f t="shared" si="82"/>
        <v>0</v>
      </c>
      <c r="BI464" s="136">
        <f t="shared" si="82"/>
        <v>0</v>
      </c>
      <c r="BJ464" s="136">
        <f t="shared" si="82"/>
        <v>0</v>
      </c>
      <c r="BK464" s="136">
        <f t="shared" si="82"/>
        <v>0</v>
      </c>
      <c r="BL464" s="136">
        <f t="shared" si="82"/>
        <v>0</v>
      </c>
      <c r="BM464" s="136">
        <f t="shared" si="82"/>
        <v>0</v>
      </c>
      <c r="BN464" s="136">
        <f t="shared" si="82"/>
        <v>0</v>
      </c>
      <c r="BO464" s="136">
        <f t="shared" si="82"/>
        <v>0</v>
      </c>
      <c r="BP464" s="136">
        <f t="shared" si="82"/>
        <v>0</v>
      </c>
      <c r="BQ464" s="136">
        <f t="shared" si="82"/>
        <v>0</v>
      </c>
      <c r="BR464" s="136">
        <f t="shared" si="80"/>
        <v>0</v>
      </c>
      <c r="BS464" s="136">
        <f t="shared" si="78"/>
        <v>0</v>
      </c>
      <c r="BT464" s="136">
        <f t="shared" si="78"/>
        <v>0</v>
      </c>
      <c r="BU464" s="136">
        <f t="shared" si="78"/>
        <v>0</v>
      </c>
      <c r="BV464" s="136">
        <f t="shared" si="78"/>
        <v>0</v>
      </c>
      <c r="BW464" s="136">
        <f t="shared" si="78"/>
        <v>0</v>
      </c>
      <c r="BX464" s="136">
        <f t="shared" si="78"/>
        <v>0</v>
      </c>
      <c r="BZ464" s="136">
        <f t="shared" si="79"/>
        <v>0</v>
      </c>
      <c r="CA464" s="136">
        <f t="shared" si="79"/>
        <v>0</v>
      </c>
    </row>
    <row r="465" spans="7:79" hidden="1" x14ac:dyDescent="0.3">
      <c r="G465" s="136">
        <f t="shared" si="83"/>
        <v>-7020911</v>
      </c>
      <c r="H465" s="136">
        <f t="shared" si="83"/>
        <v>0</v>
      </c>
      <c r="I465" s="136">
        <f t="shared" si="83"/>
        <v>0</v>
      </c>
      <c r="J465" s="136">
        <f t="shared" si="82"/>
        <v>0</v>
      </c>
      <c r="K465" s="136">
        <f t="shared" si="82"/>
        <v>0</v>
      </c>
      <c r="L465" s="136">
        <f t="shared" si="82"/>
        <v>358664</v>
      </c>
      <c r="M465" s="136">
        <f t="shared" si="82"/>
        <v>0</v>
      </c>
      <c r="N465" s="136">
        <f t="shared" si="82"/>
        <v>0</v>
      </c>
      <c r="O465" s="136">
        <f t="shared" si="82"/>
        <v>0</v>
      </c>
      <c r="P465" s="136">
        <f t="shared" si="82"/>
        <v>0</v>
      </c>
      <c r="Q465" s="136">
        <f t="shared" si="82"/>
        <v>-925587</v>
      </c>
      <c r="R465" s="136">
        <f t="shared" si="82"/>
        <v>0</v>
      </c>
      <c r="S465" s="136">
        <f t="shared" si="82"/>
        <v>0</v>
      </c>
      <c r="T465" s="136">
        <f t="shared" si="82"/>
        <v>0</v>
      </c>
      <c r="U465" s="136">
        <f t="shared" si="82"/>
        <v>0</v>
      </c>
      <c r="V465" s="136">
        <f t="shared" si="82"/>
        <v>325764</v>
      </c>
      <c r="W465" s="136">
        <f t="shared" si="82"/>
        <v>0</v>
      </c>
      <c r="X465" s="136">
        <f t="shared" si="82"/>
        <v>0</v>
      </c>
      <c r="Y465" s="136">
        <f t="shared" ref="Y465:BQ469" si="84">Y74-CQ74</f>
        <v>0</v>
      </c>
      <c r="Z465" s="136">
        <f t="shared" si="84"/>
        <v>0</v>
      </c>
      <c r="AA465" s="136">
        <f t="shared" si="84"/>
        <v>-96627</v>
      </c>
      <c r="AB465" s="136">
        <f t="shared" si="84"/>
        <v>0</v>
      </c>
      <c r="AC465" s="136">
        <f t="shared" si="84"/>
        <v>0</v>
      </c>
      <c r="AD465" s="136">
        <f t="shared" si="84"/>
        <v>0</v>
      </c>
      <c r="AE465" s="136">
        <f t="shared" si="84"/>
        <v>0</v>
      </c>
      <c r="AF465" s="136">
        <f t="shared" si="84"/>
        <v>683098</v>
      </c>
      <c r="AG465" s="136">
        <f t="shared" si="84"/>
        <v>0</v>
      </c>
      <c r="AH465" s="136">
        <f t="shared" si="84"/>
        <v>0</v>
      </c>
      <c r="AI465" s="136">
        <f t="shared" si="84"/>
        <v>0</v>
      </c>
      <c r="AJ465" s="136">
        <f t="shared" si="84"/>
        <v>0</v>
      </c>
      <c r="AK465" s="136">
        <f t="shared" si="84"/>
        <v>-405439</v>
      </c>
      <c r="AL465" s="136">
        <f t="shared" si="84"/>
        <v>0</v>
      </c>
      <c r="AM465" s="136">
        <f t="shared" si="84"/>
        <v>0</v>
      </c>
      <c r="AN465" s="136">
        <f t="shared" si="84"/>
        <v>0</v>
      </c>
      <c r="AO465" s="136">
        <f t="shared" si="84"/>
        <v>0</v>
      </c>
      <c r="AP465" s="136">
        <f t="shared" si="84"/>
        <v>391059</v>
      </c>
      <c r="AQ465" s="136">
        <f t="shared" si="84"/>
        <v>0</v>
      </c>
      <c r="AR465" s="136">
        <f t="shared" si="84"/>
        <v>0</v>
      </c>
      <c r="AS465" s="136">
        <f t="shared" si="84"/>
        <v>0</v>
      </c>
      <c r="AT465" s="136">
        <f t="shared" si="84"/>
        <v>0</v>
      </c>
      <c r="AU465" s="136">
        <f t="shared" si="84"/>
        <v>-117910</v>
      </c>
      <c r="AV465" s="136">
        <f t="shared" si="84"/>
        <v>0</v>
      </c>
      <c r="AW465" s="136">
        <f t="shared" si="84"/>
        <v>0</v>
      </c>
      <c r="AX465" s="136">
        <f t="shared" si="84"/>
        <v>0</v>
      </c>
      <c r="AY465" s="136">
        <f t="shared" si="84"/>
        <v>0</v>
      </c>
      <c r="AZ465" s="136">
        <f t="shared" si="84"/>
        <v>-662604</v>
      </c>
      <c r="BA465" s="136">
        <f t="shared" si="84"/>
        <v>0</v>
      </c>
      <c r="BB465" s="136">
        <f t="shared" si="84"/>
        <v>0</v>
      </c>
      <c r="BC465" s="136">
        <f t="shared" si="84"/>
        <v>0</v>
      </c>
      <c r="BD465" s="136">
        <f t="shared" si="84"/>
        <v>0</v>
      </c>
      <c r="BE465" s="136">
        <f t="shared" si="84"/>
        <v>-694177</v>
      </c>
      <c r="BF465" s="136">
        <f t="shared" si="84"/>
        <v>0</v>
      </c>
      <c r="BG465" s="136">
        <f t="shared" si="84"/>
        <v>0</v>
      </c>
      <c r="BH465" s="136">
        <f t="shared" si="84"/>
        <v>0</v>
      </c>
      <c r="BI465" s="136">
        <f t="shared" si="84"/>
        <v>0</v>
      </c>
      <c r="BJ465" s="136">
        <f t="shared" si="84"/>
        <v>-603587</v>
      </c>
      <c r="BK465" s="136">
        <f t="shared" si="84"/>
        <v>0</v>
      </c>
      <c r="BL465" s="136">
        <f t="shared" si="84"/>
        <v>0</v>
      </c>
      <c r="BM465" s="136">
        <f t="shared" si="84"/>
        <v>0</v>
      </c>
      <c r="BN465" s="136">
        <f t="shared" si="84"/>
        <v>0</v>
      </c>
      <c r="BO465" s="136">
        <f t="shared" si="84"/>
        <v>-340387</v>
      </c>
      <c r="BP465" s="136">
        <f t="shared" si="84"/>
        <v>0</v>
      </c>
      <c r="BQ465" s="136">
        <f t="shared" si="84"/>
        <v>0</v>
      </c>
      <c r="BR465" s="136">
        <f t="shared" si="80"/>
        <v>0</v>
      </c>
      <c r="BS465" s="136">
        <f t="shared" si="78"/>
        <v>0</v>
      </c>
      <c r="BT465" s="136">
        <f t="shared" si="78"/>
        <v>-1143759</v>
      </c>
      <c r="BU465" s="136">
        <f t="shared" si="78"/>
        <v>0</v>
      </c>
      <c r="BV465" s="136">
        <f t="shared" si="78"/>
        <v>0</v>
      </c>
      <c r="BW465" s="136">
        <f t="shared" si="78"/>
        <v>0</v>
      </c>
      <c r="BX465" s="136">
        <f t="shared" si="78"/>
        <v>0</v>
      </c>
      <c r="BZ465" s="136">
        <f t="shared" si="79"/>
        <v>0</v>
      </c>
      <c r="CA465" s="136">
        <f t="shared" si="79"/>
        <v>0</v>
      </c>
    </row>
    <row r="466" spans="7:79" hidden="1" x14ac:dyDescent="0.3">
      <c r="G466" s="136">
        <f t="shared" si="83"/>
        <v>0</v>
      </c>
      <c r="H466" s="136">
        <f t="shared" si="83"/>
        <v>0</v>
      </c>
      <c r="I466" s="136">
        <f t="shared" si="83"/>
        <v>0</v>
      </c>
      <c r="J466" s="136">
        <f t="shared" si="83"/>
        <v>0</v>
      </c>
      <c r="K466" s="136">
        <f t="shared" si="83"/>
        <v>0</v>
      </c>
      <c r="L466" s="136">
        <f t="shared" si="83"/>
        <v>0</v>
      </c>
      <c r="M466" s="136">
        <f t="shared" si="83"/>
        <v>0</v>
      </c>
      <c r="N466" s="136">
        <f t="shared" si="83"/>
        <v>0</v>
      </c>
      <c r="O466" s="136">
        <f t="shared" si="83"/>
        <v>0</v>
      </c>
      <c r="P466" s="136">
        <f t="shared" si="83"/>
        <v>0</v>
      </c>
      <c r="Q466" s="136">
        <f t="shared" si="83"/>
        <v>0</v>
      </c>
      <c r="R466" s="136">
        <f t="shared" si="83"/>
        <v>0</v>
      </c>
      <c r="S466" s="136">
        <f t="shared" si="83"/>
        <v>0</v>
      </c>
      <c r="T466" s="136">
        <f t="shared" si="83"/>
        <v>0</v>
      </c>
      <c r="U466" s="136">
        <f t="shared" si="83"/>
        <v>0</v>
      </c>
      <c r="V466" s="136">
        <f t="shared" si="83"/>
        <v>0</v>
      </c>
      <c r="W466" s="136">
        <f t="shared" ref="W466:X469" si="85">W75-CO75</f>
        <v>0</v>
      </c>
      <c r="X466" s="136">
        <f t="shared" si="85"/>
        <v>0</v>
      </c>
      <c r="Y466" s="136">
        <f t="shared" si="84"/>
        <v>0</v>
      </c>
      <c r="Z466" s="136">
        <f t="shared" si="84"/>
        <v>0</v>
      </c>
      <c r="AA466" s="136">
        <f t="shared" si="84"/>
        <v>0</v>
      </c>
      <c r="AB466" s="136">
        <f t="shared" si="84"/>
        <v>0</v>
      </c>
      <c r="AC466" s="136">
        <f t="shared" si="84"/>
        <v>0</v>
      </c>
      <c r="AD466" s="136">
        <f t="shared" si="84"/>
        <v>0</v>
      </c>
      <c r="AE466" s="136">
        <f t="shared" si="84"/>
        <v>0</v>
      </c>
      <c r="AF466" s="136">
        <f t="shared" si="84"/>
        <v>0</v>
      </c>
      <c r="AG466" s="136">
        <f t="shared" si="84"/>
        <v>0</v>
      </c>
      <c r="AH466" s="136">
        <f t="shared" si="84"/>
        <v>0</v>
      </c>
      <c r="AI466" s="136">
        <f t="shared" si="84"/>
        <v>0</v>
      </c>
      <c r="AJ466" s="136">
        <f t="shared" si="84"/>
        <v>0</v>
      </c>
      <c r="AK466" s="136">
        <f t="shared" si="84"/>
        <v>0</v>
      </c>
      <c r="AL466" s="136">
        <f t="shared" si="84"/>
        <v>0</v>
      </c>
      <c r="AM466" s="136">
        <f t="shared" si="84"/>
        <v>0</v>
      </c>
      <c r="AN466" s="136">
        <f t="shared" si="84"/>
        <v>0</v>
      </c>
      <c r="AO466" s="136">
        <f t="shared" si="84"/>
        <v>0</v>
      </c>
      <c r="AP466" s="136">
        <f t="shared" si="84"/>
        <v>0</v>
      </c>
      <c r="AQ466" s="136">
        <f t="shared" si="84"/>
        <v>0</v>
      </c>
      <c r="AR466" s="136">
        <f t="shared" si="84"/>
        <v>0</v>
      </c>
      <c r="AS466" s="136">
        <f t="shared" si="84"/>
        <v>0</v>
      </c>
      <c r="AT466" s="136">
        <f t="shared" si="84"/>
        <v>0</v>
      </c>
      <c r="AU466" s="136">
        <f t="shared" si="84"/>
        <v>0</v>
      </c>
      <c r="AV466" s="136">
        <f t="shared" si="84"/>
        <v>0</v>
      </c>
      <c r="AW466" s="136">
        <f t="shared" si="84"/>
        <v>0</v>
      </c>
      <c r="AX466" s="136">
        <f t="shared" si="84"/>
        <v>0</v>
      </c>
      <c r="AY466" s="136">
        <f t="shared" si="84"/>
        <v>0</v>
      </c>
      <c r="AZ466" s="136">
        <f t="shared" si="84"/>
        <v>0</v>
      </c>
      <c r="BA466" s="136">
        <f t="shared" si="84"/>
        <v>0</v>
      </c>
      <c r="BB466" s="136">
        <f t="shared" si="84"/>
        <v>0</v>
      </c>
      <c r="BC466" s="136">
        <f t="shared" si="84"/>
        <v>0</v>
      </c>
      <c r="BD466" s="136">
        <f t="shared" si="84"/>
        <v>0</v>
      </c>
      <c r="BE466" s="136">
        <f t="shared" si="84"/>
        <v>0</v>
      </c>
      <c r="BF466" s="136">
        <f t="shared" si="84"/>
        <v>0</v>
      </c>
      <c r="BG466" s="136">
        <f t="shared" si="84"/>
        <v>0</v>
      </c>
      <c r="BH466" s="136">
        <f t="shared" si="84"/>
        <v>0</v>
      </c>
      <c r="BI466" s="136">
        <f t="shared" si="84"/>
        <v>0</v>
      </c>
      <c r="BJ466" s="136">
        <f t="shared" si="84"/>
        <v>0</v>
      </c>
      <c r="BK466" s="136">
        <f t="shared" si="84"/>
        <v>0</v>
      </c>
      <c r="BL466" s="136">
        <f t="shared" si="84"/>
        <v>0</v>
      </c>
      <c r="BM466" s="136">
        <f t="shared" si="84"/>
        <v>0</v>
      </c>
      <c r="BN466" s="136">
        <f t="shared" si="84"/>
        <v>0</v>
      </c>
      <c r="BO466" s="136">
        <f t="shared" si="84"/>
        <v>0</v>
      </c>
      <c r="BP466" s="136">
        <f t="shared" si="84"/>
        <v>0</v>
      </c>
      <c r="BQ466" s="136">
        <f t="shared" si="84"/>
        <v>0</v>
      </c>
      <c r="BR466" s="136">
        <f t="shared" si="80"/>
        <v>0</v>
      </c>
      <c r="BS466" s="136">
        <f t="shared" si="78"/>
        <v>0</v>
      </c>
      <c r="BT466" s="136">
        <f t="shared" si="78"/>
        <v>0</v>
      </c>
      <c r="BU466" s="136">
        <f t="shared" si="78"/>
        <v>0</v>
      </c>
      <c r="BV466" s="136">
        <f t="shared" si="78"/>
        <v>0</v>
      </c>
      <c r="BW466" s="136">
        <f t="shared" si="78"/>
        <v>0</v>
      </c>
      <c r="BX466" s="136">
        <f t="shared" si="78"/>
        <v>0</v>
      </c>
      <c r="BZ466" s="136">
        <f t="shared" si="79"/>
        <v>0</v>
      </c>
      <c r="CA466" s="136">
        <f t="shared" si="79"/>
        <v>0</v>
      </c>
    </row>
    <row r="467" spans="7:79" hidden="1" x14ac:dyDescent="0.3">
      <c r="G467" s="136">
        <f t="shared" si="83"/>
        <v>0</v>
      </c>
      <c r="H467" s="136">
        <f t="shared" si="83"/>
        <v>0</v>
      </c>
      <c r="I467" s="136">
        <f t="shared" si="83"/>
        <v>0</v>
      </c>
      <c r="J467" s="136">
        <f t="shared" si="83"/>
        <v>0</v>
      </c>
      <c r="K467" s="136">
        <f t="shared" si="83"/>
        <v>0</v>
      </c>
      <c r="L467" s="136">
        <f t="shared" si="83"/>
        <v>0</v>
      </c>
      <c r="M467" s="136">
        <f t="shared" si="83"/>
        <v>0</v>
      </c>
      <c r="N467" s="136">
        <f t="shared" si="83"/>
        <v>0</v>
      </c>
      <c r="O467" s="136">
        <f t="shared" si="83"/>
        <v>0</v>
      </c>
      <c r="P467" s="136">
        <f t="shared" si="83"/>
        <v>0</v>
      </c>
      <c r="Q467" s="136">
        <f t="shared" si="83"/>
        <v>0</v>
      </c>
      <c r="R467" s="136">
        <f t="shared" si="83"/>
        <v>0</v>
      </c>
      <c r="S467" s="136">
        <f t="shared" si="83"/>
        <v>0</v>
      </c>
      <c r="T467" s="136">
        <f t="shared" si="83"/>
        <v>0</v>
      </c>
      <c r="U467" s="136">
        <f t="shared" si="83"/>
        <v>0</v>
      </c>
      <c r="V467" s="136">
        <f t="shared" si="83"/>
        <v>0</v>
      </c>
      <c r="W467" s="136">
        <f t="shared" si="85"/>
        <v>0</v>
      </c>
      <c r="X467" s="136">
        <f t="shared" si="85"/>
        <v>0</v>
      </c>
      <c r="Y467" s="136">
        <f t="shared" si="84"/>
        <v>0</v>
      </c>
      <c r="Z467" s="136">
        <f t="shared" si="84"/>
        <v>0</v>
      </c>
      <c r="AA467" s="136">
        <f t="shared" si="84"/>
        <v>0</v>
      </c>
      <c r="AB467" s="136">
        <f t="shared" si="84"/>
        <v>0</v>
      </c>
      <c r="AC467" s="136">
        <f t="shared" si="84"/>
        <v>0</v>
      </c>
      <c r="AD467" s="136">
        <f t="shared" si="84"/>
        <v>0</v>
      </c>
      <c r="AE467" s="136">
        <f t="shared" si="84"/>
        <v>0</v>
      </c>
      <c r="AF467" s="136">
        <f t="shared" si="84"/>
        <v>0</v>
      </c>
      <c r="AG467" s="136">
        <f t="shared" si="84"/>
        <v>0</v>
      </c>
      <c r="AH467" s="136">
        <f t="shared" si="84"/>
        <v>0</v>
      </c>
      <c r="AI467" s="136">
        <f t="shared" si="84"/>
        <v>0</v>
      </c>
      <c r="AJ467" s="136">
        <f t="shared" si="84"/>
        <v>0</v>
      </c>
      <c r="AK467" s="136">
        <f t="shared" si="84"/>
        <v>0</v>
      </c>
      <c r="AL467" s="136">
        <f t="shared" si="84"/>
        <v>0</v>
      </c>
      <c r="AM467" s="136">
        <f t="shared" si="84"/>
        <v>0</v>
      </c>
      <c r="AN467" s="136">
        <f t="shared" si="84"/>
        <v>0</v>
      </c>
      <c r="AO467" s="136">
        <f t="shared" si="84"/>
        <v>0</v>
      </c>
      <c r="AP467" s="136">
        <f t="shared" si="84"/>
        <v>0</v>
      </c>
      <c r="AQ467" s="136">
        <f t="shared" si="84"/>
        <v>0</v>
      </c>
      <c r="AR467" s="136">
        <f t="shared" si="84"/>
        <v>0</v>
      </c>
      <c r="AS467" s="136">
        <f t="shared" si="84"/>
        <v>0</v>
      </c>
      <c r="AT467" s="136">
        <f t="shared" si="84"/>
        <v>0</v>
      </c>
      <c r="AU467" s="136">
        <f t="shared" si="84"/>
        <v>0</v>
      </c>
      <c r="AV467" s="136">
        <f t="shared" si="84"/>
        <v>0</v>
      </c>
      <c r="AW467" s="136">
        <f t="shared" si="84"/>
        <v>0</v>
      </c>
      <c r="AX467" s="136">
        <f t="shared" si="84"/>
        <v>0</v>
      </c>
      <c r="AY467" s="136">
        <f t="shared" si="84"/>
        <v>0</v>
      </c>
      <c r="AZ467" s="136">
        <f t="shared" si="84"/>
        <v>0</v>
      </c>
      <c r="BA467" s="136">
        <f t="shared" si="84"/>
        <v>0</v>
      </c>
      <c r="BB467" s="136">
        <f t="shared" si="84"/>
        <v>0</v>
      </c>
      <c r="BC467" s="136">
        <f t="shared" si="84"/>
        <v>0</v>
      </c>
      <c r="BD467" s="136">
        <f t="shared" si="84"/>
        <v>0</v>
      </c>
      <c r="BE467" s="136">
        <f t="shared" si="84"/>
        <v>0</v>
      </c>
      <c r="BF467" s="136">
        <f t="shared" si="84"/>
        <v>0</v>
      </c>
      <c r="BG467" s="136">
        <f t="shared" si="84"/>
        <v>0</v>
      </c>
      <c r="BH467" s="136">
        <f t="shared" si="84"/>
        <v>0</v>
      </c>
      <c r="BI467" s="136">
        <f t="shared" si="84"/>
        <v>0</v>
      </c>
      <c r="BJ467" s="136">
        <f t="shared" si="84"/>
        <v>0</v>
      </c>
      <c r="BK467" s="136">
        <f t="shared" si="84"/>
        <v>0</v>
      </c>
      <c r="BL467" s="136">
        <f t="shared" si="84"/>
        <v>0</v>
      </c>
      <c r="BM467" s="136">
        <f t="shared" si="84"/>
        <v>0</v>
      </c>
      <c r="BN467" s="136">
        <f t="shared" si="84"/>
        <v>0</v>
      </c>
      <c r="BO467" s="136">
        <f t="shared" si="84"/>
        <v>0</v>
      </c>
      <c r="BP467" s="136">
        <f t="shared" si="84"/>
        <v>0</v>
      </c>
      <c r="BQ467" s="136">
        <f t="shared" si="84"/>
        <v>0</v>
      </c>
      <c r="BR467" s="136">
        <f t="shared" si="80"/>
        <v>0</v>
      </c>
      <c r="BS467" s="136">
        <f t="shared" si="78"/>
        <v>0</v>
      </c>
      <c r="BT467" s="136">
        <f t="shared" si="78"/>
        <v>0</v>
      </c>
      <c r="BU467" s="136">
        <f t="shared" si="78"/>
        <v>0</v>
      </c>
      <c r="BV467" s="136">
        <f t="shared" si="78"/>
        <v>0</v>
      </c>
      <c r="BW467" s="136">
        <f t="shared" si="78"/>
        <v>0</v>
      </c>
      <c r="BX467" s="136">
        <f t="shared" si="78"/>
        <v>0</v>
      </c>
      <c r="BZ467" s="136">
        <f t="shared" si="79"/>
        <v>0</v>
      </c>
      <c r="CA467" s="136">
        <f t="shared" si="79"/>
        <v>0</v>
      </c>
    </row>
    <row r="468" spans="7:79" hidden="1" x14ac:dyDescent="0.3">
      <c r="G468" s="136">
        <f t="shared" si="83"/>
        <v>0</v>
      </c>
      <c r="H468" s="136">
        <f t="shared" si="83"/>
        <v>0</v>
      </c>
      <c r="I468" s="136">
        <f t="shared" si="83"/>
        <v>0</v>
      </c>
      <c r="J468" s="136">
        <f t="shared" si="83"/>
        <v>0</v>
      </c>
      <c r="K468" s="136">
        <f t="shared" si="83"/>
        <v>0</v>
      </c>
      <c r="L468" s="136">
        <f t="shared" si="83"/>
        <v>0</v>
      </c>
      <c r="M468" s="136">
        <f t="shared" si="83"/>
        <v>0</v>
      </c>
      <c r="N468" s="136">
        <f t="shared" si="83"/>
        <v>0</v>
      </c>
      <c r="O468" s="136">
        <f t="shared" si="83"/>
        <v>0</v>
      </c>
      <c r="P468" s="136">
        <f t="shared" si="83"/>
        <v>0</v>
      </c>
      <c r="Q468" s="136">
        <f t="shared" si="83"/>
        <v>0</v>
      </c>
      <c r="R468" s="136">
        <f t="shared" si="83"/>
        <v>0</v>
      </c>
      <c r="S468" s="136">
        <f t="shared" si="83"/>
        <v>0</v>
      </c>
      <c r="T468" s="136">
        <f t="shared" si="83"/>
        <v>0</v>
      </c>
      <c r="U468" s="136">
        <f t="shared" si="83"/>
        <v>0</v>
      </c>
      <c r="V468" s="136">
        <f t="shared" si="83"/>
        <v>0</v>
      </c>
      <c r="W468" s="136">
        <f t="shared" si="85"/>
        <v>0</v>
      </c>
      <c r="X468" s="136">
        <f t="shared" si="85"/>
        <v>0</v>
      </c>
      <c r="Y468" s="136">
        <f t="shared" si="84"/>
        <v>0</v>
      </c>
      <c r="Z468" s="136">
        <f t="shared" si="84"/>
        <v>0</v>
      </c>
      <c r="AA468" s="136">
        <f t="shared" si="84"/>
        <v>0</v>
      </c>
      <c r="AB468" s="136">
        <f t="shared" si="84"/>
        <v>0</v>
      </c>
      <c r="AC468" s="136">
        <f t="shared" si="84"/>
        <v>0</v>
      </c>
      <c r="AD468" s="136">
        <f t="shared" si="84"/>
        <v>0</v>
      </c>
      <c r="AE468" s="136">
        <f t="shared" si="84"/>
        <v>0</v>
      </c>
      <c r="AF468" s="136">
        <f t="shared" si="84"/>
        <v>0</v>
      </c>
      <c r="AG468" s="136">
        <f t="shared" si="84"/>
        <v>0</v>
      </c>
      <c r="AH468" s="136">
        <f t="shared" si="84"/>
        <v>0</v>
      </c>
      <c r="AI468" s="136">
        <f t="shared" si="84"/>
        <v>0</v>
      </c>
      <c r="AJ468" s="136">
        <f t="shared" si="84"/>
        <v>0</v>
      </c>
      <c r="AK468" s="136">
        <f t="shared" si="84"/>
        <v>0</v>
      </c>
      <c r="AL468" s="136">
        <f t="shared" si="84"/>
        <v>0</v>
      </c>
      <c r="AM468" s="136">
        <f t="shared" si="84"/>
        <v>0</v>
      </c>
      <c r="AN468" s="136">
        <f t="shared" si="84"/>
        <v>0</v>
      </c>
      <c r="AO468" s="136">
        <f t="shared" si="84"/>
        <v>0</v>
      </c>
      <c r="AP468" s="136">
        <f t="shared" si="84"/>
        <v>0</v>
      </c>
      <c r="AQ468" s="136">
        <f t="shared" si="84"/>
        <v>0</v>
      </c>
      <c r="AR468" s="136">
        <f t="shared" si="84"/>
        <v>0</v>
      </c>
      <c r="AS468" s="136">
        <f t="shared" si="84"/>
        <v>0</v>
      </c>
      <c r="AT468" s="136">
        <f t="shared" si="84"/>
        <v>0</v>
      </c>
      <c r="AU468" s="136">
        <f t="shared" si="84"/>
        <v>0</v>
      </c>
      <c r="AV468" s="136">
        <f t="shared" si="84"/>
        <v>0</v>
      </c>
      <c r="AW468" s="136">
        <f t="shared" si="84"/>
        <v>0</v>
      </c>
      <c r="AX468" s="136">
        <f t="shared" si="84"/>
        <v>0</v>
      </c>
      <c r="AY468" s="136">
        <f t="shared" si="84"/>
        <v>0</v>
      </c>
      <c r="AZ468" s="136">
        <f t="shared" si="84"/>
        <v>0</v>
      </c>
      <c r="BA468" s="136">
        <f t="shared" si="84"/>
        <v>0</v>
      </c>
      <c r="BB468" s="136">
        <f t="shared" si="84"/>
        <v>0</v>
      </c>
      <c r="BC468" s="136">
        <f t="shared" si="84"/>
        <v>0</v>
      </c>
      <c r="BD468" s="136">
        <f t="shared" si="84"/>
        <v>0</v>
      </c>
      <c r="BE468" s="136">
        <f t="shared" si="84"/>
        <v>0</v>
      </c>
      <c r="BF468" s="136">
        <f t="shared" si="84"/>
        <v>0</v>
      </c>
      <c r="BG468" s="136">
        <f t="shared" si="84"/>
        <v>0</v>
      </c>
      <c r="BH468" s="136">
        <f t="shared" si="84"/>
        <v>0</v>
      </c>
      <c r="BI468" s="136">
        <f t="shared" si="84"/>
        <v>0</v>
      </c>
      <c r="BJ468" s="136">
        <f t="shared" si="84"/>
        <v>0</v>
      </c>
      <c r="BK468" s="136">
        <f t="shared" si="84"/>
        <v>0</v>
      </c>
      <c r="BL468" s="136">
        <f t="shared" si="84"/>
        <v>0</v>
      </c>
      <c r="BM468" s="136">
        <f t="shared" si="84"/>
        <v>0</v>
      </c>
      <c r="BN468" s="136">
        <f t="shared" si="84"/>
        <v>0</v>
      </c>
      <c r="BO468" s="136">
        <f t="shared" si="84"/>
        <v>0</v>
      </c>
      <c r="BP468" s="136">
        <f t="shared" si="84"/>
        <v>0</v>
      </c>
      <c r="BQ468" s="136">
        <f t="shared" si="84"/>
        <v>0</v>
      </c>
      <c r="BR468" s="136">
        <f t="shared" si="80"/>
        <v>0</v>
      </c>
      <c r="BS468" s="136">
        <f t="shared" si="78"/>
        <v>0</v>
      </c>
      <c r="BT468" s="136">
        <f t="shared" si="78"/>
        <v>0</v>
      </c>
      <c r="BU468" s="136">
        <f t="shared" si="78"/>
        <v>0</v>
      </c>
      <c r="BV468" s="136">
        <f t="shared" si="78"/>
        <v>0</v>
      </c>
      <c r="BW468" s="136">
        <f t="shared" si="78"/>
        <v>0</v>
      </c>
      <c r="BX468" s="136">
        <f t="shared" si="78"/>
        <v>0</v>
      </c>
      <c r="BZ468" s="136">
        <f t="shared" si="79"/>
        <v>0</v>
      </c>
      <c r="CA468" s="136">
        <f t="shared" si="79"/>
        <v>0</v>
      </c>
    </row>
    <row r="469" spans="7:79" hidden="1" x14ac:dyDescent="0.3">
      <c r="G469" s="136">
        <f t="shared" si="83"/>
        <v>0</v>
      </c>
      <c r="H469" s="136">
        <f t="shared" si="83"/>
        <v>0</v>
      </c>
      <c r="I469" s="136">
        <f t="shared" si="83"/>
        <v>0</v>
      </c>
      <c r="J469" s="136">
        <f t="shared" si="83"/>
        <v>0</v>
      </c>
      <c r="K469" s="136">
        <f t="shared" si="83"/>
        <v>0</v>
      </c>
      <c r="L469" s="136">
        <f t="shared" si="83"/>
        <v>0</v>
      </c>
      <c r="M469" s="136">
        <f t="shared" si="83"/>
        <v>0</v>
      </c>
      <c r="N469" s="136">
        <f t="shared" si="83"/>
        <v>0</v>
      </c>
      <c r="O469" s="136">
        <f t="shared" si="83"/>
        <v>0</v>
      </c>
      <c r="P469" s="136">
        <f t="shared" si="83"/>
        <v>0</v>
      </c>
      <c r="Q469" s="136">
        <f t="shared" si="83"/>
        <v>0</v>
      </c>
      <c r="R469" s="136">
        <f t="shared" si="83"/>
        <v>0</v>
      </c>
      <c r="S469" s="136">
        <f t="shared" si="83"/>
        <v>0</v>
      </c>
      <c r="T469" s="136">
        <f t="shared" si="83"/>
        <v>0</v>
      </c>
      <c r="U469" s="136">
        <f t="shared" si="83"/>
        <v>0</v>
      </c>
      <c r="V469" s="136">
        <f t="shared" si="83"/>
        <v>0</v>
      </c>
      <c r="W469" s="136">
        <f t="shared" si="85"/>
        <v>0</v>
      </c>
      <c r="X469" s="136">
        <f t="shared" si="85"/>
        <v>0</v>
      </c>
      <c r="Y469" s="136">
        <f t="shared" si="84"/>
        <v>0</v>
      </c>
      <c r="Z469" s="136">
        <f t="shared" si="84"/>
        <v>0</v>
      </c>
      <c r="AA469" s="136">
        <f t="shared" si="84"/>
        <v>0</v>
      </c>
      <c r="AB469" s="136">
        <f t="shared" si="84"/>
        <v>0</v>
      </c>
      <c r="AC469" s="136">
        <f t="shared" si="84"/>
        <v>0</v>
      </c>
      <c r="AD469" s="136">
        <f t="shared" si="84"/>
        <v>0</v>
      </c>
      <c r="AE469" s="136">
        <f t="shared" si="84"/>
        <v>0</v>
      </c>
      <c r="AF469" s="136">
        <f t="shared" si="84"/>
        <v>0</v>
      </c>
      <c r="AG469" s="136">
        <f t="shared" si="84"/>
        <v>0</v>
      </c>
      <c r="AH469" s="136">
        <f t="shared" si="84"/>
        <v>0</v>
      </c>
      <c r="AI469" s="136">
        <f t="shared" si="84"/>
        <v>0</v>
      </c>
      <c r="AJ469" s="136">
        <f t="shared" si="84"/>
        <v>0</v>
      </c>
      <c r="AK469" s="136">
        <f t="shared" si="84"/>
        <v>0</v>
      </c>
      <c r="AL469" s="136">
        <f t="shared" si="84"/>
        <v>0</v>
      </c>
      <c r="AM469" s="136">
        <f t="shared" si="84"/>
        <v>0</v>
      </c>
      <c r="AN469" s="136">
        <f t="shared" si="84"/>
        <v>0</v>
      </c>
      <c r="AO469" s="136">
        <f t="shared" si="84"/>
        <v>0</v>
      </c>
      <c r="AP469" s="136">
        <f t="shared" si="84"/>
        <v>0</v>
      </c>
      <c r="AQ469" s="136">
        <f t="shared" si="84"/>
        <v>0</v>
      </c>
      <c r="AR469" s="136">
        <f t="shared" si="84"/>
        <v>0</v>
      </c>
      <c r="AS469" s="136">
        <f t="shared" si="84"/>
        <v>0</v>
      </c>
      <c r="AT469" s="136">
        <f t="shared" si="84"/>
        <v>0</v>
      </c>
      <c r="AU469" s="136">
        <f t="shared" si="84"/>
        <v>0</v>
      </c>
      <c r="AV469" s="136">
        <f t="shared" si="84"/>
        <v>0</v>
      </c>
      <c r="AW469" s="136">
        <f t="shared" si="84"/>
        <v>0</v>
      </c>
      <c r="AX469" s="136">
        <f t="shared" si="84"/>
        <v>0</v>
      </c>
      <c r="AY469" s="136">
        <f t="shared" si="84"/>
        <v>0</v>
      </c>
      <c r="AZ469" s="136">
        <f t="shared" si="84"/>
        <v>0</v>
      </c>
      <c r="BA469" s="136">
        <f t="shared" si="84"/>
        <v>0</v>
      </c>
      <c r="BB469" s="136">
        <f t="shared" si="84"/>
        <v>0</v>
      </c>
      <c r="BC469" s="136">
        <f t="shared" si="84"/>
        <v>0</v>
      </c>
      <c r="BD469" s="136">
        <f t="shared" si="84"/>
        <v>0</v>
      </c>
      <c r="BE469" s="136">
        <f t="shared" si="84"/>
        <v>0</v>
      </c>
      <c r="BF469" s="136">
        <f t="shared" si="84"/>
        <v>0</v>
      </c>
      <c r="BG469" s="136">
        <f t="shared" si="84"/>
        <v>0</v>
      </c>
      <c r="BH469" s="136">
        <f t="shared" si="84"/>
        <v>0</v>
      </c>
      <c r="BI469" s="136">
        <f t="shared" si="84"/>
        <v>0</v>
      </c>
      <c r="BJ469" s="136">
        <f t="shared" si="84"/>
        <v>0</v>
      </c>
      <c r="BK469" s="136">
        <f t="shared" si="84"/>
        <v>0</v>
      </c>
      <c r="BL469" s="136">
        <f t="shared" si="84"/>
        <v>0</v>
      </c>
      <c r="BM469" s="136">
        <f t="shared" si="84"/>
        <v>0</v>
      </c>
      <c r="BN469" s="136">
        <f t="shared" si="84"/>
        <v>0</v>
      </c>
      <c r="BO469" s="136">
        <f t="shared" si="84"/>
        <v>0</v>
      </c>
      <c r="BP469" s="136">
        <f t="shared" si="84"/>
        <v>0</v>
      </c>
      <c r="BQ469" s="136">
        <f t="shared" si="84"/>
        <v>0</v>
      </c>
      <c r="BR469" s="136">
        <f t="shared" si="80"/>
        <v>0</v>
      </c>
      <c r="BS469" s="136">
        <f t="shared" si="80"/>
        <v>0</v>
      </c>
      <c r="BT469" s="136">
        <f t="shared" si="80"/>
        <v>0</v>
      </c>
      <c r="BU469" s="136">
        <f t="shared" si="80"/>
        <v>0</v>
      </c>
      <c r="BV469" s="136">
        <f t="shared" si="80"/>
        <v>0</v>
      </c>
      <c r="BW469" s="136">
        <f t="shared" si="80"/>
        <v>0</v>
      </c>
      <c r="BX469" s="136">
        <f t="shared" si="80"/>
        <v>0</v>
      </c>
      <c r="BZ469" s="136">
        <f t="shared" ref="BZ469:CA469" si="86">BZ78-ER78</f>
        <v>0</v>
      </c>
      <c r="CA469" s="136">
        <f t="shared" si="86"/>
        <v>0</v>
      </c>
    </row>
    <row r="470" spans="7:79" hidden="1" x14ac:dyDescent="0.3">
      <c r="G470" s="136">
        <f t="shared" ref="G470:BR474" si="87">G80-BY80</f>
        <v>0</v>
      </c>
      <c r="H470" s="136">
        <f t="shared" si="87"/>
        <v>0</v>
      </c>
      <c r="I470" s="136">
        <f t="shared" si="87"/>
        <v>0</v>
      </c>
      <c r="J470" s="136">
        <f t="shared" si="87"/>
        <v>0</v>
      </c>
      <c r="K470" s="136">
        <f t="shared" si="87"/>
        <v>0</v>
      </c>
      <c r="L470" s="136">
        <f t="shared" si="87"/>
        <v>0</v>
      </c>
      <c r="M470" s="136">
        <f t="shared" si="87"/>
        <v>0</v>
      </c>
      <c r="N470" s="136">
        <f t="shared" si="87"/>
        <v>0</v>
      </c>
      <c r="O470" s="136">
        <f t="shared" si="87"/>
        <v>0</v>
      </c>
      <c r="P470" s="136">
        <f t="shared" si="87"/>
        <v>0</v>
      </c>
      <c r="Q470" s="136">
        <f t="shared" si="87"/>
        <v>0</v>
      </c>
      <c r="R470" s="136">
        <f t="shared" si="87"/>
        <v>0</v>
      </c>
      <c r="S470" s="136">
        <f t="shared" si="87"/>
        <v>0</v>
      </c>
      <c r="T470" s="136">
        <f t="shared" si="87"/>
        <v>0</v>
      </c>
      <c r="U470" s="136">
        <f t="shared" si="87"/>
        <v>0</v>
      </c>
      <c r="V470" s="136">
        <f t="shared" si="87"/>
        <v>0</v>
      </c>
      <c r="W470" s="136">
        <f t="shared" si="87"/>
        <v>0</v>
      </c>
      <c r="X470" s="136">
        <f t="shared" si="87"/>
        <v>0</v>
      </c>
      <c r="Y470" s="136">
        <f t="shared" si="87"/>
        <v>0</v>
      </c>
      <c r="Z470" s="136">
        <f t="shared" si="87"/>
        <v>0</v>
      </c>
      <c r="AA470" s="136">
        <f t="shared" si="87"/>
        <v>0</v>
      </c>
      <c r="AB470" s="136">
        <f t="shared" si="87"/>
        <v>0</v>
      </c>
      <c r="AC470" s="136">
        <f t="shared" si="87"/>
        <v>0</v>
      </c>
      <c r="AD470" s="136">
        <f t="shared" si="87"/>
        <v>0</v>
      </c>
      <c r="AE470" s="136">
        <f t="shared" si="87"/>
        <v>0</v>
      </c>
      <c r="AF470" s="136">
        <f t="shared" si="87"/>
        <v>0</v>
      </c>
      <c r="AG470" s="136">
        <f t="shared" si="87"/>
        <v>0</v>
      </c>
      <c r="AH470" s="136">
        <f t="shared" si="87"/>
        <v>0</v>
      </c>
      <c r="AI470" s="136">
        <f t="shared" si="87"/>
        <v>0</v>
      </c>
      <c r="AJ470" s="136">
        <f t="shared" si="87"/>
        <v>0</v>
      </c>
      <c r="AK470" s="136">
        <f t="shared" si="87"/>
        <v>0</v>
      </c>
      <c r="AL470" s="136">
        <f t="shared" si="87"/>
        <v>0</v>
      </c>
      <c r="AM470" s="136">
        <f t="shared" si="87"/>
        <v>0</v>
      </c>
      <c r="AN470" s="136">
        <f t="shared" si="87"/>
        <v>0</v>
      </c>
      <c r="AO470" s="136">
        <f t="shared" si="87"/>
        <v>0</v>
      </c>
      <c r="AP470" s="136">
        <f t="shared" si="87"/>
        <v>0</v>
      </c>
      <c r="AQ470" s="136">
        <f t="shared" si="87"/>
        <v>0</v>
      </c>
      <c r="AR470" s="136">
        <f t="shared" si="87"/>
        <v>0</v>
      </c>
      <c r="AS470" s="136">
        <f t="shared" si="87"/>
        <v>0</v>
      </c>
      <c r="AT470" s="136">
        <f t="shared" si="87"/>
        <v>0</v>
      </c>
      <c r="AU470" s="136">
        <f t="shared" si="87"/>
        <v>0</v>
      </c>
      <c r="AV470" s="136">
        <f t="shared" si="87"/>
        <v>0</v>
      </c>
      <c r="AW470" s="136">
        <f t="shared" si="87"/>
        <v>0</v>
      </c>
      <c r="AX470" s="136">
        <f t="shared" si="87"/>
        <v>0</v>
      </c>
      <c r="AY470" s="136">
        <f t="shared" si="87"/>
        <v>0</v>
      </c>
      <c r="AZ470" s="136">
        <f t="shared" si="87"/>
        <v>0</v>
      </c>
      <c r="BA470" s="136">
        <f t="shared" si="87"/>
        <v>0</v>
      </c>
      <c r="BB470" s="136">
        <f t="shared" si="87"/>
        <v>0</v>
      </c>
      <c r="BC470" s="136">
        <f t="shared" si="87"/>
        <v>0</v>
      </c>
      <c r="BD470" s="136">
        <f t="shared" si="87"/>
        <v>0</v>
      </c>
      <c r="BE470" s="136">
        <f t="shared" si="87"/>
        <v>0</v>
      </c>
      <c r="BF470" s="136">
        <f t="shared" si="87"/>
        <v>0</v>
      </c>
      <c r="BG470" s="136">
        <f t="shared" si="87"/>
        <v>0</v>
      </c>
      <c r="BH470" s="136">
        <f t="shared" si="87"/>
        <v>0</v>
      </c>
      <c r="BI470" s="136">
        <f t="shared" si="87"/>
        <v>0</v>
      </c>
      <c r="BJ470" s="136">
        <f t="shared" si="87"/>
        <v>0</v>
      </c>
      <c r="BK470" s="136">
        <f t="shared" si="87"/>
        <v>0</v>
      </c>
      <c r="BL470" s="136">
        <f t="shared" si="87"/>
        <v>0</v>
      </c>
      <c r="BM470" s="136">
        <f t="shared" si="87"/>
        <v>0</v>
      </c>
      <c r="BN470" s="136">
        <f t="shared" si="87"/>
        <v>0</v>
      </c>
      <c r="BO470" s="136">
        <f t="shared" si="87"/>
        <v>0</v>
      </c>
      <c r="BP470" s="136">
        <f t="shared" si="87"/>
        <v>0</v>
      </c>
      <c r="BQ470" s="136">
        <f t="shared" si="87"/>
        <v>0</v>
      </c>
      <c r="BR470" s="136">
        <f t="shared" si="87"/>
        <v>0</v>
      </c>
      <c r="BS470" s="136">
        <f t="shared" ref="BO470:BX477" si="88">BS80-EK80</f>
        <v>0</v>
      </c>
      <c r="BT470" s="136">
        <f t="shared" si="88"/>
        <v>0</v>
      </c>
      <c r="BU470" s="136">
        <f t="shared" si="88"/>
        <v>0</v>
      </c>
      <c r="BV470" s="136">
        <f t="shared" si="88"/>
        <v>0</v>
      </c>
      <c r="BW470" s="136">
        <f t="shared" si="88"/>
        <v>0</v>
      </c>
      <c r="BX470" s="136">
        <f t="shared" si="88"/>
        <v>0</v>
      </c>
      <c r="BZ470" s="136">
        <f t="shared" ref="BZ470:CA477" si="89">BZ80-ER80</f>
        <v>0</v>
      </c>
      <c r="CA470" s="136">
        <f t="shared" si="89"/>
        <v>0</v>
      </c>
    </row>
    <row r="471" spans="7:79" hidden="1" x14ac:dyDescent="0.3">
      <c r="G471" s="136">
        <f t="shared" si="87"/>
        <v>0</v>
      </c>
      <c r="H471" s="136">
        <f t="shared" si="87"/>
        <v>0</v>
      </c>
      <c r="I471" s="136">
        <f t="shared" si="87"/>
        <v>0</v>
      </c>
      <c r="J471" s="136">
        <f t="shared" si="87"/>
        <v>0</v>
      </c>
      <c r="K471" s="136">
        <f t="shared" si="87"/>
        <v>0</v>
      </c>
      <c r="L471" s="136">
        <f t="shared" si="87"/>
        <v>0</v>
      </c>
      <c r="M471" s="136">
        <f t="shared" si="87"/>
        <v>0</v>
      </c>
      <c r="N471" s="136">
        <f t="shared" si="87"/>
        <v>0</v>
      </c>
      <c r="O471" s="136">
        <f t="shared" si="87"/>
        <v>0</v>
      </c>
      <c r="P471" s="136">
        <f t="shared" si="87"/>
        <v>0</v>
      </c>
      <c r="Q471" s="136">
        <f t="shared" si="87"/>
        <v>0</v>
      </c>
      <c r="R471" s="136">
        <f t="shared" si="87"/>
        <v>0</v>
      </c>
      <c r="S471" s="136">
        <f t="shared" si="87"/>
        <v>0</v>
      </c>
      <c r="T471" s="136">
        <f t="shared" si="87"/>
        <v>0</v>
      </c>
      <c r="U471" s="136">
        <f t="shared" si="87"/>
        <v>0</v>
      </c>
      <c r="V471" s="136">
        <f t="shared" si="87"/>
        <v>0</v>
      </c>
      <c r="W471" s="136">
        <f t="shared" si="87"/>
        <v>0</v>
      </c>
      <c r="X471" s="136">
        <f t="shared" si="87"/>
        <v>0</v>
      </c>
      <c r="Y471" s="136">
        <f t="shared" si="87"/>
        <v>0</v>
      </c>
      <c r="Z471" s="136">
        <f t="shared" si="87"/>
        <v>0</v>
      </c>
      <c r="AA471" s="136">
        <f t="shared" si="87"/>
        <v>0</v>
      </c>
      <c r="AB471" s="136">
        <f t="shared" si="87"/>
        <v>0</v>
      </c>
      <c r="AC471" s="136">
        <f t="shared" si="87"/>
        <v>0</v>
      </c>
      <c r="AD471" s="136">
        <f t="shared" si="87"/>
        <v>0</v>
      </c>
      <c r="AE471" s="136">
        <f t="shared" si="87"/>
        <v>0</v>
      </c>
      <c r="AF471" s="136">
        <f t="shared" si="87"/>
        <v>0</v>
      </c>
      <c r="AG471" s="136">
        <f t="shared" si="87"/>
        <v>0</v>
      </c>
      <c r="AH471" s="136">
        <f t="shared" si="87"/>
        <v>0</v>
      </c>
      <c r="AI471" s="136">
        <f t="shared" si="87"/>
        <v>0</v>
      </c>
      <c r="AJ471" s="136">
        <f t="shared" si="87"/>
        <v>0</v>
      </c>
      <c r="AK471" s="136">
        <f t="shared" si="87"/>
        <v>0</v>
      </c>
      <c r="AL471" s="136">
        <f t="shared" si="87"/>
        <v>0</v>
      </c>
      <c r="AM471" s="136">
        <f t="shared" si="87"/>
        <v>0</v>
      </c>
      <c r="AN471" s="136">
        <f t="shared" si="87"/>
        <v>0</v>
      </c>
      <c r="AO471" s="136">
        <f t="shared" si="87"/>
        <v>0</v>
      </c>
      <c r="AP471" s="136">
        <f t="shared" si="87"/>
        <v>0</v>
      </c>
      <c r="AQ471" s="136">
        <f t="shared" si="87"/>
        <v>0</v>
      </c>
      <c r="AR471" s="136">
        <f t="shared" si="87"/>
        <v>0</v>
      </c>
      <c r="AS471" s="136">
        <f t="shared" si="87"/>
        <v>0</v>
      </c>
      <c r="AT471" s="136">
        <f t="shared" si="87"/>
        <v>0</v>
      </c>
      <c r="AU471" s="136">
        <f t="shared" si="87"/>
        <v>0</v>
      </c>
      <c r="AV471" s="136">
        <f t="shared" si="87"/>
        <v>0</v>
      </c>
      <c r="AW471" s="136">
        <f t="shared" si="87"/>
        <v>0</v>
      </c>
      <c r="AX471" s="136">
        <f t="shared" si="87"/>
        <v>0</v>
      </c>
      <c r="AY471" s="136">
        <f t="shared" si="87"/>
        <v>0</v>
      </c>
      <c r="AZ471" s="136">
        <f t="shared" si="87"/>
        <v>0</v>
      </c>
      <c r="BA471" s="136">
        <f t="shared" si="87"/>
        <v>0</v>
      </c>
      <c r="BB471" s="136">
        <f t="shared" si="87"/>
        <v>0</v>
      </c>
      <c r="BC471" s="136">
        <f t="shared" si="87"/>
        <v>0</v>
      </c>
      <c r="BD471" s="136">
        <f t="shared" si="87"/>
        <v>0</v>
      </c>
      <c r="BE471" s="136">
        <f t="shared" si="87"/>
        <v>0</v>
      </c>
      <c r="BF471" s="136">
        <f t="shared" si="87"/>
        <v>0</v>
      </c>
      <c r="BG471" s="136">
        <f t="shared" si="87"/>
        <v>0</v>
      </c>
      <c r="BH471" s="136">
        <f t="shared" si="87"/>
        <v>0</v>
      </c>
      <c r="BI471" s="136">
        <f t="shared" si="87"/>
        <v>0</v>
      </c>
      <c r="BJ471" s="136">
        <f t="shared" si="87"/>
        <v>0</v>
      </c>
      <c r="BK471" s="136">
        <f t="shared" si="87"/>
        <v>0</v>
      </c>
      <c r="BL471" s="136">
        <f t="shared" si="87"/>
        <v>0</v>
      </c>
      <c r="BM471" s="136">
        <f t="shared" si="87"/>
        <v>0</v>
      </c>
      <c r="BN471" s="136">
        <f t="shared" si="87"/>
        <v>0</v>
      </c>
      <c r="BO471" s="136">
        <f t="shared" si="88"/>
        <v>0</v>
      </c>
      <c r="BP471" s="136">
        <f t="shared" si="88"/>
        <v>0</v>
      </c>
      <c r="BQ471" s="136">
        <f t="shared" si="88"/>
        <v>0</v>
      </c>
      <c r="BR471" s="136">
        <f t="shared" si="88"/>
        <v>0</v>
      </c>
      <c r="BS471" s="136">
        <f t="shared" si="88"/>
        <v>0</v>
      </c>
      <c r="BT471" s="136">
        <f t="shared" si="88"/>
        <v>0</v>
      </c>
      <c r="BU471" s="136">
        <f t="shared" si="88"/>
        <v>0</v>
      </c>
      <c r="BV471" s="136">
        <f t="shared" si="88"/>
        <v>0</v>
      </c>
      <c r="BW471" s="136">
        <f t="shared" si="88"/>
        <v>0</v>
      </c>
      <c r="BX471" s="136">
        <f t="shared" si="88"/>
        <v>0</v>
      </c>
      <c r="BZ471" s="136">
        <f t="shared" si="89"/>
        <v>0</v>
      </c>
      <c r="CA471" s="136">
        <f t="shared" si="89"/>
        <v>0</v>
      </c>
    </row>
    <row r="472" spans="7:79" hidden="1" x14ac:dyDescent="0.3">
      <c r="G472" s="136">
        <f t="shared" si="87"/>
        <v>0</v>
      </c>
      <c r="H472" s="136">
        <f t="shared" si="87"/>
        <v>0</v>
      </c>
      <c r="I472" s="136">
        <f t="shared" si="87"/>
        <v>0</v>
      </c>
      <c r="J472" s="136">
        <f t="shared" si="87"/>
        <v>0</v>
      </c>
      <c r="K472" s="136">
        <f t="shared" si="87"/>
        <v>0</v>
      </c>
      <c r="L472" s="136">
        <f t="shared" si="87"/>
        <v>0</v>
      </c>
      <c r="M472" s="136">
        <f t="shared" si="87"/>
        <v>0</v>
      </c>
      <c r="N472" s="136">
        <f t="shared" si="87"/>
        <v>0</v>
      </c>
      <c r="O472" s="136">
        <f t="shared" si="87"/>
        <v>0</v>
      </c>
      <c r="P472" s="136">
        <f t="shared" si="87"/>
        <v>0</v>
      </c>
      <c r="Q472" s="136">
        <f t="shared" si="87"/>
        <v>0</v>
      </c>
      <c r="R472" s="136">
        <f t="shared" si="87"/>
        <v>0</v>
      </c>
      <c r="S472" s="136">
        <f t="shared" si="87"/>
        <v>0</v>
      </c>
      <c r="T472" s="136">
        <f t="shared" si="87"/>
        <v>0</v>
      </c>
      <c r="U472" s="136">
        <f t="shared" si="87"/>
        <v>0</v>
      </c>
      <c r="V472" s="136">
        <f t="shared" si="87"/>
        <v>0</v>
      </c>
      <c r="W472" s="136">
        <f t="shared" si="87"/>
        <v>0</v>
      </c>
      <c r="X472" s="136">
        <f t="shared" si="87"/>
        <v>0</v>
      </c>
      <c r="Y472" s="136">
        <f t="shared" si="87"/>
        <v>0</v>
      </c>
      <c r="Z472" s="136">
        <f t="shared" si="87"/>
        <v>0</v>
      </c>
      <c r="AA472" s="136">
        <f t="shared" si="87"/>
        <v>0</v>
      </c>
      <c r="AB472" s="136">
        <f t="shared" si="87"/>
        <v>0</v>
      </c>
      <c r="AC472" s="136">
        <f t="shared" si="87"/>
        <v>0</v>
      </c>
      <c r="AD472" s="136">
        <f t="shared" si="87"/>
        <v>0</v>
      </c>
      <c r="AE472" s="136">
        <f t="shared" si="87"/>
        <v>0</v>
      </c>
      <c r="AF472" s="136">
        <f t="shared" si="87"/>
        <v>0</v>
      </c>
      <c r="AG472" s="136">
        <f t="shared" si="87"/>
        <v>0</v>
      </c>
      <c r="AH472" s="136">
        <f t="shared" si="87"/>
        <v>0</v>
      </c>
      <c r="AI472" s="136">
        <f t="shared" si="87"/>
        <v>0</v>
      </c>
      <c r="AJ472" s="136">
        <f t="shared" si="87"/>
        <v>0</v>
      </c>
      <c r="AK472" s="136">
        <f t="shared" si="87"/>
        <v>0</v>
      </c>
      <c r="AL472" s="136">
        <f t="shared" si="87"/>
        <v>0</v>
      </c>
      <c r="AM472" s="136">
        <f t="shared" si="87"/>
        <v>0</v>
      </c>
      <c r="AN472" s="136">
        <f t="shared" si="87"/>
        <v>0</v>
      </c>
      <c r="AO472" s="136">
        <f t="shared" si="87"/>
        <v>0</v>
      </c>
      <c r="AP472" s="136">
        <f t="shared" si="87"/>
        <v>0</v>
      </c>
      <c r="AQ472" s="136">
        <f t="shared" si="87"/>
        <v>0</v>
      </c>
      <c r="AR472" s="136">
        <f t="shared" si="87"/>
        <v>0</v>
      </c>
      <c r="AS472" s="136">
        <f t="shared" si="87"/>
        <v>0</v>
      </c>
      <c r="AT472" s="136">
        <f t="shared" si="87"/>
        <v>0</v>
      </c>
      <c r="AU472" s="136">
        <f t="shared" si="87"/>
        <v>0</v>
      </c>
      <c r="AV472" s="136">
        <f t="shared" si="87"/>
        <v>0</v>
      </c>
      <c r="AW472" s="136">
        <f t="shared" si="87"/>
        <v>0</v>
      </c>
      <c r="AX472" s="136">
        <f t="shared" si="87"/>
        <v>0</v>
      </c>
      <c r="AY472" s="136">
        <f t="shared" si="87"/>
        <v>0</v>
      </c>
      <c r="AZ472" s="136">
        <f t="shared" si="87"/>
        <v>0</v>
      </c>
      <c r="BA472" s="136">
        <f t="shared" si="87"/>
        <v>0</v>
      </c>
      <c r="BB472" s="136">
        <f t="shared" si="87"/>
        <v>0</v>
      </c>
      <c r="BC472" s="136">
        <f t="shared" si="87"/>
        <v>0</v>
      </c>
      <c r="BD472" s="136">
        <f t="shared" si="87"/>
        <v>0</v>
      </c>
      <c r="BE472" s="136">
        <f t="shared" si="87"/>
        <v>0</v>
      </c>
      <c r="BF472" s="136">
        <f t="shared" si="87"/>
        <v>0</v>
      </c>
      <c r="BG472" s="136">
        <f t="shared" si="87"/>
        <v>0</v>
      </c>
      <c r="BH472" s="136">
        <f t="shared" si="87"/>
        <v>0</v>
      </c>
      <c r="BI472" s="136">
        <f t="shared" si="87"/>
        <v>0</v>
      </c>
      <c r="BJ472" s="136">
        <f t="shared" si="87"/>
        <v>0</v>
      </c>
      <c r="BK472" s="136">
        <f t="shared" si="87"/>
        <v>0</v>
      </c>
      <c r="BL472" s="136">
        <f t="shared" si="87"/>
        <v>0</v>
      </c>
      <c r="BM472" s="136">
        <f t="shared" si="87"/>
        <v>0</v>
      </c>
      <c r="BN472" s="136">
        <f t="shared" si="87"/>
        <v>0</v>
      </c>
      <c r="BO472" s="136">
        <f t="shared" si="88"/>
        <v>0</v>
      </c>
      <c r="BP472" s="136">
        <f t="shared" si="88"/>
        <v>0</v>
      </c>
      <c r="BQ472" s="136">
        <f t="shared" si="88"/>
        <v>0</v>
      </c>
      <c r="BR472" s="136">
        <f t="shared" si="88"/>
        <v>0</v>
      </c>
      <c r="BS472" s="136">
        <f t="shared" si="88"/>
        <v>0</v>
      </c>
      <c r="BT472" s="136">
        <f t="shared" si="88"/>
        <v>0</v>
      </c>
      <c r="BU472" s="136">
        <f t="shared" si="88"/>
        <v>0</v>
      </c>
      <c r="BV472" s="136">
        <f t="shared" si="88"/>
        <v>0</v>
      </c>
      <c r="BW472" s="136">
        <f t="shared" si="88"/>
        <v>0</v>
      </c>
      <c r="BX472" s="136">
        <f t="shared" si="88"/>
        <v>0</v>
      </c>
      <c r="BZ472" s="136">
        <f t="shared" si="89"/>
        <v>0</v>
      </c>
      <c r="CA472" s="136">
        <f t="shared" si="89"/>
        <v>0</v>
      </c>
    </row>
    <row r="473" spans="7:79" hidden="1" x14ac:dyDescent="0.3">
      <c r="G473" s="136">
        <f t="shared" si="87"/>
        <v>0</v>
      </c>
      <c r="H473" s="136">
        <f t="shared" si="87"/>
        <v>0</v>
      </c>
      <c r="I473" s="136">
        <f t="shared" si="87"/>
        <v>0</v>
      </c>
      <c r="J473" s="136">
        <f t="shared" si="87"/>
        <v>0</v>
      </c>
      <c r="K473" s="136">
        <f t="shared" si="87"/>
        <v>0</v>
      </c>
      <c r="L473" s="136">
        <f t="shared" si="87"/>
        <v>0</v>
      </c>
      <c r="M473" s="136">
        <f t="shared" si="87"/>
        <v>0</v>
      </c>
      <c r="N473" s="136">
        <f t="shared" si="87"/>
        <v>0</v>
      </c>
      <c r="O473" s="136">
        <f t="shared" si="87"/>
        <v>0</v>
      </c>
      <c r="P473" s="136">
        <f t="shared" si="87"/>
        <v>0</v>
      </c>
      <c r="Q473" s="136">
        <f t="shared" si="87"/>
        <v>0</v>
      </c>
      <c r="R473" s="136">
        <f t="shared" si="87"/>
        <v>0</v>
      </c>
      <c r="S473" s="136">
        <f t="shared" si="87"/>
        <v>0</v>
      </c>
      <c r="T473" s="136">
        <f t="shared" si="87"/>
        <v>0</v>
      </c>
      <c r="U473" s="136">
        <f t="shared" si="87"/>
        <v>0</v>
      </c>
      <c r="V473" s="136">
        <f t="shared" si="87"/>
        <v>0</v>
      </c>
      <c r="W473" s="136">
        <f t="shared" si="87"/>
        <v>0</v>
      </c>
      <c r="X473" s="136">
        <f t="shared" si="87"/>
        <v>0</v>
      </c>
      <c r="Y473" s="136">
        <f t="shared" si="87"/>
        <v>0</v>
      </c>
      <c r="Z473" s="136">
        <f t="shared" si="87"/>
        <v>0</v>
      </c>
      <c r="AA473" s="136">
        <f t="shared" si="87"/>
        <v>0</v>
      </c>
      <c r="AB473" s="136">
        <f t="shared" si="87"/>
        <v>0</v>
      </c>
      <c r="AC473" s="136">
        <f t="shared" si="87"/>
        <v>0</v>
      </c>
      <c r="AD473" s="136">
        <f t="shared" si="87"/>
        <v>0</v>
      </c>
      <c r="AE473" s="136">
        <f t="shared" si="87"/>
        <v>0</v>
      </c>
      <c r="AF473" s="136">
        <f t="shared" si="87"/>
        <v>0</v>
      </c>
      <c r="AG473" s="136">
        <f t="shared" si="87"/>
        <v>0</v>
      </c>
      <c r="AH473" s="136">
        <f t="shared" si="87"/>
        <v>0</v>
      </c>
      <c r="AI473" s="136">
        <f t="shared" si="87"/>
        <v>0</v>
      </c>
      <c r="AJ473" s="136">
        <f t="shared" si="87"/>
        <v>0</v>
      </c>
      <c r="AK473" s="136">
        <f t="shared" si="87"/>
        <v>0</v>
      </c>
      <c r="AL473" s="136">
        <f t="shared" si="87"/>
        <v>0</v>
      </c>
      <c r="AM473" s="136">
        <f t="shared" si="87"/>
        <v>0</v>
      </c>
      <c r="AN473" s="136">
        <f t="shared" si="87"/>
        <v>0</v>
      </c>
      <c r="AO473" s="136">
        <f t="shared" si="87"/>
        <v>0</v>
      </c>
      <c r="AP473" s="136">
        <f t="shared" si="87"/>
        <v>0</v>
      </c>
      <c r="AQ473" s="136">
        <f t="shared" si="87"/>
        <v>0</v>
      </c>
      <c r="AR473" s="136">
        <f t="shared" si="87"/>
        <v>0</v>
      </c>
      <c r="AS473" s="136">
        <f t="shared" si="87"/>
        <v>0</v>
      </c>
      <c r="AT473" s="136">
        <f t="shared" si="87"/>
        <v>0</v>
      </c>
      <c r="AU473" s="136">
        <f t="shared" si="87"/>
        <v>0</v>
      </c>
      <c r="AV473" s="136">
        <f t="shared" si="87"/>
        <v>0</v>
      </c>
      <c r="AW473" s="136">
        <f t="shared" si="87"/>
        <v>0</v>
      </c>
      <c r="AX473" s="136">
        <f t="shared" si="87"/>
        <v>0</v>
      </c>
      <c r="AY473" s="136">
        <f t="shared" si="87"/>
        <v>0</v>
      </c>
      <c r="AZ473" s="136">
        <f t="shared" si="87"/>
        <v>0</v>
      </c>
      <c r="BA473" s="136">
        <f t="shared" si="87"/>
        <v>0</v>
      </c>
      <c r="BB473" s="136">
        <f t="shared" si="87"/>
        <v>0</v>
      </c>
      <c r="BC473" s="136">
        <f t="shared" si="87"/>
        <v>0</v>
      </c>
      <c r="BD473" s="136">
        <f t="shared" si="87"/>
        <v>0</v>
      </c>
      <c r="BE473" s="136">
        <f t="shared" si="87"/>
        <v>0</v>
      </c>
      <c r="BF473" s="136">
        <f t="shared" si="87"/>
        <v>0</v>
      </c>
      <c r="BG473" s="136">
        <f t="shared" si="87"/>
        <v>0</v>
      </c>
      <c r="BH473" s="136">
        <f t="shared" si="87"/>
        <v>0</v>
      </c>
      <c r="BI473" s="136">
        <f t="shared" si="87"/>
        <v>0</v>
      </c>
      <c r="BJ473" s="136">
        <f t="shared" si="87"/>
        <v>0</v>
      </c>
      <c r="BK473" s="136">
        <f t="shared" si="87"/>
        <v>0</v>
      </c>
      <c r="BL473" s="136">
        <f t="shared" si="87"/>
        <v>0</v>
      </c>
      <c r="BM473" s="136">
        <f t="shared" si="87"/>
        <v>0</v>
      </c>
      <c r="BN473" s="136">
        <f t="shared" si="87"/>
        <v>0</v>
      </c>
      <c r="BO473" s="136">
        <f t="shared" si="88"/>
        <v>0</v>
      </c>
      <c r="BP473" s="136">
        <f t="shared" si="88"/>
        <v>0</v>
      </c>
      <c r="BQ473" s="136">
        <f t="shared" si="88"/>
        <v>0</v>
      </c>
      <c r="BR473" s="136">
        <f t="shared" si="88"/>
        <v>0</v>
      </c>
      <c r="BS473" s="136">
        <f t="shared" si="88"/>
        <v>0</v>
      </c>
      <c r="BT473" s="136">
        <f t="shared" si="88"/>
        <v>0</v>
      </c>
      <c r="BU473" s="136">
        <f t="shared" si="88"/>
        <v>0</v>
      </c>
      <c r="BV473" s="136">
        <f t="shared" si="88"/>
        <v>0</v>
      </c>
      <c r="BW473" s="136">
        <f t="shared" si="88"/>
        <v>0</v>
      </c>
      <c r="BX473" s="136">
        <f t="shared" si="88"/>
        <v>0</v>
      </c>
      <c r="BZ473" s="136">
        <f t="shared" si="89"/>
        <v>0</v>
      </c>
      <c r="CA473" s="136">
        <f t="shared" si="89"/>
        <v>0</v>
      </c>
    </row>
    <row r="474" spans="7:79" hidden="1" x14ac:dyDescent="0.3">
      <c r="G474" s="136">
        <f t="shared" si="87"/>
        <v>0</v>
      </c>
      <c r="H474" s="136">
        <f t="shared" si="87"/>
        <v>0</v>
      </c>
      <c r="I474" s="136">
        <f t="shared" si="87"/>
        <v>0</v>
      </c>
      <c r="J474" s="136">
        <f t="shared" si="87"/>
        <v>0</v>
      </c>
      <c r="K474" s="136">
        <f t="shared" si="87"/>
        <v>0</v>
      </c>
      <c r="L474" s="136">
        <f t="shared" si="87"/>
        <v>0</v>
      </c>
      <c r="M474" s="136">
        <f t="shared" si="87"/>
        <v>0</v>
      </c>
      <c r="N474" s="136">
        <f t="shared" si="87"/>
        <v>0</v>
      </c>
      <c r="O474" s="136">
        <f t="shared" si="87"/>
        <v>0</v>
      </c>
      <c r="P474" s="136">
        <f t="shared" si="87"/>
        <v>0</v>
      </c>
      <c r="Q474" s="136">
        <f t="shared" si="87"/>
        <v>0</v>
      </c>
      <c r="R474" s="136">
        <f t="shared" ref="Q474:BN477" si="90">R84-CJ84</f>
        <v>0</v>
      </c>
      <c r="S474" s="136">
        <f t="shared" si="90"/>
        <v>0</v>
      </c>
      <c r="T474" s="136">
        <f t="shared" si="90"/>
        <v>0</v>
      </c>
      <c r="U474" s="136">
        <f t="shared" si="90"/>
        <v>0</v>
      </c>
      <c r="V474" s="136">
        <f t="shared" si="90"/>
        <v>0</v>
      </c>
      <c r="W474" s="136">
        <f t="shared" si="90"/>
        <v>0</v>
      </c>
      <c r="X474" s="136">
        <f t="shared" si="90"/>
        <v>0</v>
      </c>
      <c r="Y474" s="136">
        <f t="shared" si="90"/>
        <v>0</v>
      </c>
      <c r="Z474" s="136">
        <f t="shared" si="90"/>
        <v>0</v>
      </c>
      <c r="AA474" s="136">
        <f t="shared" si="90"/>
        <v>0</v>
      </c>
      <c r="AB474" s="136">
        <f t="shared" si="90"/>
        <v>0</v>
      </c>
      <c r="AC474" s="136">
        <f t="shared" si="90"/>
        <v>0</v>
      </c>
      <c r="AD474" s="136">
        <f t="shared" si="90"/>
        <v>0</v>
      </c>
      <c r="AE474" s="136">
        <f t="shared" si="90"/>
        <v>0</v>
      </c>
      <c r="AF474" s="136">
        <f t="shared" si="90"/>
        <v>0</v>
      </c>
      <c r="AG474" s="136">
        <f t="shared" si="90"/>
        <v>0</v>
      </c>
      <c r="AH474" s="136">
        <f t="shared" si="90"/>
        <v>0</v>
      </c>
      <c r="AI474" s="136">
        <f t="shared" si="90"/>
        <v>0</v>
      </c>
      <c r="AJ474" s="136">
        <f t="shared" si="90"/>
        <v>0</v>
      </c>
      <c r="AK474" s="136">
        <f t="shared" si="90"/>
        <v>0</v>
      </c>
      <c r="AL474" s="136">
        <f t="shared" si="90"/>
        <v>0</v>
      </c>
      <c r="AM474" s="136">
        <f t="shared" si="90"/>
        <v>0</v>
      </c>
      <c r="AN474" s="136">
        <f t="shared" si="90"/>
        <v>0</v>
      </c>
      <c r="AO474" s="136">
        <f t="shared" si="90"/>
        <v>0</v>
      </c>
      <c r="AP474" s="136">
        <f t="shared" si="90"/>
        <v>0</v>
      </c>
      <c r="AQ474" s="136">
        <f t="shared" si="90"/>
        <v>0</v>
      </c>
      <c r="AR474" s="136">
        <f t="shared" si="90"/>
        <v>0</v>
      </c>
      <c r="AS474" s="136">
        <f t="shared" si="90"/>
        <v>0</v>
      </c>
      <c r="AT474" s="136">
        <f t="shared" si="90"/>
        <v>0</v>
      </c>
      <c r="AU474" s="136">
        <f t="shared" si="90"/>
        <v>0</v>
      </c>
      <c r="AV474" s="136">
        <f t="shared" si="90"/>
        <v>0</v>
      </c>
      <c r="AW474" s="136">
        <f t="shared" si="90"/>
        <v>0</v>
      </c>
      <c r="AX474" s="136">
        <f t="shared" si="90"/>
        <v>0</v>
      </c>
      <c r="AY474" s="136">
        <f t="shared" si="90"/>
        <v>0</v>
      </c>
      <c r="AZ474" s="136">
        <f t="shared" si="90"/>
        <v>0</v>
      </c>
      <c r="BA474" s="136">
        <f t="shared" si="90"/>
        <v>0</v>
      </c>
      <c r="BB474" s="136">
        <f t="shared" si="90"/>
        <v>0</v>
      </c>
      <c r="BC474" s="136">
        <f t="shared" si="90"/>
        <v>0</v>
      </c>
      <c r="BD474" s="136">
        <f t="shared" si="90"/>
        <v>0</v>
      </c>
      <c r="BE474" s="136">
        <f t="shared" si="90"/>
        <v>0</v>
      </c>
      <c r="BF474" s="136">
        <f t="shared" si="90"/>
        <v>0</v>
      </c>
      <c r="BG474" s="136">
        <f t="shared" si="90"/>
        <v>0</v>
      </c>
      <c r="BH474" s="136">
        <f t="shared" si="90"/>
        <v>0</v>
      </c>
      <c r="BI474" s="136">
        <f t="shared" si="90"/>
        <v>0</v>
      </c>
      <c r="BJ474" s="136">
        <f t="shared" si="90"/>
        <v>0</v>
      </c>
      <c r="BK474" s="136">
        <f t="shared" si="90"/>
        <v>0</v>
      </c>
      <c r="BL474" s="136">
        <f t="shared" si="90"/>
        <v>0</v>
      </c>
      <c r="BM474" s="136">
        <f t="shared" si="90"/>
        <v>0</v>
      </c>
      <c r="BN474" s="136">
        <f t="shared" si="90"/>
        <v>0</v>
      </c>
      <c r="BO474" s="136">
        <f t="shared" si="88"/>
        <v>0</v>
      </c>
      <c r="BP474" s="136">
        <f t="shared" si="88"/>
        <v>0</v>
      </c>
      <c r="BQ474" s="136">
        <f t="shared" si="88"/>
        <v>0</v>
      </c>
      <c r="BR474" s="136">
        <f t="shared" si="88"/>
        <v>0</v>
      </c>
      <c r="BS474" s="136">
        <f t="shared" si="88"/>
        <v>0</v>
      </c>
      <c r="BT474" s="136">
        <f t="shared" si="88"/>
        <v>0</v>
      </c>
      <c r="BU474" s="136">
        <f t="shared" si="88"/>
        <v>0</v>
      </c>
      <c r="BV474" s="136">
        <f t="shared" si="88"/>
        <v>0</v>
      </c>
      <c r="BW474" s="136">
        <f t="shared" si="88"/>
        <v>0</v>
      </c>
      <c r="BX474" s="136">
        <f t="shared" si="88"/>
        <v>0</v>
      </c>
      <c r="BZ474" s="136">
        <f t="shared" si="89"/>
        <v>0</v>
      </c>
      <c r="CA474" s="136">
        <f t="shared" si="89"/>
        <v>0</v>
      </c>
    </row>
    <row r="475" spans="7:79" hidden="1" x14ac:dyDescent="0.3">
      <c r="G475" s="136">
        <f t="shared" ref="G475:P477" si="91">G85-BY85</f>
        <v>0</v>
      </c>
      <c r="H475" s="136">
        <f t="shared" si="91"/>
        <v>0</v>
      </c>
      <c r="I475" s="136">
        <f t="shared" si="91"/>
        <v>0</v>
      </c>
      <c r="J475" s="136">
        <f t="shared" si="91"/>
        <v>0</v>
      </c>
      <c r="K475" s="136">
        <f t="shared" si="91"/>
        <v>0</v>
      </c>
      <c r="L475" s="136">
        <f t="shared" si="91"/>
        <v>0</v>
      </c>
      <c r="M475" s="136">
        <f t="shared" si="91"/>
        <v>0</v>
      </c>
      <c r="N475" s="136">
        <f t="shared" si="91"/>
        <v>0</v>
      </c>
      <c r="O475" s="136">
        <f t="shared" si="91"/>
        <v>0</v>
      </c>
      <c r="P475" s="136">
        <f t="shared" si="91"/>
        <v>0</v>
      </c>
      <c r="Q475" s="136">
        <f t="shared" si="90"/>
        <v>0</v>
      </c>
      <c r="R475" s="136">
        <f t="shared" si="90"/>
        <v>0</v>
      </c>
      <c r="S475" s="136">
        <f t="shared" si="90"/>
        <v>0</v>
      </c>
      <c r="T475" s="136">
        <f t="shared" si="90"/>
        <v>0</v>
      </c>
      <c r="U475" s="136">
        <f t="shared" si="90"/>
        <v>0</v>
      </c>
      <c r="V475" s="136">
        <f t="shared" si="90"/>
        <v>0</v>
      </c>
      <c r="W475" s="136">
        <f t="shared" si="90"/>
        <v>0</v>
      </c>
      <c r="X475" s="136">
        <f t="shared" si="90"/>
        <v>0</v>
      </c>
      <c r="Y475" s="136">
        <f t="shared" si="90"/>
        <v>0</v>
      </c>
      <c r="Z475" s="136">
        <f t="shared" si="90"/>
        <v>0</v>
      </c>
      <c r="AA475" s="136">
        <f t="shared" si="90"/>
        <v>0</v>
      </c>
      <c r="AB475" s="136">
        <f t="shared" si="90"/>
        <v>0</v>
      </c>
      <c r="AC475" s="136">
        <f t="shared" si="90"/>
        <v>0</v>
      </c>
      <c r="AD475" s="136">
        <f t="shared" si="90"/>
        <v>0</v>
      </c>
      <c r="AE475" s="136">
        <f t="shared" si="90"/>
        <v>0</v>
      </c>
      <c r="AF475" s="136">
        <f t="shared" si="90"/>
        <v>0</v>
      </c>
      <c r="AG475" s="136">
        <f t="shared" si="90"/>
        <v>0</v>
      </c>
      <c r="AH475" s="136">
        <f t="shared" si="90"/>
        <v>0</v>
      </c>
      <c r="AI475" s="136">
        <f t="shared" si="90"/>
        <v>0</v>
      </c>
      <c r="AJ475" s="136">
        <f t="shared" si="90"/>
        <v>0</v>
      </c>
      <c r="AK475" s="136">
        <f t="shared" si="90"/>
        <v>0</v>
      </c>
      <c r="AL475" s="136">
        <f t="shared" si="90"/>
        <v>0</v>
      </c>
      <c r="AM475" s="136">
        <f t="shared" si="90"/>
        <v>0</v>
      </c>
      <c r="AN475" s="136">
        <f t="shared" si="90"/>
        <v>0</v>
      </c>
      <c r="AO475" s="136">
        <f t="shared" si="90"/>
        <v>0</v>
      </c>
      <c r="AP475" s="136">
        <f t="shared" si="90"/>
        <v>0</v>
      </c>
      <c r="AQ475" s="136">
        <f t="shared" si="90"/>
        <v>0</v>
      </c>
      <c r="AR475" s="136">
        <f t="shared" si="90"/>
        <v>0</v>
      </c>
      <c r="AS475" s="136">
        <f t="shared" si="90"/>
        <v>0</v>
      </c>
      <c r="AT475" s="136">
        <f t="shared" si="90"/>
        <v>0</v>
      </c>
      <c r="AU475" s="136">
        <f t="shared" si="90"/>
        <v>0</v>
      </c>
      <c r="AV475" s="136">
        <f t="shared" si="90"/>
        <v>0</v>
      </c>
      <c r="AW475" s="136">
        <f t="shared" si="90"/>
        <v>0</v>
      </c>
      <c r="AX475" s="136">
        <f t="shared" si="90"/>
        <v>0</v>
      </c>
      <c r="AY475" s="136">
        <f t="shared" si="90"/>
        <v>0</v>
      </c>
      <c r="AZ475" s="136">
        <f t="shared" si="90"/>
        <v>0</v>
      </c>
      <c r="BA475" s="136">
        <f t="shared" si="90"/>
        <v>0</v>
      </c>
      <c r="BB475" s="136">
        <f t="shared" si="90"/>
        <v>0</v>
      </c>
      <c r="BC475" s="136">
        <f t="shared" si="90"/>
        <v>0</v>
      </c>
      <c r="BD475" s="136">
        <f t="shared" si="90"/>
        <v>0</v>
      </c>
      <c r="BE475" s="136">
        <f t="shared" si="90"/>
        <v>0</v>
      </c>
      <c r="BF475" s="136">
        <f t="shared" si="90"/>
        <v>0</v>
      </c>
      <c r="BG475" s="136">
        <f t="shared" si="90"/>
        <v>0</v>
      </c>
      <c r="BH475" s="136">
        <f t="shared" si="90"/>
        <v>0</v>
      </c>
      <c r="BI475" s="136">
        <f t="shared" si="90"/>
        <v>0</v>
      </c>
      <c r="BJ475" s="136">
        <f t="shared" si="90"/>
        <v>0</v>
      </c>
      <c r="BK475" s="136">
        <f t="shared" si="90"/>
        <v>0</v>
      </c>
      <c r="BL475" s="136">
        <f t="shared" si="90"/>
        <v>0</v>
      </c>
      <c r="BM475" s="136">
        <f t="shared" si="90"/>
        <v>0</v>
      </c>
      <c r="BN475" s="136">
        <f t="shared" si="90"/>
        <v>0</v>
      </c>
      <c r="BO475" s="136">
        <f t="shared" si="88"/>
        <v>0</v>
      </c>
      <c r="BP475" s="136">
        <f t="shared" si="88"/>
        <v>0</v>
      </c>
      <c r="BQ475" s="136">
        <f t="shared" si="88"/>
        <v>0</v>
      </c>
      <c r="BR475" s="136">
        <f t="shared" si="88"/>
        <v>0</v>
      </c>
      <c r="BS475" s="136">
        <f t="shared" si="88"/>
        <v>0</v>
      </c>
      <c r="BT475" s="136">
        <f t="shared" si="88"/>
        <v>0</v>
      </c>
      <c r="BU475" s="136">
        <f t="shared" si="88"/>
        <v>0</v>
      </c>
      <c r="BV475" s="136">
        <f t="shared" si="88"/>
        <v>0</v>
      </c>
      <c r="BW475" s="136">
        <f t="shared" si="88"/>
        <v>0</v>
      </c>
      <c r="BX475" s="136">
        <f t="shared" si="88"/>
        <v>0</v>
      </c>
      <c r="BZ475" s="136">
        <f t="shared" si="89"/>
        <v>0</v>
      </c>
      <c r="CA475" s="136">
        <f t="shared" si="89"/>
        <v>0</v>
      </c>
    </row>
    <row r="476" spans="7:79" hidden="1" x14ac:dyDescent="0.3">
      <c r="G476" s="136">
        <f t="shared" si="91"/>
        <v>0</v>
      </c>
      <c r="H476" s="136">
        <f t="shared" si="91"/>
        <v>0</v>
      </c>
      <c r="I476" s="136">
        <f t="shared" si="91"/>
        <v>0</v>
      </c>
      <c r="J476" s="136">
        <f t="shared" si="91"/>
        <v>0</v>
      </c>
      <c r="K476" s="136">
        <f t="shared" si="91"/>
        <v>0</v>
      </c>
      <c r="L476" s="136">
        <f t="shared" si="91"/>
        <v>0</v>
      </c>
      <c r="M476" s="136">
        <f t="shared" si="91"/>
        <v>0</v>
      </c>
      <c r="N476" s="136">
        <f t="shared" si="91"/>
        <v>0</v>
      </c>
      <c r="O476" s="136">
        <f t="shared" si="91"/>
        <v>0</v>
      </c>
      <c r="P476" s="136">
        <f t="shared" si="91"/>
        <v>0</v>
      </c>
      <c r="Q476" s="136">
        <f t="shared" si="90"/>
        <v>0</v>
      </c>
      <c r="R476" s="136">
        <f t="shared" si="90"/>
        <v>0</v>
      </c>
      <c r="S476" s="136">
        <f t="shared" si="90"/>
        <v>0</v>
      </c>
      <c r="T476" s="136">
        <f t="shared" si="90"/>
        <v>0</v>
      </c>
      <c r="U476" s="136">
        <f t="shared" si="90"/>
        <v>0</v>
      </c>
      <c r="V476" s="136">
        <f t="shared" si="90"/>
        <v>0</v>
      </c>
      <c r="W476" s="136">
        <f t="shared" si="90"/>
        <v>0</v>
      </c>
      <c r="X476" s="136">
        <f t="shared" si="90"/>
        <v>0</v>
      </c>
      <c r="Y476" s="136">
        <f t="shared" si="90"/>
        <v>0</v>
      </c>
      <c r="Z476" s="136">
        <f t="shared" si="90"/>
        <v>0</v>
      </c>
      <c r="AA476" s="136">
        <f t="shared" si="90"/>
        <v>0</v>
      </c>
      <c r="AB476" s="136">
        <f t="shared" si="90"/>
        <v>0</v>
      </c>
      <c r="AC476" s="136">
        <f t="shared" si="90"/>
        <v>0</v>
      </c>
      <c r="AD476" s="136">
        <f t="shared" si="90"/>
        <v>0</v>
      </c>
      <c r="AE476" s="136">
        <f t="shared" si="90"/>
        <v>0</v>
      </c>
      <c r="AF476" s="136">
        <f t="shared" si="90"/>
        <v>0</v>
      </c>
      <c r="AG476" s="136">
        <f t="shared" si="90"/>
        <v>0</v>
      </c>
      <c r="AH476" s="136">
        <f t="shared" si="90"/>
        <v>0</v>
      </c>
      <c r="AI476" s="136">
        <f t="shared" si="90"/>
        <v>0</v>
      </c>
      <c r="AJ476" s="136">
        <f t="shared" si="90"/>
        <v>0</v>
      </c>
      <c r="AK476" s="136">
        <f t="shared" si="90"/>
        <v>0</v>
      </c>
      <c r="AL476" s="136">
        <f t="shared" si="90"/>
        <v>0</v>
      </c>
      <c r="AM476" s="136">
        <f t="shared" si="90"/>
        <v>0</v>
      </c>
      <c r="AN476" s="136">
        <f t="shared" si="90"/>
        <v>0</v>
      </c>
      <c r="AO476" s="136">
        <f t="shared" si="90"/>
        <v>0</v>
      </c>
      <c r="AP476" s="136">
        <f t="shared" si="90"/>
        <v>0</v>
      </c>
      <c r="AQ476" s="136">
        <f t="shared" si="90"/>
        <v>0</v>
      </c>
      <c r="AR476" s="136">
        <f t="shared" si="90"/>
        <v>0</v>
      </c>
      <c r="AS476" s="136">
        <f t="shared" si="90"/>
        <v>0</v>
      </c>
      <c r="AT476" s="136">
        <f t="shared" si="90"/>
        <v>0</v>
      </c>
      <c r="AU476" s="136">
        <f t="shared" si="90"/>
        <v>0</v>
      </c>
      <c r="AV476" s="136">
        <f t="shared" si="90"/>
        <v>0</v>
      </c>
      <c r="AW476" s="136">
        <f t="shared" si="90"/>
        <v>0</v>
      </c>
      <c r="AX476" s="136">
        <f t="shared" si="90"/>
        <v>0</v>
      </c>
      <c r="AY476" s="136">
        <f t="shared" si="90"/>
        <v>0</v>
      </c>
      <c r="AZ476" s="136">
        <f t="shared" si="90"/>
        <v>0</v>
      </c>
      <c r="BA476" s="136">
        <f t="shared" si="90"/>
        <v>0</v>
      </c>
      <c r="BB476" s="136">
        <f t="shared" si="90"/>
        <v>0</v>
      </c>
      <c r="BC476" s="136">
        <f t="shared" si="90"/>
        <v>0</v>
      </c>
      <c r="BD476" s="136">
        <f t="shared" si="90"/>
        <v>0</v>
      </c>
      <c r="BE476" s="136">
        <f t="shared" si="90"/>
        <v>0</v>
      </c>
      <c r="BF476" s="136">
        <f t="shared" si="90"/>
        <v>0</v>
      </c>
      <c r="BG476" s="136">
        <f t="shared" si="90"/>
        <v>0</v>
      </c>
      <c r="BH476" s="136">
        <f t="shared" si="90"/>
        <v>0</v>
      </c>
      <c r="BI476" s="136">
        <f t="shared" si="90"/>
        <v>0</v>
      </c>
      <c r="BJ476" s="136">
        <f t="shared" si="90"/>
        <v>0</v>
      </c>
      <c r="BK476" s="136">
        <f t="shared" si="90"/>
        <v>0</v>
      </c>
      <c r="BL476" s="136">
        <f t="shared" si="90"/>
        <v>0</v>
      </c>
      <c r="BM476" s="136">
        <f t="shared" si="90"/>
        <v>0</v>
      </c>
      <c r="BN476" s="136">
        <f t="shared" si="90"/>
        <v>0</v>
      </c>
      <c r="BO476" s="136">
        <f t="shared" si="88"/>
        <v>0</v>
      </c>
      <c r="BP476" s="136">
        <f t="shared" si="88"/>
        <v>0</v>
      </c>
      <c r="BQ476" s="136">
        <f t="shared" si="88"/>
        <v>0</v>
      </c>
      <c r="BR476" s="136">
        <f t="shared" si="88"/>
        <v>0</v>
      </c>
      <c r="BS476" s="136">
        <f t="shared" si="88"/>
        <v>0</v>
      </c>
      <c r="BT476" s="136">
        <f t="shared" si="88"/>
        <v>0</v>
      </c>
      <c r="BU476" s="136">
        <f t="shared" si="88"/>
        <v>0</v>
      </c>
      <c r="BV476" s="136">
        <f t="shared" si="88"/>
        <v>0</v>
      </c>
      <c r="BW476" s="136">
        <f t="shared" si="88"/>
        <v>0</v>
      </c>
      <c r="BX476" s="136">
        <f t="shared" si="88"/>
        <v>0</v>
      </c>
      <c r="BZ476" s="136">
        <f t="shared" si="89"/>
        <v>0</v>
      </c>
      <c r="CA476" s="136">
        <f t="shared" si="89"/>
        <v>0</v>
      </c>
    </row>
    <row r="477" spans="7:79" hidden="1" x14ac:dyDescent="0.3">
      <c r="G477" s="136">
        <f t="shared" si="91"/>
        <v>0</v>
      </c>
      <c r="H477" s="136">
        <f t="shared" si="91"/>
        <v>0</v>
      </c>
      <c r="I477" s="136">
        <f t="shared" si="91"/>
        <v>0</v>
      </c>
      <c r="J477" s="136">
        <f t="shared" si="91"/>
        <v>0</v>
      </c>
      <c r="K477" s="136">
        <f t="shared" si="91"/>
        <v>0</v>
      </c>
      <c r="L477" s="136">
        <f t="shared" si="91"/>
        <v>0</v>
      </c>
      <c r="M477" s="136">
        <f t="shared" si="91"/>
        <v>0</v>
      </c>
      <c r="N477" s="136">
        <f t="shared" si="91"/>
        <v>0</v>
      </c>
      <c r="O477" s="136">
        <f t="shared" si="91"/>
        <v>0</v>
      </c>
      <c r="P477" s="136">
        <f t="shared" si="91"/>
        <v>0</v>
      </c>
      <c r="Q477" s="136">
        <f t="shared" si="90"/>
        <v>0</v>
      </c>
      <c r="R477" s="136">
        <f t="shared" si="90"/>
        <v>0</v>
      </c>
      <c r="S477" s="136">
        <f t="shared" si="90"/>
        <v>0</v>
      </c>
      <c r="T477" s="136">
        <f t="shared" si="90"/>
        <v>0</v>
      </c>
      <c r="U477" s="136">
        <f t="shared" si="90"/>
        <v>0</v>
      </c>
      <c r="V477" s="136">
        <f t="shared" si="90"/>
        <v>0</v>
      </c>
      <c r="W477" s="136">
        <f t="shared" si="90"/>
        <v>0</v>
      </c>
      <c r="X477" s="136">
        <f t="shared" si="90"/>
        <v>0</v>
      </c>
      <c r="Y477" s="136">
        <f t="shared" si="90"/>
        <v>0</v>
      </c>
      <c r="Z477" s="136">
        <f t="shared" si="90"/>
        <v>0</v>
      </c>
      <c r="AA477" s="136">
        <f t="shared" si="90"/>
        <v>0</v>
      </c>
      <c r="AB477" s="136">
        <f t="shared" si="90"/>
        <v>0</v>
      </c>
      <c r="AC477" s="136">
        <f t="shared" si="90"/>
        <v>0</v>
      </c>
      <c r="AD477" s="136">
        <f t="shared" si="90"/>
        <v>0</v>
      </c>
      <c r="AE477" s="136">
        <f t="shared" si="90"/>
        <v>0</v>
      </c>
      <c r="AF477" s="136">
        <f t="shared" si="90"/>
        <v>0</v>
      </c>
      <c r="AG477" s="136">
        <f t="shared" si="90"/>
        <v>0</v>
      </c>
      <c r="AH477" s="136">
        <f t="shared" si="90"/>
        <v>0</v>
      </c>
      <c r="AI477" s="136">
        <f t="shared" si="90"/>
        <v>0</v>
      </c>
      <c r="AJ477" s="136">
        <f t="shared" si="90"/>
        <v>0</v>
      </c>
      <c r="AK477" s="136">
        <f t="shared" si="90"/>
        <v>0</v>
      </c>
      <c r="AL477" s="136">
        <f t="shared" si="90"/>
        <v>0</v>
      </c>
      <c r="AM477" s="136">
        <f t="shared" si="90"/>
        <v>0</v>
      </c>
      <c r="AN477" s="136">
        <f t="shared" si="90"/>
        <v>0</v>
      </c>
      <c r="AO477" s="136">
        <f t="shared" si="90"/>
        <v>0</v>
      </c>
      <c r="AP477" s="136">
        <f t="shared" si="90"/>
        <v>0</v>
      </c>
      <c r="AQ477" s="136">
        <f t="shared" si="90"/>
        <v>0</v>
      </c>
      <c r="AR477" s="136">
        <f t="shared" si="90"/>
        <v>0</v>
      </c>
      <c r="AS477" s="136">
        <f t="shared" si="90"/>
        <v>0</v>
      </c>
      <c r="AT477" s="136">
        <f t="shared" si="90"/>
        <v>0</v>
      </c>
      <c r="AU477" s="136">
        <f t="shared" si="90"/>
        <v>0</v>
      </c>
      <c r="AV477" s="136">
        <f t="shared" si="90"/>
        <v>0</v>
      </c>
      <c r="AW477" s="136">
        <f t="shared" si="90"/>
        <v>0</v>
      </c>
      <c r="AX477" s="136">
        <f t="shared" si="90"/>
        <v>0</v>
      </c>
      <c r="AY477" s="136">
        <f t="shared" si="90"/>
        <v>0</v>
      </c>
      <c r="AZ477" s="136">
        <f t="shared" si="90"/>
        <v>0</v>
      </c>
      <c r="BA477" s="136">
        <f t="shared" si="90"/>
        <v>0</v>
      </c>
      <c r="BB477" s="136">
        <f t="shared" si="90"/>
        <v>0</v>
      </c>
      <c r="BC477" s="136">
        <f t="shared" si="90"/>
        <v>0</v>
      </c>
      <c r="BD477" s="136">
        <f t="shared" si="90"/>
        <v>0</v>
      </c>
      <c r="BE477" s="136">
        <f t="shared" si="90"/>
        <v>0</v>
      </c>
      <c r="BF477" s="136">
        <f t="shared" si="90"/>
        <v>0</v>
      </c>
      <c r="BG477" s="136">
        <f t="shared" si="90"/>
        <v>0</v>
      </c>
      <c r="BH477" s="136">
        <f t="shared" si="90"/>
        <v>0</v>
      </c>
      <c r="BI477" s="136">
        <f t="shared" si="90"/>
        <v>0</v>
      </c>
      <c r="BJ477" s="136">
        <f t="shared" si="90"/>
        <v>0</v>
      </c>
      <c r="BK477" s="136">
        <f t="shared" si="90"/>
        <v>0</v>
      </c>
      <c r="BL477" s="136">
        <f t="shared" si="90"/>
        <v>0</v>
      </c>
      <c r="BM477" s="136">
        <f t="shared" si="90"/>
        <v>0</v>
      </c>
      <c r="BN477" s="136">
        <f t="shared" si="90"/>
        <v>0</v>
      </c>
      <c r="BO477" s="136">
        <f t="shared" si="88"/>
        <v>0</v>
      </c>
      <c r="BP477" s="136">
        <f t="shared" si="88"/>
        <v>0</v>
      </c>
      <c r="BQ477" s="136">
        <f t="shared" si="88"/>
        <v>0</v>
      </c>
      <c r="BR477" s="136">
        <f t="shared" si="88"/>
        <v>0</v>
      </c>
      <c r="BS477" s="136">
        <f t="shared" si="88"/>
        <v>0</v>
      </c>
      <c r="BT477" s="136">
        <f t="shared" si="88"/>
        <v>0</v>
      </c>
      <c r="BU477" s="136">
        <f t="shared" si="88"/>
        <v>0</v>
      </c>
      <c r="BV477" s="136">
        <f t="shared" si="88"/>
        <v>0</v>
      </c>
      <c r="BW477" s="136">
        <f t="shared" si="88"/>
        <v>0</v>
      </c>
      <c r="BX477" s="136">
        <f t="shared" si="88"/>
        <v>0</v>
      </c>
      <c r="BZ477" s="136">
        <f t="shared" si="89"/>
        <v>0</v>
      </c>
      <c r="CA477" s="136">
        <f t="shared" si="89"/>
        <v>0</v>
      </c>
    </row>
    <row r="478" spans="7:79" hidden="1" x14ac:dyDescent="0.3">
      <c r="G478" s="136">
        <f t="shared" ref="G478:BR481" si="92">G89-BY89</f>
        <v>-13019268</v>
      </c>
      <c r="H478" s="136">
        <f t="shared" si="92"/>
        <v>0</v>
      </c>
      <c r="I478" s="136">
        <f t="shared" si="92"/>
        <v>0</v>
      </c>
      <c r="J478" s="136">
        <f t="shared" si="92"/>
        <v>0</v>
      </c>
      <c r="K478" s="136">
        <f t="shared" si="92"/>
        <v>0</v>
      </c>
      <c r="L478" s="136">
        <f t="shared" si="92"/>
        <v>-3621</v>
      </c>
      <c r="M478" s="136">
        <f t="shared" si="92"/>
        <v>0</v>
      </c>
      <c r="N478" s="136">
        <f t="shared" si="92"/>
        <v>0</v>
      </c>
      <c r="O478" s="136">
        <f t="shared" si="92"/>
        <v>0</v>
      </c>
      <c r="P478" s="136">
        <f t="shared" si="92"/>
        <v>0</v>
      </c>
      <c r="Q478" s="136">
        <f t="shared" si="92"/>
        <v>-1300994</v>
      </c>
      <c r="R478" s="136">
        <f t="shared" si="92"/>
        <v>0</v>
      </c>
      <c r="S478" s="136">
        <f t="shared" si="92"/>
        <v>0</v>
      </c>
      <c r="T478" s="136">
        <f t="shared" si="92"/>
        <v>0</v>
      </c>
      <c r="U478" s="136">
        <f t="shared" si="92"/>
        <v>0</v>
      </c>
      <c r="V478" s="136">
        <f t="shared" si="92"/>
        <v>0</v>
      </c>
      <c r="W478" s="136">
        <f t="shared" si="92"/>
        <v>0</v>
      </c>
      <c r="X478" s="136">
        <f t="shared" si="92"/>
        <v>0</v>
      </c>
      <c r="Y478" s="136">
        <f t="shared" si="92"/>
        <v>0</v>
      </c>
      <c r="Z478" s="136">
        <f t="shared" si="92"/>
        <v>0</v>
      </c>
      <c r="AA478" s="136">
        <f t="shared" si="92"/>
        <v>-1300000</v>
      </c>
      <c r="AB478" s="136">
        <f t="shared" si="92"/>
        <v>0</v>
      </c>
      <c r="AC478" s="136">
        <f t="shared" si="92"/>
        <v>0</v>
      </c>
      <c r="AD478" s="136">
        <f t="shared" si="92"/>
        <v>0</v>
      </c>
      <c r="AE478" s="136">
        <f t="shared" si="92"/>
        <v>0</v>
      </c>
      <c r="AF478" s="136">
        <f t="shared" si="92"/>
        <v>0</v>
      </c>
      <c r="AG478" s="136">
        <f t="shared" si="92"/>
        <v>0</v>
      </c>
      <c r="AH478" s="136">
        <f t="shared" si="92"/>
        <v>0</v>
      </c>
      <c r="AI478" s="136">
        <f t="shared" si="92"/>
        <v>0</v>
      </c>
      <c r="AJ478" s="136">
        <f t="shared" si="92"/>
        <v>0</v>
      </c>
      <c r="AK478" s="136">
        <f t="shared" si="92"/>
        <v>0</v>
      </c>
      <c r="AL478" s="136">
        <f t="shared" si="92"/>
        <v>0</v>
      </c>
      <c r="AM478" s="136">
        <f t="shared" si="92"/>
        <v>0</v>
      </c>
      <c r="AN478" s="136">
        <f t="shared" si="92"/>
        <v>0</v>
      </c>
      <c r="AO478" s="136">
        <f t="shared" si="92"/>
        <v>0</v>
      </c>
      <c r="AP478" s="136">
        <f t="shared" si="92"/>
        <v>0</v>
      </c>
      <c r="AQ478" s="136">
        <f t="shared" si="92"/>
        <v>0</v>
      </c>
      <c r="AR478" s="136">
        <f t="shared" si="92"/>
        <v>0</v>
      </c>
      <c r="AS478" s="136">
        <f t="shared" si="92"/>
        <v>0</v>
      </c>
      <c r="AT478" s="136">
        <f t="shared" si="92"/>
        <v>0</v>
      </c>
      <c r="AU478" s="136">
        <f t="shared" si="92"/>
        <v>-186</v>
      </c>
      <c r="AV478" s="136">
        <f t="shared" si="92"/>
        <v>0</v>
      </c>
      <c r="AW478" s="136">
        <f t="shared" si="92"/>
        <v>0</v>
      </c>
      <c r="AX478" s="136">
        <f t="shared" si="92"/>
        <v>0</v>
      </c>
      <c r="AY478" s="136">
        <f t="shared" si="92"/>
        <v>0</v>
      </c>
      <c r="AZ478" s="136">
        <f t="shared" si="92"/>
        <v>0</v>
      </c>
      <c r="BA478" s="136">
        <f t="shared" si="92"/>
        <v>0</v>
      </c>
      <c r="BB478" s="136">
        <f t="shared" si="92"/>
        <v>0</v>
      </c>
      <c r="BC478" s="136">
        <f t="shared" si="92"/>
        <v>0</v>
      </c>
      <c r="BD478" s="136">
        <f t="shared" si="92"/>
        <v>0</v>
      </c>
      <c r="BE478" s="136">
        <f t="shared" si="92"/>
        <v>-3253715</v>
      </c>
      <c r="BF478" s="136">
        <f t="shared" si="92"/>
        <v>0</v>
      </c>
      <c r="BG478" s="136">
        <f t="shared" si="92"/>
        <v>0</v>
      </c>
      <c r="BH478" s="136">
        <f t="shared" si="92"/>
        <v>0</v>
      </c>
      <c r="BI478" s="136">
        <f t="shared" si="92"/>
        <v>0</v>
      </c>
      <c r="BJ478" s="136">
        <f t="shared" si="92"/>
        <v>-1953752</v>
      </c>
      <c r="BK478" s="136">
        <f t="shared" si="92"/>
        <v>0</v>
      </c>
      <c r="BL478" s="136">
        <f t="shared" si="92"/>
        <v>0</v>
      </c>
      <c r="BM478" s="136">
        <f t="shared" si="92"/>
        <v>0</v>
      </c>
      <c r="BN478" s="136">
        <f t="shared" si="92"/>
        <v>0</v>
      </c>
      <c r="BO478" s="136">
        <f t="shared" si="92"/>
        <v>-5207000</v>
      </c>
      <c r="BP478" s="136">
        <f t="shared" si="92"/>
        <v>0</v>
      </c>
      <c r="BQ478" s="136">
        <f t="shared" si="92"/>
        <v>0</v>
      </c>
      <c r="BR478" s="136">
        <f t="shared" si="92"/>
        <v>0</v>
      </c>
      <c r="BS478" s="136">
        <f t="shared" ref="BS478:BX493" si="93">BS89-EK89</f>
        <v>0</v>
      </c>
      <c r="BT478" s="136">
        <f t="shared" si="93"/>
        <v>-5858516</v>
      </c>
      <c r="BU478" s="136">
        <f t="shared" si="93"/>
        <v>0</v>
      </c>
      <c r="BV478" s="136">
        <f t="shared" si="93"/>
        <v>0</v>
      </c>
      <c r="BW478" s="136">
        <f t="shared" si="93"/>
        <v>0</v>
      </c>
      <c r="BX478" s="136">
        <f t="shared" si="93"/>
        <v>0</v>
      </c>
      <c r="BZ478" s="136">
        <f t="shared" ref="BZ478:CA493" si="94">BZ89-ER89</f>
        <v>0</v>
      </c>
      <c r="CA478" s="136">
        <f t="shared" si="94"/>
        <v>0</v>
      </c>
    </row>
    <row r="479" spans="7:79" hidden="1" x14ac:dyDescent="0.3">
      <c r="G479" s="136">
        <f t="shared" si="92"/>
        <v>-14399580</v>
      </c>
      <c r="H479" s="136">
        <f t="shared" si="92"/>
        <v>0</v>
      </c>
      <c r="I479" s="136">
        <f t="shared" si="92"/>
        <v>0</v>
      </c>
      <c r="J479" s="136">
        <f t="shared" si="92"/>
        <v>0</v>
      </c>
      <c r="K479" s="136">
        <f t="shared" si="92"/>
        <v>0</v>
      </c>
      <c r="L479" s="136">
        <f t="shared" si="92"/>
        <v>-4114</v>
      </c>
      <c r="M479" s="136">
        <f t="shared" si="92"/>
        <v>0</v>
      </c>
      <c r="N479" s="136">
        <f t="shared" si="92"/>
        <v>0</v>
      </c>
      <c r="O479" s="136">
        <f t="shared" si="92"/>
        <v>0</v>
      </c>
      <c r="P479" s="136">
        <f t="shared" si="92"/>
        <v>0</v>
      </c>
      <c r="Q479" s="136">
        <f t="shared" si="92"/>
        <v>-1494801</v>
      </c>
      <c r="R479" s="136">
        <f t="shared" si="92"/>
        <v>0</v>
      </c>
      <c r="S479" s="136">
        <f t="shared" si="92"/>
        <v>0</v>
      </c>
      <c r="T479" s="136">
        <f t="shared" si="92"/>
        <v>0</v>
      </c>
      <c r="U479" s="136">
        <f t="shared" si="92"/>
        <v>0</v>
      </c>
      <c r="V479" s="136">
        <f t="shared" si="92"/>
        <v>0</v>
      </c>
      <c r="W479" s="136">
        <f t="shared" si="92"/>
        <v>0</v>
      </c>
      <c r="X479" s="136">
        <f t="shared" si="92"/>
        <v>0</v>
      </c>
      <c r="Y479" s="136">
        <f t="shared" si="92"/>
        <v>0</v>
      </c>
      <c r="Z479" s="136">
        <f t="shared" si="92"/>
        <v>0</v>
      </c>
      <c r="AA479" s="136">
        <f t="shared" si="92"/>
        <v>-1482826</v>
      </c>
      <c r="AB479" s="136">
        <f t="shared" si="92"/>
        <v>0</v>
      </c>
      <c r="AC479" s="136">
        <f t="shared" si="92"/>
        <v>0</v>
      </c>
      <c r="AD479" s="136">
        <f t="shared" si="92"/>
        <v>0</v>
      </c>
      <c r="AE479" s="136">
        <f t="shared" si="92"/>
        <v>0</v>
      </c>
      <c r="AF479" s="136">
        <f t="shared" si="92"/>
        <v>0</v>
      </c>
      <c r="AG479" s="136">
        <f t="shared" si="92"/>
        <v>0</v>
      </c>
      <c r="AH479" s="136">
        <f t="shared" si="92"/>
        <v>0</v>
      </c>
      <c r="AI479" s="136">
        <f t="shared" si="92"/>
        <v>0</v>
      </c>
      <c r="AJ479" s="136">
        <f t="shared" si="92"/>
        <v>0</v>
      </c>
      <c r="AK479" s="136">
        <f t="shared" si="92"/>
        <v>0</v>
      </c>
      <c r="AL479" s="136">
        <f t="shared" si="92"/>
        <v>0</v>
      </c>
      <c r="AM479" s="136">
        <f t="shared" si="92"/>
        <v>0</v>
      </c>
      <c r="AN479" s="136">
        <f t="shared" si="92"/>
        <v>0</v>
      </c>
      <c r="AO479" s="136">
        <f t="shared" si="92"/>
        <v>0</v>
      </c>
      <c r="AP479" s="136">
        <f t="shared" si="92"/>
        <v>0</v>
      </c>
      <c r="AQ479" s="136">
        <f t="shared" si="92"/>
        <v>0</v>
      </c>
      <c r="AR479" s="136">
        <f t="shared" si="92"/>
        <v>0</v>
      </c>
      <c r="AS479" s="136">
        <f t="shared" si="92"/>
        <v>0</v>
      </c>
      <c r="AT479" s="136">
        <f t="shared" si="92"/>
        <v>0</v>
      </c>
      <c r="AU479" s="136">
        <f t="shared" si="92"/>
        <v>-204</v>
      </c>
      <c r="AV479" s="136">
        <f t="shared" si="92"/>
        <v>0</v>
      </c>
      <c r="AW479" s="136">
        <f t="shared" si="92"/>
        <v>0</v>
      </c>
      <c r="AX479" s="136">
        <f t="shared" si="92"/>
        <v>0</v>
      </c>
      <c r="AY479" s="136">
        <f t="shared" si="92"/>
        <v>0</v>
      </c>
      <c r="AZ479" s="136">
        <f t="shared" si="92"/>
        <v>0</v>
      </c>
      <c r="BA479" s="136">
        <f t="shared" si="92"/>
        <v>0</v>
      </c>
      <c r="BB479" s="136">
        <f t="shared" si="92"/>
        <v>0</v>
      </c>
      <c r="BC479" s="136">
        <f t="shared" si="92"/>
        <v>0</v>
      </c>
      <c r="BD479" s="136">
        <f t="shared" si="92"/>
        <v>0</v>
      </c>
      <c r="BE479" s="136">
        <f t="shared" si="92"/>
        <v>-3614947</v>
      </c>
      <c r="BF479" s="136">
        <f t="shared" si="92"/>
        <v>0</v>
      </c>
      <c r="BG479" s="136">
        <f t="shared" si="92"/>
        <v>0</v>
      </c>
      <c r="BH479" s="136">
        <f t="shared" si="92"/>
        <v>0</v>
      </c>
      <c r="BI479" s="136">
        <f t="shared" si="92"/>
        <v>0</v>
      </c>
      <c r="BJ479" s="136">
        <f t="shared" si="92"/>
        <v>-2163648</v>
      </c>
      <c r="BK479" s="136">
        <f t="shared" si="92"/>
        <v>0</v>
      </c>
      <c r="BL479" s="136">
        <f t="shared" si="92"/>
        <v>0</v>
      </c>
      <c r="BM479" s="136">
        <f t="shared" si="92"/>
        <v>0</v>
      </c>
      <c r="BN479" s="136">
        <f t="shared" si="92"/>
        <v>0</v>
      </c>
      <c r="BO479" s="136">
        <f t="shared" si="92"/>
        <v>-5639040</v>
      </c>
      <c r="BP479" s="136">
        <f t="shared" si="92"/>
        <v>0</v>
      </c>
      <c r="BQ479" s="136">
        <f t="shared" si="92"/>
        <v>0</v>
      </c>
      <c r="BR479" s="136">
        <f t="shared" si="92"/>
        <v>0</v>
      </c>
      <c r="BS479" s="136">
        <f t="shared" si="93"/>
        <v>0</v>
      </c>
      <c r="BT479" s="136">
        <f t="shared" si="93"/>
        <v>-6596892</v>
      </c>
      <c r="BU479" s="136">
        <f t="shared" si="93"/>
        <v>0</v>
      </c>
      <c r="BV479" s="136">
        <f t="shared" si="93"/>
        <v>0</v>
      </c>
      <c r="BW479" s="136">
        <f t="shared" si="93"/>
        <v>0</v>
      </c>
      <c r="BX479" s="136">
        <f t="shared" si="93"/>
        <v>0</v>
      </c>
      <c r="BZ479" s="136">
        <f t="shared" si="94"/>
        <v>0</v>
      </c>
      <c r="CA479" s="136">
        <f t="shared" si="94"/>
        <v>0</v>
      </c>
    </row>
    <row r="480" spans="7:79" hidden="1" x14ac:dyDescent="0.3">
      <c r="G480" s="136">
        <f t="shared" si="92"/>
        <v>0</v>
      </c>
      <c r="H480" s="136">
        <f t="shared" si="92"/>
        <v>0</v>
      </c>
      <c r="I480" s="136">
        <f t="shared" si="92"/>
        <v>0</v>
      </c>
      <c r="J480" s="136">
        <f t="shared" si="92"/>
        <v>0</v>
      </c>
      <c r="K480" s="136">
        <f t="shared" si="92"/>
        <v>0</v>
      </c>
      <c r="L480" s="136">
        <f t="shared" si="92"/>
        <v>0</v>
      </c>
      <c r="M480" s="136">
        <f t="shared" si="92"/>
        <v>0</v>
      </c>
      <c r="N480" s="136">
        <f t="shared" si="92"/>
        <v>0</v>
      </c>
      <c r="O480" s="136">
        <f t="shared" si="92"/>
        <v>0</v>
      </c>
      <c r="P480" s="136">
        <f t="shared" si="92"/>
        <v>0</v>
      </c>
      <c r="Q480" s="136">
        <f t="shared" si="92"/>
        <v>0</v>
      </c>
      <c r="R480" s="136">
        <f t="shared" si="92"/>
        <v>0</v>
      </c>
      <c r="S480" s="136">
        <f t="shared" si="92"/>
        <v>0</v>
      </c>
      <c r="T480" s="136">
        <f t="shared" si="92"/>
        <v>0</v>
      </c>
      <c r="U480" s="136">
        <f t="shared" si="92"/>
        <v>0</v>
      </c>
      <c r="V480" s="136">
        <f t="shared" si="92"/>
        <v>0</v>
      </c>
      <c r="W480" s="136">
        <f t="shared" si="92"/>
        <v>0</v>
      </c>
      <c r="X480" s="136">
        <f t="shared" si="92"/>
        <v>0</v>
      </c>
      <c r="Y480" s="136">
        <f t="shared" si="92"/>
        <v>0</v>
      </c>
      <c r="Z480" s="136">
        <f t="shared" si="92"/>
        <v>0</v>
      </c>
      <c r="AA480" s="136">
        <f t="shared" si="92"/>
        <v>0</v>
      </c>
      <c r="AB480" s="136">
        <f t="shared" si="92"/>
        <v>0</v>
      </c>
      <c r="AC480" s="136">
        <f t="shared" si="92"/>
        <v>0</v>
      </c>
      <c r="AD480" s="136">
        <f t="shared" si="92"/>
        <v>0</v>
      </c>
      <c r="AE480" s="136">
        <f t="shared" si="92"/>
        <v>0</v>
      </c>
      <c r="AF480" s="136">
        <f t="shared" si="92"/>
        <v>0</v>
      </c>
      <c r="AG480" s="136">
        <f t="shared" si="92"/>
        <v>0</v>
      </c>
      <c r="AH480" s="136">
        <f t="shared" si="92"/>
        <v>0</v>
      </c>
      <c r="AI480" s="136">
        <f t="shared" si="92"/>
        <v>0</v>
      </c>
      <c r="AJ480" s="136">
        <f t="shared" si="92"/>
        <v>0</v>
      </c>
      <c r="AK480" s="136">
        <f t="shared" si="92"/>
        <v>0</v>
      </c>
      <c r="AL480" s="136">
        <f t="shared" si="92"/>
        <v>0</v>
      </c>
      <c r="AM480" s="136">
        <f t="shared" si="92"/>
        <v>0</v>
      </c>
      <c r="AN480" s="136">
        <f t="shared" si="92"/>
        <v>0</v>
      </c>
      <c r="AO480" s="136">
        <f t="shared" si="92"/>
        <v>0</v>
      </c>
      <c r="AP480" s="136">
        <f t="shared" si="92"/>
        <v>0</v>
      </c>
      <c r="AQ480" s="136">
        <f t="shared" si="92"/>
        <v>0</v>
      </c>
      <c r="AR480" s="136">
        <f t="shared" si="92"/>
        <v>0</v>
      </c>
      <c r="AS480" s="136">
        <f t="shared" si="92"/>
        <v>0</v>
      </c>
      <c r="AT480" s="136">
        <f t="shared" si="92"/>
        <v>0</v>
      </c>
      <c r="AU480" s="136">
        <f t="shared" si="92"/>
        <v>0</v>
      </c>
      <c r="AV480" s="136">
        <f t="shared" si="92"/>
        <v>0</v>
      </c>
      <c r="AW480" s="136">
        <f t="shared" si="92"/>
        <v>0</v>
      </c>
      <c r="AX480" s="136">
        <f t="shared" si="92"/>
        <v>0</v>
      </c>
      <c r="AY480" s="136">
        <f t="shared" si="92"/>
        <v>0</v>
      </c>
      <c r="AZ480" s="136">
        <f t="shared" si="92"/>
        <v>0</v>
      </c>
      <c r="BA480" s="136">
        <f t="shared" si="92"/>
        <v>0</v>
      </c>
      <c r="BB480" s="136">
        <f t="shared" si="92"/>
        <v>0</v>
      </c>
      <c r="BC480" s="136">
        <f t="shared" si="92"/>
        <v>0</v>
      </c>
      <c r="BD480" s="136">
        <f t="shared" si="92"/>
        <v>0</v>
      </c>
      <c r="BE480" s="136">
        <f t="shared" si="92"/>
        <v>0</v>
      </c>
      <c r="BF480" s="136">
        <f t="shared" si="92"/>
        <v>0</v>
      </c>
      <c r="BG480" s="136">
        <f t="shared" si="92"/>
        <v>0</v>
      </c>
      <c r="BH480" s="136">
        <f t="shared" si="92"/>
        <v>0</v>
      </c>
      <c r="BI480" s="136">
        <f t="shared" si="92"/>
        <v>0</v>
      </c>
      <c r="BJ480" s="136">
        <f t="shared" si="92"/>
        <v>0</v>
      </c>
      <c r="BK480" s="136">
        <f t="shared" si="92"/>
        <v>0</v>
      </c>
      <c r="BL480" s="136">
        <f t="shared" si="92"/>
        <v>0</v>
      </c>
      <c r="BM480" s="136">
        <f t="shared" si="92"/>
        <v>0</v>
      </c>
      <c r="BN480" s="136">
        <f t="shared" si="92"/>
        <v>0</v>
      </c>
      <c r="BO480" s="136">
        <f t="shared" si="92"/>
        <v>0</v>
      </c>
      <c r="BP480" s="136">
        <f t="shared" si="92"/>
        <v>0</v>
      </c>
      <c r="BQ480" s="136">
        <f t="shared" si="92"/>
        <v>0</v>
      </c>
      <c r="BR480" s="136">
        <f t="shared" si="92"/>
        <v>0</v>
      </c>
      <c r="BS480" s="136">
        <f t="shared" si="93"/>
        <v>0</v>
      </c>
      <c r="BT480" s="136">
        <f t="shared" si="93"/>
        <v>0</v>
      </c>
      <c r="BU480" s="136">
        <f t="shared" si="93"/>
        <v>0</v>
      </c>
      <c r="BV480" s="136">
        <f t="shared" si="93"/>
        <v>0</v>
      </c>
      <c r="BW480" s="136">
        <f t="shared" si="93"/>
        <v>0</v>
      </c>
      <c r="BX480" s="136">
        <f t="shared" si="93"/>
        <v>0</v>
      </c>
      <c r="BZ480" s="136">
        <f t="shared" si="94"/>
        <v>0</v>
      </c>
      <c r="CA480" s="136">
        <f t="shared" si="94"/>
        <v>0</v>
      </c>
    </row>
    <row r="481" spans="7:79" hidden="1" x14ac:dyDescent="0.3">
      <c r="G481" s="136">
        <f t="shared" si="92"/>
        <v>1380312</v>
      </c>
      <c r="H481" s="136">
        <f t="shared" si="92"/>
        <v>0</v>
      </c>
      <c r="I481" s="136">
        <f t="shared" si="92"/>
        <v>0</v>
      </c>
      <c r="J481" s="136">
        <f t="shared" si="92"/>
        <v>0</v>
      </c>
      <c r="K481" s="136">
        <f t="shared" si="92"/>
        <v>0</v>
      </c>
      <c r="L481" s="136">
        <f t="shared" si="92"/>
        <v>493</v>
      </c>
      <c r="M481" s="136">
        <f t="shared" si="92"/>
        <v>0</v>
      </c>
      <c r="N481" s="136">
        <f t="shared" si="92"/>
        <v>0</v>
      </c>
      <c r="O481" s="136">
        <f t="shared" si="92"/>
        <v>0</v>
      </c>
      <c r="P481" s="136">
        <f t="shared" si="92"/>
        <v>0</v>
      </c>
      <c r="Q481" s="136">
        <f t="shared" si="92"/>
        <v>193807</v>
      </c>
      <c r="R481" s="136">
        <f t="shared" si="92"/>
        <v>0</v>
      </c>
      <c r="S481" s="136">
        <f t="shared" si="92"/>
        <v>0</v>
      </c>
      <c r="T481" s="136">
        <f t="shared" si="92"/>
        <v>0</v>
      </c>
      <c r="U481" s="136">
        <f t="shared" si="92"/>
        <v>0</v>
      </c>
      <c r="V481" s="136">
        <f t="shared" si="92"/>
        <v>0</v>
      </c>
      <c r="W481" s="136">
        <f t="shared" si="92"/>
        <v>0</v>
      </c>
      <c r="X481" s="136">
        <f t="shared" si="92"/>
        <v>0</v>
      </c>
      <c r="Y481" s="136">
        <f t="shared" si="92"/>
        <v>0</v>
      </c>
      <c r="Z481" s="136">
        <f t="shared" si="92"/>
        <v>0</v>
      </c>
      <c r="AA481" s="136">
        <f t="shared" si="92"/>
        <v>182826</v>
      </c>
      <c r="AB481" s="136">
        <f t="shared" si="92"/>
        <v>0</v>
      </c>
      <c r="AC481" s="136">
        <f t="shared" si="92"/>
        <v>0</v>
      </c>
      <c r="AD481" s="136">
        <f t="shared" si="92"/>
        <v>0</v>
      </c>
      <c r="AE481" s="136">
        <f t="shared" si="92"/>
        <v>0</v>
      </c>
      <c r="AF481" s="136">
        <f t="shared" si="92"/>
        <v>0</v>
      </c>
      <c r="AG481" s="136">
        <f t="shared" si="92"/>
        <v>0</v>
      </c>
      <c r="AH481" s="136">
        <f t="shared" si="92"/>
        <v>0</v>
      </c>
      <c r="AI481" s="136">
        <f t="shared" si="92"/>
        <v>0</v>
      </c>
      <c r="AJ481" s="136">
        <f t="shared" si="92"/>
        <v>0</v>
      </c>
      <c r="AK481" s="136">
        <f t="shared" si="92"/>
        <v>0</v>
      </c>
      <c r="AL481" s="136">
        <f t="shared" si="92"/>
        <v>0</v>
      </c>
      <c r="AM481" s="136">
        <f t="shared" si="92"/>
        <v>0</v>
      </c>
      <c r="AN481" s="136">
        <f t="shared" si="92"/>
        <v>0</v>
      </c>
      <c r="AO481" s="136">
        <f t="shared" si="92"/>
        <v>0</v>
      </c>
      <c r="AP481" s="136">
        <f t="shared" si="92"/>
        <v>0</v>
      </c>
      <c r="AQ481" s="136">
        <f t="shared" si="92"/>
        <v>0</v>
      </c>
      <c r="AR481" s="136">
        <f t="shared" si="92"/>
        <v>0</v>
      </c>
      <c r="AS481" s="136">
        <f t="shared" si="92"/>
        <v>0</v>
      </c>
      <c r="AT481" s="136">
        <f t="shared" si="92"/>
        <v>0</v>
      </c>
      <c r="AU481" s="136">
        <f t="shared" si="92"/>
        <v>18</v>
      </c>
      <c r="AV481" s="136">
        <f t="shared" si="92"/>
        <v>0</v>
      </c>
      <c r="AW481" s="136">
        <f t="shared" si="92"/>
        <v>0</v>
      </c>
      <c r="AX481" s="136">
        <f t="shared" si="92"/>
        <v>0</v>
      </c>
      <c r="AY481" s="136">
        <f t="shared" si="92"/>
        <v>0</v>
      </c>
      <c r="AZ481" s="136">
        <f t="shared" si="92"/>
        <v>0</v>
      </c>
      <c r="BA481" s="136">
        <f t="shared" si="92"/>
        <v>0</v>
      </c>
      <c r="BB481" s="136">
        <f t="shared" si="92"/>
        <v>0</v>
      </c>
      <c r="BC481" s="136">
        <f t="shared" si="92"/>
        <v>0</v>
      </c>
      <c r="BD481" s="136">
        <f t="shared" si="92"/>
        <v>0</v>
      </c>
      <c r="BE481" s="136">
        <f t="shared" si="92"/>
        <v>361232</v>
      </c>
      <c r="BF481" s="136">
        <f t="shared" si="92"/>
        <v>0</v>
      </c>
      <c r="BG481" s="136">
        <f t="shared" si="92"/>
        <v>0</v>
      </c>
      <c r="BH481" s="136">
        <f t="shared" si="92"/>
        <v>0</v>
      </c>
      <c r="BI481" s="136">
        <f t="shared" si="92"/>
        <v>0</v>
      </c>
      <c r="BJ481" s="136">
        <f t="shared" si="92"/>
        <v>209896</v>
      </c>
      <c r="BK481" s="136">
        <f t="shared" si="92"/>
        <v>0</v>
      </c>
      <c r="BL481" s="136">
        <f t="shared" si="92"/>
        <v>0</v>
      </c>
      <c r="BM481" s="136">
        <f t="shared" si="92"/>
        <v>0</v>
      </c>
      <c r="BN481" s="136">
        <f t="shared" si="92"/>
        <v>0</v>
      </c>
      <c r="BO481" s="136">
        <f t="shared" si="92"/>
        <v>432040</v>
      </c>
      <c r="BP481" s="136">
        <f t="shared" si="92"/>
        <v>0</v>
      </c>
      <c r="BQ481" s="136">
        <f t="shared" si="92"/>
        <v>0</v>
      </c>
      <c r="BR481" s="136">
        <f t="shared" ref="BR481:BX496" si="95">BR92-EJ92</f>
        <v>0</v>
      </c>
      <c r="BS481" s="136">
        <f t="shared" si="93"/>
        <v>0</v>
      </c>
      <c r="BT481" s="136">
        <f t="shared" si="93"/>
        <v>738376</v>
      </c>
      <c r="BU481" s="136">
        <f t="shared" si="93"/>
        <v>0</v>
      </c>
      <c r="BV481" s="136">
        <f t="shared" si="93"/>
        <v>0</v>
      </c>
      <c r="BW481" s="136">
        <f t="shared" si="93"/>
        <v>0</v>
      </c>
      <c r="BX481" s="136">
        <f t="shared" si="93"/>
        <v>0</v>
      </c>
      <c r="BZ481" s="136">
        <f t="shared" si="94"/>
        <v>0</v>
      </c>
      <c r="CA481" s="136">
        <f t="shared" si="94"/>
        <v>0</v>
      </c>
    </row>
    <row r="482" spans="7:79" hidden="1" x14ac:dyDescent="0.3">
      <c r="G482" s="136">
        <f t="shared" ref="G482:BQ486" si="96">G93-BY93</f>
        <v>0</v>
      </c>
      <c r="H482" s="136">
        <f t="shared" si="96"/>
        <v>0</v>
      </c>
      <c r="I482" s="136">
        <f t="shared" si="96"/>
        <v>0</v>
      </c>
      <c r="J482" s="136">
        <f t="shared" si="96"/>
        <v>0</v>
      </c>
      <c r="K482" s="136">
        <f t="shared" si="96"/>
        <v>0</v>
      </c>
      <c r="L482" s="136">
        <f t="shared" si="96"/>
        <v>0</v>
      </c>
      <c r="M482" s="136">
        <f t="shared" si="96"/>
        <v>0</v>
      </c>
      <c r="N482" s="136">
        <f t="shared" si="96"/>
        <v>0</v>
      </c>
      <c r="O482" s="136">
        <f t="shared" si="96"/>
        <v>0</v>
      </c>
      <c r="P482" s="136">
        <f t="shared" si="96"/>
        <v>0</v>
      </c>
      <c r="Q482" s="136">
        <f t="shared" si="96"/>
        <v>0</v>
      </c>
      <c r="R482" s="136">
        <f t="shared" si="96"/>
        <v>0</v>
      </c>
      <c r="S482" s="136">
        <f t="shared" si="96"/>
        <v>0</v>
      </c>
      <c r="T482" s="136">
        <f t="shared" si="96"/>
        <v>0</v>
      </c>
      <c r="U482" s="136">
        <f t="shared" si="96"/>
        <v>0</v>
      </c>
      <c r="V482" s="136">
        <f t="shared" si="96"/>
        <v>0</v>
      </c>
      <c r="W482" s="136">
        <f t="shared" si="96"/>
        <v>0</v>
      </c>
      <c r="X482" s="136">
        <f t="shared" si="96"/>
        <v>0</v>
      </c>
      <c r="Y482" s="136">
        <f t="shared" si="96"/>
        <v>0</v>
      </c>
      <c r="Z482" s="136">
        <f t="shared" si="96"/>
        <v>0</v>
      </c>
      <c r="AA482" s="136">
        <f t="shared" si="96"/>
        <v>0</v>
      </c>
      <c r="AB482" s="136">
        <f t="shared" si="96"/>
        <v>0</v>
      </c>
      <c r="AC482" s="136">
        <f t="shared" si="96"/>
        <v>0</v>
      </c>
      <c r="AD482" s="136">
        <f t="shared" si="96"/>
        <v>0</v>
      </c>
      <c r="AE482" s="136">
        <f t="shared" si="96"/>
        <v>0</v>
      </c>
      <c r="AF482" s="136">
        <f t="shared" si="96"/>
        <v>0</v>
      </c>
      <c r="AG482" s="136">
        <f t="shared" si="96"/>
        <v>0</v>
      </c>
      <c r="AH482" s="136">
        <f t="shared" si="96"/>
        <v>0</v>
      </c>
      <c r="AI482" s="136">
        <f t="shared" si="96"/>
        <v>0</v>
      </c>
      <c r="AJ482" s="136">
        <f t="shared" si="96"/>
        <v>0</v>
      </c>
      <c r="AK482" s="136">
        <f t="shared" si="96"/>
        <v>0</v>
      </c>
      <c r="AL482" s="136">
        <f t="shared" si="96"/>
        <v>0</v>
      </c>
      <c r="AM482" s="136">
        <f t="shared" si="96"/>
        <v>0</v>
      </c>
      <c r="AN482" s="136">
        <f t="shared" si="96"/>
        <v>0</v>
      </c>
      <c r="AO482" s="136">
        <f t="shared" si="96"/>
        <v>0</v>
      </c>
      <c r="AP482" s="136">
        <f t="shared" si="96"/>
        <v>0</v>
      </c>
      <c r="AQ482" s="136">
        <f t="shared" si="96"/>
        <v>0</v>
      </c>
      <c r="AR482" s="136">
        <f t="shared" si="96"/>
        <v>0</v>
      </c>
      <c r="AS482" s="136">
        <f t="shared" si="96"/>
        <v>0</v>
      </c>
      <c r="AT482" s="136">
        <f t="shared" si="96"/>
        <v>0</v>
      </c>
      <c r="AU482" s="136">
        <f t="shared" si="96"/>
        <v>0</v>
      </c>
      <c r="AV482" s="136">
        <f t="shared" si="96"/>
        <v>0</v>
      </c>
      <c r="AW482" s="136">
        <f t="shared" si="96"/>
        <v>0</v>
      </c>
      <c r="AX482" s="136">
        <f t="shared" si="96"/>
        <v>0</v>
      </c>
      <c r="AY482" s="136">
        <f t="shared" si="96"/>
        <v>0</v>
      </c>
      <c r="AZ482" s="136">
        <f t="shared" si="96"/>
        <v>0</v>
      </c>
      <c r="BA482" s="136">
        <f t="shared" si="96"/>
        <v>0</v>
      </c>
      <c r="BB482" s="136">
        <f t="shared" si="96"/>
        <v>0</v>
      </c>
      <c r="BC482" s="136">
        <f t="shared" si="96"/>
        <v>0</v>
      </c>
      <c r="BD482" s="136">
        <f t="shared" si="96"/>
        <v>0</v>
      </c>
      <c r="BE482" s="136">
        <f t="shared" si="96"/>
        <v>0</v>
      </c>
      <c r="BF482" s="136">
        <f t="shared" si="96"/>
        <v>0</v>
      </c>
      <c r="BG482" s="136">
        <f t="shared" si="96"/>
        <v>0</v>
      </c>
      <c r="BH482" s="136">
        <f t="shared" si="96"/>
        <v>0</v>
      </c>
      <c r="BI482" s="136">
        <f t="shared" si="96"/>
        <v>0</v>
      </c>
      <c r="BJ482" s="136">
        <f t="shared" si="96"/>
        <v>0</v>
      </c>
      <c r="BK482" s="136">
        <f t="shared" si="96"/>
        <v>0</v>
      </c>
      <c r="BL482" s="136">
        <f t="shared" si="96"/>
        <v>0</v>
      </c>
      <c r="BM482" s="136">
        <f t="shared" si="96"/>
        <v>0</v>
      </c>
      <c r="BN482" s="136">
        <f t="shared" si="96"/>
        <v>0</v>
      </c>
      <c r="BO482" s="136">
        <f t="shared" si="96"/>
        <v>0</v>
      </c>
      <c r="BP482" s="136">
        <f t="shared" si="96"/>
        <v>0</v>
      </c>
      <c r="BQ482" s="136">
        <f t="shared" si="96"/>
        <v>0</v>
      </c>
      <c r="BR482" s="136">
        <f t="shared" si="95"/>
        <v>0</v>
      </c>
      <c r="BS482" s="136">
        <f t="shared" si="93"/>
        <v>0</v>
      </c>
      <c r="BT482" s="136">
        <f t="shared" si="93"/>
        <v>0</v>
      </c>
      <c r="BU482" s="136">
        <f t="shared" si="93"/>
        <v>0</v>
      </c>
      <c r="BV482" s="136">
        <f t="shared" si="93"/>
        <v>0</v>
      </c>
      <c r="BW482" s="136">
        <f t="shared" si="93"/>
        <v>0</v>
      </c>
      <c r="BX482" s="136">
        <f t="shared" si="93"/>
        <v>0</v>
      </c>
      <c r="BZ482" s="136">
        <f t="shared" si="94"/>
        <v>0</v>
      </c>
      <c r="CA482" s="136">
        <f t="shared" si="94"/>
        <v>0</v>
      </c>
    </row>
    <row r="483" spans="7:79" hidden="1" x14ac:dyDescent="0.3">
      <c r="G483" s="136">
        <f t="shared" si="96"/>
        <v>-31297043</v>
      </c>
      <c r="H483" s="136">
        <f t="shared" si="96"/>
        <v>0</v>
      </c>
      <c r="I483" s="136">
        <f t="shared" si="96"/>
        <v>0</v>
      </c>
      <c r="J483" s="136">
        <f t="shared" si="96"/>
        <v>0</v>
      </c>
      <c r="K483" s="136">
        <f t="shared" si="96"/>
        <v>0</v>
      </c>
      <c r="L483" s="136">
        <f t="shared" si="96"/>
        <v>-1101625</v>
      </c>
      <c r="M483" s="136">
        <f t="shared" si="96"/>
        <v>0</v>
      </c>
      <c r="N483" s="136">
        <f t="shared" si="96"/>
        <v>0</v>
      </c>
      <c r="O483" s="136">
        <f t="shared" si="96"/>
        <v>0</v>
      </c>
      <c r="P483" s="136">
        <f t="shared" si="96"/>
        <v>0</v>
      </c>
      <c r="Q483" s="136">
        <f t="shared" si="96"/>
        <v>353000</v>
      </c>
      <c r="R483" s="136">
        <f t="shared" si="96"/>
        <v>0</v>
      </c>
      <c r="S483" s="136">
        <f t="shared" si="96"/>
        <v>0</v>
      </c>
      <c r="T483" s="136">
        <f t="shared" si="96"/>
        <v>0</v>
      </c>
      <c r="U483" s="136">
        <f t="shared" si="96"/>
        <v>0</v>
      </c>
      <c r="V483" s="136">
        <f t="shared" si="96"/>
        <v>0</v>
      </c>
      <c r="W483" s="136">
        <f t="shared" si="96"/>
        <v>0</v>
      </c>
      <c r="X483" s="136">
        <f t="shared" si="96"/>
        <v>0</v>
      </c>
      <c r="Y483" s="136">
        <f t="shared" si="96"/>
        <v>0</v>
      </c>
      <c r="Z483" s="136">
        <f t="shared" si="96"/>
        <v>0</v>
      </c>
      <c r="AA483" s="136">
        <f t="shared" si="96"/>
        <v>-5145000</v>
      </c>
      <c r="AB483" s="136">
        <f t="shared" si="96"/>
        <v>0</v>
      </c>
      <c r="AC483" s="136">
        <f t="shared" si="96"/>
        <v>0</v>
      </c>
      <c r="AD483" s="136">
        <f t="shared" si="96"/>
        <v>0</v>
      </c>
      <c r="AE483" s="136">
        <f t="shared" si="96"/>
        <v>0</v>
      </c>
      <c r="AF483" s="136">
        <f t="shared" si="96"/>
        <v>1420000</v>
      </c>
      <c r="AG483" s="136">
        <f t="shared" si="96"/>
        <v>0</v>
      </c>
      <c r="AH483" s="136">
        <f t="shared" si="96"/>
        <v>0</v>
      </c>
      <c r="AI483" s="136">
        <f t="shared" si="96"/>
        <v>0</v>
      </c>
      <c r="AJ483" s="136">
        <f t="shared" si="96"/>
        <v>0</v>
      </c>
      <c r="AK483" s="136">
        <f t="shared" si="96"/>
        <v>-647000</v>
      </c>
      <c r="AL483" s="136">
        <f t="shared" si="96"/>
        <v>0</v>
      </c>
      <c r="AM483" s="136">
        <f t="shared" si="96"/>
        <v>0</v>
      </c>
      <c r="AN483" s="136">
        <f t="shared" si="96"/>
        <v>0</v>
      </c>
      <c r="AO483" s="136">
        <f t="shared" si="96"/>
        <v>0</v>
      </c>
      <c r="AP483" s="136">
        <f t="shared" si="96"/>
        <v>1157000</v>
      </c>
      <c r="AQ483" s="136">
        <f t="shared" si="96"/>
        <v>0</v>
      </c>
      <c r="AR483" s="136">
        <f t="shared" si="96"/>
        <v>0</v>
      </c>
      <c r="AS483" s="136">
        <f t="shared" si="96"/>
        <v>0</v>
      </c>
      <c r="AT483" s="136">
        <f t="shared" si="96"/>
        <v>0</v>
      </c>
      <c r="AU483" s="136">
        <f t="shared" si="96"/>
        <v>3119411</v>
      </c>
      <c r="AV483" s="136">
        <f t="shared" si="96"/>
        <v>0</v>
      </c>
      <c r="AW483" s="136">
        <f t="shared" si="96"/>
        <v>0</v>
      </c>
      <c r="AX483" s="136">
        <f t="shared" si="96"/>
        <v>0</v>
      </c>
      <c r="AY483" s="136">
        <f t="shared" si="96"/>
        <v>0</v>
      </c>
      <c r="AZ483" s="136">
        <f t="shared" si="96"/>
        <v>-653000</v>
      </c>
      <c r="BA483" s="136">
        <f t="shared" si="96"/>
        <v>0</v>
      </c>
      <c r="BB483" s="136">
        <f t="shared" si="96"/>
        <v>0</v>
      </c>
      <c r="BC483" s="136">
        <f t="shared" si="96"/>
        <v>0</v>
      </c>
      <c r="BD483" s="136">
        <f t="shared" si="96"/>
        <v>0</v>
      </c>
      <c r="BE483" s="136">
        <f t="shared" si="96"/>
        <v>1297561</v>
      </c>
      <c r="BF483" s="136">
        <f t="shared" si="96"/>
        <v>0</v>
      </c>
      <c r="BG483" s="136">
        <f t="shared" si="96"/>
        <v>0</v>
      </c>
      <c r="BH483" s="136">
        <f t="shared" si="96"/>
        <v>0</v>
      </c>
      <c r="BI483" s="136">
        <f t="shared" si="96"/>
        <v>0</v>
      </c>
      <c r="BJ483" s="136">
        <f t="shared" si="96"/>
        <v>-1300000</v>
      </c>
      <c r="BK483" s="136">
        <f t="shared" si="96"/>
        <v>0</v>
      </c>
      <c r="BL483" s="136">
        <f t="shared" si="96"/>
        <v>0</v>
      </c>
      <c r="BM483" s="136">
        <f t="shared" si="96"/>
        <v>0</v>
      </c>
      <c r="BN483" s="136">
        <f t="shared" si="96"/>
        <v>0</v>
      </c>
      <c r="BO483" s="136">
        <f t="shared" si="96"/>
        <v>-1953000</v>
      </c>
      <c r="BP483" s="136">
        <f t="shared" si="96"/>
        <v>0</v>
      </c>
      <c r="BQ483" s="136">
        <f t="shared" si="96"/>
        <v>0</v>
      </c>
      <c r="BR483" s="136">
        <f t="shared" si="95"/>
        <v>0</v>
      </c>
      <c r="BS483" s="136">
        <f t="shared" si="93"/>
        <v>0</v>
      </c>
      <c r="BT483" s="136">
        <f t="shared" si="93"/>
        <v>-199653</v>
      </c>
      <c r="BU483" s="136">
        <f t="shared" si="93"/>
        <v>0</v>
      </c>
      <c r="BV483" s="136">
        <f t="shared" si="93"/>
        <v>0</v>
      </c>
      <c r="BW483" s="136">
        <f t="shared" si="93"/>
        <v>0</v>
      </c>
      <c r="BX483" s="136">
        <f t="shared" si="93"/>
        <v>0</v>
      </c>
      <c r="BZ483" s="136">
        <f t="shared" si="94"/>
        <v>0</v>
      </c>
      <c r="CA483" s="136">
        <f t="shared" si="94"/>
        <v>0</v>
      </c>
    </row>
    <row r="484" spans="7:79" hidden="1" x14ac:dyDescent="0.3">
      <c r="G484" s="136">
        <f t="shared" si="96"/>
        <v>-29049674</v>
      </c>
      <c r="H484" s="136">
        <f t="shared" si="96"/>
        <v>0</v>
      </c>
      <c r="I484" s="136">
        <f t="shared" si="96"/>
        <v>0</v>
      </c>
      <c r="J484" s="136">
        <f t="shared" si="96"/>
        <v>0</v>
      </c>
      <c r="K484" s="136">
        <f t="shared" si="96"/>
        <v>0</v>
      </c>
      <c r="L484" s="136">
        <f t="shared" si="96"/>
        <v>-1016981</v>
      </c>
      <c r="M484" s="136">
        <f t="shared" si="96"/>
        <v>0</v>
      </c>
      <c r="N484" s="136">
        <f t="shared" si="96"/>
        <v>0</v>
      </c>
      <c r="O484" s="136">
        <f t="shared" si="96"/>
        <v>0</v>
      </c>
      <c r="P484" s="136">
        <f t="shared" si="96"/>
        <v>0</v>
      </c>
      <c r="Q484" s="136">
        <f t="shared" si="96"/>
        <v>182354</v>
      </c>
      <c r="R484" s="136">
        <f t="shared" si="96"/>
        <v>0</v>
      </c>
      <c r="S484" s="136">
        <f t="shared" si="96"/>
        <v>0</v>
      </c>
      <c r="T484" s="136">
        <f t="shared" si="96"/>
        <v>0</v>
      </c>
      <c r="U484" s="136">
        <f t="shared" si="96"/>
        <v>0</v>
      </c>
      <c r="V484" s="136">
        <f t="shared" si="96"/>
        <v>0</v>
      </c>
      <c r="W484" s="136">
        <f t="shared" si="96"/>
        <v>0</v>
      </c>
      <c r="X484" s="136">
        <f t="shared" si="96"/>
        <v>0</v>
      </c>
      <c r="Y484" s="136">
        <f t="shared" si="96"/>
        <v>0</v>
      </c>
      <c r="Z484" s="136">
        <f t="shared" si="96"/>
        <v>0</v>
      </c>
      <c r="AA484" s="136">
        <f t="shared" si="96"/>
        <v>-4870925</v>
      </c>
      <c r="AB484" s="136">
        <f t="shared" si="96"/>
        <v>0</v>
      </c>
      <c r="AC484" s="136">
        <f t="shared" si="96"/>
        <v>0</v>
      </c>
      <c r="AD484" s="136">
        <f t="shared" si="96"/>
        <v>0</v>
      </c>
      <c r="AE484" s="136">
        <f t="shared" si="96"/>
        <v>0</v>
      </c>
      <c r="AF484" s="136">
        <f t="shared" si="96"/>
        <v>1137905</v>
      </c>
      <c r="AG484" s="136">
        <f t="shared" si="96"/>
        <v>0</v>
      </c>
      <c r="AH484" s="136">
        <f t="shared" si="96"/>
        <v>0</v>
      </c>
      <c r="AI484" s="136">
        <f t="shared" si="96"/>
        <v>0</v>
      </c>
      <c r="AJ484" s="136">
        <f t="shared" si="96"/>
        <v>0</v>
      </c>
      <c r="AK484" s="136">
        <f t="shared" si="96"/>
        <v>-863360</v>
      </c>
      <c r="AL484" s="136">
        <f t="shared" si="96"/>
        <v>0</v>
      </c>
      <c r="AM484" s="136">
        <f t="shared" si="96"/>
        <v>0</v>
      </c>
      <c r="AN484" s="136">
        <f t="shared" si="96"/>
        <v>0</v>
      </c>
      <c r="AO484" s="136">
        <f t="shared" si="96"/>
        <v>0</v>
      </c>
      <c r="AP484" s="136">
        <f t="shared" si="96"/>
        <v>832140</v>
      </c>
      <c r="AQ484" s="136">
        <f t="shared" si="96"/>
        <v>0</v>
      </c>
      <c r="AR484" s="136">
        <f t="shared" si="96"/>
        <v>0</v>
      </c>
      <c r="AS484" s="136">
        <f t="shared" si="96"/>
        <v>0</v>
      </c>
      <c r="AT484" s="136">
        <f t="shared" si="96"/>
        <v>0</v>
      </c>
      <c r="AU484" s="136">
        <f t="shared" si="96"/>
        <v>2613682</v>
      </c>
      <c r="AV484" s="136">
        <f t="shared" si="96"/>
        <v>0</v>
      </c>
      <c r="AW484" s="136">
        <f t="shared" si="96"/>
        <v>0</v>
      </c>
      <c r="AX484" s="136">
        <f t="shared" si="96"/>
        <v>0</v>
      </c>
      <c r="AY484" s="136">
        <f t="shared" si="96"/>
        <v>0</v>
      </c>
      <c r="AZ484" s="136">
        <f t="shared" si="96"/>
        <v>-603413</v>
      </c>
      <c r="BA484" s="136">
        <f t="shared" si="96"/>
        <v>0</v>
      </c>
      <c r="BB484" s="136">
        <f t="shared" si="96"/>
        <v>0</v>
      </c>
      <c r="BC484" s="136">
        <f t="shared" si="96"/>
        <v>0</v>
      </c>
      <c r="BD484" s="136">
        <f t="shared" si="96"/>
        <v>0</v>
      </c>
      <c r="BE484" s="136">
        <f t="shared" si="96"/>
        <v>1151877</v>
      </c>
      <c r="BF484" s="136">
        <f t="shared" si="96"/>
        <v>0</v>
      </c>
      <c r="BG484" s="136">
        <f t="shared" si="96"/>
        <v>0</v>
      </c>
      <c r="BH484" s="136">
        <f t="shared" si="96"/>
        <v>0</v>
      </c>
      <c r="BI484" s="136">
        <f t="shared" si="96"/>
        <v>0</v>
      </c>
      <c r="BJ484" s="136">
        <f t="shared" si="96"/>
        <v>-1215513</v>
      </c>
      <c r="BK484" s="136">
        <f t="shared" si="96"/>
        <v>0</v>
      </c>
      <c r="BL484" s="136">
        <f t="shared" si="96"/>
        <v>0</v>
      </c>
      <c r="BM484" s="136">
        <f t="shared" si="96"/>
        <v>0</v>
      </c>
      <c r="BN484" s="136">
        <f t="shared" si="96"/>
        <v>0</v>
      </c>
      <c r="BO484" s="136">
        <f t="shared" si="96"/>
        <v>-1760400</v>
      </c>
      <c r="BP484" s="136">
        <f t="shared" si="96"/>
        <v>0</v>
      </c>
      <c r="BQ484" s="136">
        <f t="shared" si="96"/>
        <v>0</v>
      </c>
      <c r="BR484" s="136">
        <f t="shared" si="95"/>
        <v>0</v>
      </c>
      <c r="BS484" s="136">
        <f t="shared" si="93"/>
        <v>0</v>
      </c>
      <c r="BT484" s="136">
        <f t="shared" si="93"/>
        <v>-1436721</v>
      </c>
      <c r="BU484" s="136">
        <f t="shared" si="93"/>
        <v>0</v>
      </c>
      <c r="BV484" s="136">
        <f t="shared" si="93"/>
        <v>0</v>
      </c>
      <c r="BW484" s="136">
        <f t="shared" si="93"/>
        <v>0</v>
      </c>
      <c r="BX484" s="136">
        <f t="shared" si="93"/>
        <v>0</v>
      </c>
      <c r="BZ484" s="136">
        <f t="shared" si="94"/>
        <v>0</v>
      </c>
      <c r="CA484" s="136">
        <f t="shared" si="94"/>
        <v>0</v>
      </c>
    </row>
    <row r="485" spans="7:79" hidden="1" x14ac:dyDescent="0.3">
      <c r="G485" s="136">
        <f t="shared" si="96"/>
        <v>-2247369</v>
      </c>
      <c r="H485" s="136">
        <f t="shared" si="96"/>
        <v>0</v>
      </c>
      <c r="I485" s="136">
        <f t="shared" si="96"/>
        <v>0</v>
      </c>
      <c r="J485" s="136">
        <f t="shared" si="96"/>
        <v>0</v>
      </c>
      <c r="K485" s="136">
        <f t="shared" si="96"/>
        <v>0</v>
      </c>
      <c r="L485" s="136">
        <f t="shared" si="96"/>
        <v>-84644</v>
      </c>
      <c r="M485" s="136">
        <f t="shared" si="96"/>
        <v>0</v>
      </c>
      <c r="N485" s="136">
        <f t="shared" si="96"/>
        <v>0</v>
      </c>
      <c r="O485" s="136">
        <f t="shared" si="96"/>
        <v>0</v>
      </c>
      <c r="P485" s="136">
        <f t="shared" si="96"/>
        <v>0</v>
      </c>
      <c r="Q485" s="136">
        <f t="shared" si="96"/>
        <v>170646</v>
      </c>
      <c r="R485" s="136">
        <f t="shared" si="96"/>
        <v>0</v>
      </c>
      <c r="S485" s="136">
        <f t="shared" si="96"/>
        <v>0</v>
      </c>
      <c r="T485" s="136">
        <f t="shared" si="96"/>
        <v>0</v>
      </c>
      <c r="U485" s="136">
        <f t="shared" si="96"/>
        <v>0</v>
      </c>
      <c r="V485" s="136">
        <f t="shared" si="96"/>
        <v>0</v>
      </c>
      <c r="W485" s="136">
        <f t="shared" si="96"/>
        <v>0</v>
      </c>
      <c r="X485" s="136">
        <f t="shared" si="96"/>
        <v>0</v>
      </c>
      <c r="Y485" s="136">
        <f t="shared" si="96"/>
        <v>0</v>
      </c>
      <c r="Z485" s="136">
        <f t="shared" si="96"/>
        <v>0</v>
      </c>
      <c r="AA485" s="136">
        <f t="shared" si="96"/>
        <v>-274075</v>
      </c>
      <c r="AB485" s="136">
        <f t="shared" si="96"/>
        <v>0</v>
      </c>
      <c r="AC485" s="136">
        <f t="shared" si="96"/>
        <v>0</v>
      </c>
      <c r="AD485" s="136">
        <f t="shared" si="96"/>
        <v>0</v>
      </c>
      <c r="AE485" s="136">
        <f t="shared" si="96"/>
        <v>0</v>
      </c>
      <c r="AF485" s="136">
        <f t="shared" si="96"/>
        <v>282095</v>
      </c>
      <c r="AG485" s="136">
        <f t="shared" si="96"/>
        <v>0</v>
      </c>
      <c r="AH485" s="136">
        <f t="shared" si="96"/>
        <v>0</v>
      </c>
      <c r="AI485" s="136">
        <f t="shared" si="96"/>
        <v>0</v>
      </c>
      <c r="AJ485" s="136">
        <f t="shared" si="96"/>
        <v>0</v>
      </c>
      <c r="AK485" s="136">
        <f t="shared" si="96"/>
        <v>216360</v>
      </c>
      <c r="AL485" s="136">
        <f t="shared" si="96"/>
        <v>0</v>
      </c>
      <c r="AM485" s="136">
        <f t="shared" si="96"/>
        <v>0</v>
      </c>
      <c r="AN485" s="136">
        <f t="shared" si="96"/>
        <v>0</v>
      </c>
      <c r="AO485" s="136">
        <f t="shared" si="96"/>
        <v>0</v>
      </c>
      <c r="AP485" s="136">
        <f t="shared" si="96"/>
        <v>324860</v>
      </c>
      <c r="AQ485" s="136">
        <f t="shared" si="96"/>
        <v>0</v>
      </c>
      <c r="AR485" s="136">
        <f t="shared" si="96"/>
        <v>0</v>
      </c>
      <c r="AS485" s="136">
        <f t="shared" si="96"/>
        <v>0</v>
      </c>
      <c r="AT485" s="136">
        <f t="shared" si="96"/>
        <v>0</v>
      </c>
      <c r="AU485" s="136">
        <f t="shared" si="96"/>
        <v>505729</v>
      </c>
      <c r="AV485" s="136">
        <f t="shared" si="96"/>
        <v>0</v>
      </c>
      <c r="AW485" s="136">
        <f t="shared" si="96"/>
        <v>0</v>
      </c>
      <c r="AX485" s="136">
        <f t="shared" si="96"/>
        <v>0</v>
      </c>
      <c r="AY485" s="136">
        <f t="shared" si="96"/>
        <v>0</v>
      </c>
      <c r="AZ485" s="136">
        <f t="shared" si="96"/>
        <v>-49587</v>
      </c>
      <c r="BA485" s="136">
        <f t="shared" si="96"/>
        <v>0</v>
      </c>
      <c r="BB485" s="136">
        <f t="shared" si="96"/>
        <v>0</v>
      </c>
      <c r="BC485" s="136">
        <f t="shared" si="96"/>
        <v>0</v>
      </c>
      <c r="BD485" s="136">
        <f t="shared" si="96"/>
        <v>0</v>
      </c>
      <c r="BE485" s="136">
        <f t="shared" si="96"/>
        <v>145684</v>
      </c>
      <c r="BF485" s="136">
        <f t="shared" si="96"/>
        <v>0</v>
      </c>
      <c r="BG485" s="136">
        <f t="shared" si="96"/>
        <v>0</v>
      </c>
      <c r="BH485" s="136">
        <f t="shared" si="96"/>
        <v>0</v>
      </c>
      <c r="BI485" s="136">
        <f t="shared" si="96"/>
        <v>0</v>
      </c>
      <c r="BJ485" s="136">
        <f t="shared" si="96"/>
        <v>-84487</v>
      </c>
      <c r="BK485" s="136">
        <f t="shared" si="96"/>
        <v>0</v>
      </c>
      <c r="BL485" s="136">
        <f t="shared" si="96"/>
        <v>0</v>
      </c>
      <c r="BM485" s="136">
        <f t="shared" si="96"/>
        <v>0</v>
      </c>
      <c r="BN485" s="136">
        <f t="shared" si="96"/>
        <v>0</v>
      </c>
      <c r="BO485" s="136">
        <f t="shared" si="96"/>
        <v>-192600</v>
      </c>
      <c r="BP485" s="136">
        <f t="shared" si="96"/>
        <v>0</v>
      </c>
      <c r="BQ485" s="136">
        <f t="shared" si="96"/>
        <v>0</v>
      </c>
      <c r="BR485" s="136">
        <f t="shared" si="95"/>
        <v>0</v>
      </c>
      <c r="BS485" s="136">
        <f t="shared" si="93"/>
        <v>0</v>
      </c>
      <c r="BT485" s="136">
        <f t="shared" si="93"/>
        <v>1237068</v>
      </c>
      <c r="BU485" s="136">
        <f t="shared" si="93"/>
        <v>0</v>
      </c>
      <c r="BV485" s="136">
        <f t="shared" si="93"/>
        <v>0</v>
      </c>
      <c r="BW485" s="136">
        <f t="shared" si="93"/>
        <v>0</v>
      </c>
      <c r="BX485" s="136">
        <f t="shared" si="93"/>
        <v>0</v>
      </c>
      <c r="BZ485" s="136">
        <f t="shared" si="94"/>
        <v>0</v>
      </c>
      <c r="CA485" s="136">
        <f t="shared" si="94"/>
        <v>0</v>
      </c>
    </row>
    <row r="486" spans="7:79" hidden="1" x14ac:dyDescent="0.3">
      <c r="G486" s="136">
        <f t="shared" si="96"/>
        <v>0</v>
      </c>
      <c r="H486" s="136">
        <f t="shared" si="96"/>
        <v>0</v>
      </c>
      <c r="I486" s="136">
        <f t="shared" si="96"/>
        <v>0</v>
      </c>
      <c r="J486" s="136">
        <f t="shared" ref="J486:BQ490" si="97">J97-CB97</f>
        <v>0</v>
      </c>
      <c r="K486" s="136">
        <f t="shared" si="97"/>
        <v>0</v>
      </c>
      <c r="L486" s="136">
        <f t="shared" si="97"/>
        <v>0</v>
      </c>
      <c r="M486" s="136">
        <f t="shared" si="97"/>
        <v>0</v>
      </c>
      <c r="N486" s="136">
        <f t="shared" si="97"/>
        <v>0</v>
      </c>
      <c r="O486" s="136">
        <f t="shared" si="97"/>
        <v>0</v>
      </c>
      <c r="P486" s="136">
        <f t="shared" si="97"/>
        <v>0</v>
      </c>
      <c r="Q486" s="136">
        <f t="shared" si="97"/>
        <v>0</v>
      </c>
      <c r="R486" s="136">
        <f t="shared" si="97"/>
        <v>0</v>
      </c>
      <c r="S486" s="136">
        <f t="shared" si="97"/>
        <v>0</v>
      </c>
      <c r="T486" s="136">
        <f t="shared" si="97"/>
        <v>0</v>
      </c>
      <c r="U486" s="136">
        <f t="shared" si="97"/>
        <v>0</v>
      </c>
      <c r="V486" s="136">
        <f t="shared" si="97"/>
        <v>0</v>
      </c>
      <c r="W486" s="136">
        <f t="shared" si="97"/>
        <v>0</v>
      </c>
      <c r="X486" s="136">
        <f t="shared" si="97"/>
        <v>0</v>
      </c>
      <c r="Y486" s="136">
        <f t="shared" si="97"/>
        <v>0</v>
      </c>
      <c r="Z486" s="136">
        <f t="shared" si="97"/>
        <v>0</v>
      </c>
      <c r="AA486" s="136">
        <f t="shared" si="97"/>
        <v>0</v>
      </c>
      <c r="AB486" s="136">
        <f t="shared" si="97"/>
        <v>0</v>
      </c>
      <c r="AC486" s="136">
        <f t="shared" si="97"/>
        <v>0</v>
      </c>
      <c r="AD486" s="136">
        <f t="shared" si="97"/>
        <v>0</v>
      </c>
      <c r="AE486" s="136">
        <f t="shared" si="97"/>
        <v>0</v>
      </c>
      <c r="AF486" s="136">
        <f t="shared" si="97"/>
        <v>0</v>
      </c>
      <c r="AG486" s="136">
        <f t="shared" si="97"/>
        <v>0</v>
      </c>
      <c r="AH486" s="136">
        <f t="shared" si="97"/>
        <v>0</v>
      </c>
      <c r="AI486" s="136">
        <f t="shared" si="97"/>
        <v>0</v>
      </c>
      <c r="AJ486" s="136">
        <f t="shared" si="97"/>
        <v>0</v>
      </c>
      <c r="AK486" s="136">
        <f t="shared" si="97"/>
        <v>0</v>
      </c>
      <c r="AL486" s="136">
        <f t="shared" si="97"/>
        <v>0</v>
      </c>
      <c r="AM486" s="136">
        <f t="shared" si="97"/>
        <v>0</v>
      </c>
      <c r="AN486" s="136">
        <f t="shared" si="97"/>
        <v>0</v>
      </c>
      <c r="AO486" s="136">
        <f t="shared" si="97"/>
        <v>0</v>
      </c>
      <c r="AP486" s="136">
        <f t="shared" si="97"/>
        <v>0</v>
      </c>
      <c r="AQ486" s="136">
        <f t="shared" si="97"/>
        <v>0</v>
      </c>
      <c r="AR486" s="136">
        <f t="shared" si="97"/>
        <v>0</v>
      </c>
      <c r="AS486" s="136">
        <f t="shared" si="97"/>
        <v>0</v>
      </c>
      <c r="AT486" s="136">
        <f t="shared" si="97"/>
        <v>0</v>
      </c>
      <c r="AU486" s="136">
        <f t="shared" si="97"/>
        <v>0</v>
      </c>
      <c r="AV486" s="136">
        <f t="shared" si="97"/>
        <v>0</v>
      </c>
      <c r="AW486" s="136">
        <f t="shared" si="97"/>
        <v>0</v>
      </c>
      <c r="AX486" s="136">
        <f t="shared" si="97"/>
        <v>0</v>
      </c>
      <c r="AY486" s="136">
        <f t="shared" si="97"/>
        <v>0</v>
      </c>
      <c r="AZ486" s="136">
        <f t="shared" si="97"/>
        <v>0</v>
      </c>
      <c r="BA486" s="136">
        <f t="shared" si="97"/>
        <v>0</v>
      </c>
      <c r="BB486" s="136">
        <f t="shared" si="97"/>
        <v>0</v>
      </c>
      <c r="BC486" s="136">
        <f t="shared" si="97"/>
        <v>0</v>
      </c>
      <c r="BD486" s="136">
        <f t="shared" si="97"/>
        <v>0</v>
      </c>
      <c r="BE486" s="136">
        <f t="shared" si="97"/>
        <v>0</v>
      </c>
      <c r="BF486" s="136">
        <f t="shared" si="97"/>
        <v>0</v>
      </c>
      <c r="BG486" s="136">
        <f t="shared" si="97"/>
        <v>0</v>
      </c>
      <c r="BH486" s="136">
        <f t="shared" si="97"/>
        <v>0</v>
      </c>
      <c r="BI486" s="136">
        <f t="shared" si="97"/>
        <v>0</v>
      </c>
      <c r="BJ486" s="136">
        <f t="shared" si="97"/>
        <v>0</v>
      </c>
      <c r="BK486" s="136">
        <f t="shared" si="97"/>
        <v>0</v>
      </c>
      <c r="BL486" s="136">
        <f t="shared" si="97"/>
        <v>0</v>
      </c>
      <c r="BM486" s="136">
        <f t="shared" si="97"/>
        <v>0</v>
      </c>
      <c r="BN486" s="136">
        <f t="shared" si="97"/>
        <v>0</v>
      </c>
      <c r="BO486" s="136">
        <f t="shared" si="97"/>
        <v>0</v>
      </c>
      <c r="BP486" s="136">
        <f t="shared" si="97"/>
        <v>0</v>
      </c>
      <c r="BQ486" s="136">
        <f t="shared" si="97"/>
        <v>0</v>
      </c>
      <c r="BR486" s="136">
        <f t="shared" si="95"/>
        <v>0</v>
      </c>
      <c r="BS486" s="136">
        <f t="shared" si="93"/>
        <v>0</v>
      </c>
      <c r="BT486" s="136">
        <f t="shared" si="93"/>
        <v>0</v>
      </c>
      <c r="BU486" s="136">
        <f t="shared" si="93"/>
        <v>0</v>
      </c>
      <c r="BV486" s="136">
        <f t="shared" si="93"/>
        <v>0</v>
      </c>
      <c r="BW486" s="136">
        <f t="shared" si="93"/>
        <v>0</v>
      </c>
      <c r="BX486" s="136">
        <f t="shared" si="93"/>
        <v>0</v>
      </c>
      <c r="BZ486" s="136">
        <f t="shared" si="94"/>
        <v>0</v>
      </c>
      <c r="CA486" s="136">
        <f t="shared" si="94"/>
        <v>0</v>
      </c>
    </row>
    <row r="487" spans="7:79" hidden="1" x14ac:dyDescent="0.3">
      <c r="G487" s="136">
        <f t="shared" ref="G487:V502" si="98">G98-BY98</f>
        <v>0</v>
      </c>
      <c r="H487" s="136">
        <f t="shared" si="98"/>
        <v>0</v>
      </c>
      <c r="I487" s="136">
        <f t="shared" si="98"/>
        <v>0</v>
      </c>
      <c r="J487" s="136">
        <f t="shared" si="97"/>
        <v>0</v>
      </c>
      <c r="K487" s="136">
        <f t="shared" si="97"/>
        <v>0</v>
      </c>
      <c r="L487" s="136">
        <f t="shared" si="97"/>
        <v>0</v>
      </c>
      <c r="M487" s="136">
        <f t="shared" si="97"/>
        <v>0</v>
      </c>
      <c r="N487" s="136">
        <f t="shared" si="97"/>
        <v>0</v>
      </c>
      <c r="O487" s="136">
        <f t="shared" si="97"/>
        <v>0</v>
      </c>
      <c r="P487" s="136">
        <f t="shared" si="97"/>
        <v>0</v>
      </c>
      <c r="Q487" s="136">
        <f t="shared" si="97"/>
        <v>0</v>
      </c>
      <c r="R487" s="136">
        <f t="shared" si="97"/>
        <v>0</v>
      </c>
      <c r="S487" s="136">
        <f t="shared" si="97"/>
        <v>0</v>
      </c>
      <c r="T487" s="136">
        <f t="shared" si="97"/>
        <v>0</v>
      </c>
      <c r="U487" s="136">
        <f t="shared" si="97"/>
        <v>0</v>
      </c>
      <c r="V487" s="136">
        <f t="shared" si="97"/>
        <v>0</v>
      </c>
      <c r="W487" s="136">
        <f t="shared" si="97"/>
        <v>0</v>
      </c>
      <c r="X487" s="136">
        <f t="shared" si="97"/>
        <v>0</v>
      </c>
      <c r="Y487" s="136">
        <f t="shared" si="97"/>
        <v>0</v>
      </c>
      <c r="Z487" s="136">
        <f t="shared" si="97"/>
        <v>0</v>
      </c>
      <c r="AA487" s="136">
        <f t="shared" si="97"/>
        <v>0</v>
      </c>
      <c r="AB487" s="136">
        <f t="shared" si="97"/>
        <v>0</v>
      </c>
      <c r="AC487" s="136">
        <f t="shared" si="97"/>
        <v>0</v>
      </c>
      <c r="AD487" s="136">
        <f t="shared" si="97"/>
        <v>0</v>
      </c>
      <c r="AE487" s="136">
        <f t="shared" si="97"/>
        <v>0</v>
      </c>
      <c r="AF487" s="136">
        <f t="shared" si="97"/>
        <v>0</v>
      </c>
      <c r="AG487" s="136">
        <f t="shared" si="97"/>
        <v>0</v>
      </c>
      <c r="AH487" s="136">
        <f t="shared" si="97"/>
        <v>0</v>
      </c>
      <c r="AI487" s="136">
        <f t="shared" si="97"/>
        <v>0</v>
      </c>
      <c r="AJ487" s="136">
        <f t="shared" si="97"/>
        <v>0</v>
      </c>
      <c r="AK487" s="136">
        <f t="shared" si="97"/>
        <v>0</v>
      </c>
      <c r="AL487" s="136">
        <f t="shared" si="97"/>
        <v>0</v>
      </c>
      <c r="AM487" s="136">
        <f t="shared" si="97"/>
        <v>0</v>
      </c>
      <c r="AN487" s="136">
        <f t="shared" si="97"/>
        <v>0</v>
      </c>
      <c r="AO487" s="136">
        <f t="shared" si="97"/>
        <v>0</v>
      </c>
      <c r="AP487" s="136">
        <f t="shared" si="97"/>
        <v>0</v>
      </c>
      <c r="AQ487" s="136">
        <f t="shared" si="97"/>
        <v>0</v>
      </c>
      <c r="AR487" s="136">
        <f t="shared" si="97"/>
        <v>0</v>
      </c>
      <c r="AS487" s="136">
        <f t="shared" si="97"/>
        <v>0</v>
      </c>
      <c r="AT487" s="136">
        <f t="shared" si="97"/>
        <v>0</v>
      </c>
      <c r="AU487" s="136">
        <f t="shared" si="97"/>
        <v>0</v>
      </c>
      <c r="AV487" s="136">
        <f t="shared" si="97"/>
        <v>0</v>
      </c>
      <c r="AW487" s="136">
        <f t="shared" si="97"/>
        <v>0</v>
      </c>
      <c r="AX487" s="136">
        <f t="shared" si="97"/>
        <v>0</v>
      </c>
      <c r="AY487" s="136">
        <f t="shared" si="97"/>
        <v>0</v>
      </c>
      <c r="AZ487" s="136">
        <f t="shared" si="97"/>
        <v>0</v>
      </c>
      <c r="BA487" s="136">
        <f t="shared" si="97"/>
        <v>0</v>
      </c>
      <c r="BB487" s="136">
        <f t="shared" si="97"/>
        <v>0</v>
      </c>
      <c r="BC487" s="136">
        <f t="shared" si="97"/>
        <v>0</v>
      </c>
      <c r="BD487" s="136">
        <f t="shared" si="97"/>
        <v>0</v>
      </c>
      <c r="BE487" s="136">
        <f t="shared" si="97"/>
        <v>0</v>
      </c>
      <c r="BF487" s="136">
        <f t="shared" si="97"/>
        <v>0</v>
      </c>
      <c r="BG487" s="136">
        <f t="shared" si="97"/>
        <v>0</v>
      </c>
      <c r="BH487" s="136">
        <f t="shared" si="97"/>
        <v>0</v>
      </c>
      <c r="BI487" s="136">
        <f t="shared" si="97"/>
        <v>0</v>
      </c>
      <c r="BJ487" s="136">
        <f t="shared" si="97"/>
        <v>0</v>
      </c>
      <c r="BK487" s="136">
        <f t="shared" si="97"/>
        <v>0</v>
      </c>
      <c r="BL487" s="136">
        <f t="shared" si="97"/>
        <v>0</v>
      </c>
      <c r="BM487" s="136">
        <f t="shared" si="97"/>
        <v>0</v>
      </c>
      <c r="BN487" s="136">
        <f t="shared" si="97"/>
        <v>0</v>
      </c>
      <c r="BO487" s="136">
        <f t="shared" si="97"/>
        <v>0</v>
      </c>
      <c r="BP487" s="136">
        <f t="shared" si="97"/>
        <v>0</v>
      </c>
      <c r="BQ487" s="136">
        <f t="shared" si="97"/>
        <v>0</v>
      </c>
      <c r="BR487" s="136">
        <f t="shared" si="95"/>
        <v>0</v>
      </c>
      <c r="BS487" s="136">
        <f t="shared" si="93"/>
        <v>0</v>
      </c>
      <c r="BT487" s="136">
        <f t="shared" si="93"/>
        <v>0</v>
      </c>
      <c r="BU487" s="136">
        <f t="shared" si="93"/>
        <v>0</v>
      </c>
      <c r="BV487" s="136">
        <f t="shared" si="93"/>
        <v>0</v>
      </c>
      <c r="BW487" s="136">
        <f t="shared" si="93"/>
        <v>0</v>
      </c>
      <c r="BX487" s="136">
        <f t="shared" si="93"/>
        <v>0</v>
      </c>
      <c r="BZ487" s="136">
        <f t="shared" si="94"/>
        <v>0</v>
      </c>
      <c r="CA487" s="136">
        <f t="shared" si="94"/>
        <v>0</v>
      </c>
    </row>
    <row r="488" spans="7:79" hidden="1" x14ac:dyDescent="0.3">
      <c r="G488" s="136">
        <f t="shared" si="98"/>
        <v>-22953000</v>
      </c>
      <c r="H488" s="136">
        <f t="shared" si="98"/>
        <v>0</v>
      </c>
      <c r="I488" s="136">
        <f t="shared" si="98"/>
        <v>0</v>
      </c>
      <c r="J488" s="136">
        <f t="shared" si="97"/>
        <v>0</v>
      </c>
      <c r="K488" s="136">
        <f t="shared" si="97"/>
        <v>0</v>
      </c>
      <c r="L488" s="136">
        <f t="shared" si="97"/>
        <v>-4806000</v>
      </c>
      <c r="M488" s="136">
        <f t="shared" si="97"/>
        <v>0</v>
      </c>
      <c r="N488" s="136">
        <f t="shared" si="97"/>
        <v>0</v>
      </c>
      <c r="O488" s="136">
        <f t="shared" si="97"/>
        <v>0</v>
      </c>
      <c r="P488" s="136">
        <f t="shared" si="97"/>
        <v>0</v>
      </c>
      <c r="Q488" s="136">
        <f t="shared" si="97"/>
        <v>-1638000</v>
      </c>
      <c r="R488" s="136">
        <f t="shared" si="97"/>
        <v>0</v>
      </c>
      <c r="S488" s="136">
        <f t="shared" si="97"/>
        <v>0</v>
      </c>
      <c r="T488" s="136">
        <f t="shared" si="97"/>
        <v>0</v>
      </c>
      <c r="U488" s="136">
        <f t="shared" si="97"/>
        <v>0</v>
      </c>
      <c r="V488" s="136">
        <f t="shared" si="97"/>
        <v>-2823000</v>
      </c>
      <c r="W488" s="136">
        <f t="shared" si="97"/>
        <v>0</v>
      </c>
      <c r="X488" s="136">
        <f t="shared" si="97"/>
        <v>0</v>
      </c>
      <c r="Y488" s="136">
        <f t="shared" si="97"/>
        <v>0</v>
      </c>
      <c r="Z488" s="136">
        <f t="shared" si="97"/>
        <v>0</v>
      </c>
      <c r="AA488" s="136">
        <f t="shared" si="97"/>
        <v>1953000</v>
      </c>
      <c r="AB488" s="136">
        <f t="shared" si="97"/>
        <v>0</v>
      </c>
      <c r="AC488" s="136">
        <f t="shared" si="97"/>
        <v>0</v>
      </c>
      <c r="AD488" s="136">
        <f t="shared" si="97"/>
        <v>0</v>
      </c>
      <c r="AE488" s="136">
        <f t="shared" si="97"/>
        <v>0</v>
      </c>
      <c r="AF488" s="136">
        <f t="shared" si="97"/>
        <v>-835000</v>
      </c>
      <c r="AG488" s="136">
        <f t="shared" si="97"/>
        <v>0</v>
      </c>
      <c r="AH488" s="136">
        <f t="shared" si="97"/>
        <v>0</v>
      </c>
      <c r="AI488" s="136">
        <f t="shared" si="97"/>
        <v>0</v>
      </c>
      <c r="AJ488" s="136">
        <f t="shared" si="97"/>
        <v>0</v>
      </c>
      <c r="AK488" s="136">
        <f t="shared" si="97"/>
        <v>-490000</v>
      </c>
      <c r="AL488" s="136">
        <f t="shared" si="97"/>
        <v>0</v>
      </c>
      <c r="AM488" s="136">
        <f t="shared" si="97"/>
        <v>0</v>
      </c>
      <c r="AN488" s="136">
        <f t="shared" si="97"/>
        <v>0</v>
      </c>
      <c r="AO488" s="136">
        <f t="shared" si="97"/>
        <v>0</v>
      </c>
      <c r="AP488" s="136">
        <f t="shared" si="97"/>
        <v>1300000</v>
      </c>
      <c r="AQ488" s="136">
        <f t="shared" si="97"/>
        <v>0</v>
      </c>
      <c r="AR488" s="136">
        <f t="shared" si="97"/>
        <v>0</v>
      </c>
      <c r="AS488" s="136">
        <f t="shared" si="97"/>
        <v>0</v>
      </c>
      <c r="AT488" s="136">
        <f t="shared" si="97"/>
        <v>0</v>
      </c>
      <c r="AU488" s="136">
        <f t="shared" si="97"/>
        <v>-1950000</v>
      </c>
      <c r="AV488" s="136">
        <f t="shared" si="97"/>
        <v>0</v>
      </c>
      <c r="AW488" s="136">
        <f t="shared" si="97"/>
        <v>0</v>
      </c>
      <c r="AX488" s="136">
        <f t="shared" si="97"/>
        <v>0</v>
      </c>
      <c r="AY488" s="136">
        <f t="shared" si="97"/>
        <v>0</v>
      </c>
      <c r="AZ488" s="136">
        <f t="shared" si="97"/>
        <v>5203000</v>
      </c>
      <c r="BA488" s="136">
        <f t="shared" si="97"/>
        <v>0</v>
      </c>
      <c r="BB488" s="136">
        <f t="shared" si="97"/>
        <v>0</v>
      </c>
      <c r="BC488" s="136">
        <f t="shared" si="97"/>
        <v>0</v>
      </c>
      <c r="BD488" s="136">
        <f t="shared" si="97"/>
        <v>0</v>
      </c>
      <c r="BE488" s="136">
        <f t="shared" si="97"/>
        <v>1928000</v>
      </c>
      <c r="BF488" s="136">
        <f t="shared" si="97"/>
        <v>0</v>
      </c>
      <c r="BG488" s="136">
        <f t="shared" si="97"/>
        <v>0</v>
      </c>
      <c r="BH488" s="136">
        <f t="shared" si="97"/>
        <v>0</v>
      </c>
      <c r="BI488" s="136">
        <f t="shared" si="97"/>
        <v>0</v>
      </c>
      <c r="BJ488" s="136">
        <f t="shared" si="97"/>
        <v>-1953000</v>
      </c>
      <c r="BK488" s="136">
        <f t="shared" si="97"/>
        <v>0</v>
      </c>
      <c r="BL488" s="136">
        <f t="shared" si="97"/>
        <v>0</v>
      </c>
      <c r="BM488" s="136">
        <f t="shared" si="97"/>
        <v>0</v>
      </c>
      <c r="BN488" s="136">
        <f t="shared" si="97"/>
        <v>0</v>
      </c>
      <c r="BO488" s="136">
        <f t="shared" si="97"/>
        <v>0</v>
      </c>
      <c r="BP488" s="136">
        <f t="shared" si="97"/>
        <v>0</v>
      </c>
      <c r="BQ488" s="136">
        <f t="shared" si="97"/>
        <v>0</v>
      </c>
      <c r="BR488" s="136">
        <f t="shared" si="95"/>
        <v>0</v>
      </c>
      <c r="BS488" s="136">
        <f t="shared" si="93"/>
        <v>0</v>
      </c>
      <c r="BT488" s="136">
        <f t="shared" si="93"/>
        <v>-2158000</v>
      </c>
      <c r="BU488" s="136">
        <f t="shared" si="93"/>
        <v>0</v>
      </c>
      <c r="BV488" s="136">
        <f t="shared" si="93"/>
        <v>0</v>
      </c>
      <c r="BW488" s="136">
        <f t="shared" si="93"/>
        <v>0</v>
      </c>
      <c r="BX488" s="136">
        <f t="shared" si="93"/>
        <v>0</v>
      </c>
      <c r="BZ488" s="136">
        <f t="shared" si="94"/>
        <v>0</v>
      </c>
      <c r="CA488" s="136">
        <f t="shared" si="94"/>
        <v>0</v>
      </c>
    </row>
    <row r="489" spans="7:79" hidden="1" x14ac:dyDescent="0.3">
      <c r="G489" s="136">
        <f t="shared" si="98"/>
        <v>-19478598</v>
      </c>
      <c r="H489" s="136">
        <f t="shared" si="98"/>
        <v>0</v>
      </c>
      <c r="I489" s="136">
        <f t="shared" si="98"/>
        <v>0</v>
      </c>
      <c r="J489" s="136">
        <f t="shared" si="97"/>
        <v>0</v>
      </c>
      <c r="K489" s="136">
        <f t="shared" si="97"/>
        <v>0</v>
      </c>
      <c r="L489" s="136">
        <f t="shared" si="97"/>
        <v>-4002361</v>
      </c>
      <c r="M489" s="136">
        <f t="shared" si="97"/>
        <v>0</v>
      </c>
      <c r="N489" s="136">
        <f t="shared" si="97"/>
        <v>0</v>
      </c>
      <c r="O489" s="136">
        <f t="shared" si="97"/>
        <v>0</v>
      </c>
      <c r="P489" s="136">
        <f t="shared" si="97"/>
        <v>0</v>
      </c>
      <c r="Q489" s="136">
        <f t="shared" si="97"/>
        <v>-1412004</v>
      </c>
      <c r="R489" s="136">
        <f t="shared" si="97"/>
        <v>0</v>
      </c>
      <c r="S489" s="136">
        <f t="shared" si="97"/>
        <v>0</v>
      </c>
      <c r="T489" s="136">
        <f t="shared" si="97"/>
        <v>0</v>
      </c>
      <c r="U489" s="136">
        <f t="shared" si="97"/>
        <v>0</v>
      </c>
      <c r="V489" s="136">
        <f t="shared" si="97"/>
        <v>-2499450</v>
      </c>
      <c r="W489" s="136">
        <f t="shared" si="97"/>
        <v>0</v>
      </c>
      <c r="X489" s="136">
        <f t="shared" si="97"/>
        <v>0</v>
      </c>
      <c r="Y489" s="136">
        <f t="shared" si="97"/>
        <v>0</v>
      </c>
      <c r="Z489" s="136">
        <f t="shared" si="97"/>
        <v>0</v>
      </c>
      <c r="AA489" s="136">
        <f t="shared" si="97"/>
        <v>1491451</v>
      </c>
      <c r="AB489" s="136">
        <f t="shared" si="97"/>
        <v>0</v>
      </c>
      <c r="AC489" s="136">
        <f t="shared" si="97"/>
        <v>0</v>
      </c>
      <c r="AD489" s="136">
        <f t="shared" si="97"/>
        <v>0</v>
      </c>
      <c r="AE489" s="136">
        <f t="shared" si="97"/>
        <v>0</v>
      </c>
      <c r="AF489" s="136">
        <f t="shared" si="97"/>
        <v>-941911</v>
      </c>
      <c r="AG489" s="136">
        <f t="shared" si="97"/>
        <v>0</v>
      </c>
      <c r="AH489" s="136">
        <f t="shared" si="97"/>
        <v>0</v>
      </c>
      <c r="AI489" s="136">
        <f t="shared" si="97"/>
        <v>0</v>
      </c>
      <c r="AJ489" s="136">
        <f t="shared" si="97"/>
        <v>0</v>
      </c>
      <c r="AK489" s="136">
        <f t="shared" si="97"/>
        <v>-501872</v>
      </c>
      <c r="AL489" s="136">
        <f t="shared" si="97"/>
        <v>0</v>
      </c>
      <c r="AM489" s="136">
        <f t="shared" si="97"/>
        <v>0</v>
      </c>
      <c r="AN489" s="136">
        <f t="shared" si="97"/>
        <v>0</v>
      </c>
      <c r="AO489" s="136">
        <f t="shared" si="97"/>
        <v>0</v>
      </c>
      <c r="AP489" s="136">
        <f t="shared" si="97"/>
        <v>1008401</v>
      </c>
      <c r="AQ489" s="136">
        <f t="shared" si="97"/>
        <v>0</v>
      </c>
      <c r="AR489" s="136">
        <f t="shared" si="97"/>
        <v>0</v>
      </c>
      <c r="AS489" s="136">
        <f t="shared" si="97"/>
        <v>0</v>
      </c>
      <c r="AT489" s="136">
        <f t="shared" si="97"/>
        <v>0</v>
      </c>
      <c r="AU489" s="136">
        <f t="shared" si="97"/>
        <v>-1602963</v>
      </c>
      <c r="AV489" s="136">
        <f t="shared" si="97"/>
        <v>0</v>
      </c>
      <c r="AW489" s="136">
        <f t="shared" si="97"/>
        <v>0</v>
      </c>
      <c r="AX489" s="136">
        <f t="shared" si="97"/>
        <v>0</v>
      </c>
      <c r="AY489" s="136">
        <f t="shared" si="97"/>
        <v>0</v>
      </c>
      <c r="AZ489" s="136">
        <f t="shared" si="97"/>
        <v>4129900</v>
      </c>
      <c r="BA489" s="136">
        <f t="shared" si="97"/>
        <v>0</v>
      </c>
      <c r="BB489" s="136">
        <f t="shared" si="97"/>
        <v>0</v>
      </c>
      <c r="BC489" s="136">
        <f t="shared" si="97"/>
        <v>0</v>
      </c>
      <c r="BD489" s="136">
        <f t="shared" si="97"/>
        <v>0</v>
      </c>
      <c r="BE489" s="136">
        <f t="shared" si="97"/>
        <v>1588186</v>
      </c>
      <c r="BF489" s="136">
        <f t="shared" si="97"/>
        <v>0</v>
      </c>
      <c r="BG489" s="136">
        <f t="shared" si="97"/>
        <v>0</v>
      </c>
      <c r="BH489" s="136">
        <f t="shared" si="97"/>
        <v>0</v>
      </c>
      <c r="BI489" s="136">
        <f t="shared" si="97"/>
        <v>0</v>
      </c>
      <c r="BJ489" s="136">
        <f t="shared" si="97"/>
        <v>-1670491</v>
      </c>
      <c r="BK489" s="136">
        <f t="shared" si="97"/>
        <v>0</v>
      </c>
      <c r="BL489" s="136">
        <f t="shared" si="97"/>
        <v>0</v>
      </c>
      <c r="BM489" s="136">
        <f t="shared" si="97"/>
        <v>0</v>
      </c>
      <c r="BN489" s="136">
        <f t="shared" si="97"/>
        <v>0</v>
      </c>
      <c r="BO489" s="136">
        <f t="shared" si="97"/>
        <v>0</v>
      </c>
      <c r="BP489" s="136">
        <f t="shared" si="97"/>
        <v>0</v>
      </c>
      <c r="BQ489" s="136">
        <f t="shared" si="97"/>
        <v>0</v>
      </c>
      <c r="BR489" s="136">
        <f t="shared" si="95"/>
        <v>0</v>
      </c>
      <c r="BS489" s="136">
        <f t="shared" si="93"/>
        <v>0</v>
      </c>
      <c r="BT489" s="136">
        <f t="shared" si="93"/>
        <v>-2742623</v>
      </c>
      <c r="BU489" s="136">
        <f t="shared" si="93"/>
        <v>0</v>
      </c>
      <c r="BV489" s="136">
        <f t="shared" si="93"/>
        <v>0</v>
      </c>
      <c r="BW489" s="136">
        <f t="shared" si="93"/>
        <v>0</v>
      </c>
      <c r="BX489" s="136">
        <f t="shared" si="93"/>
        <v>0</v>
      </c>
      <c r="BZ489" s="136">
        <f t="shared" si="94"/>
        <v>0</v>
      </c>
      <c r="CA489" s="136">
        <f t="shared" si="94"/>
        <v>0</v>
      </c>
    </row>
    <row r="490" spans="7:79" hidden="1" x14ac:dyDescent="0.3">
      <c r="G490" s="136">
        <f t="shared" si="98"/>
        <v>-3474402</v>
      </c>
      <c r="H490" s="136">
        <f t="shared" si="98"/>
        <v>0</v>
      </c>
      <c r="I490" s="136">
        <f t="shared" si="98"/>
        <v>0</v>
      </c>
      <c r="J490" s="136">
        <f t="shared" si="97"/>
        <v>0</v>
      </c>
      <c r="K490" s="136">
        <f t="shared" si="97"/>
        <v>0</v>
      </c>
      <c r="L490" s="136">
        <f t="shared" si="97"/>
        <v>-803639</v>
      </c>
      <c r="M490" s="136">
        <f t="shared" si="97"/>
        <v>0</v>
      </c>
      <c r="N490" s="136">
        <f t="shared" si="97"/>
        <v>0</v>
      </c>
      <c r="O490" s="136">
        <f t="shared" si="97"/>
        <v>0</v>
      </c>
      <c r="P490" s="136">
        <f t="shared" si="97"/>
        <v>0</v>
      </c>
      <c r="Q490" s="136">
        <f t="shared" si="97"/>
        <v>-225996</v>
      </c>
      <c r="R490" s="136">
        <f t="shared" si="97"/>
        <v>0</v>
      </c>
      <c r="S490" s="136">
        <f t="shared" si="97"/>
        <v>0</v>
      </c>
      <c r="T490" s="136">
        <f t="shared" si="97"/>
        <v>0</v>
      </c>
      <c r="U490" s="136">
        <f t="shared" si="97"/>
        <v>0</v>
      </c>
      <c r="V490" s="136">
        <f t="shared" si="97"/>
        <v>-323550</v>
      </c>
      <c r="W490" s="136">
        <f t="shared" si="97"/>
        <v>0</v>
      </c>
      <c r="X490" s="136">
        <f t="shared" si="97"/>
        <v>0</v>
      </c>
      <c r="Y490" s="136">
        <f t="shared" ref="Y490:BQ495" si="99">Y101-CQ101</f>
        <v>0</v>
      </c>
      <c r="Z490" s="136">
        <f t="shared" si="99"/>
        <v>0</v>
      </c>
      <c r="AA490" s="136">
        <f t="shared" si="99"/>
        <v>461549</v>
      </c>
      <c r="AB490" s="136">
        <f t="shared" si="99"/>
        <v>0</v>
      </c>
      <c r="AC490" s="136">
        <f t="shared" si="99"/>
        <v>0</v>
      </c>
      <c r="AD490" s="136">
        <f t="shared" si="99"/>
        <v>0</v>
      </c>
      <c r="AE490" s="136">
        <f t="shared" si="99"/>
        <v>0</v>
      </c>
      <c r="AF490" s="136">
        <f t="shared" si="99"/>
        <v>106911</v>
      </c>
      <c r="AG490" s="136">
        <f t="shared" si="99"/>
        <v>0</v>
      </c>
      <c r="AH490" s="136">
        <f t="shared" si="99"/>
        <v>0</v>
      </c>
      <c r="AI490" s="136">
        <f t="shared" si="99"/>
        <v>0</v>
      </c>
      <c r="AJ490" s="136">
        <f t="shared" si="99"/>
        <v>0</v>
      </c>
      <c r="AK490" s="136">
        <f t="shared" si="99"/>
        <v>11872</v>
      </c>
      <c r="AL490" s="136">
        <f t="shared" si="99"/>
        <v>0</v>
      </c>
      <c r="AM490" s="136">
        <f t="shared" si="99"/>
        <v>0</v>
      </c>
      <c r="AN490" s="136">
        <f t="shared" si="99"/>
        <v>0</v>
      </c>
      <c r="AO490" s="136">
        <f t="shared" si="99"/>
        <v>0</v>
      </c>
      <c r="AP490" s="136">
        <f t="shared" si="99"/>
        <v>291599</v>
      </c>
      <c r="AQ490" s="136">
        <f t="shared" si="99"/>
        <v>0</v>
      </c>
      <c r="AR490" s="136">
        <f t="shared" si="99"/>
        <v>0</v>
      </c>
      <c r="AS490" s="136">
        <f t="shared" si="99"/>
        <v>0</v>
      </c>
      <c r="AT490" s="136">
        <f t="shared" si="99"/>
        <v>0</v>
      </c>
      <c r="AU490" s="136">
        <f t="shared" si="99"/>
        <v>-347037</v>
      </c>
      <c r="AV490" s="136">
        <f t="shared" si="99"/>
        <v>0</v>
      </c>
      <c r="AW490" s="136">
        <f t="shared" si="99"/>
        <v>0</v>
      </c>
      <c r="AX490" s="136">
        <f t="shared" si="99"/>
        <v>0</v>
      </c>
      <c r="AY490" s="136">
        <f t="shared" si="99"/>
        <v>0</v>
      </c>
      <c r="AZ490" s="136">
        <f t="shared" si="99"/>
        <v>1073100</v>
      </c>
      <c r="BA490" s="136">
        <f t="shared" si="99"/>
        <v>0</v>
      </c>
      <c r="BB490" s="136">
        <f t="shared" si="99"/>
        <v>0</v>
      </c>
      <c r="BC490" s="136">
        <f t="shared" si="99"/>
        <v>0</v>
      </c>
      <c r="BD490" s="136">
        <f t="shared" si="99"/>
        <v>0</v>
      </c>
      <c r="BE490" s="136">
        <f t="shared" si="99"/>
        <v>339814</v>
      </c>
      <c r="BF490" s="136">
        <f t="shared" si="99"/>
        <v>0</v>
      </c>
      <c r="BG490" s="136">
        <f t="shared" si="99"/>
        <v>0</v>
      </c>
      <c r="BH490" s="136">
        <f t="shared" si="99"/>
        <v>0</v>
      </c>
      <c r="BI490" s="136">
        <f t="shared" si="99"/>
        <v>0</v>
      </c>
      <c r="BJ490" s="136">
        <f t="shared" si="99"/>
        <v>-282509</v>
      </c>
      <c r="BK490" s="136">
        <f t="shared" si="99"/>
        <v>0</v>
      </c>
      <c r="BL490" s="136">
        <f t="shared" si="99"/>
        <v>0</v>
      </c>
      <c r="BM490" s="136">
        <f t="shared" si="99"/>
        <v>0</v>
      </c>
      <c r="BN490" s="136">
        <f t="shared" si="99"/>
        <v>0</v>
      </c>
      <c r="BO490" s="136">
        <f t="shared" si="99"/>
        <v>0</v>
      </c>
      <c r="BP490" s="136">
        <f t="shared" si="99"/>
        <v>0</v>
      </c>
      <c r="BQ490" s="136">
        <f t="shared" si="99"/>
        <v>0</v>
      </c>
      <c r="BR490" s="136">
        <f t="shared" si="95"/>
        <v>0</v>
      </c>
      <c r="BS490" s="136">
        <f t="shared" si="93"/>
        <v>0</v>
      </c>
      <c r="BT490" s="136">
        <f t="shared" si="93"/>
        <v>584623</v>
      </c>
      <c r="BU490" s="136">
        <f t="shared" si="93"/>
        <v>0</v>
      </c>
      <c r="BV490" s="136">
        <f t="shared" si="93"/>
        <v>0</v>
      </c>
      <c r="BW490" s="136">
        <f t="shared" si="93"/>
        <v>0</v>
      </c>
      <c r="BX490" s="136">
        <f t="shared" si="93"/>
        <v>0</v>
      </c>
      <c r="BZ490" s="136">
        <f t="shared" si="94"/>
        <v>0</v>
      </c>
      <c r="CA490" s="136">
        <f t="shared" si="94"/>
        <v>0</v>
      </c>
    </row>
    <row r="491" spans="7:79" hidden="1" x14ac:dyDescent="0.3">
      <c r="G491" s="136">
        <f t="shared" si="98"/>
        <v>0</v>
      </c>
      <c r="H491" s="136">
        <f t="shared" si="98"/>
        <v>0</v>
      </c>
      <c r="I491" s="136">
        <f t="shared" si="98"/>
        <v>0</v>
      </c>
      <c r="J491" s="136">
        <f t="shared" si="98"/>
        <v>0</v>
      </c>
      <c r="K491" s="136">
        <f t="shared" si="98"/>
        <v>0</v>
      </c>
      <c r="L491" s="136">
        <f t="shared" si="98"/>
        <v>0</v>
      </c>
      <c r="M491" s="136">
        <f t="shared" si="98"/>
        <v>0</v>
      </c>
      <c r="N491" s="136">
        <f t="shared" si="98"/>
        <v>0</v>
      </c>
      <c r="O491" s="136">
        <f t="shared" si="98"/>
        <v>0</v>
      </c>
      <c r="P491" s="136">
        <f t="shared" si="98"/>
        <v>0</v>
      </c>
      <c r="Q491" s="136">
        <f t="shared" si="98"/>
        <v>0</v>
      </c>
      <c r="R491" s="136">
        <f t="shared" si="98"/>
        <v>0</v>
      </c>
      <c r="S491" s="136">
        <f t="shared" si="98"/>
        <v>0</v>
      </c>
      <c r="T491" s="136">
        <f t="shared" si="98"/>
        <v>0</v>
      </c>
      <c r="U491" s="136">
        <f t="shared" si="98"/>
        <v>0</v>
      </c>
      <c r="V491" s="136">
        <f t="shared" si="98"/>
        <v>0</v>
      </c>
      <c r="W491" s="136">
        <f t="shared" ref="W491:AL506" si="100">W102-CO102</f>
        <v>0</v>
      </c>
      <c r="X491" s="136">
        <f t="shared" si="100"/>
        <v>0</v>
      </c>
      <c r="Y491" s="136">
        <f t="shared" si="99"/>
        <v>0</v>
      </c>
      <c r="Z491" s="136">
        <f t="shared" si="99"/>
        <v>0</v>
      </c>
      <c r="AA491" s="136">
        <f t="shared" si="99"/>
        <v>0</v>
      </c>
      <c r="AB491" s="136">
        <f t="shared" si="99"/>
        <v>0</v>
      </c>
      <c r="AC491" s="136">
        <f t="shared" si="99"/>
        <v>0</v>
      </c>
      <c r="AD491" s="136">
        <f t="shared" si="99"/>
        <v>0</v>
      </c>
      <c r="AE491" s="136">
        <f t="shared" si="99"/>
        <v>0</v>
      </c>
      <c r="AF491" s="136">
        <f t="shared" si="99"/>
        <v>0</v>
      </c>
      <c r="AG491" s="136">
        <f t="shared" si="99"/>
        <v>0</v>
      </c>
      <c r="AH491" s="136">
        <f t="shared" si="99"/>
        <v>0</v>
      </c>
      <c r="AI491" s="136">
        <f t="shared" si="99"/>
        <v>0</v>
      </c>
      <c r="AJ491" s="136">
        <f t="shared" si="99"/>
        <v>0</v>
      </c>
      <c r="AK491" s="136">
        <f t="shared" si="99"/>
        <v>0</v>
      </c>
      <c r="AL491" s="136">
        <f t="shared" si="99"/>
        <v>0</v>
      </c>
      <c r="AM491" s="136">
        <f t="shared" si="99"/>
        <v>0</v>
      </c>
      <c r="AN491" s="136">
        <f t="shared" si="99"/>
        <v>0</v>
      </c>
      <c r="AO491" s="136">
        <f t="shared" si="99"/>
        <v>0</v>
      </c>
      <c r="AP491" s="136">
        <f t="shared" si="99"/>
        <v>0</v>
      </c>
      <c r="AQ491" s="136">
        <f t="shared" si="99"/>
        <v>0</v>
      </c>
      <c r="AR491" s="136">
        <f t="shared" si="99"/>
        <v>0</v>
      </c>
      <c r="AS491" s="136">
        <f t="shared" si="99"/>
        <v>0</v>
      </c>
      <c r="AT491" s="136">
        <f t="shared" si="99"/>
        <v>0</v>
      </c>
      <c r="AU491" s="136">
        <f t="shared" si="99"/>
        <v>0</v>
      </c>
      <c r="AV491" s="136">
        <f t="shared" si="99"/>
        <v>0</v>
      </c>
      <c r="AW491" s="136">
        <f t="shared" si="99"/>
        <v>0</v>
      </c>
      <c r="AX491" s="136">
        <f t="shared" si="99"/>
        <v>0</v>
      </c>
      <c r="AY491" s="136">
        <f t="shared" si="99"/>
        <v>0</v>
      </c>
      <c r="AZ491" s="136">
        <f t="shared" si="99"/>
        <v>0</v>
      </c>
      <c r="BA491" s="136">
        <f t="shared" si="99"/>
        <v>0</v>
      </c>
      <c r="BB491" s="136">
        <f t="shared" si="99"/>
        <v>0</v>
      </c>
      <c r="BC491" s="136">
        <f t="shared" si="99"/>
        <v>0</v>
      </c>
      <c r="BD491" s="136">
        <f t="shared" si="99"/>
        <v>0</v>
      </c>
      <c r="BE491" s="136">
        <f t="shared" si="99"/>
        <v>0</v>
      </c>
      <c r="BF491" s="136">
        <f t="shared" si="99"/>
        <v>0</v>
      </c>
      <c r="BG491" s="136">
        <f t="shared" si="99"/>
        <v>0</v>
      </c>
      <c r="BH491" s="136">
        <f t="shared" si="99"/>
        <v>0</v>
      </c>
      <c r="BI491" s="136">
        <f t="shared" si="99"/>
        <v>0</v>
      </c>
      <c r="BJ491" s="136">
        <f t="shared" si="99"/>
        <v>0</v>
      </c>
      <c r="BK491" s="136">
        <f t="shared" si="99"/>
        <v>0</v>
      </c>
      <c r="BL491" s="136">
        <f t="shared" si="99"/>
        <v>0</v>
      </c>
      <c r="BM491" s="136">
        <f t="shared" si="99"/>
        <v>0</v>
      </c>
      <c r="BN491" s="136">
        <f t="shared" si="99"/>
        <v>0</v>
      </c>
      <c r="BO491" s="136">
        <f t="shared" si="99"/>
        <v>0</v>
      </c>
      <c r="BP491" s="136">
        <f t="shared" si="99"/>
        <v>0</v>
      </c>
      <c r="BQ491" s="136">
        <f t="shared" si="99"/>
        <v>0</v>
      </c>
      <c r="BR491" s="136">
        <f t="shared" si="95"/>
        <v>0</v>
      </c>
      <c r="BS491" s="136">
        <f t="shared" si="93"/>
        <v>0</v>
      </c>
      <c r="BT491" s="136">
        <f t="shared" si="93"/>
        <v>0</v>
      </c>
      <c r="BU491" s="136">
        <f t="shared" si="93"/>
        <v>0</v>
      </c>
      <c r="BV491" s="136">
        <f t="shared" si="93"/>
        <v>0</v>
      </c>
      <c r="BW491" s="136">
        <f t="shared" si="93"/>
        <v>0</v>
      </c>
      <c r="BX491" s="136">
        <f t="shared" si="93"/>
        <v>0</v>
      </c>
      <c r="BZ491" s="136">
        <f t="shared" si="94"/>
        <v>0</v>
      </c>
      <c r="CA491" s="136">
        <f t="shared" si="94"/>
        <v>0</v>
      </c>
    </row>
    <row r="492" spans="7:79" hidden="1" x14ac:dyDescent="0.3">
      <c r="G492" s="136">
        <f t="shared" si="98"/>
        <v>0</v>
      </c>
      <c r="H492" s="136">
        <f t="shared" si="98"/>
        <v>0</v>
      </c>
      <c r="I492" s="136">
        <f t="shared" si="98"/>
        <v>0</v>
      </c>
      <c r="J492" s="136">
        <f t="shared" si="98"/>
        <v>0</v>
      </c>
      <c r="K492" s="136">
        <f t="shared" si="98"/>
        <v>0</v>
      </c>
      <c r="L492" s="136">
        <f t="shared" si="98"/>
        <v>0</v>
      </c>
      <c r="M492" s="136">
        <f t="shared" si="98"/>
        <v>0</v>
      </c>
      <c r="N492" s="136">
        <f t="shared" si="98"/>
        <v>0</v>
      </c>
      <c r="O492" s="136">
        <f t="shared" si="98"/>
        <v>0</v>
      </c>
      <c r="P492" s="136">
        <f t="shared" si="98"/>
        <v>0</v>
      </c>
      <c r="Q492" s="136">
        <f t="shared" si="98"/>
        <v>0</v>
      </c>
      <c r="R492" s="136">
        <f t="shared" si="98"/>
        <v>0</v>
      </c>
      <c r="S492" s="136">
        <f t="shared" si="98"/>
        <v>0</v>
      </c>
      <c r="T492" s="136">
        <f t="shared" si="98"/>
        <v>0</v>
      </c>
      <c r="U492" s="136">
        <f t="shared" si="98"/>
        <v>0</v>
      </c>
      <c r="V492" s="136">
        <f t="shared" si="98"/>
        <v>0</v>
      </c>
      <c r="W492" s="136">
        <f t="shared" si="100"/>
        <v>0</v>
      </c>
      <c r="X492" s="136">
        <f t="shared" si="100"/>
        <v>0</v>
      </c>
      <c r="Y492" s="136">
        <f t="shared" si="99"/>
        <v>0</v>
      </c>
      <c r="Z492" s="136">
        <f t="shared" si="99"/>
        <v>0</v>
      </c>
      <c r="AA492" s="136">
        <f t="shared" si="99"/>
        <v>0</v>
      </c>
      <c r="AB492" s="136">
        <f t="shared" si="99"/>
        <v>0</v>
      </c>
      <c r="AC492" s="136">
        <f t="shared" si="99"/>
        <v>0</v>
      </c>
      <c r="AD492" s="136">
        <f t="shared" si="99"/>
        <v>0</v>
      </c>
      <c r="AE492" s="136">
        <f t="shared" si="99"/>
        <v>0</v>
      </c>
      <c r="AF492" s="136">
        <f t="shared" si="99"/>
        <v>0</v>
      </c>
      <c r="AG492" s="136">
        <f t="shared" si="99"/>
        <v>0</v>
      </c>
      <c r="AH492" s="136">
        <f t="shared" si="99"/>
        <v>0</v>
      </c>
      <c r="AI492" s="136">
        <f t="shared" si="99"/>
        <v>0</v>
      </c>
      <c r="AJ492" s="136">
        <f t="shared" si="99"/>
        <v>0</v>
      </c>
      <c r="AK492" s="136">
        <f t="shared" si="99"/>
        <v>0</v>
      </c>
      <c r="AL492" s="136">
        <f t="shared" si="99"/>
        <v>0</v>
      </c>
      <c r="AM492" s="136">
        <f t="shared" si="99"/>
        <v>0</v>
      </c>
      <c r="AN492" s="136">
        <f t="shared" si="99"/>
        <v>0</v>
      </c>
      <c r="AO492" s="136">
        <f t="shared" si="99"/>
        <v>0</v>
      </c>
      <c r="AP492" s="136">
        <f t="shared" si="99"/>
        <v>0</v>
      </c>
      <c r="AQ492" s="136">
        <f t="shared" si="99"/>
        <v>0</v>
      </c>
      <c r="AR492" s="136">
        <f t="shared" si="99"/>
        <v>0</v>
      </c>
      <c r="AS492" s="136">
        <f t="shared" si="99"/>
        <v>0</v>
      </c>
      <c r="AT492" s="136">
        <f t="shared" si="99"/>
        <v>0</v>
      </c>
      <c r="AU492" s="136">
        <f t="shared" si="99"/>
        <v>0</v>
      </c>
      <c r="AV492" s="136">
        <f t="shared" si="99"/>
        <v>0</v>
      </c>
      <c r="AW492" s="136">
        <f t="shared" si="99"/>
        <v>0</v>
      </c>
      <c r="AX492" s="136">
        <f t="shared" si="99"/>
        <v>0</v>
      </c>
      <c r="AY492" s="136">
        <f t="shared" si="99"/>
        <v>0</v>
      </c>
      <c r="AZ492" s="136">
        <f t="shared" si="99"/>
        <v>0</v>
      </c>
      <c r="BA492" s="136">
        <f t="shared" si="99"/>
        <v>0</v>
      </c>
      <c r="BB492" s="136">
        <f t="shared" si="99"/>
        <v>0</v>
      </c>
      <c r="BC492" s="136">
        <f t="shared" si="99"/>
        <v>0</v>
      </c>
      <c r="BD492" s="136">
        <f t="shared" si="99"/>
        <v>0</v>
      </c>
      <c r="BE492" s="136">
        <f t="shared" si="99"/>
        <v>0</v>
      </c>
      <c r="BF492" s="136">
        <f t="shared" si="99"/>
        <v>0</v>
      </c>
      <c r="BG492" s="136">
        <f t="shared" si="99"/>
        <v>0</v>
      </c>
      <c r="BH492" s="136">
        <f t="shared" si="99"/>
        <v>0</v>
      </c>
      <c r="BI492" s="136">
        <f t="shared" si="99"/>
        <v>0</v>
      </c>
      <c r="BJ492" s="136">
        <f t="shared" si="99"/>
        <v>0</v>
      </c>
      <c r="BK492" s="136">
        <f t="shared" si="99"/>
        <v>0</v>
      </c>
      <c r="BL492" s="136">
        <f t="shared" si="99"/>
        <v>0</v>
      </c>
      <c r="BM492" s="136">
        <f t="shared" si="99"/>
        <v>0</v>
      </c>
      <c r="BN492" s="136">
        <f t="shared" si="99"/>
        <v>0</v>
      </c>
      <c r="BO492" s="136">
        <f t="shared" si="99"/>
        <v>0</v>
      </c>
      <c r="BP492" s="136">
        <f t="shared" si="99"/>
        <v>0</v>
      </c>
      <c r="BQ492" s="136">
        <f t="shared" si="99"/>
        <v>0</v>
      </c>
      <c r="BR492" s="136">
        <f t="shared" si="95"/>
        <v>0</v>
      </c>
      <c r="BS492" s="136">
        <f t="shared" si="93"/>
        <v>0</v>
      </c>
      <c r="BT492" s="136">
        <f t="shared" si="93"/>
        <v>0</v>
      </c>
      <c r="BU492" s="136">
        <f t="shared" si="93"/>
        <v>0</v>
      </c>
      <c r="BV492" s="136">
        <f t="shared" si="93"/>
        <v>0</v>
      </c>
      <c r="BW492" s="136">
        <f t="shared" si="93"/>
        <v>0</v>
      </c>
      <c r="BX492" s="136">
        <f t="shared" si="93"/>
        <v>0</v>
      </c>
      <c r="BZ492" s="136">
        <f t="shared" si="94"/>
        <v>0</v>
      </c>
      <c r="CA492" s="136">
        <f t="shared" si="94"/>
        <v>0</v>
      </c>
    </row>
    <row r="493" spans="7:79" hidden="1" x14ac:dyDescent="0.3">
      <c r="G493" s="136">
        <f t="shared" si="98"/>
        <v>-36346170</v>
      </c>
      <c r="H493" s="136">
        <f t="shared" si="98"/>
        <v>0</v>
      </c>
      <c r="I493" s="136">
        <f t="shared" si="98"/>
        <v>0</v>
      </c>
      <c r="J493" s="136">
        <f t="shared" si="98"/>
        <v>0</v>
      </c>
      <c r="K493" s="136">
        <f t="shared" si="98"/>
        <v>0</v>
      </c>
      <c r="L493" s="136">
        <f t="shared" si="98"/>
        <v>2153000</v>
      </c>
      <c r="M493" s="136">
        <f t="shared" si="98"/>
        <v>0</v>
      </c>
      <c r="N493" s="136">
        <f t="shared" si="98"/>
        <v>0</v>
      </c>
      <c r="O493" s="136">
        <f t="shared" si="98"/>
        <v>0</v>
      </c>
      <c r="P493" s="136">
        <f t="shared" si="98"/>
        <v>0</v>
      </c>
      <c r="Q493" s="136">
        <f t="shared" si="98"/>
        <v>2293036</v>
      </c>
      <c r="R493" s="136">
        <f t="shared" si="98"/>
        <v>0</v>
      </c>
      <c r="S493" s="136">
        <f t="shared" si="98"/>
        <v>0</v>
      </c>
      <c r="T493" s="136">
        <f t="shared" si="98"/>
        <v>0</v>
      </c>
      <c r="U493" s="136">
        <f t="shared" si="98"/>
        <v>0</v>
      </c>
      <c r="V493" s="136">
        <f t="shared" si="98"/>
        <v>-3890000</v>
      </c>
      <c r="W493" s="136">
        <f t="shared" si="100"/>
        <v>0</v>
      </c>
      <c r="X493" s="136">
        <f t="shared" si="100"/>
        <v>0</v>
      </c>
      <c r="Y493" s="136">
        <f t="shared" si="99"/>
        <v>0</v>
      </c>
      <c r="Z493" s="136">
        <f t="shared" si="99"/>
        <v>0</v>
      </c>
      <c r="AA493" s="136">
        <f t="shared" si="99"/>
        <v>-1007000</v>
      </c>
      <c r="AB493" s="136">
        <f t="shared" si="99"/>
        <v>0</v>
      </c>
      <c r="AC493" s="136">
        <f t="shared" si="99"/>
        <v>0</v>
      </c>
      <c r="AD493" s="136">
        <f t="shared" si="99"/>
        <v>0</v>
      </c>
      <c r="AE493" s="136">
        <f t="shared" si="99"/>
        <v>0</v>
      </c>
      <c r="AF493" s="136">
        <f t="shared" si="99"/>
        <v>0</v>
      </c>
      <c r="AG493" s="136">
        <f t="shared" si="99"/>
        <v>0</v>
      </c>
      <c r="AH493" s="136">
        <f t="shared" si="99"/>
        <v>0</v>
      </c>
      <c r="AI493" s="136">
        <f t="shared" si="99"/>
        <v>0</v>
      </c>
      <c r="AJ493" s="136">
        <f t="shared" si="99"/>
        <v>0</v>
      </c>
      <c r="AK493" s="136">
        <f t="shared" si="99"/>
        <v>1886000</v>
      </c>
      <c r="AL493" s="136">
        <f t="shared" si="99"/>
        <v>0</v>
      </c>
      <c r="AM493" s="136">
        <f t="shared" si="99"/>
        <v>0</v>
      </c>
      <c r="AN493" s="136">
        <f t="shared" si="99"/>
        <v>0</v>
      </c>
      <c r="AO493" s="136">
        <f t="shared" si="99"/>
        <v>0</v>
      </c>
      <c r="AP493" s="136">
        <f t="shared" si="99"/>
        <v>-655000</v>
      </c>
      <c r="AQ493" s="136">
        <f t="shared" si="99"/>
        <v>0</v>
      </c>
      <c r="AR493" s="136">
        <f t="shared" si="99"/>
        <v>0</v>
      </c>
      <c r="AS493" s="136">
        <f t="shared" si="99"/>
        <v>0</v>
      </c>
      <c r="AT493" s="136">
        <f t="shared" si="99"/>
        <v>0</v>
      </c>
      <c r="AU493" s="136">
        <f t="shared" si="99"/>
        <v>2177000</v>
      </c>
      <c r="AV493" s="136">
        <f t="shared" si="99"/>
        <v>0</v>
      </c>
      <c r="AW493" s="136">
        <f t="shared" si="99"/>
        <v>0</v>
      </c>
      <c r="AX493" s="136">
        <f t="shared" si="99"/>
        <v>0</v>
      </c>
      <c r="AY493" s="136">
        <f t="shared" si="99"/>
        <v>0</v>
      </c>
      <c r="AZ493" s="136">
        <f t="shared" si="99"/>
        <v>-1958206</v>
      </c>
      <c r="BA493" s="136">
        <f t="shared" si="99"/>
        <v>0</v>
      </c>
      <c r="BB493" s="136">
        <f t="shared" si="99"/>
        <v>0</v>
      </c>
      <c r="BC493" s="136">
        <f t="shared" si="99"/>
        <v>0</v>
      </c>
      <c r="BD493" s="136">
        <f t="shared" si="99"/>
        <v>0</v>
      </c>
      <c r="BE493" s="136">
        <f t="shared" si="99"/>
        <v>1950000</v>
      </c>
      <c r="BF493" s="136">
        <f t="shared" si="99"/>
        <v>0</v>
      </c>
      <c r="BG493" s="136">
        <f t="shared" si="99"/>
        <v>0</v>
      </c>
      <c r="BH493" s="136">
        <f t="shared" si="99"/>
        <v>0</v>
      </c>
      <c r="BI493" s="136">
        <f t="shared" si="99"/>
        <v>0</v>
      </c>
      <c r="BJ493" s="136">
        <f t="shared" si="99"/>
        <v>-4913000</v>
      </c>
      <c r="BK493" s="136">
        <f t="shared" si="99"/>
        <v>0</v>
      </c>
      <c r="BL493" s="136">
        <f t="shared" si="99"/>
        <v>0</v>
      </c>
      <c r="BM493" s="136">
        <f t="shared" si="99"/>
        <v>0</v>
      </c>
      <c r="BN493" s="136">
        <f t="shared" si="99"/>
        <v>0</v>
      </c>
      <c r="BO493" s="136">
        <f t="shared" si="99"/>
        <v>-3250000</v>
      </c>
      <c r="BP493" s="136">
        <f t="shared" si="99"/>
        <v>0</v>
      </c>
      <c r="BQ493" s="136">
        <f t="shared" si="99"/>
        <v>0</v>
      </c>
      <c r="BR493" s="136">
        <f t="shared" si="95"/>
        <v>0</v>
      </c>
      <c r="BS493" s="136">
        <f t="shared" si="93"/>
        <v>0</v>
      </c>
      <c r="BT493" s="136">
        <f t="shared" si="93"/>
        <v>2948830</v>
      </c>
      <c r="BU493" s="136">
        <f t="shared" si="93"/>
        <v>0</v>
      </c>
      <c r="BV493" s="136">
        <f t="shared" si="93"/>
        <v>0</v>
      </c>
      <c r="BW493" s="136">
        <f t="shared" si="93"/>
        <v>0</v>
      </c>
      <c r="BX493" s="136">
        <f t="shared" si="93"/>
        <v>0</v>
      </c>
      <c r="BZ493" s="136">
        <f t="shared" si="94"/>
        <v>0</v>
      </c>
      <c r="CA493" s="136">
        <f t="shared" si="94"/>
        <v>0</v>
      </c>
    </row>
    <row r="494" spans="7:79" hidden="1" x14ac:dyDescent="0.3">
      <c r="G494" s="136">
        <f t="shared" si="98"/>
        <v>-32674556</v>
      </c>
      <c r="H494" s="136">
        <f t="shared" si="98"/>
        <v>0</v>
      </c>
      <c r="I494" s="136">
        <f t="shared" si="98"/>
        <v>0</v>
      </c>
      <c r="J494" s="136">
        <f t="shared" si="98"/>
        <v>0</v>
      </c>
      <c r="K494" s="136">
        <f t="shared" si="98"/>
        <v>0</v>
      </c>
      <c r="L494" s="136">
        <f t="shared" si="98"/>
        <v>1976408</v>
      </c>
      <c r="M494" s="136">
        <f t="shared" si="98"/>
        <v>0</v>
      </c>
      <c r="N494" s="136">
        <f t="shared" si="98"/>
        <v>0</v>
      </c>
      <c r="O494" s="136">
        <f t="shared" si="98"/>
        <v>0</v>
      </c>
      <c r="P494" s="136">
        <f t="shared" si="98"/>
        <v>0</v>
      </c>
      <c r="Q494" s="136">
        <f t="shared" si="98"/>
        <v>1947166</v>
      </c>
      <c r="R494" s="136">
        <f t="shared" si="98"/>
        <v>0</v>
      </c>
      <c r="S494" s="136">
        <f t="shared" si="98"/>
        <v>0</v>
      </c>
      <c r="T494" s="136">
        <f t="shared" si="98"/>
        <v>0</v>
      </c>
      <c r="U494" s="136">
        <f t="shared" si="98"/>
        <v>0</v>
      </c>
      <c r="V494" s="136">
        <f t="shared" si="98"/>
        <v>-3608916</v>
      </c>
      <c r="W494" s="136">
        <f t="shared" si="100"/>
        <v>0</v>
      </c>
      <c r="X494" s="136">
        <f t="shared" si="100"/>
        <v>0</v>
      </c>
      <c r="Y494" s="136">
        <f t="shared" si="99"/>
        <v>0</v>
      </c>
      <c r="Z494" s="136">
        <f t="shared" si="99"/>
        <v>0</v>
      </c>
      <c r="AA494" s="136">
        <f t="shared" si="99"/>
        <v>-1084224</v>
      </c>
      <c r="AB494" s="136">
        <f t="shared" si="99"/>
        <v>0</v>
      </c>
      <c r="AC494" s="136">
        <f t="shared" si="99"/>
        <v>0</v>
      </c>
      <c r="AD494" s="136">
        <f t="shared" si="99"/>
        <v>0</v>
      </c>
      <c r="AE494" s="136">
        <f t="shared" si="99"/>
        <v>0</v>
      </c>
      <c r="AF494" s="136">
        <f t="shared" si="99"/>
        <v>-210827</v>
      </c>
      <c r="AG494" s="136">
        <f t="shared" si="99"/>
        <v>0</v>
      </c>
      <c r="AH494" s="136">
        <f t="shared" si="99"/>
        <v>0</v>
      </c>
      <c r="AI494" s="136">
        <f t="shared" si="99"/>
        <v>0</v>
      </c>
      <c r="AJ494" s="136">
        <f t="shared" si="99"/>
        <v>0</v>
      </c>
      <c r="AK494" s="136">
        <f t="shared" si="99"/>
        <v>1520806</v>
      </c>
      <c r="AL494" s="136">
        <f t="shared" si="99"/>
        <v>0</v>
      </c>
      <c r="AM494" s="136">
        <f t="shared" si="99"/>
        <v>0</v>
      </c>
      <c r="AN494" s="136">
        <f t="shared" si="99"/>
        <v>0</v>
      </c>
      <c r="AO494" s="136">
        <f t="shared" si="99"/>
        <v>0</v>
      </c>
      <c r="AP494" s="136">
        <f t="shared" si="99"/>
        <v>-718520</v>
      </c>
      <c r="AQ494" s="136">
        <f t="shared" si="99"/>
        <v>0</v>
      </c>
      <c r="AR494" s="136">
        <f t="shared" si="99"/>
        <v>0</v>
      </c>
      <c r="AS494" s="136">
        <f t="shared" si="99"/>
        <v>0</v>
      </c>
      <c r="AT494" s="136">
        <f t="shared" si="99"/>
        <v>0</v>
      </c>
      <c r="AU494" s="136">
        <f t="shared" si="99"/>
        <v>1730859</v>
      </c>
      <c r="AV494" s="136">
        <f t="shared" si="99"/>
        <v>0</v>
      </c>
      <c r="AW494" s="136">
        <f t="shared" si="99"/>
        <v>0</v>
      </c>
      <c r="AX494" s="136">
        <f t="shared" si="99"/>
        <v>0</v>
      </c>
      <c r="AY494" s="136">
        <f t="shared" si="99"/>
        <v>0</v>
      </c>
      <c r="AZ494" s="136">
        <f t="shared" si="99"/>
        <v>-1866229</v>
      </c>
      <c r="BA494" s="136">
        <f t="shared" si="99"/>
        <v>0</v>
      </c>
      <c r="BB494" s="136">
        <f t="shared" si="99"/>
        <v>0</v>
      </c>
      <c r="BC494" s="136">
        <f t="shared" si="99"/>
        <v>0</v>
      </c>
      <c r="BD494" s="136">
        <f t="shared" si="99"/>
        <v>0</v>
      </c>
      <c r="BE494" s="136">
        <f t="shared" si="99"/>
        <v>1707753</v>
      </c>
      <c r="BF494" s="136">
        <f t="shared" si="99"/>
        <v>0</v>
      </c>
      <c r="BG494" s="136">
        <f t="shared" si="99"/>
        <v>0</v>
      </c>
      <c r="BH494" s="136">
        <f t="shared" si="99"/>
        <v>0</v>
      </c>
      <c r="BI494" s="136">
        <f t="shared" si="99"/>
        <v>0</v>
      </c>
      <c r="BJ494" s="136">
        <f t="shared" si="99"/>
        <v>-4459231</v>
      </c>
      <c r="BK494" s="136">
        <f t="shared" si="99"/>
        <v>0</v>
      </c>
      <c r="BL494" s="136">
        <f t="shared" si="99"/>
        <v>0</v>
      </c>
      <c r="BM494" s="136">
        <f t="shared" si="99"/>
        <v>0</v>
      </c>
      <c r="BN494" s="136">
        <f t="shared" si="99"/>
        <v>0</v>
      </c>
      <c r="BO494" s="136">
        <f t="shared" si="99"/>
        <v>-2888811</v>
      </c>
      <c r="BP494" s="136">
        <f t="shared" si="99"/>
        <v>0</v>
      </c>
      <c r="BQ494" s="136">
        <f t="shared" si="99"/>
        <v>0</v>
      </c>
      <c r="BR494" s="136">
        <f t="shared" si="95"/>
        <v>0</v>
      </c>
      <c r="BS494" s="136">
        <f t="shared" si="95"/>
        <v>0</v>
      </c>
      <c r="BT494" s="136">
        <f t="shared" si="95"/>
        <v>1394276</v>
      </c>
      <c r="BU494" s="136">
        <f t="shared" si="95"/>
        <v>0</v>
      </c>
      <c r="BV494" s="136">
        <f t="shared" si="95"/>
        <v>0</v>
      </c>
      <c r="BW494" s="136">
        <f t="shared" si="95"/>
        <v>0</v>
      </c>
      <c r="BX494" s="136">
        <f t="shared" si="95"/>
        <v>0</v>
      </c>
      <c r="BZ494" s="136">
        <f t="shared" ref="BZ494:CA509" si="101">BZ105-ER105</f>
        <v>0</v>
      </c>
      <c r="CA494" s="136">
        <f t="shared" si="101"/>
        <v>0</v>
      </c>
    </row>
    <row r="495" spans="7:79" hidden="1" x14ac:dyDescent="0.3">
      <c r="G495" s="136">
        <f t="shared" si="98"/>
        <v>-3671614</v>
      </c>
      <c r="H495" s="136">
        <f t="shared" si="98"/>
        <v>0</v>
      </c>
      <c r="I495" s="136">
        <f t="shared" si="98"/>
        <v>0</v>
      </c>
      <c r="J495" s="136">
        <f t="shared" si="98"/>
        <v>0</v>
      </c>
      <c r="K495" s="136">
        <f t="shared" si="98"/>
        <v>0</v>
      </c>
      <c r="L495" s="136">
        <f t="shared" si="98"/>
        <v>176592</v>
      </c>
      <c r="M495" s="136">
        <f t="shared" si="98"/>
        <v>0</v>
      </c>
      <c r="N495" s="136">
        <f t="shared" si="98"/>
        <v>0</v>
      </c>
      <c r="O495" s="136">
        <f t="shared" si="98"/>
        <v>0</v>
      </c>
      <c r="P495" s="136">
        <f t="shared" si="98"/>
        <v>0</v>
      </c>
      <c r="Q495" s="136">
        <f t="shared" si="98"/>
        <v>345870</v>
      </c>
      <c r="R495" s="136">
        <f t="shared" si="98"/>
        <v>0</v>
      </c>
      <c r="S495" s="136">
        <f t="shared" si="98"/>
        <v>0</v>
      </c>
      <c r="T495" s="136">
        <f t="shared" si="98"/>
        <v>0</v>
      </c>
      <c r="U495" s="136">
        <f t="shared" si="98"/>
        <v>0</v>
      </c>
      <c r="V495" s="136">
        <f t="shared" si="98"/>
        <v>-281084</v>
      </c>
      <c r="W495" s="136">
        <f t="shared" si="100"/>
        <v>0</v>
      </c>
      <c r="X495" s="136">
        <f t="shared" si="100"/>
        <v>0</v>
      </c>
      <c r="Y495" s="136">
        <f t="shared" si="99"/>
        <v>0</v>
      </c>
      <c r="Z495" s="136">
        <f t="shared" si="99"/>
        <v>0</v>
      </c>
      <c r="AA495" s="136">
        <f t="shared" si="99"/>
        <v>77224</v>
      </c>
      <c r="AB495" s="136">
        <f t="shared" si="99"/>
        <v>0</v>
      </c>
      <c r="AC495" s="136">
        <f t="shared" si="99"/>
        <v>0</v>
      </c>
      <c r="AD495" s="136">
        <f t="shared" si="99"/>
        <v>0</v>
      </c>
      <c r="AE495" s="136">
        <f t="shared" si="99"/>
        <v>0</v>
      </c>
      <c r="AF495" s="136">
        <f t="shared" si="99"/>
        <v>210827</v>
      </c>
      <c r="AG495" s="136">
        <f t="shared" si="99"/>
        <v>0</v>
      </c>
      <c r="AH495" s="136">
        <f t="shared" si="99"/>
        <v>0</v>
      </c>
      <c r="AI495" s="136">
        <f t="shared" si="99"/>
        <v>0</v>
      </c>
      <c r="AJ495" s="136">
        <f t="shared" si="99"/>
        <v>0</v>
      </c>
      <c r="AK495" s="136">
        <f t="shared" si="99"/>
        <v>365194</v>
      </c>
      <c r="AL495" s="136">
        <f t="shared" si="99"/>
        <v>0</v>
      </c>
      <c r="AM495" s="136">
        <f t="shared" si="99"/>
        <v>0</v>
      </c>
      <c r="AN495" s="136">
        <f t="shared" si="99"/>
        <v>0</v>
      </c>
      <c r="AO495" s="136">
        <f t="shared" si="99"/>
        <v>0</v>
      </c>
      <c r="AP495" s="136">
        <f t="shared" si="99"/>
        <v>63520</v>
      </c>
      <c r="AQ495" s="136">
        <f t="shared" si="99"/>
        <v>0</v>
      </c>
      <c r="AR495" s="136">
        <f t="shared" si="99"/>
        <v>0</v>
      </c>
      <c r="AS495" s="136">
        <f t="shared" si="99"/>
        <v>0</v>
      </c>
      <c r="AT495" s="136">
        <f t="shared" si="99"/>
        <v>0</v>
      </c>
      <c r="AU495" s="136">
        <f t="shared" si="99"/>
        <v>446141</v>
      </c>
      <c r="AV495" s="136">
        <f t="shared" si="99"/>
        <v>0</v>
      </c>
      <c r="AW495" s="136">
        <f t="shared" si="99"/>
        <v>0</v>
      </c>
      <c r="AX495" s="136">
        <f t="shared" si="99"/>
        <v>0</v>
      </c>
      <c r="AY495" s="136">
        <f t="shared" si="99"/>
        <v>0</v>
      </c>
      <c r="AZ495" s="136">
        <f t="shared" si="99"/>
        <v>-91977</v>
      </c>
      <c r="BA495" s="136">
        <f t="shared" si="99"/>
        <v>0</v>
      </c>
      <c r="BB495" s="136">
        <f t="shared" si="99"/>
        <v>0</v>
      </c>
      <c r="BC495" s="136">
        <f t="shared" ref="BC495:BR510" si="102">BC106-DU106</f>
        <v>0</v>
      </c>
      <c r="BD495" s="136">
        <f t="shared" si="102"/>
        <v>0</v>
      </c>
      <c r="BE495" s="136">
        <f t="shared" si="102"/>
        <v>242247</v>
      </c>
      <c r="BF495" s="136">
        <f t="shared" si="102"/>
        <v>0</v>
      </c>
      <c r="BG495" s="136">
        <f t="shared" si="102"/>
        <v>0</v>
      </c>
      <c r="BH495" s="136">
        <f t="shared" si="102"/>
        <v>0</v>
      </c>
      <c r="BI495" s="136">
        <f t="shared" si="102"/>
        <v>0</v>
      </c>
      <c r="BJ495" s="136">
        <f t="shared" si="102"/>
        <v>-453769</v>
      </c>
      <c r="BK495" s="136">
        <f t="shared" si="102"/>
        <v>0</v>
      </c>
      <c r="BL495" s="136">
        <f t="shared" si="102"/>
        <v>0</v>
      </c>
      <c r="BM495" s="136">
        <f t="shared" si="102"/>
        <v>0</v>
      </c>
      <c r="BN495" s="136">
        <f t="shared" si="102"/>
        <v>0</v>
      </c>
      <c r="BO495" s="136">
        <f t="shared" si="102"/>
        <v>-361189</v>
      </c>
      <c r="BP495" s="136">
        <f t="shared" si="102"/>
        <v>0</v>
      </c>
      <c r="BQ495" s="136">
        <f t="shared" si="102"/>
        <v>0</v>
      </c>
      <c r="BR495" s="136">
        <f t="shared" si="95"/>
        <v>0</v>
      </c>
      <c r="BS495" s="136">
        <f t="shared" si="95"/>
        <v>0</v>
      </c>
      <c r="BT495" s="136">
        <f t="shared" si="95"/>
        <v>1554554</v>
      </c>
      <c r="BU495" s="136">
        <f t="shared" si="95"/>
        <v>0</v>
      </c>
      <c r="BV495" s="136">
        <f t="shared" si="95"/>
        <v>0</v>
      </c>
      <c r="BW495" s="136">
        <f t="shared" si="95"/>
        <v>0</v>
      </c>
      <c r="BX495" s="136">
        <f t="shared" si="95"/>
        <v>0</v>
      </c>
      <c r="BZ495" s="136">
        <f t="shared" si="101"/>
        <v>0</v>
      </c>
      <c r="CA495" s="136">
        <f t="shared" si="101"/>
        <v>0</v>
      </c>
    </row>
    <row r="496" spans="7:79" hidden="1" x14ac:dyDescent="0.3">
      <c r="G496" s="136">
        <f t="shared" si="98"/>
        <v>0</v>
      </c>
      <c r="H496" s="136">
        <f t="shared" si="98"/>
        <v>0</v>
      </c>
      <c r="I496" s="136">
        <f t="shared" si="98"/>
        <v>0</v>
      </c>
      <c r="J496" s="136">
        <f t="shared" si="98"/>
        <v>0</v>
      </c>
      <c r="K496" s="136">
        <f t="shared" si="98"/>
        <v>0</v>
      </c>
      <c r="L496" s="136">
        <f t="shared" si="98"/>
        <v>0</v>
      </c>
      <c r="M496" s="136">
        <f t="shared" si="98"/>
        <v>0</v>
      </c>
      <c r="N496" s="136">
        <f t="shared" si="98"/>
        <v>0</v>
      </c>
      <c r="O496" s="136">
        <f t="shared" si="98"/>
        <v>0</v>
      </c>
      <c r="P496" s="136">
        <f t="shared" si="98"/>
        <v>0</v>
      </c>
      <c r="Q496" s="136">
        <f t="shared" si="98"/>
        <v>0</v>
      </c>
      <c r="R496" s="136">
        <f t="shared" si="98"/>
        <v>0</v>
      </c>
      <c r="S496" s="136">
        <f t="shared" si="98"/>
        <v>0</v>
      </c>
      <c r="T496" s="136">
        <f t="shared" si="98"/>
        <v>0</v>
      </c>
      <c r="U496" s="136">
        <f t="shared" si="98"/>
        <v>0</v>
      </c>
      <c r="V496" s="136">
        <f t="shared" si="98"/>
        <v>0</v>
      </c>
      <c r="W496" s="136">
        <f t="shared" si="100"/>
        <v>0</v>
      </c>
      <c r="X496" s="136">
        <f t="shared" si="100"/>
        <v>0</v>
      </c>
      <c r="Y496" s="136">
        <f t="shared" si="100"/>
        <v>0</v>
      </c>
      <c r="Z496" s="136">
        <f t="shared" si="100"/>
        <v>0</v>
      </c>
      <c r="AA496" s="136">
        <f t="shared" si="100"/>
        <v>0</v>
      </c>
      <c r="AB496" s="136">
        <f t="shared" si="100"/>
        <v>0</v>
      </c>
      <c r="AC496" s="136">
        <f t="shared" si="100"/>
        <v>0</v>
      </c>
      <c r="AD496" s="136">
        <f t="shared" si="100"/>
        <v>0</v>
      </c>
      <c r="AE496" s="136">
        <f t="shared" si="100"/>
        <v>0</v>
      </c>
      <c r="AF496" s="136">
        <f t="shared" si="100"/>
        <v>0</v>
      </c>
      <c r="AG496" s="136">
        <f t="shared" si="100"/>
        <v>0</v>
      </c>
      <c r="AH496" s="136">
        <f t="shared" si="100"/>
        <v>0</v>
      </c>
      <c r="AI496" s="136">
        <f t="shared" si="100"/>
        <v>0</v>
      </c>
      <c r="AJ496" s="136">
        <f t="shared" si="100"/>
        <v>0</v>
      </c>
      <c r="AK496" s="136">
        <f t="shared" si="100"/>
        <v>0</v>
      </c>
      <c r="AL496" s="136">
        <f t="shared" si="100"/>
        <v>0</v>
      </c>
      <c r="AM496" s="136">
        <f t="shared" ref="AM496:BB511" si="103">AM107-DE107</f>
        <v>0</v>
      </c>
      <c r="AN496" s="136">
        <f t="shared" si="103"/>
        <v>0</v>
      </c>
      <c r="AO496" s="136">
        <f t="shared" si="103"/>
        <v>0</v>
      </c>
      <c r="AP496" s="136">
        <f t="shared" si="103"/>
        <v>0</v>
      </c>
      <c r="AQ496" s="136">
        <f t="shared" si="103"/>
        <v>0</v>
      </c>
      <c r="AR496" s="136">
        <f t="shared" si="103"/>
        <v>0</v>
      </c>
      <c r="AS496" s="136">
        <f t="shared" si="103"/>
        <v>0</v>
      </c>
      <c r="AT496" s="136">
        <f t="shared" si="103"/>
        <v>0</v>
      </c>
      <c r="AU496" s="136">
        <f t="shared" si="103"/>
        <v>0</v>
      </c>
      <c r="AV496" s="136">
        <f t="shared" si="103"/>
        <v>0</v>
      </c>
      <c r="AW496" s="136">
        <f t="shared" si="103"/>
        <v>0</v>
      </c>
      <c r="AX496" s="136">
        <f t="shared" si="103"/>
        <v>0</v>
      </c>
      <c r="AY496" s="136">
        <f t="shared" si="103"/>
        <v>0</v>
      </c>
      <c r="AZ496" s="136">
        <f t="shared" si="103"/>
        <v>0</v>
      </c>
      <c r="BA496" s="136">
        <f t="shared" si="103"/>
        <v>0</v>
      </c>
      <c r="BB496" s="136">
        <f t="shared" si="103"/>
        <v>0</v>
      </c>
      <c r="BC496" s="136">
        <f t="shared" si="102"/>
        <v>0</v>
      </c>
      <c r="BD496" s="136">
        <f t="shared" si="102"/>
        <v>0</v>
      </c>
      <c r="BE496" s="136">
        <f t="shared" si="102"/>
        <v>0</v>
      </c>
      <c r="BF496" s="136">
        <f t="shared" si="102"/>
        <v>0</v>
      </c>
      <c r="BG496" s="136">
        <f t="shared" si="102"/>
        <v>0</v>
      </c>
      <c r="BH496" s="136">
        <f t="shared" si="102"/>
        <v>0</v>
      </c>
      <c r="BI496" s="136">
        <f t="shared" si="102"/>
        <v>0</v>
      </c>
      <c r="BJ496" s="136">
        <f t="shared" si="102"/>
        <v>0</v>
      </c>
      <c r="BK496" s="136">
        <f t="shared" si="102"/>
        <v>0</v>
      </c>
      <c r="BL496" s="136">
        <f t="shared" si="102"/>
        <v>0</v>
      </c>
      <c r="BM496" s="136">
        <f t="shared" si="102"/>
        <v>0</v>
      </c>
      <c r="BN496" s="136">
        <f t="shared" si="102"/>
        <v>0</v>
      </c>
      <c r="BO496" s="136">
        <f t="shared" si="102"/>
        <v>0</v>
      </c>
      <c r="BP496" s="136">
        <f t="shared" si="102"/>
        <v>0</v>
      </c>
      <c r="BQ496" s="136">
        <f t="shared" si="102"/>
        <v>0</v>
      </c>
      <c r="BR496" s="136">
        <f t="shared" si="95"/>
        <v>0</v>
      </c>
      <c r="BS496" s="136">
        <f t="shared" si="95"/>
        <v>0</v>
      </c>
      <c r="BT496" s="136">
        <f t="shared" si="95"/>
        <v>0</v>
      </c>
      <c r="BU496" s="136">
        <f t="shared" si="95"/>
        <v>0</v>
      </c>
      <c r="BV496" s="136">
        <f t="shared" si="95"/>
        <v>0</v>
      </c>
      <c r="BW496" s="136">
        <f t="shared" si="95"/>
        <v>0</v>
      </c>
      <c r="BX496" s="136">
        <f t="shared" si="95"/>
        <v>0</v>
      </c>
      <c r="BZ496" s="136">
        <f t="shared" si="101"/>
        <v>0</v>
      </c>
      <c r="CA496" s="136">
        <f t="shared" si="101"/>
        <v>0</v>
      </c>
    </row>
    <row r="497" spans="7:79" hidden="1" x14ac:dyDescent="0.3">
      <c r="G497" s="136">
        <f t="shared" si="98"/>
        <v>0</v>
      </c>
      <c r="H497" s="136">
        <f t="shared" si="98"/>
        <v>0</v>
      </c>
      <c r="I497" s="136">
        <f t="shared" si="98"/>
        <v>0</v>
      </c>
      <c r="J497" s="136">
        <f t="shared" si="98"/>
        <v>0</v>
      </c>
      <c r="K497" s="136">
        <f t="shared" si="98"/>
        <v>0</v>
      </c>
      <c r="L497" s="136">
        <f t="shared" si="98"/>
        <v>0</v>
      </c>
      <c r="M497" s="136">
        <f t="shared" si="98"/>
        <v>0</v>
      </c>
      <c r="N497" s="136">
        <f t="shared" si="98"/>
        <v>0</v>
      </c>
      <c r="O497" s="136">
        <f t="shared" si="98"/>
        <v>0</v>
      </c>
      <c r="P497" s="136">
        <f t="shared" si="98"/>
        <v>0</v>
      </c>
      <c r="Q497" s="136">
        <f t="shared" si="98"/>
        <v>0</v>
      </c>
      <c r="R497" s="136">
        <f t="shared" si="98"/>
        <v>0</v>
      </c>
      <c r="S497" s="136">
        <f t="shared" si="98"/>
        <v>0</v>
      </c>
      <c r="T497" s="136">
        <f t="shared" si="98"/>
        <v>0</v>
      </c>
      <c r="U497" s="136">
        <f t="shared" si="98"/>
        <v>0</v>
      </c>
      <c r="V497" s="136">
        <f t="shared" si="98"/>
        <v>0</v>
      </c>
      <c r="W497" s="136">
        <f t="shared" si="100"/>
        <v>0</v>
      </c>
      <c r="X497" s="136">
        <f t="shared" si="100"/>
        <v>0</v>
      </c>
      <c r="Y497" s="136">
        <f t="shared" si="100"/>
        <v>0</v>
      </c>
      <c r="Z497" s="136">
        <f t="shared" si="100"/>
        <v>0</v>
      </c>
      <c r="AA497" s="136">
        <f t="shared" si="100"/>
        <v>0</v>
      </c>
      <c r="AB497" s="136">
        <f t="shared" si="100"/>
        <v>0</v>
      </c>
      <c r="AC497" s="136">
        <f t="shared" si="100"/>
        <v>0</v>
      </c>
      <c r="AD497" s="136">
        <f t="shared" si="100"/>
        <v>0</v>
      </c>
      <c r="AE497" s="136">
        <f t="shared" si="100"/>
        <v>0</v>
      </c>
      <c r="AF497" s="136">
        <f t="shared" si="100"/>
        <v>0</v>
      </c>
      <c r="AG497" s="136">
        <f t="shared" si="100"/>
        <v>0</v>
      </c>
      <c r="AH497" s="136">
        <f t="shared" si="100"/>
        <v>0</v>
      </c>
      <c r="AI497" s="136">
        <f t="shared" si="100"/>
        <v>0</v>
      </c>
      <c r="AJ497" s="136">
        <f t="shared" si="100"/>
        <v>0</v>
      </c>
      <c r="AK497" s="136">
        <f t="shared" si="100"/>
        <v>0</v>
      </c>
      <c r="AL497" s="136">
        <f t="shared" si="100"/>
        <v>0</v>
      </c>
      <c r="AM497" s="136">
        <f t="shared" si="103"/>
        <v>0</v>
      </c>
      <c r="AN497" s="136">
        <f t="shared" si="103"/>
        <v>0</v>
      </c>
      <c r="AO497" s="136">
        <f t="shared" si="103"/>
        <v>0</v>
      </c>
      <c r="AP497" s="136">
        <f t="shared" si="103"/>
        <v>0</v>
      </c>
      <c r="AQ497" s="136">
        <f t="shared" si="103"/>
        <v>0</v>
      </c>
      <c r="AR497" s="136">
        <f t="shared" si="103"/>
        <v>0</v>
      </c>
      <c r="AS497" s="136">
        <f t="shared" si="103"/>
        <v>0</v>
      </c>
      <c r="AT497" s="136">
        <f t="shared" si="103"/>
        <v>0</v>
      </c>
      <c r="AU497" s="136">
        <f t="shared" si="103"/>
        <v>0</v>
      </c>
      <c r="AV497" s="136">
        <f t="shared" si="103"/>
        <v>0</v>
      </c>
      <c r="AW497" s="136">
        <f t="shared" si="103"/>
        <v>0</v>
      </c>
      <c r="AX497" s="136">
        <f t="shared" si="103"/>
        <v>0</v>
      </c>
      <c r="AY497" s="136">
        <f t="shared" si="103"/>
        <v>0</v>
      </c>
      <c r="AZ497" s="136">
        <f t="shared" si="103"/>
        <v>0</v>
      </c>
      <c r="BA497" s="136">
        <f t="shared" si="103"/>
        <v>0</v>
      </c>
      <c r="BB497" s="136">
        <f t="shared" si="103"/>
        <v>0</v>
      </c>
      <c r="BC497" s="136">
        <f t="shared" si="102"/>
        <v>0</v>
      </c>
      <c r="BD497" s="136">
        <f t="shared" si="102"/>
        <v>0</v>
      </c>
      <c r="BE497" s="136">
        <f t="shared" si="102"/>
        <v>0</v>
      </c>
      <c r="BF497" s="136">
        <f t="shared" si="102"/>
        <v>0</v>
      </c>
      <c r="BG497" s="136">
        <f t="shared" si="102"/>
        <v>0</v>
      </c>
      <c r="BH497" s="136">
        <f t="shared" si="102"/>
        <v>0</v>
      </c>
      <c r="BI497" s="136">
        <f t="shared" si="102"/>
        <v>0</v>
      </c>
      <c r="BJ497" s="136">
        <f t="shared" si="102"/>
        <v>0</v>
      </c>
      <c r="BK497" s="136">
        <f t="shared" si="102"/>
        <v>0</v>
      </c>
      <c r="BL497" s="136">
        <f t="shared" si="102"/>
        <v>0</v>
      </c>
      <c r="BM497" s="136">
        <f t="shared" si="102"/>
        <v>0</v>
      </c>
      <c r="BN497" s="136">
        <f t="shared" si="102"/>
        <v>0</v>
      </c>
      <c r="BO497" s="136">
        <f t="shared" si="102"/>
        <v>0</v>
      </c>
      <c r="BP497" s="136">
        <f t="shared" si="102"/>
        <v>0</v>
      </c>
      <c r="BQ497" s="136">
        <f t="shared" si="102"/>
        <v>0</v>
      </c>
      <c r="BR497" s="136">
        <f t="shared" si="102"/>
        <v>0</v>
      </c>
      <c r="BS497" s="136">
        <f t="shared" ref="BS497:BX512" si="104">BS108-EK108</f>
        <v>0</v>
      </c>
      <c r="BT497" s="136">
        <f t="shared" si="104"/>
        <v>0</v>
      </c>
      <c r="BU497" s="136">
        <f t="shared" si="104"/>
        <v>0</v>
      </c>
      <c r="BV497" s="136">
        <f t="shared" si="104"/>
        <v>0</v>
      </c>
      <c r="BW497" s="136">
        <f t="shared" si="104"/>
        <v>0</v>
      </c>
      <c r="BX497" s="136">
        <f t="shared" si="104"/>
        <v>0</v>
      </c>
      <c r="BZ497" s="136">
        <f t="shared" si="101"/>
        <v>0</v>
      </c>
      <c r="CA497" s="136">
        <f t="shared" si="101"/>
        <v>0</v>
      </c>
    </row>
    <row r="498" spans="7:79" hidden="1" x14ac:dyDescent="0.3">
      <c r="G498" s="136">
        <f t="shared" si="98"/>
        <v>-36214000</v>
      </c>
      <c r="H498" s="136">
        <f t="shared" si="98"/>
        <v>0</v>
      </c>
      <c r="I498" s="136">
        <f t="shared" si="98"/>
        <v>0</v>
      </c>
      <c r="J498" s="136">
        <f t="shared" si="98"/>
        <v>0</v>
      </c>
      <c r="K498" s="136">
        <f t="shared" si="98"/>
        <v>0</v>
      </c>
      <c r="L498" s="136">
        <f t="shared" si="98"/>
        <v>857265</v>
      </c>
      <c r="M498" s="136">
        <f t="shared" si="98"/>
        <v>0</v>
      </c>
      <c r="N498" s="136">
        <f t="shared" si="98"/>
        <v>0</v>
      </c>
      <c r="O498" s="136">
        <f t="shared" si="98"/>
        <v>0</v>
      </c>
      <c r="P498" s="136">
        <f t="shared" si="98"/>
        <v>0</v>
      </c>
      <c r="Q498" s="136">
        <f t="shared" si="98"/>
        <v>-237000</v>
      </c>
      <c r="R498" s="136">
        <f t="shared" si="98"/>
        <v>0</v>
      </c>
      <c r="S498" s="136">
        <f t="shared" si="98"/>
        <v>0</v>
      </c>
      <c r="T498" s="136">
        <f t="shared" si="98"/>
        <v>0</v>
      </c>
      <c r="U498" s="136">
        <f t="shared" si="98"/>
        <v>0</v>
      </c>
      <c r="V498" s="136">
        <f t="shared" si="98"/>
        <v>54000</v>
      </c>
      <c r="W498" s="136">
        <f t="shared" si="100"/>
        <v>0</v>
      </c>
      <c r="X498" s="136">
        <f t="shared" si="100"/>
        <v>0</v>
      </c>
      <c r="Y498" s="136">
        <f t="shared" si="100"/>
        <v>0</v>
      </c>
      <c r="Z498" s="136">
        <f t="shared" si="100"/>
        <v>0</v>
      </c>
      <c r="AA498" s="136">
        <f t="shared" si="100"/>
        <v>-652000</v>
      </c>
      <c r="AB498" s="136">
        <f t="shared" si="100"/>
        <v>0</v>
      </c>
      <c r="AC498" s="136">
        <f t="shared" si="100"/>
        <v>0</v>
      </c>
      <c r="AD498" s="136">
        <f t="shared" si="100"/>
        <v>0</v>
      </c>
      <c r="AE498" s="136">
        <f t="shared" si="100"/>
        <v>0</v>
      </c>
      <c r="AF498" s="136">
        <f t="shared" si="100"/>
        <v>1000</v>
      </c>
      <c r="AG498" s="136">
        <f t="shared" si="100"/>
        <v>0</v>
      </c>
      <c r="AH498" s="136">
        <f t="shared" si="100"/>
        <v>0</v>
      </c>
      <c r="AI498" s="136">
        <f t="shared" si="100"/>
        <v>0</v>
      </c>
      <c r="AJ498" s="136">
        <f t="shared" si="100"/>
        <v>0</v>
      </c>
      <c r="AK498" s="136">
        <f t="shared" si="100"/>
        <v>651000</v>
      </c>
      <c r="AL498" s="136">
        <f t="shared" si="100"/>
        <v>0</v>
      </c>
      <c r="AM498" s="136">
        <f t="shared" si="103"/>
        <v>0</v>
      </c>
      <c r="AN498" s="136">
        <f t="shared" si="103"/>
        <v>0</v>
      </c>
      <c r="AO498" s="136">
        <f t="shared" si="103"/>
        <v>0</v>
      </c>
      <c r="AP498" s="136">
        <f t="shared" si="103"/>
        <v>-3083000</v>
      </c>
      <c r="AQ498" s="136">
        <f t="shared" si="103"/>
        <v>0</v>
      </c>
      <c r="AR498" s="136">
        <f t="shared" si="103"/>
        <v>0</v>
      </c>
      <c r="AS498" s="136">
        <f t="shared" si="103"/>
        <v>0</v>
      </c>
      <c r="AT498" s="136">
        <f t="shared" si="103"/>
        <v>0</v>
      </c>
      <c r="AU498" s="136">
        <f t="shared" si="103"/>
        <v>-3901000</v>
      </c>
      <c r="AV498" s="136">
        <f t="shared" si="103"/>
        <v>0</v>
      </c>
      <c r="AW498" s="136">
        <f t="shared" si="103"/>
        <v>0</v>
      </c>
      <c r="AX498" s="136">
        <f t="shared" si="103"/>
        <v>0</v>
      </c>
      <c r="AY498" s="136">
        <f t="shared" si="103"/>
        <v>0</v>
      </c>
      <c r="AZ498" s="136">
        <f t="shared" si="103"/>
        <v>3133000</v>
      </c>
      <c r="BA498" s="136">
        <f t="shared" si="103"/>
        <v>0</v>
      </c>
      <c r="BB498" s="136">
        <f t="shared" si="103"/>
        <v>0</v>
      </c>
      <c r="BC498" s="136">
        <f t="shared" si="102"/>
        <v>0</v>
      </c>
      <c r="BD498" s="136">
        <f t="shared" si="102"/>
        <v>0</v>
      </c>
      <c r="BE498" s="136">
        <f t="shared" si="102"/>
        <v>4314000</v>
      </c>
      <c r="BF498" s="136">
        <f t="shared" si="102"/>
        <v>0</v>
      </c>
      <c r="BG498" s="136">
        <f t="shared" si="102"/>
        <v>0</v>
      </c>
      <c r="BH498" s="136">
        <f t="shared" si="102"/>
        <v>0</v>
      </c>
      <c r="BI498" s="136">
        <f t="shared" si="102"/>
        <v>0</v>
      </c>
      <c r="BJ498" s="136">
        <f t="shared" si="102"/>
        <v>-1951000</v>
      </c>
      <c r="BK498" s="136">
        <f t="shared" si="102"/>
        <v>0</v>
      </c>
      <c r="BL498" s="136">
        <f t="shared" si="102"/>
        <v>0</v>
      </c>
      <c r="BM498" s="136">
        <f t="shared" si="102"/>
        <v>0</v>
      </c>
      <c r="BN498" s="136">
        <f t="shared" si="102"/>
        <v>0</v>
      </c>
      <c r="BO498" s="136">
        <f t="shared" si="102"/>
        <v>-1300000</v>
      </c>
      <c r="BP498" s="136">
        <f t="shared" si="102"/>
        <v>0</v>
      </c>
      <c r="BQ498" s="136">
        <f t="shared" si="102"/>
        <v>0</v>
      </c>
      <c r="BR498" s="136">
        <f t="shared" si="102"/>
        <v>0</v>
      </c>
      <c r="BS498" s="136">
        <f t="shared" si="104"/>
        <v>0</v>
      </c>
      <c r="BT498" s="136">
        <f t="shared" si="104"/>
        <v>1137265</v>
      </c>
      <c r="BU498" s="136">
        <f t="shared" si="104"/>
        <v>0</v>
      </c>
      <c r="BV498" s="136">
        <f t="shared" si="104"/>
        <v>0</v>
      </c>
      <c r="BW498" s="136">
        <f t="shared" si="104"/>
        <v>0</v>
      </c>
      <c r="BX498" s="136">
        <f t="shared" si="104"/>
        <v>0</v>
      </c>
      <c r="BZ498" s="136">
        <f t="shared" si="101"/>
        <v>0</v>
      </c>
      <c r="CA498" s="136">
        <f t="shared" si="101"/>
        <v>0</v>
      </c>
    </row>
    <row r="499" spans="7:79" hidden="1" x14ac:dyDescent="0.3">
      <c r="G499" s="136">
        <f t="shared" si="98"/>
        <v>-32279228</v>
      </c>
      <c r="H499" s="136">
        <f t="shared" si="98"/>
        <v>0</v>
      </c>
      <c r="I499" s="136">
        <f t="shared" si="98"/>
        <v>0</v>
      </c>
      <c r="J499" s="136">
        <f t="shared" si="98"/>
        <v>0</v>
      </c>
      <c r="K499" s="136">
        <f t="shared" si="98"/>
        <v>0</v>
      </c>
      <c r="L499" s="136">
        <f t="shared" si="98"/>
        <v>872006</v>
      </c>
      <c r="M499" s="136">
        <f t="shared" si="98"/>
        <v>0</v>
      </c>
      <c r="N499" s="136">
        <f t="shared" si="98"/>
        <v>0</v>
      </c>
      <c r="O499" s="136">
        <f t="shared" si="98"/>
        <v>0</v>
      </c>
      <c r="P499" s="136">
        <f t="shared" si="98"/>
        <v>0</v>
      </c>
      <c r="Q499" s="136">
        <f t="shared" si="98"/>
        <v>-263524</v>
      </c>
      <c r="R499" s="136">
        <f t="shared" si="98"/>
        <v>0</v>
      </c>
      <c r="S499" s="136">
        <f t="shared" si="98"/>
        <v>0</v>
      </c>
      <c r="T499" s="136">
        <f t="shared" si="98"/>
        <v>0</v>
      </c>
      <c r="U499" s="136">
        <f t="shared" si="98"/>
        <v>0</v>
      </c>
      <c r="V499" s="136">
        <f t="shared" si="98"/>
        <v>-137572</v>
      </c>
      <c r="W499" s="136">
        <f t="shared" si="100"/>
        <v>0</v>
      </c>
      <c r="X499" s="136">
        <f t="shared" si="100"/>
        <v>0</v>
      </c>
      <c r="Y499" s="136">
        <f t="shared" si="100"/>
        <v>0</v>
      </c>
      <c r="Z499" s="136">
        <f t="shared" si="100"/>
        <v>0</v>
      </c>
      <c r="AA499" s="136">
        <f t="shared" si="100"/>
        <v>-818990</v>
      </c>
      <c r="AB499" s="136">
        <f t="shared" si="100"/>
        <v>0</v>
      </c>
      <c r="AC499" s="136">
        <f t="shared" si="100"/>
        <v>0</v>
      </c>
      <c r="AD499" s="136">
        <f t="shared" si="100"/>
        <v>0</v>
      </c>
      <c r="AE499" s="136">
        <f t="shared" si="100"/>
        <v>0</v>
      </c>
      <c r="AF499" s="136">
        <f t="shared" si="100"/>
        <v>-111588</v>
      </c>
      <c r="AG499" s="136">
        <f t="shared" si="100"/>
        <v>0</v>
      </c>
      <c r="AH499" s="136">
        <f t="shared" si="100"/>
        <v>0</v>
      </c>
      <c r="AI499" s="136">
        <f t="shared" si="100"/>
        <v>0</v>
      </c>
      <c r="AJ499" s="136">
        <f t="shared" si="100"/>
        <v>0</v>
      </c>
      <c r="AK499" s="136">
        <f t="shared" si="100"/>
        <v>462003</v>
      </c>
      <c r="AL499" s="136">
        <f t="shared" si="100"/>
        <v>0</v>
      </c>
      <c r="AM499" s="136">
        <f t="shared" si="103"/>
        <v>0</v>
      </c>
      <c r="AN499" s="136">
        <f t="shared" si="103"/>
        <v>0</v>
      </c>
      <c r="AO499" s="136">
        <f t="shared" si="103"/>
        <v>0</v>
      </c>
      <c r="AP499" s="136">
        <f t="shared" si="103"/>
        <v>-2876640</v>
      </c>
      <c r="AQ499" s="136">
        <f t="shared" si="103"/>
        <v>0</v>
      </c>
      <c r="AR499" s="136">
        <f t="shared" si="103"/>
        <v>0</v>
      </c>
      <c r="AS499" s="136">
        <f t="shared" si="103"/>
        <v>0</v>
      </c>
      <c r="AT499" s="136">
        <f t="shared" si="103"/>
        <v>0</v>
      </c>
      <c r="AU499" s="136">
        <f t="shared" si="103"/>
        <v>-3561826</v>
      </c>
      <c r="AV499" s="136">
        <f t="shared" si="103"/>
        <v>0</v>
      </c>
      <c r="AW499" s="136">
        <f t="shared" si="103"/>
        <v>0</v>
      </c>
      <c r="AX499" s="136">
        <f t="shared" si="103"/>
        <v>0</v>
      </c>
      <c r="AY499" s="136">
        <f t="shared" si="103"/>
        <v>0</v>
      </c>
      <c r="AZ499" s="136">
        <f t="shared" si="103"/>
        <v>2629040</v>
      </c>
      <c r="BA499" s="136">
        <f t="shared" si="103"/>
        <v>0</v>
      </c>
      <c r="BB499" s="136">
        <f t="shared" si="103"/>
        <v>0</v>
      </c>
      <c r="BC499" s="136">
        <f t="shared" si="102"/>
        <v>0</v>
      </c>
      <c r="BD499" s="136">
        <f t="shared" si="102"/>
        <v>0</v>
      </c>
      <c r="BE499" s="136">
        <f t="shared" si="102"/>
        <v>3664922</v>
      </c>
      <c r="BF499" s="136">
        <f t="shared" si="102"/>
        <v>0</v>
      </c>
      <c r="BG499" s="136">
        <f t="shared" si="102"/>
        <v>0</v>
      </c>
      <c r="BH499" s="136">
        <f t="shared" si="102"/>
        <v>0</v>
      </c>
      <c r="BI499" s="136">
        <f t="shared" si="102"/>
        <v>0</v>
      </c>
      <c r="BJ499" s="136">
        <f t="shared" si="102"/>
        <v>-1795815</v>
      </c>
      <c r="BK499" s="136">
        <f t="shared" si="102"/>
        <v>0</v>
      </c>
      <c r="BL499" s="136">
        <f t="shared" si="102"/>
        <v>0</v>
      </c>
      <c r="BM499" s="136">
        <f t="shared" si="102"/>
        <v>0</v>
      </c>
      <c r="BN499" s="136">
        <f t="shared" si="102"/>
        <v>0</v>
      </c>
      <c r="BO499" s="136">
        <f t="shared" si="102"/>
        <v>-1174030</v>
      </c>
      <c r="BP499" s="136">
        <f t="shared" si="102"/>
        <v>0</v>
      </c>
      <c r="BQ499" s="136">
        <f t="shared" si="102"/>
        <v>0</v>
      </c>
      <c r="BR499" s="136">
        <f t="shared" si="102"/>
        <v>0</v>
      </c>
      <c r="BS499" s="136">
        <f t="shared" si="104"/>
        <v>0</v>
      </c>
      <c r="BT499" s="136">
        <f t="shared" si="104"/>
        <v>-142169</v>
      </c>
      <c r="BU499" s="136">
        <f t="shared" si="104"/>
        <v>0</v>
      </c>
      <c r="BV499" s="136">
        <f t="shared" si="104"/>
        <v>0</v>
      </c>
      <c r="BW499" s="136">
        <f t="shared" si="104"/>
        <v>0</v>
      </c>
      <c r="BX499" s="136">
        <f t="shared" si="104"/>
        <v>0</v>
      </c>
      <c r="BZ499" s="136">
        <f t="shared" si="101"/>
        <v>0</v>
      </c>
      <c r="CA499" s="136">
        <f t="shared" si="101"/>
        <v>0</v>
      </c>
    </row>
    <row r="500" spans="7:79" hidden="1" x14ac:dyDescent="0.3">
      <c r="G500" s="136">
        <f t="shared" si="98"/>
        <v>-3934772</v>
      </c>
      <c r="H500" s="136">
        <f t="shared" si="98"/>
        <v>0</v>
      </c>
      <c r="I500" s="136">
        <f t="shared" si="98"/>
        <v>0</v>
      </c>
      <c r="J500" s="136">
        <f t="shared" si="98"/>
        <v>0</v>
      </c>
      <c r="K500" s="136">
        <f t="shared" si="98"/>
        <v>0</v>
      </c>
      <c r="L500" s="136">
        <f t="shared" si="98"/>
        <v>-14741</v>
      </c>
      <c r="M500" s="136">
        <f t="shared" si="98"/>
        <v>0</v>
      </c>
      <c r="N500" s="136">
        <f t="shared" si="98"/>
        <v>0</v>
      </c>
      <c r="O500" s="136">
        <f t="shared" si="98"/>
        <v>0</v>
      </c>
      <c r="P500" s="136">
        <f t="shared" si="98"/>
        <v>0</v>
      </c>
      <c r="Q500" s="136">
        <f t="shared" si="98"/>
        <v>26524</v>
      </c>
      <c r="R500" s="136">
        <f t="shared" si="98"/>
        <v>0</v>
      </c>
      <c r="S500" s="136">
        <f t="shared" si="98"/>
        <v>0</v>
      </c>
      <c r="T500" s="136">
        <f t="shared" si="98"/>
        <v>0</v>
      </c>
      <c r="U500" s="136">
        <f t="shared" si="98"/>
        <v>0</v>
      </c>
      <c r="V500" s="136">
        <f t="shared" si="98"/>
        <v>191572</v>
      </c>
      <c r="W500" s="136">
        <f t="shared" si="100"/>
        <v>0</v>
      </c>
      <c r="X500" s="136">
        <f t="shared" si="100"/>
        <v>0</v>
      </c>
      <c r="Y500" s="136">
        <f t="shared" si="100"/>
        <v>0</v>
      </c>
      <c r="Z500" s="136">
        <f t="shared" si="100"/>
        <v>0</v>
      </c>
      <c r="AA500" s="136">
        <f t="shared" si="100"/>
        <v>166990</v>
      </c>
      <c r="AB500" s="136">
        <f t="shared" si="100"/>
        <v>0</v>
      </c>
      <c r="AC500" s="136">
        <f t="shared" si="100"/>
        <v>0</v>
      </c>
      <c r="AD500" s="136">
        <f t="shared" si="100"/>
        <v>0</v>
      </c>
      <c r="AE500" s="136">
        <f t="shared" si="100"/>
        <v>0</v>
      </c>
      <c r="AF500" s="136">
        <f t="shared" si="100"/>
        <v>112588</v>
      </c>
      <c r="AG500" s="136">
        <f t="shared" si="100"/>
        <v>0</v>
      </c>
      <c r="AH500" s="136">
        <f t="shared" si="100"/>
        <v>0</v>
      </c>
      <c r="AI500" s="136">
        <f t="shared" si="100"/>
        <v>0</v>
      </c>
      <c r="AJ500" s="136">
        <f t="shared" si="100"/>
        <v>0</v>
      </c>
      <c r="AK500" s="136">
        <f t="shared" si="100"/>
        <v>188997</v>
      </c>
      <c r="AL500" s="136">
        <f t="shared" si="100"/>
        <v>0</v>
      </c>
      <c r="AM500" s="136">
        <f t="shared" si="103"/>
        <v>0</v>
      </c>
      <c r="AN500" s="136">
        <f t="shared" si="103"/>
        <v>0</v>
      </c>
      <c r="AO500" s="136">
        <f t="shared" si="103"/>
        <v>0</v>
      </c>
      <c r="AP500" s="136">
        <f t="shared" si="103"/>
        <v>-206360</v>
      </c>
      <c r="AQ500" s="136">
        <f t="shared" si="103"/>
        <v>0</v>
      </c>
      <c r="AR500" s="136">
        <f t="shared" si="103"/>
        <v>0</v>
      </c>
      <c r="AS500" s="136">
        <f t="shared" si="103"/>
        <v>0</v>
      </c>
      <c r="AT500" s="136">
        <f t="shared" si="103"/>
        <v>0</v>
      </c>
      <c r="AU500" s="136">
        <f t="shared" si="103"/>
        <v>-339174</v>
      </c>
      <c r="AV500" s="136">
        <f t="shared" si="103"/>
        <v>0</v>
      </c>
      <c r="AW500" s="136">
        <f t="shared" si="103"/>
        <v>0</v>
      </c>
      <c r="AX500" s="136">
        <f t="shared" si="103"/>
        <v>0</v>
      </c>
      <c r="AY500" s="136">
        <f t="shared" si="103"/>
        <v>0</v>
      </c>
      <c r="AZ500" s="136">
        <f t="shared" si="103"/>
        <v>503960</v>
      </c>
      <c r="BA500" s="136">
        <f t="shared" si="103"/>
        <v>0</v>
      </c>
      <c r="BB500" s="136">
        <f t="shared" si="103"/>
        <v>0</v>
      </c>
      <c r="BC500" s="136">
        <f t="shared" si="102"/>
        <v>0</v>
      </c>
      <c r="BD500" s="136">
        <f t="shared" si="102"/>
        <v>0</v>
      </c>
      <c r="BE500" s="136">
        <f t="shared" si="102"/>
        <v>649078</v>
      </c>
      <c r="BF500" s="136">
        <f t="shared" si="102"/>
        <v>0</v>
      </c>
      <c r="BG500" s="136">
        <f t="shared" si="102"/>
        <v>0</v>
      </c>
      <c r="BH500" s="136">
        <f t="shared" si="102"/>
        <v>0</v>
      </c>
      <c r="BI500" s="136">
        <f t="shared" si="102"/>
        <v>0</v>
      </c>
      <c r="BJ500" s="136">
        <f t="shared" si="102"/>
        <v>-155185</v>
      </c>
      <c r="BK500" s="136">
        <f t="shared" si="102"/>
        <v>0</v>
      </c>
      <c r="BL500" s="136">
        <f t="shared" si="102"/>
        <v>0</v>
      </c>
      <c r="BM500" s="136">
        <f t="shared" si="102"/>
        <v>0</v>
      </c>
      <c r="BN500" s="136">
        <f t="shared" si="102"/>
        <v>0</v>
      </c>
      <c r="BO500" s="136">
        <f t="shared" si="102"/>
        <v>-125970</v>
      </c>
      <c r="BP500" s="136">
        <f t="shared" si="102"/>
        <v>0</v>
      </c>
      <c r="BQ500" s="136">
        <f t="shared" si="102"/>
        <v>0</v>
      </c>
      <c r="BR500" s="136">
        <f t="shared" si="102"/>
        <v>0</v>
      </c>
      <c r="BS500" s="136">
        <f t="shared" si="104"/>
        <v>0</v>
      </c>
      <c r="BT500" s="136">
        <f t="shared" si="104"/>
        <v>1279434</v>
      </c>
      <c r="BU500" s="136">
        <f t="shared" si="104"/>
        <v>0</v>
      </c>
      <c r="BV500" s="136">
        <f t="shared" si="104"/>
        <v>0</v>
      </c>
      <c r="BW500" s="136">
        <f t="shared" si="104"/>
        <v>0</v>
      </c>
      <c r="BX500" s="136">
        <f t="shared" si="104"/>
        <v>0</v>
      </c>
      <c r="BZ500" s="136">
        <f t="shared" si="101"/>
        <v>0</v>
      </c>
      <c r="CA500" s="136">
        <f t="shared" si="101"/>
        <v>0</v>
      </c>
    </row>
    <row r="501" spans="7:79" hidden="1" x14ac:dyDescent="0.3">
      <c r="G501" s="136">
        <f t="shared" si="98"/>
        <v>0</v>
      </c>
      <c r="H501" s="136">
        <f t="shared" si="98"/>
        <v>0</v>
      </c>
      <c r="I501" s="136">
        <f t="shared" si="98"/>
        <v>0</v>
      </c>
      <c r="J501" s="136">
        <f t="shared" si="98"/>
        <v>0</v>
      </c>
      <c r="K501" s="136">
        <f t="shared" si="98"/>
        <v>0</v>
      </c>
      <c r="L501" s="136">
        <f t="shared" si="98"/>
        <v>0</v>
      </c>
      <c r="M501" s="136">
        <f t="shared" si="98"/>
        <v>0</v>
      </c>
      <c r="N501" s="136">
        <f t="shared" si="98"/>
        <v>0</v>
      </c>
      <c r="O501" s="136">
        <f t="shared" si="98"/>
        <v>0</v>
      </c>
      <c r="P501" s="136">
        <f t="shared" si="98"/>
        <v>0</v>
      </c>
      <c r="Q501" s="136">
        <f t="shared" si="98"/>
        <v>0</v>
      </c>
      <c r="R501" s="136">
        <f t="shared" si="98"/>
        <v>0</v>
      </c>
      <c r="S501" s="136">
        <f t="shared" si="98"/>
        <v>0</v>
      </c>
      <c r="T501" s="136">
        <f t="shared" si="98"/>
        <v>0</v>
      </c>
      <c r="U501" s="136">
        <f t="shared" si="98"/>
        <v>0</v>
      </c>
      <c r="V501" s="136">
        <f t="shared" si="98"/>
        <v>0</v>
      </c>
      <c r="W501" s="136">
        <f t="shared" si="100"/>
        <v>0</v>
      </c>
      <c r="X501" s="136">
        <f t="shared" si="100"/>
        <v>0</v>
      </c>
      <c r="Y501" s="136">
        <f t="shared" si="100"/>
        <v>0</v>
      </c>
      <c r="Z501" s="136">
        <f t="shared" si="100"/>
        <v>0</v>
      </c>
      <c r="AA501" s="136">
        <f t="shared" si="100"/>
        <v>0</v>
      </c>
      <c r="AB501" s="136">
        <f t="shared" si="100"/>
        <v>0</v>
      </c>
      <c r="AC501" s="136">
        <f t="shared" si="100"/>
        <v>0</v>
      </c>
      <c r="AD501" s="136">
        <f t="shared" si="100"/>
        <v>0</v>
      </c>
      <c r="AE501" s="136">
        <f t="shared" si="100"/>
        <v>0</v>
      </c>
      <c r="AF501" s="136">
        <f t="shared" si="100"/>
        <v>0</v>
      </c>
      <c r="AG501" s="136">
        <f t="shared" si="100"/>
        <v>0</v>
      </c>
      <c r="AH501" s="136">
        <f t="shared" si="100"/>
        <v>0</v>
      </c>
      <c r="AI501" s="136">
        <f t="shared" si="100"/>
        <v>0</v>
      </c>
      <c r="AJ501" s="136">
        <f t="shared" si="100"/>
        <v>0</v>
      </c>
      <c r="AK501" s="136">
        <f t="shared" si="100"/>
        <v>0</v>
      </c>
      <c r="AL501" s="136">
        <f t="shared" si="100"/>
        <v>0</v>
      </c>
      <c r="AM501" s="136">
        <f t="shared" si="103"/>
        <v>0</v>
      </c>
      <c r="AN501" s="136">
        <f t="shared" si="103"/>
        <v>0</v>
      </c>
      <c r="AO501" s="136">
        <f t="shared" si="103"/>
        <v>0</v>
      </c>
      <c r="AP501" s="136">
        <f t="shared" si="103"/>
        <v>0</v>
      </c>
      <c r="AQ501" s="136">
        <f t="shared" si="103"/>
        <v>0</v>
      </c>
      <c r="AR501" s="136">
        <f t="shared" si="103"/>
        <v>0</v>
      </c>
      <c r="AS501" s="136">
        <f t="shared" si="103"/>
        <v>0</v>
      </c>
      <c r="AT501" s="136">
        <f t="shared" si="103"/>
        <v>0</v>
      </c>
      <c r="AU501" s="136">
        <f>AU112-DM112</f>
        <v>0</v>
      </c>
      <c r="AV501" s="136">
        <f t="shared" si="103"/>
        <v>0</v>
      </c>
      <c r="AW501" s="136">
        <f t="shared" si="103"/>
        <v>0</v>
      </c>
      <c r="AX501" s="136">
        <f t="shared" si="103"/>
        <v>0</v>
      </c>
      <c r="AY501" s="136">
        <f t="shared" si="103"/>
        <v>0</v>
      </c>
      <c r="AZ501" s="136">
        <f t="shared" si="103"/>
        <v>0</v>
      </c>
      <c r="BA501" s="136">
        <f t="shared" si="103"/>
        <v>0</v>
      </c>
      <c r="BB501" s="136">
        <f t="shared" si="103"/>
        <v>0</v>
      </c>
      <c r="BC501" s="136">
        <f t="shared" si="102"/>
        <v>0</v>
      </c>
      <c r="BD501" s="136">
        <f t="shared" si="102"/>
        <v>0</v>
      </c>
      <c r="BE501" s="136">
        <f t="shared" si="102"/>
        <v>0</v>
      </c>
      <c r="BF501" s="136">
        <f t="shared" si="102"/>
        <v>0</v>
      </c>
      <c r="BG501" s="136">
        <f t="shared" si="102"/>
        <v>0</v>
      </c>
      <c r="BH501" s="136">
        <f t="shared" si="102"/>
        <v>0</v>
      </c>
      <c r="BI501" s="136">
        <f t="shared" si="102"/>
        <v>0</v>
      </c>
      <c r="BJ501" s="136">
        <f t="shared" si="102"/>
        <v>0</v>
      </c>
      <c r="BK501" s="136">
        <f t="shared" si="102"/>
        <v>0</v>
      </c>
      <c r="BL501" s="136">
        <f t="shared" si="102"/>
        <v>0</v>
      </c>
      <c r="BM501" s="136">
        <f t="shared" si="102"/>
        <v>0</v>
      </c>
      <c r="BN501" s="136">
        <f t="shared" si="102"/>
        <v>0</v>
      </c>
      <c r="BO501" s="136">
        <f t="shared" si="102"/>
        <v>0</v>
      </c>
      <c r="BP501" s="136">
        <f t="shared" si="102"/>
        <v>0</v>
      </c>
      <c r="BQ501" s="136">
        <f t="shared" si="102"/>
        <v>0</v>
      </c>
      <c r="BR501" s="136">
        <f t="shared" si="102"/>
        <v>0</v>
      </c>
      <c r="BS501" s="136">
        <f t="shared" si="104"/>
        <v>0</v>
      </c>
      <c r="BT501" s="136">
        <f t="shared" si="104"/>
        <v>0</v>
      </c>
      <c r="BU501" s="136">
        <f t="shared" si="104"/>
        <v>0</v>
      </c>
      <c r="BV501" s="136">
        <f t="shared" si="104"/>
        <v>0</v>
      </c>
      <c r="BW501" s="136">
        <f t="shared" si="104"/>
        <v>0</v>
      </c>
      <c r="BX501" s="136">
        <f t="shared" si="104"/>
        <v>0</v>
      </c>
      <c r="BZ501" s="136">
        <f t="shared" si="101"/>
        <v>0</v>
      </c>
      <c r="CA501" s="136">
        <f t="shared" si="101"/>
        <v>0</v>
      </c>
    </row>
    <row r="502" spans="7:79" hidden="1" x14ac:dyDescent="0.3">
      <c r="G502" s="136">
        <f t="shared" si="98"/>
        <v>0</v>
      </c>
      <c r="H502" s="136">
        <f t="shared" si="98"/>
        <v>0</v>
      </c>
      <c r="I502" s="136">
        <f t="shared" si="98"/>
        <v>0</v>
      </c>
      <c r="J502" s="136">
        <f t="shared" si="98"/>
        <v>0</v>
      </c>
      <c r="K502" s="136">
        <f t="shared" si="98"/>
        <v>0</v>
      </c>
      <c r="L502" s="136">
        <f t="shared" si="98"/>
        <v>0</v>
      </c>
      <c r="M502" s="136">
        <f t="shared" si="98"/>
        <v>0</v>
      </c>
      <c r="N502" s="136">
        <f t="shared" si="98"/>
        <v>0</v>
      </c>
      <c r="O502" s="136">
        <f t="shared" si="98"/>
        <v>0</v>
      </c>
      <c r="P502" s="136">
        <f t="shared" si="98"/>
        <v>0</v>
      </c>
      <c r="Q502" s="136">
        <f t="shared" si="98"/>
        <v>0</v>
      </c>
      <c r="R502" s="136">
        <f t="shared" si="98"/>
        <v>0</v>
      </c>
      <c r="S502" s="136">
        <f t="shared" si="98"/>
        <v>0</v>
      </c>
      <c r="T502" s="136">
        <f t="shared" si="98"/>
        <v>0</v>
      </c>
      <c r="U502" s="136">
        <f t="shared" si="98"/>
        <v>0</v>
      </c>
      <c r="V502" s="136">
        <f t="shared" si="98"/>
        <v>0</v>
      </c>
      <c r="W502" s="136">
        <f t="shared" si="100"/>
        <v>0</v>
      </c>
      <c r="X502" s="136">
        <f t="shared" si="100"/>
        <v>0</v>
      </c>
      <c r="Y502" s="136">
        <f t="shared" si="100"/>
        <v>0</v>
      </c>
      <c r="Z502" s="136">
        <f t="shared" si="100"/>
        <v>0</v>
      </c>
      <c r="AA502" s="136">
        <f t="shared" si="100"/>
        <v>0</v>
      </c>
      <c r="AB502" s="136">
        <f t="shared" si="100"/>
        <v>0</v>
      </c>
      <c r="AC502" s="136">
        <f t="shared" si="100"/>
        <v>0</v>
      </c>
      <c r="AD502" s="136">
        <f t="shared" si="100"/>
        <v>0</v>
      </c>
      <c r="AE502" s="136">
        <f t="shared" si="100"/>
        <v>0</v>
      </c>
      <c r="AF502" s="136">
        <f t="shared" si="100"/>
        <v>0</v>
      </c>
      <c r="AG502" s="136">
        <f t="shared" si="100"/>
        <v>0</v>
      </c>
      <c r="AH502" s="136">
        <f t="shared" si="100"/>
        <v>0</v>
      </c>
      <c r="AI502" s="136">
        <f t="shared" si="100"/>
        <v>0</v>
      </c>
      <c r="AJ502" s="136">
        <f t="shared" si="100"/>
        <v>0</v>
      </c>
      <c r="AK502" s="136">
        <f t="shared" si="100"/>
        <v>0</v>
      </c>
      <c r="AL502" s="136">
        <f t="shared" si="100"/>
        <v>0</v>
      </c>
      <c r="AM502" s="136">
        <f t="shared" si="103"/>
        <v>0</v>
      </c>
      <c r="AN502" s="136">
        <f t="shared" si="103"/>
        <v>0</v>
      </c>
      <c r="AO502" s="136">
        <f t="shared" si="103"/>
        <v>0</v>
      </c>
      <c r="AP502" s="136">
        <f t="shared" si="103"/>
        <v>0</v>
      </c>
      <c r="AQ502" s="136">
        <f t="shared" si="103"/>
        <v>0</v>
      </c>
      <c r="AR502" s="136">
        <f t="shared" si="103"/>
        <v>0</v>
      </c>
      <c r="AS502" s="136">
        <f t="shared" si="103"/>
        <v>0</v>
      </c>
      <c r="AT502" s="136">
        <f t="shared" si="103"/>
        <v>0</v>
      </c>
      <c r="AU502" s="136">
        <f>AU113-DM113</f>
        <v>0</v>
      </c>
      <c r="AV502" s="136">
        <f t="shared" si="103"/>
        <v>0</v>
      </c>
      <c r="AW502" s="136">
        <f t="shared" si="103"/>
        <v>0</v>
      </c>
      <c r="AX502" s="136">
        <f t="shared" si="103"/>
        <v>0</v>
      </c>
      <c r="AY502" s="136">
        <f t="shared" si="103"/>
        <v>0</v>
      </c>
      <c r="AZ502" s="136">
        <f t="shared" si="103"/>
        <v>0</v>
      </c>
      <c r="BA502" s="136">
        <f t="shared" si="103"/>
        <v>0</v>
      </c>
      <c r="BB502" s="136">
        <f t="shared" si="103"/>
        <v>0</v>
      </c>
      <c r="BC502" s="136">
        <f t="shared" si="102"/>
        <v>0</v>
      </c>
      <c r="BD502" s="136">
        <f t="shared" si="102"/>
        <v>0</v>
      </c>
      <c r="BE502" s="136">
        <f t="shared" si="102"/>
        <v>0</v>
      </c>
      <c r="BF502" s="136">
        <f t="shared" si="102"/>
        <v>0</v>
      </c>
      <c r="BG502" s="136">
        <f t="shared" si="102"/>
        <v>0</v>
      </c>
      <c r="BH502" s="136">
        <f t="shared" si="102"/>
        <v>0</v>
      </c>
      <c r="BI502" s="136">
        <f t="shared" si="102"/>
        <v>0</v>
      </c>
      <c r="BJ502" s="136">
        <f t="shared" si="102"/>
        <v>0</v>
      </c>
      <c r="BK502" s="136">
        <f t="shared" si="102"/>
        <v>0</v>
      </c>
      <c r="BL502" s="136">
        <f t="shared" si="102"/>
        <v>0</v>
      </c>
      <c r="BM502" s="136">
        <f t="shared" si="102"/>
        <v>0</v>
      </c>
      <c r="BN502" s="136">
        <f t="shared" si="102"/>
        <v>0</v>
      </c>
      <c r="BO502" s="136">
        <f t="shared" si="102"/>
        <v>0</v>
      </c>
      <c r="BP502" s="136">
        <f t="shared" si="102"/>
        <v>0</v>
      </c>
      <c r="BQ502" s="136">
        <f t="shared" si="102"/>
        <v>0</v>
      </c>
      <c r="BR502" s="136">
        <f t="shared" si="102"/>
        <v>0</v>
      </c>
      <c r="BS502" s="136">
        <f t="shared" si="104"/>
        <v>0</v>
      </c>
      <c r="BT502" s="136">
        <f t="shared" si="104"/>
        <v>0</v>
      </c>
      <c r="BU502" s="136">
        <f t="shared" si="104"/>
        <v>0</v>
      </c>
      <c r="BV502" s="136">
        <f t="shared" si="104"/>
        <v>0</v>
      </c>
      <c r="BW502" s="136">
        <f t="shared" si="104"/>
        <v>0</v>
      </c>
      <c r="BX502" s="136">
        <f t="shared" si="104"/>
        <v>0</v>
      </c>
      <c r="BZ502" s="136">
        <f t="shared" si="101"/>
        <v>0</v>
      </c>
      <c r="CA502" s="136">
        <f t="shared" si="101"/>
        <v>0</v>
      </c>
    </row>
    <row r="503" spans="7:79" hidden="1" x14ac:dyDescent="0.3">
      <c r="G503" s="136">
        <f t="shared" ref="G503:V512" si="105">G114-BY114</f>
        <v>0</v>
      </c>
      <c r="H503" s="136">
        <f t="shared" si="105"/>
        <v>0</v>
      </c>
      <c r="I503" s="136">
        <f t="shared" si="105"/>
        <v>0</v>
      </c>
      <c r="J503" s="136">
        <f t="shared" si="105"/>
        <v>0</v>
      </c>
      <c r="K503" s="136">
        <f t="shared" si="105"/>
        <v>0</v>
      </c>
      <c r="L503" s="136">
        <f t="shared" si="105"/>
        <v>0</v>
      </c>
      <c r="M503" s="136">
        <f t="shared" si="105"/>
        <v>0</v>
      </c>
      <c r="N503" s="136">
        <f t="shared" si="105"/>
        <v>0</v>
      </c>
      <c r="O503" s="136">
        <f t="shared" si="105"/>
        <v>0</v>
      </c>
      <c r="P503" s="136">
        <f t="shared" si="105"/>
        <v>0</v>
      </c>
      <c r="Q503" s="136">
        <f t="shared" si="105"/>
        <v>0</v>
      </c>
      <c r="R503" s="136">
        <f t="shared" si="105"/>
        <v>0</v>
      </c>
      <c r="S503" s="136">
        <f t="shared" si="105"/>
        <v>0</v>
      </c>
      <c r="T503" s="136">
        <f t="shared" si="105"/>
        <v>0</v>
      </c>
      <c r="U503" s="136">
        <f t="shared" si="105"/>
        <v>0</v>
      </c>
      <c r="V503" s="136">
        <f t="shared" si="105"/>
        <v>0</v>
      </c>
      <c r="W503" s="136">
        <f t="shared" si="100"/>
        <v>0</v>
      </c>
      <c r="X503" s="136">
        <f t="shared" si="100"/>
        <v>0</v>
      </c>
      <c r="Y503" s="136">
        <f t="shared" si="100"/>
        <v>0</v>
      </c>
      <c r="Z503" s="136">
        <f t="shared" si="100"/>
        <v>0</v>
      </c>
      <c r="AA503" s="136">
        <f t="shared" si="100"/>
        <v>0</v>
      </c>
      <c r="AB503" s="136">
        <f t="shared" si="100"/>
        <v>0</v>
      </c>
      <c r="AC503" s="136">
        <f t="shared" si="100"/>
        <v>0</v>
      </c>
      <c r="AD503" s="136">
        <f t="shared" si="100"/>
        <v>0</v>
      </c>
      <c r="AE503" s="136">
        <f t="shared" si="100"/>
        <v>0</v>
      </c>
      <c r="AF503" s="136">
        <f t="shared" si="100"/>
        <v>0</v>
      </c>
      <c r="AG503" s="136">
        <f t="shared" si="100"/>
        <v>0</v>
      </c>
      <c r="AH503" s="136">
        <f t="shared" si="100"/>
        <v>0</v>
      </c>
      <c r="AI503" s="136">
        <f t="shared" si="100"/>
        <v>0</v>
      </c>
      <c r="AJ503" s="136">
        <f t="shared" si="100"/>
        <v>0</v>
      </c>
      <c r="AK503" s="136">
        <f t="shared" si="100"/>
        <v>0</v>
      </c>
      <c r="AL503" s="136">
        <f t="shared" si="100"/>
        <v>0</v>
      </c>
      <c r="AM503" s="136">
        <f t="shared" si="103"/>
        <v>0</v>
      </c>
      <c r="AN503" s="136">
        <f t="shared" si="103"/>
        <v>0</v>
      </c>
      <c r="AO503" s="136">
        <f t="shared" si="103"/>
        <v>0</v>
      </c>
      <c r="AP503" s="136">
        <f t="shared" si="103"/>
        <v>0</v>
      </c>
      <c r="AQ503" s="136">
        <f t="shared" si="103"/>
        <v>0</v>
      </c>
      <c r="AR503" s="136">
        <f t="shared" si="103"/>
        <v>0</v>
      </c>
      <c r="AS503" s="136">
        <f t="shared" si="103"/>
        <v>0</v>
      </c>
      <c r="AT503" s="136">
        <f t="shared" si="103"/>
        <v>0</v>
      </c>
      <c r="AU503" s="136">
        <f t="shared" si="103"/>
        <v>0</v>
      </c>
      <c r="AV503" s="136">
        <f t="shared" si="103"/>
        <v>0</v>
      </c>
      <c r="AW503" s="136">
        <f t="shared" si="103"/>
        <v>0</v>
      </c>
      <c r="AX503" s="136">
        <f t="shared" si="103"/>
        <v>0</v>
      </c>
      <c r="AY503" s="136">
        <f t="shared" si="103"/>
        <v>0</v>
      </c>
      <c r="AZ503" s="136">
        <f t="shared" si="103"/>
        <v>0</v>
      </c>
      <c r="BA503" s="136">
        <f t="shared" si="103"/>
        <v>0</v>
      </c>
      <c r="BB503" s="136">
        <f t="shared" si="103"/>
        <v>0</v>
      </c>
      <c r="BC503" s="136">
        <f t="shared" si="102"/>
        <v>0</v>
      </c>
      <c r="BD503" s="136">
        <f t="shared" si="102"/>
        <v>0</v>
      </c>
      <c r="BE503" s="136">
        <f t="shared" si="102"/>
        <v>0</v>
      </c>
      <c r="BF503" s="136">
        <f t="shared" si="102"/>
        <v>0</v>
      </c>
      <c r="BG503" s="136">
        <f t="shared" si="102"/>
        <v>0</v>
      </c>
      <c r="BH503" s="136">
        <f t="shared" si="102"/>
        <v>0</v>
      </c>
      <c r="BI503" s="136">
        <f t="shared" si="102"/>
        <v>0</v>
      </c>
      <c r="BJ503" s="136">
        <f t="shared" si="102"/>
        <v>0</v>
      </c>
      <c r="BK503" s="136">
        <f t="shared" si="102"/>
        <v>0</v>
      </c>
      <c r="BL503" s="136">
        <f t="shared" si="102"/>
        <v>0</v>
      </c>
      <c r="BM503" s="136">
        <f t="shared" si="102"/>
        <v>0</v>
      </c>
      <c r="BN503" s="136">
        <f t="shared" si="102"/>
        <v>0</v>
      </c>
      <c r="BO503" s="136">
        <f t="shared" si="102"/>
        <v>0</v>
      </c>
      <c r="BP503" s="136">
        <f t="shared" si="102"/>
        <v>0</v>
      </c>
      <c r="BQ503" s="136">
        <f t="shared" si="102"/>
        <v>0</v>
      </c>
      <c r="BR503" s="136">
        <f t="shared" si="102"/>
        <v>0</v>
      </c>
      <c r="BS503" s="136">
        <f t="shared" si="104"/>
        <v>0</v>
      </c>
      <c r="BT503" s="136">
        <f t="shared" si="104"/>
        <v>0</v>
      </c>
      <c r="BU503" s="136">
        <f t="shared" si="104"/>
        <v>0</v>
      </c>
      <c r="BV503" s="136">
        <f t="shared" si="104"/>
        <v>0</v>
      </c>
      <c r="BW503" s="136">
        <f t="shared" si="104"/>
        <v>0</v>
      </c>
      <c r="BX503" s="136">
        <f t="shared" si="104"/>
        <v>0</v>
      </c>
      <c r="BZ503" s="136">
        <f t="shared" si="101"/>
        <v>0</v>
      </c>
      <c r="CA503" s="136">
        <f t="shared" si="101"/>
        <v>0</v>
      </c>
    </row>
    <row r="504" spans="7:79" hidden="1" x14ac:dyDescent="0.3">
      <c r="G504" s="136">
        <f t="shared" si="105"/>
        <v>0</v>
      </c>
      <c r="H504" s="136">
        <f t="shared" si="105"/>
        <v>0</v>
      </c>
      <c r="I504" s="136">
        <f t="shared" si="105"/>
        <v>0</v>
      </c>
      <c r="J504" s="136">
        <f t="shared" si="105"/>
        <v>0</v>
      </c>
      <c r="K504" s="136">
        <f t="shared" si="105"/>
        <v>0</v>
      </c>
      <c r="L504" s="136">
        <f t="shared" si="105"/>
        <v>0</v>
      </c>
      <c r="M504" s="136">
        <f t="shared" si="105"/>
        <v>0</v>
      </c>
      <c r="N504" s="136">
        <f t="shared" si="105"/>
        <v>0</v>
      </c>
      <c r="O504" s="136">
        <f t="shared" si="105"/>
        <v>0</v>
      </c>
      <c r="P504" s="136">
        <f t="shared" si="105"/>
        <v>0</v>
      </c>
      <c r="Q504" s="136">
        <f t="shared" si="105"/>
        <v>0</v>
      </c>
      <c r="R504" s="136">
        <f t="shared" si="105"/>
        <v>0</v>
      </c>
      <c r="S504" s="136">
        <f t="shared" si="105"/>
        <v>0</v>
      </c>
      <c r="T504" s="136">
        <f t="shared" si="105"/>
        <v>0</v>
      </c>
      <c r="U504" s="136">
        <f t="shared" si="105"/>
        <v>0</v>
      </c>
      <c r="V504" s="136">
        <f t="shared" si="105"/>
        <v>0</v>
      </c>
      <c r="W504" s="136">
        <f t="shared" si="100"/>
        <v>0</v>
      </c>
      <c r="X504" s="136">
        <f t="shared" si="100"/>
        <v>0</v>
      </c>
      <c r="Y504" s="136">
        <f t="shared" si="100"/>
        <v>0</v>
      </c>
      <c r="Z504" s="136">
        <f t="shared" si="100"/>
        <v>0</v>
      </c>
      <c r="AA504" s="136">
        <f t="shared" si="100"/>
        <v>0</v>
      </c>
      <c r="AB504" s="136">
        <f t="shared" si="100"/>
        <v>0</v>
      </c>
      <c r="AC504" s="136">
        <f t="shared" si="100"/>
        <v>0</v>
      </c>
      <c r="AD504" s="136">
        <f t="shared" si="100"/>
        <v>0</v>
      </c>
      <c r="AE504" s="136">
        <f t="shared" si="100"/>
        <v>0</v>
      </c>
      <c r="AF504" s="136">
        <f t="shared" si="100"/>
        <v>0</v>
      </c>
      <c r="AG504" s="136">
        <f t="shared" si="100"/>
        <v>0</v>
      </c>
      <c r="AH504" s="136">
        <f t="shared" si="100"/>
        <v>0</v>
      </c>
      <c r="AI504" s="136">
        <f t="shared" si="100"/>
        <v>0</v>
      </c>
      <c r="AJ504" s="136">
        <f t="shared" si="100"/>
        <v>0</v>
      </c>
      <c r="AK504" s="136">
        <f t="shared" si="100"/>
        <v>0</v>
      </c>
      <c r="AL504" s="136">
        <f t="shared" si="100"/>
        <v>0</v>
      </c>
      <c r="AM504" s="136">
        <f t="shared" si="103"/>
        <v>0</v>
      </c>
      <c r="AN504" s="136">
        <f t="shared" si="103"/>
        <v>0</v>
      </c>
      <c r="AO504" s="136">
        <f t="shared" si="103"/>
        <v>0</v>
      </c>
      <c r="AP504" s="136">
        <f t="shared" si="103"/>
        <v>0</v>
      </c>
      <c r="AQ504" s="136">
        <f t="shared" si="103"/>
        <v>0</v>
      </c>
      <c r="AR504" s="136">
        <f t="shared" si="103"/>
        <v>0</v>
      </c>
      <c r="AS504" s="136">
        <f t="shared" si="103"/>
        <v>0</v>
      </c>
      <c r="AT504" s="136">
        <f t="shared" si="103"/>
        <v>0</v>
      </c>
      <c r="AU504" s="136">
        <f t="shared" si="103"/>
        <v>0</v>
      </c>
      <c r="AV504" s="136">
        <f t="shared" si="103"/>
        <v>0</v>
      </c>
      <c r="AW504" s="136">
        <f t="shared" si="103"/>
        <v>0</v>
      </c>
      <c r="AX504" s="136">
        <f t="shared" si="103"/>
        <v>0</v>
      </c>
      <c r="AY504" s="136">
        <f t="shared" si="103"/>
        <v>0</v>
      </c>
      <c r="AZ504" s="136">
        <f t="shared" si="103"/>
        <v>0</v>
      </c>
      <c r="BA504" s="136">
        <f t="shared" si="103"/>
        <v>0</v>
      </c>
      <c r="BB504" s="136">
        <f t="shared" si="103"/>
        <v>0</v>
      </c>
      <c r="BC504" s="136">
        <f t="shared" si="102"/>
        <v>0</v>
      </c>
      <c r="BD504" s="136">
        <f t="shared" si="102"/>
        <v>0</v>
      </c>
      <c r="BE504" s="136">
        <f t="shared" si="102"/>
        <v>0</v>
      </c>
      <c r="BF504" s="136">
        <f t="shared" si="102"/>
        <v>0</v>
      </c>
      <c r="BG504" s="136">
        <f t="shared" si="102"/>
        <v>0</v>
      </c>
      <c r="BH504" s="136">
        <f t="shared" si="102"/>
        <v>0</v>
      </c>
      <c r="BI504" s="136">
        <f t="shared" si="102"/>
        <v>0</v>
      </c>
      <c r="BJ504" s="136">
        <f t="shared" si="102"/>
        <v>0</v>
      </c>
      <c r="BK504" s="136">
        <f t="shared" si="102"/>
        <v>0</v>
      </c>
      <c r="BL504" s="136">
        <f t="shared" si="102"/>
        <v>0</v>
      </c>
      <c r="BM504" s="136">
        <f t="shared" si="102"/>
        <v>0</v>
      </c>
      <c r="BN504" s="136">
        <f t="shared" si="102"/>
        <v>0</v>
      </c>
      <c r="BO504" s="136">
        <f t="shared" si="102"/>
        <v>0</v>
      </c>
      <c r="BP504" s="136">
        <f t="shared" si="102"/>
        <v>0</v>
      </c>
      <c r="BQ504" s="136">
        <f t="shared" si="102"/>
        <v>0</v>
      </c>
      <c r="BR504" s="136">
        <f t="shared" si="102"/>
        <v>0</v>
      </c>
      <c r="BS504" s="136">
        <f t="shared" si="104"/>
        <v>0</v>
      </c>
      <c r="BT504" s="136">
        <f t="shared" si="104"/>
        <v>0</v>
      </c>
      <c r="BU504" s="136">
        <f t="shared" si="104"/>
        <v>0</v>
      </c>
      <c r="BV504" s="136">
        <f t="shared" si="104"/>
        <v>0</v>
      </c>
      <c r="BW504" s="136">
        <f t="shared" si="104"/>
        <v>0</v>
      </c>
      <c r="BX504" s="136">
        <f t="shared" si="104"/>
        <v>0</v>
      </c>
      <c r="BZ504" s="136">
        <f t="shared" si="101"/>
        <v>0</v>
      </c>
      <c r="CA504" s="136">
        <f t="shared" si="101"/>
        <v>0</v>
      </c>
    </row>
    <row r="505" spans="7:79" hidden="1" x14ac:dyDescent="0.3">
      <c r="G505" s="136">
        <f t="shared" si="105"/>
        <v>0</v>
      </c>
      <c r="H505" s="136">
        <f t="shared" si="105"/>
        <v>0</v>
      </c>
      <c r="I505" s="136">
        <f t="shared" si="105"/>
        <v>0</v>
      </c>
      <c r="J505" s="136">
        <f t="shared" si="105"/>
        <v>0</v>
      </c>
      <c r="K505" s="136">
        <f t="shared" si="105"/>
        <v>0</v>
      </c>
      <c r="L505" s="136">
        <f t="shared" si="105"/>
        <v>0</v>
      </c>
      <c r="M505" s="136">
        <f t="shared" si="105"/>
        <v>0</v>
      </c>
      <c r="N505" s="136">
        <f t="shared" si="105"/>
        <v>0</v>
      </c>
      <c r="O505" s="136">
        <f t="shared" si="105"/>
        <v>0</v>
      </c>
      <c r="P505" s="136">
        <f t="shared" si="105"/>
        <v>0</v>
      </c>
      <c r="Q505" s="136">
        <f t="shared" si="105"/>
        <v>0</v>
      </c>
      <c r="R505" s="136">
        <f t="shared" si="105"/>
        <v>0</v>
      </c>
      <c r="S505" s="136">
        <f t="shared" si="105"/>
        <v>0</v>
      </c>
      <c r="T505" s="136">
        <f t="shared" si="105"/>
        <v>0</v>
      </c>
      <c r="U505" s="136">
        <f t="shared" si="105"/>
        <v>0</v>
      </c>
      <c r="V505" s="136">
        <f t="shared" si="105"/>
        <v>0</v>
      </c>
      <c r="W505" s="136">
        <f t="shared" si="100"/>
        <v>0</v>
      </c>
      <c r="X505" s="136">
        <f t="shared" si="100"/>
        <v>0</v>
      </c>
      <c r="Y505" s="136">
        <f t="shared" si="100"/>
        <v>0</v>
      </c>
      <c r="Z505" s="136">
        <f t="shared" si="100"/>
        <v>0</v>
      </c>
      <c r="AA505" s="136">
        <f t="shared" si="100"/>
        <v>0</v>
      </c>
      <c r="AB505" s="136">
        <f t="shared" si="100"/>
        <v>0</v>
      </c>
      <c r="AC505" s="136">
        <f t="shared" si="100"/>
        <v>0</v>
      </c>
      <c r="AD505" s="136">
        <f t="shared" si="100"/>
        <v>0</v>
      </c>
      <c r="AE505" s="136">
        <f t="shared" si="100"/>
        <v>0</v>
      </c>
      <c r="AF505" s="136">
        <f t="shared" si="100"/>
        <v>0</v>
      </c>
      <c r="AG505" s="136">
        <f t="shared" si="100"/>
        <v>0</v>
      </c>
      <c r="AH505" s="136">
        <f t="shared" si="100"/>
        <v>0</v>
      </c>
      <c r="AI505" s="136">
        <f t="shared" si="100"/>
        <v>0</v>
      </c>
      <c r="AJ505" s="136">
        <f t="shared" si="100"/>
        <v>0</v>
      </c>
      <c r="AK505" s="136">
        <f t="shared" si="100"/>
        <v>0</v>
      </c>
      <c r="AL505" s="136">
        <f t="shared" si="100"/>
        <v>0</v>
      </c>
      <c r="AM505" s="136">
        <f t="shared" si="103"/>
        <v>0</v>
      </c>
      <c r="AN505" s="136">
        <f t="shared" si="103"/>
        <v>0</v>
      </c>
      <c r="AO505" s="136">
        <f t="shared" si="103"/>
        <v>0</v>
      </c>
      <c r="AP505" s="136">
        <f t="shared" si="103"/>
        <v>0</v>
      </c>
      <c r="AQ505" s="136">
        <f t="shared" si="103"/>
        <v>0</v>
      </c>
      <c r="AR505" s="136">
        <f t="shared" si="103"/>
        <v>0</v>
      </c>
      <c r="AS505" s="136">
        <f t="shared" si="103"/>
        <v>0</v>
      </c>
      <c r="AT505" s="136">
        <f t="shared" si="103"/>
        <v>0</v>
      </c>
      <c r="AU505" s="136">
        <f t="shared" si="103"/>
        <v>0</v>
      </c>
      <c r="AV505" s="136">
        <f t="shared" si="103"/>
        <v>0</v>
      </c>
      <c r="AW505" s="136">
        <f t="shared" si="103"/>
        <v>0</v>
      </c>
      <c r="AX505" s="136">
        <f t="shared" si="103"/>
        <v>0</v>
      </c>
      <c r="AY505" s="136">
        <f t="shared" si="103"/>
        <v>0</v>
      </c>
      <c r="AZ505" s="136">
        <f t="shared" si="103"/>
        <v>0</v>
      </c>
      <c r="BA505" s="136">
        <f t="shared" si="103"/>
        <v>0</v>
      </c>
      <c r="BB505" s="136">
        <f t="shared" si="103"/>
        <v>0</v>
      </c>
      <c r="BC505" s="136">
        <f t="shared" si="102"/>
        <v>0</v>
      </c>
      <c r="BD505" s="136">
        <f t="shared" si="102"/>
        <v>0</v>
      </c>
      <c r="BE505" s="136">
        <f t="shared" si="102"/>
        <v>0</v>
      </c>
      <c r="BF505" s="136">
        <f t="shared" si="102"/>
        <v>0</v>
      </c>
      <c r="BG505" s="136">
        <f t="shared" si="102"/>
        <v>0</v>
      </c>
      <c r="BH505" s="136">
        <f t="shared" si="102"/>
        <v>0</v>
      </c>
      <c r="BI505" s="136">
        <f t="shared" si="102"/>
        <v>0</v>
      </c>
      <c r="BJ505" s="136">
        <f t="shared" si="102"/>
        <v>0</v>
      </c>
      <c r="BK505" s="136">
        <f t="shared" si="102"/>
        <v>0</v>
      </c>
      <c r="BL505" s="136">
        <f t="shared" si="102"/>
        <v>0</v>
      </c>
      <c r="BM505" s="136">
        <f t="shared" si="102"/>
        <v>0</v>
      </c>
      <c r="BN505" s="136">
        <f t="shared" si="102"/>
        <v>0</v>
      </c>
      <c r="BO505" s="136">
        <f t="shared" si="102"/>
        <v>0</v>
      </c>
      <c r="BP505" s="136">
        <f t="shared" si="102"/>
        <v>0</v>
      </c>
      <c r="BQ505" s="136">
        <f t="shared" si="102"/>
        <v>0</v>
      </c>
      <c r="BR505" s="136">
        <f t="shared" si="102"/>
        <v>0</v>
      </c>
      <c r="BS505" s="136">
        <f t="shared" si="104"/>
        <v>0</v>
      </c>
      <c r="BT505" s="136">
        <f t="shared" si="104"/>
        <v>0</v>
      </c>
      <c r="BU505" s="136">
        <f t="shared" si="104"/>
        <v>0</v>
      </c>
      <c r="BV505" s="136">
        <f t="shared" si="104"/>
        <v>0</v>
      </c>
      <c r="BW505" s="136">
        <f t="shared" si="104"/>
        <v>0</v>
      </c>
      <c r="BX505" s="136">
        <f t="shared" si="104"/>
        <v>0</v>
      </c>
      <c r="BZ505" s="136">
        <f t="shared" si="101"/>
        <v>0</v>
      </c>
      <c r="CA505" s="136">
        <f t="shared" si="101"/>
        <v>0</v>
      </c>
    </row>
    <row r="506" spans="7:79" hidden="1" x14ac:dyDescent="0.3">
      <c r="G506" s="136">
        <f t="shared" si="105"/>
        <v>0</v>
      </c>
      <c r="H506" s="136">
        <f t="shared" si="105"/>
        <v>0</v>
      </c>
      <c r="I506" s="136">
        <f t="shared" si="105"/>
        <v>0</v>
      </c>
      <c r="J506" s="136">
        <f t="shared" si="105"/>
        <v>0</v>
      </c>
      <c r="K506" s="136">
        <f t="shared" si="105"/>
        <v>0</v>
      </c>
      <c r="L506" s="136">
        <f t="shared" si="105"/>
        <v>0</v>
      </c>
      <c r="M506" s="136">
        <f t="shared" si="105"/>
        <v>0</v>
      </c>
      <c r="N506" s="136">
        <f t="shared" si="105"/>
        <v>0</v>
      </c>
      <c r="O506" s="136">
        <f t="shared" si="105"/>
        <v>0</v>
      </c>
      <c r="P506" s="136">
        <f t="shared" si="105"/>
        <v>0</v>
      </c>
      <c r="Q506" s="136">
        <f t="shared" si="105"/>
        <v>0</v>
      </c>
      <c r="R506" s="136">
        <f t="shared" si="105"/>
        <v>0</v>
      </c>
      <c r="S506" s="136">
        <f t="shared" si="105"/>
        <v>0</v>
      </c>
      <c r="T506" s="136">
        <f t="shared" si="105"/>
        <v>0</v>
      </c>
      <c r="U506" s="136">
        <f t="shared" si="105"/>
        <v>0</v>
      </c>
      <c r="V506" s="136">
        <f t="shared" si="105"/>
        <v>0</v>
      </c>
      <c r="W506" s="136">
        <f t="shared" si="100"/>
        <v>0</v>
      </c>
      <c r="X506" s="136">
        <f t="shared" si="100"/>
        <v>0</v>
      </c>
      <c r="Y506" s="136">
        <f t="shared" si="100"/>
        <v>0</v>
      </c>
      <c r="Z506" s="136">
        <f t="shared" si="100"/>
        <v>0</v>
      </c>
      <c r="AA506" s="136">
        <f t="shared" si="100"/>
        <v>0</v>
      </c>
      <c r="AB506" s="136">
        <f t="shared" si="100"/>
        <v>0</v>
      </c>
      <c r="AC506" s="136">
        <f t="shared" si="100"/>
        <v>0</v>
      </c>
      <c r="AD506" s="136">
        <f t="shared" si="100"/>
        <v>0</v>
      </c>
      <c r="AE506" s="136">
        <f t="shared" si="100"/>
        <v>0</v>
      </c>
      <c r="AF506" s="136">
        <f t="shared" si="100"/>
        <v>0</v>
      </c>
      <c r="AG506" s="136">
        <f t="shared" si="100"/>
        <v>0</v>
      </c>
      <c r="AH506" s="136">
        <f t="shared" si="100"/>
        <v>0</v>
      </c>
      <c r="AI506" s="136">
        <f t="shared" si="100"/>
        <v>0</v>
      </c>
      <c r="AJ506" s="136">
        <f t="shared" si="100"/>
        <v>0</v>
      </c>
      <c r="AK506" s="136">
        <f t="shared" si="100"/>
        <v>0</v>
      </c>
      <c r="AL506" s="136">
        <f t="shared" si="100"/>
        <v>0</v>
      </c>
      <c r="AM506" s="136">
        <f t="shared" si="103"/>
        <v>0</v>
      </c>
      <c r="AN506" s="136">
        <f t="shared" si="103"/>
        <v>0</v>
      </c>
      <c r="AO506" s="136">
        <f t="shared" si="103"/>
        <v>0</v>
      </c>
      <c r="AP506" s="136">
        <f t="shared" si="103"/>
        <v>0</v>
      </c>
      <c r="AQ506" s="136">
        <f t="shared" si="103"/>
        <v>0</v>
      </c>
      <c r="AR506" s="136">
        <f t="shared" si="103"/>
        <v>0</v>
      </c>
      <c r="AS506" s="136">
        <f t="shared" si="103"/>
        <v>0</v>
      </c>
      <c r="AT506" s="136">
        <f t="shared" si="103"/>
        <v>0</v>
      </c>
      <c r="AU506" s="136">
        <f t="shared" si="103"/>
        <v>0</v>
      </c>
      <c r="AV506" s="136">
        <f t="shared" si="103"/>
        <v>0</v>
      </c>
      <c r="AW506" s="136">
        <f t="shared" si="103"/>
        <v>0</v>
      </c>
      <c r="AX506" s="136">
        <f t="shared" si="103"/>
        <v>0</v>
      </c>
      <c r="AY506" s="136">
        <f t="shared" si="103"/>
        <v>0</v>
      </c>
      <c r="AZ506" s="136">
        <f t="shared" si="103"/>
        <v>0</v>
      </c>
      <c r="BA506" s="136">
        <f t="shared" si="103"/>
        <v>0</v>
      </c>
      <c r="BB506" s="136">
        <f t="shared" si="103"/>
        <v>0</v>
      </c>
      <c r="BC506" s="136">
        <f t="shared" si="102"/>
        <v>0</v>
      </c>
      <c r="BD506" s="136">
        <f t="shared" si="102"/>
        <v>0</v>
      </c>
      <c r="BE506" s="136">
        <f t="shared" si="102"/>
        <v>0</v>
      </c>
      <c r="BF506" s="136">
        <f t="shared" si="102"/>
        <v>0</v>
      </c>
      <c r="BG506" s="136">
        <f t="shared" si="102"/>
        <v>0</v>
      </c>
      <c r="BH506" s="136">
        <f t="shared" si="102"/>
        <v>0</v>
      </c>
      <c r="BI506" s="136">
        <f t="shared" si="102"/>
        <v>0</v>
      </c>
      <c r="BJ506" s="136">
        <f t="shared" si="102"/>
        <v>0</v>
      </c>
      <c r="BK506" s="136">
        <f t="shared" si="102"/>
        <v>0</v>
      </c>
      <c r="BL506" s="136">
        <f t="shared" si="102"/>
        <v>0</v>
      </c>
      <c r="BM506" s="136">
        <f t="shared" si="102"/>
        <v>0</v>
      </c>
      <c r="BN506" s="136">
        <f t="shared" si="102"/>
        <v>0</v>
      </c>
      <c r="BO506" s="136">
        <f t="shared" si="102"/>
        <v>0</v>
      </c>
      <c r="BP506" s="136">
        <f t="shared" si="102"/>
        <v>0</v>
      </c>
      <c r="BQ506" s="136">
        <f t="shared" si="102"/>
        <v>0</v>
      </c>
      <c r="BR506" s="136">
        <f t="shared" si="102"/>
        <v>0</v>
      </c>
      <c r="BS506" s="136">
        <f t="shared" si="104"/>
        <v>0</v>
      </c>
      <c r="BT506" s="136">
        <f t="shared" si="104"/>
        <v>0</v>
      </c>
      <c r="BU506" s="136">
        <f t="shared" si="104"/>
        <v>0</v>
      </c>
      <c r="BV506" s="136">
        <f t="shared" si="104"/>
        <v>0</v>
      </c>
      <c r="BW506" s="136">
        <f t="shared" si="104"/>
        <v>0</v>
      </c>
      <c r="BX506" s="136">
        <f t="shared" si="104"/>
        <v>0</v>
      </c>
      <c r="BZ506" s="136">
        <f t="shared" si="101"/>
        <v>0</v>
      </c>
      <c r="CA506" s="136">
        <f t="shared" si="101"/>
        <v>0</v>
      </c>
    </row>
    <row r="507" spans="7:79" hidden="1" x14ac:dyDescent="0.3">
      <c r="G507" s="136">
        <f t="shared" si="105"/>
        <v>0</v>
      </c>
      <c r="H507" s="136">
        <f t="shared" si="105"/>
        <v>0</v>
      </c>
      <c r="I507" s="136">
        <f t="shared" si="105"/>
        <v>0</v>
      </c>
      <c r="J507" s="136">
        <f t="shared" si="105"/>
        <v>0</v>
      </c>
      <c r="K507" s="136">
        <f t="shared" si="105"/>
        <v>0</v>
      </c>
      <c r="L507" s="136">
        <f t="shared" si="105"/>
        <v>0</v>
      </c>
      <c r="M507" s="136">
        <f t="shared" si="105"/>
        <v>0</v>
      </c>
      <c r="N507" s="136">
        <f t="shared" si="105"/>
        <v>0</v>
      </c>
      <c r="O507" s="136">
        <f t="shared" si="105"/>
        <v>0</v>
      </c>
      <c r="P507" s="136">
        <f t="shared" si="105"/>
        <v>0</v>
      </c>
      <c r="Q507" s="136">
        <f t="shared" si="105"/>
        <v>0</v>
      </c>
      <c r="R507" s="136">
        <f t="shared" si="105"/>
        <v>0</v>
      </c>
      <c r="S507" s="136">
        <f t="shared" si="105"/>
        <v>0</v>
      </c>
      <c r="T507" s="136">
        <f t="shared" si="105"/>
        <v>0</v>
      </c>
      <c r="U507" s="136">
        <f t="shared" si="105"/>
        <v>0</v>
      </c>
      <c r="V507" s="136">
        <f t="shared" si="105"/>
        <v>0</v>
      </c>
      <c r="W507" s="136">
        <f t="shared" ref="W507:AL512" si="106">W118-CO118</f>
        <v>0</v>
      </c>
      <c r="X507" s="136">
        <f t="shared" si="106"/>
        <v>0</v>
      </c>
      <c r="Y507" s="136">
        <f t="shared" si="106"/>
        <v>0</v>
      </c>
      <c r="Z507" s="136">
        <f t="shared" si="106"/>
        <v>0</v>
      </c>
      <c r="AA507" s="136">
        <f t="shared" si="106"/>
        <v>0</v>
      </c>
      <c r="AB507" s="136">
        <f t="shared" si="106"/>
        <v>0</v>
      </c>
      <c r="AC507" s="136">
        <f t="shared" si="106"/>
        <v>0</v>
      </c>
      <c r="AD507" s="136">
        <f t="shared" si="106"/>
        <v>0</v>
      </c>
      <c r="AE507" s="136">
        <f t="shared" si="106"/>
        <v>0</v>
      </c>
      <c r="AF507" s="136">
        <f t="shared" si="106"/>
        <v>0</v>
      </c>
      <c r="AG507" s="136">
        <f t="shared" si="106"/>
        <v>0</v>
      </c>
      <c r="AH507" s="136">
        <f t="shared" si="106"/>
        <v>0</v>
      </c>
      <c r="AI507" s="136">
        <f t="shared" si="106"/>
        <v>0</v>
      </c>
      <c r="AJ507" s="136">
        <f t="shared" si="106"/>
        <v>0</v>
      </c>
      <c r="AK507" s="136">
        <f t="shared" si="106"/>
        <v>0</v>
      </c>
      <c r="AL507" s="136">
        <f t="shared" si="106"/>
        <v>0</v>
      </c>
      <c r="AM507" s="136">
        <f t="shared" si="103"/>
        <v>0</v>
      </c>
      <c r="AN507" s="136">
        <f t="shared" si="103"/>
        <v>0</v>
      </c>
      <c r="AO507" s="136">
        <f t="shared" si="103"/>
        <v>0</v>
      </c>
      <c r="AP507" s="136">
        <f t="shared" si="103"/>
        <v>0</v>
      </c>
      <c r="AQ507" s="136">
        <f t="shared" si="103"/>
        <v>0</v>
      </c>
      <c r="AR507" s="136">
        <f t="shared" si="103"/>
        <v>0</v>
      </c>
      <c r="AS507" s="136">
        <f t="shared" si="103"/>
        <v>0</v>
      </c>
      <c r="AT507" s="136">
        <f t="shared" si="103"/>
        <v>0</v>
      </c>
      <c r="AU507" s="136">
        <f t="shared" si="103"/>
        <v>0</v>
      </c>
      <c r="AV507" s="136">
        <f t="shared" si="103"/>
        <v>0</v>
      </c>
      <c r="AW507" s="136">
        <f t="shared" si="103"/>
        <v>0</v>
      </c>
      <c r="AX507" s="136">
        <f t="shared" si="103"/>
        <v>0</v>
      </c>
      <c r="AY507" s="136">
        <f t="shared" si="103"/>
        <v>0</v>
      </c>
      <c r="AZ507" s="136">
        <f t="shared" si="103"/>
        <v>0</v>
      </c>
      <c r="BA507" s="136">
        <f t="shared" si="103"/>
        <v>0</v>
      </c>
      <c r="BB507" s="136">
        <f t="shared" si="103"/>
        <v>0</v>
      </c>
      <c r="BC507" s="136">
        <f t="shared" si="102"/>
        <v>0</v>
      </c>
      <c r="BD507" s="136">
        <f t="shared" si="102"/>
        <v>0</v>
      </c>
      <c r="BE507" s="136">
        <f t="shared" si="102"/>
        <v>0</v>
      </c>
      <c r="BF507" s="136">
        <f t="shared" si="102"/>
        <v>0</v>
      </c>
      <c r="BG507" s="136">
        <f t="shared" si="102"/>
        <v>0</v>
      </c>
      <c r="BH507" s="136">
        <f t="shared" si="102"/>
        <v>0</v>
      </c>
      <c r="BI507" s="136">
        <f t="shared" si="102"/>
        <v>0</v>
      </c>
      <c r="BJ507" s="136">
        <f t="shared" si="102"/>
        <v>0</v>
      </c>
      <c r="BK507" s="136">
        <f t="shared" si="102"/>
        <v>0</v>
      </c>
      <c r="BL507" s="136">
        <f t="shared" si="102"/>
        <v>0</v>
      </c>
      <c r="BM507" s="136">
        <f t="shared" si="102"/>
        <v>0</v>
      </c>
      <c r="BN507" s="136">
        <f t="shared" si="102"/>
        <v>0</v>
      </c>
      <c r="BO507" s="136">
        <f t="shared" si="102"/>
        <v>0</v>
      </c>
      <c r="BP507" s="136">
        <f t="shared" si="102"/>
        <v>0</v>
      </c>
      <c r="BQ507" s="136">
        <f t="shared" si="102"/>
        <v>0</v>
      </c>
      <c r="BR507" s="136">
        <f t="shared" si="102"/>
        <v>0</v>
      </c>
      <c r="BS507" s="136">
        <f t="shared" si="104"/>
        <v>0</v>
      </c>
      <c r="BT507" s="136">
        <f t="shared" si="104"/>
        <v>0</v>
      </c>
      <c r="BU507" s="136">
        <f t="shared" si="104"/>
        <v>0</v>
      </c>
      <c r="BV507" s="136">
        <f t="shared" si="104"/>
        <v>0</v>
      </c>
      <c r="BW507" s="136">
        <f t="shared" si="104"/>
        <v>0</v>
      </c>
      <c r="BX507" s="136">
        <f t="shared" si="104"/>
        <v>0</v>
      </c>
      <c r="BZ507" s="136">
        <f t="shared" si="101"/>
        <v>0</v>
      </c>
      <c r="CA507" s="136">
        <f t="shared" si="101"/>
        <v>0</v>
      </c>
    </row>
    <row r="508" spans="7:79" hidden="1" x14ac:dyDescent="0.3">
      <c r="G508" s="136">
        <f t="shared" si="105"/>
        <v>-30251715</v>
      </c>
      <c r="H508" s="136">
        <f t="shared" si="105"/>
        <v>0</v>
      </c>
      <c r="I508" s="136">
        <f t="shared" si="105"/>
        <v>0</v>
      </c>
      <c r="J508" s="136">
        <f t="shared" si="105"/>
        <v>0</v>
      </c>
      <c r="K508" s="136">
        <f t="shared" si="105"/>
        <v>0</v>
      </c>
      <c r="L508" s="136">
        <f t="shared" si="105"/>
        <v>-5833339</v>
      </c>
      <c r="M508" s="136">
        <f t="shared" si="105"/>
        <v>0</v>
      </c>
      <c r="N508" s="136">
        <f t="shared" si="105"/>
        <v>0</v>
      </c>
      <c r="O508" s="136">
        <f t="shared" si="105"/>
        <v>0</v>
      </c>
      <c r="P508" s="136">
        <f t="shared" si="105"/>
        <v>0</v>
      </c>
      <c r="Q508" s="136">
        <f t="shared" si="105"/>
        <v>-1659710</v>
      </c>
      <c r="R508" s="136">
        <f t="shared" si="105"/>
        <v>0</v>
      </c>
      <c r="S508" s="136">
        <f t="shared" si="105"/>
        <v>0</v>
      </c>
      <c r="T508" s="136">
        <f t="shared" si="105"/>
        <v>0</v>
      </c>
      <c r="U508" s="136">
        <f t="shared" si="105"/>
        <v>0</v>
      </c>
      <c r="V508" s="136">
        <f t="shared" si="105"/>
        <v>610000</v>
      </c>
      <c r="W508" s="136">
        <f t="shared" si="106"/>
        <v>0</v>
      </c>
      <c r="X508" s="136">
        <f t="shared" si="106"/>
        <v>0</v>
      </c>
      <c r="Y508" s="136">
        <f t="shared" si="106"/>
        <v>0</v>
      </c>
      <c r="Z508" s="136">
        <f t="shared" si="106"/>
        <v>0</v>
      </c>
      <c r="AA508" s="136">
        <f t="shared" si="106"/>
        <v>1250000</v>
      </c>
      <c r="AB508" s="136">
        <f t="shared" si="106"/>
        <v>0</v>
      </c>
      <c r="AC508" s="136">
        <f t="shared" si="106"/>
        <v>0</v>
      </c>
      <c r="AD508" s="136">
        <f t="shared" si="106"/>
        <v>0</v>
      </c>
      <c r="AE508" s="136">
        <f t="shared" si="106"/>
        <v>0</v>
      </c>
      <c r="AF508" s="136">
        <f t="shared" si="106"/>
        <v>3000</v>
      </c>
      <c r="AG508" s="136">
        <f t="shared" si="106"/>
        <v>0</v>
      </c>
      <c r="AH508" s="136">
        <f t="shared" si="106"/>
        <v>0</v>
      </c>
      <c r="AI508" s="136">
        <f t="shared" si="106"/>
        <v>0</v>
      </c>
      <c r="AJ508" s="136">
        <f t="shared" si="106"/>
        <v>0</v>
      </c>
      <c r="AK508" s="136">
        <f t="shared" si="106"/>
        <v>3069000</v>
      </c>
      <c r="AL508" s="136">
        <f t="shared" si="106"/>
        <v>0</v>
      </c>
      <c r="AM508" s="136">
        <f t="shared" si="103"/>
        <v>0</v>
      </c>
      <c r="AN508" s="136">
        <f t="shared" si="103"/>
        <v>0</v>
      </c>
      <c r="AO508" s="136">
        <f t="shared" si="103"/>
        <v>0</v>
      </c>
      <c r="AP508" s="136">
        <f t="shared" si="103"/>
        <v>1436000</v>
      </c>
      <c r="AQ508" s="136">
        <f t="shared" si="103"/>
        <v>0</v>
      </c>
      <c r="AR508" s="136">
        <f t="shared" si="103"/>
        <v>0</v>
      </c>
      <c r="AS508" s="136">
        <f t="shared" si="103"/>
        <v>0</v>
      </c>
      <c r="AT508" s="136">
        <f t="shared" si="103"/>
        <v>0</v>
      </c>
      <c r="AU508" s="136">
        <f t="shared" si="103"/>
        <v>1297152</v>
      </c>
      <c r="AV508" s="136">
        <f t="shared" si="103"/>
        <v>0</v>
      </c>
      <c r="AW508" s="136">
        <f t="shared" si="103"/>
        <v>0</v>
      </c>
      <c r="AX508" s="136">
        <f t="shared" si="103"/>
        <v>0</v>
      </c>
      <c r="AY508" s="136">
        <f t="shared" si="103"/>
        <v>0</v>
      </c>
      <c r="AZ508" s="136">
        <f t="shared" si="103"/>
        <v>-3901000</v>
      </c>
      <c r="BA508" s="136">
        <f t="shared" si="103"/>
        <v>0</v>
      </c>
      <c r="BB508" s="136">
        <f t="shared" si="103"/>
        <v>0</v>
      </c>
      <c r="BC508" s="136">
        <f t="shared" si="102"/>
        <v>0</v>
      </c>
      <c r="BD508" s="136">
        <f t="shared" si="102"/>
        <v>0</v>
      </c>
      <c r="BE508" s="136">
        <f t="shared" si="102"/>
        <v>-1957559</v>
      </c>
      <c r="BF508" s="136">
        <f t="shared" si="102"/>
        <v>0</v>
      </c>
      <c r="BG508" s="136">
        <f t="shared" si="102"/>
        <v>0</v>
      </c>
      <c r="BH508" s="136">
        <f t="shared" si="102"/>
        <v>0</v>
      </c>
      <c r="BI508" s="136">
        <f t="shared" si="102"/>
        <v>0</v>
      </c>
      <c r="BJ508" s="136">
        <f t="shared" si="102"/>
        <v>-1301259</v>
      </c>
      <c r="BK508" s="136">
        <f t="shared" si="102"/>
        <v>0</v>
      </c>
      <c r="BL508" s="136">
        <f t="shared" si="102"/>
        <v>0</v>
      </c>
      <c r="BM508" s="136">
        <f t="shared" si="102"/>
        <v>0</v>
      </c>
      <c r="BN508" s="136">
        <f t="shared" si="102"/>
        <v>0</v>
      </c>
      <c r="BO508" s="136">
        <f t="shared" si="102"/>
        <v>-3900000</v>
      </c>
      <c r="BP508" s="136">
        <f t="shared" si="102"/>
        <v>0</v>
      </c>
      <c r="BQ508" s="136">
        <f t="shared" si="102"/>
        <v>0</v>
      </c>
      <c r="BR508" s="136">
        <f t="shared" si="102"/>
        <v>0</v>
      </c>
      <c r="BS508" s="136">
        <f t="shared" si="104"/>
        <v>0</v>
      </c>
      <c r="BT508" s="136">
        <f t="shared" si="104"/>
        <v>-5686456</v>
      </c>
      <c r="BU508" s="136">
        <f t="shared" si="104"/>
        <v>0</v>
      </c>
      <c r="BV508" s="136">
        <f t="shared" si="104"/>
        <v>0</v>
      </c>
      <c r="BW508" s="136">
        <f t="shared" si="104"/>
        <v>0</v>
      </c>
      <c r="BX508" s="136">
        <f t="shared" si="104"/>
        <v>0</v>
      </c>
      <c r="BZ508" s="136">
        <f t="shared" si="101"/>
        <v>0</v>
      </c>
      <c r="CA508" s="136">
        <f t="shared" si="101"/>
        <v>0</v>
      </c>
    </row>
    <row r="509" spans="7:79" hidden="1" x14ac:dyDescent="0.3">
      <c r="G509" s="136">
        <f t="shared" si="105"/>
        <v>-25375940</v>
      </c>
      <c r="H509" s="136">
        <f t="shared" si="105"/>
        <v>0</v>
      </c>
      <c r="I509" s="136">
        <f t="shared" si="105"/>
        <v>0</v>
      </c>
      <c r="J509" s="136">
        <f t="shared" si="105"/>
        <v>0</v>
      </c>
      <c r="K509" s="136">
        <f t="shared" si="105"/>
        <v>0</v>
      </c>
      <c r="L509" s="136">
        <f t="shared" si="105"/>
        <v>-4694340</v>
      </c>
      <c r="M509" s="136">
        <f t="shared" si="105"/>
        <v>0</v>
      </c>
      <c r="N509" s="136">
        <f t="shared" si="105"/>
        <v>0</v>
      </c>
      <c r="O509" s="136">
        <f t="shared" si="105"/>
        <v>0</v>
      </c>
      <c r="P509" s="136">
        <f t="shared" si="105"/>
        <v>0</v>
      </c>
      <c r="Q509" s="136">
        <f t="shared" si="105"/>
        <v>-1391388</v>
      </c>
      <c r="R509" s="136">
        <f t="shared" si="105"/>
        <v>0</v>
      </c>
      <c r="S509" s="136">
        <f t="shared" si="105"/>
        <v>0</v>
      </c>
      <c r="T509" s="136">
        <f t="shared" si="105"/>
        <v>0</v>
      </c>
      <c r="U509" s="136">
        <f t="shared" si="105"/>
        <v>0</v>
      </c>
      <c r="V509" s="136">
        <f t="shared" si="105"/>
        <v>385195</v>
      </c>
      <c r="W509" s="136">
        <f t="shared" si="106"/>
        <v>0</v>
      </c>
      <c r="X509" s="136">
        <f t="shared" si="106"/>
        <v>0</v>
      </c>
      <c r="Y509" s="136">
        <f t="shared" si="106"/>
        <v>0</v>
      </c>
      <c r="Z509" s="136">
        <f t="shared" si="106"/>
        <v>0</v>
      </c>
      <c r="AA509" s="136">
        <f t="shared" si="106"/>
        <v>768601</v>
      </c>
      <c r="AB509" s="136">
        <f t="shared" si="106"/>
        <v>0</v>
      </c>
      <c r="AC509" s="136">
        <f t="shared" si="106"/>
        <v>0</v>
      </c>
      <c r="AD509" s="136">
        <f t="shared" si="106"/>
        <v>0</v>
      </c>
      <c r="AE509" s="136">
        <f t="shared" si="106"/>
        <v>0</v>
      </c>
      <c r="AF509" s="136">
        <f t="shared" si="106"/>
        <v>-80223</v>
      </c>
      <c r="AG509" s="136">
        <f t="shared" si="106"/>
        <v>0</v>
      </c>
      <c r="AH509" s="136">
        <f t="shared" si="106"/>
        <v>0</v>
      </c>
      <c r="AI509" s="136">
        <f t="shared" si="106"/>
        <v>0</v>
      </c>
      <c r="AJ509" s="136">
        <f t="shared" si="106"/>
        <v>0</v>
      </c>
      <c r="AK509" s="136">
        <f t="shared" si="106"/>
        <v>2344624</v>
      </c>
      <c r="AL509" s="136">
        <f t="shared" si="106"/>
        <v>0</v>
      </c>
      <c r="AM509" s="136">
        <f t="shared" si="103"/>
        <v>0</v>
      </c>
      <c r="AN509" s="136">
        <f t="shared" si="103"/>
        <v>0</v>
      </c>
      <c r="AO509" s="136">
        <f t="shared" si="103"/>
        <v>0</v>
      </c>
      <c r="AP509" s="136">
        <f t="shared" si="103"/>
        <v>1129892</v>
      </c>
      <c r="AQ509" s="136">
        <f t="shared" si="103"/>
        <v>0</v>
      </c>
      <c r="AR509" s="136">
        <f t="shared" si="103"/>
        <v>0</v>
      </c>
      <c r="AS509" s="136">
        <f t="shared" si="103"/>
        <v>0</v>
      </c>
      <c r="AT509" s="136">
        <f t="shared" si="103"/>
        <v>0</v>
      </c>
      <c r="AU509" s="136">
        <f t="shared" si="103"/>
        <v>1046764</v>
      </c>
      <c r="AV509" s="136">
        <f t="shared" si="103"/>
        <v>0</v>
      </c>
      <c r="AW509" s="136">
        <f t="shared" si="103"/>
        <v>0</v>
      </c>
      <c r="AX509" s="136">
        <f t="shared" si="103"/>
        <v>0</v>
      </c>
      <c r="AY509" s="136">
        <f t="shared" si="103"/>
        <v>0</v>
      </c>
      <c r="AZ509" s="136">
        <f t="shared" si="103"/>
        <v>-3247731</v>
      </c>
      <c r="BA509" s="136">
        <f t="shared" si="103"/>
        <v>0</v>
      </c>
      <c r="BB509" s="136">
        <f t="shared" si="103"/>
        <v>0</v>
      </c>
      <c r="BC509" s="136">
        <f t="shared" si="102"/>
        <v>0</v>
      </c>
      <c r="BD509" s="136">
        <f t="shared" si="102"/>
        <v>0</v>
      </c>
      <c r="BE509" s="136">
        <f t="shared" si="102"/>
        <v>-1633143</v>
      </c>
      <c r="BF509" s="136">
        <f t="shared" si="102"/>
        <v>0</v>
      </c>
      <c r="BG509" s="136">
        <f t="shared" si="102"/>
        <v>0</v>
      </c>
      <c r="BH509" s="136">
        <f t="shared" si="102"/>
        <v>0</v>
      </c>
      <c r="BI509" s="136">
        <f t="shared" si="102"/>
        <v>0</v>
      </c>
      <c r="BJ509" s="136">
        <f t="shared" si="102"/>
        <v>-1136065</v>
      </c>
      <c r="BK509" s="136">
        <f t="shared" si="102"/>
        <v>0</v>
      </c>
      <c r="BL509" s="136">
        <f t="shared" si="102"/>
        <v>0</v>
      </c>
      <c r="BM509" s="136">
        <f t="shared" si="102"/>
        <v>0</v>
      </c>
      <c r="BN509" s="136">
        <f t="shared" si="102"/>
        <v>0</v>
      </c>
      <c r="BO509" s="136">
        <f t="shared" si="102"/>
        <v>-3210256</v>
      </c>
      <c r="BP509" s="136">
        <f t="shared" si="102"/>
        <v>0</v>
      </c>
      <c r="BQ509" s="136">
        <f t="shared" si="102"/>
        <v>0</v>
      </c>
      <c r="BR509" s="136">
        <f t="shared" si="102"/>
        <v>0</v>
      </c>
      <c r="BS509" s="136">
        <f t="shared" si="104"/>
        <v>0</v>
      </c>
      <c r="BT509" s="136">
        <f t="shared" si="104"/>
        <v>-5371749</v>
      </c>
      <c r="BU509" s="136">
        <f t="shared" si="104"/>
        <v>0</v>
      </c>
      <c r="BV509" s="136">
        <f t="shared" si="104"/>
        <v>0</v>
      </c>
      <c r="BW509" s="136">
        <f t="shared" si="104"/>
        <v>0</v>
      </c>
      <c r="BX509" s="136">
        <f t="shared" si="104"/>
        <v>0</v>
      </c>
      <c r="BZ509" s="136">
        <f t="shared" si="101"/>
        <v>0</v>
      </c>
      <c r="CA509" s="136">
        <f t="shared" si="101"/>
        <v>0</v>
      </c>
    </row>
    <row r="510" spans="7:79" hidden="1" x14ac:dyDescent="0.3">
      <c r="G510" s="136">
        <f t="shared" si="105"/>
        <v>-4875775</v>
      </c>
      <c r="H510" s="136">
        <f t="shared" si="105"/>
        <v>0</v>
      </c>
      <c r="I510" s="136">
        <f t="shared" si="105"/>
        <v>0</v>
      </c>
      <c r="J510" s="136">
        <f t="shared" si="105"/>
        <v>0</v>
      </c>
      <c r="K510" s="136">
        <f t="shared" si="105"/>
        <v>0</v>
      </c>
      <c r="L510" s="136">
        <f t="shared" si="105"/>
        <v>-1138999</v>
      </c>
      <c r="M510" s="136">
        <f t="shared" si="105"/>
        <v>0</v>
      </c>
      <c r="N510" s="136">
        <f t="shared" si="105"/>
        <v>0</v>
      </c>
      <c r="O510" s="136">
        <f t="shared" si="105"/>
        <v>0</v>
      </c>
      <c r="P510" s="136">
        <f t="shared" si="105"/>
        <v>0</v>
      </c>
      <c r="Q510" s="136">
        <f t="shared" si="105"/>
        <v>-268322</v>
      </c>
      <c r="R510" s="136">
        <f t="shared" si="105"/>
        <v>0</v>
      </c>
      <c r="S510" s="136">
        <f t="shared" si="105"/>
        <v>0</v>
      </c>
      <c r="T510" s="136">
        <f t="shared" si="105"/>
        <v>0</v>
      </c>
      <c r="U510" s="136">
        <f t="shared" si="105"/>
        <v>0</v>
      </c>
      <c r="V510" s="136">
        <f t="shared" si="105"/>
        <v>224805</v>
      </c>
      <c r="W510" s="136">
        <f t="shared" si="106"/>
        <v>0</v>
      </c>
      <c r="X510" s="136">
        <f t="shared" si="106"/>
        <v>0</v>
      </c>
      <c r="Y510" s="136">
        <f t="shared" si="106"/>
        <v>0</v>
      </c>
      <c r="Z510" s="136">
        <f t="shared" si="106"/>
        <v>0</v>
      </c>
      <c r="AA510" s="136">
        <f t="shared" si="106"/>
        <v>481399</v>
      </c>
      <c r="AB510" s="136">
        <f t="shared" si="106"/>
        <v>0</v>
      </c>
      <c r="AC510" s="136">
        <f t="shared" si="106"/>
        <v>0</v>
      </c>
      <c r="AD510" s="136">
        <f t="shared" si="106"/>
        <v>0</v>
      </c>
      <c r="AE510" s="136">
        <f t="shared" si="106"/>
        <v>0</v>
      </c>
      <c r="AF510" s="136">
        <f t="shared" si="106"/>
        <v>83223</v>
      </c>
      <c r="AG510" s="136">
        <f t="shared" si="106"/>
        <v>0</v>
      </c>
      <c r="AH510" s="136">
        <f t="shared" si="106"/>
        <v>0</v>
      </c>
      <c r="AI510" s="136">
        <f t="shared" si="106"/>
        <v>0</v>
      </c>
      <c r="AJ510" s="136">
        <f t="shared" si="106"/>
        <v>0</v>
      </c>
      <c r="AK510" s="136">
        <f t="shared" si="106"/>
        <v>724376</v>
      </c>
      <c r="AL510" s="136">
        <f t="shared" si="106"/>
        <v>0</v>
      </c>
      <c r="AM510" s="136">
        <f t="shared" si="103"/>
        <v>0</v>
      </c>
      <c r="AN510" s="136">
        <f t="shared" si="103"/>
        <v>0</v>
      </c>
      <c r="AO510" s="136">
        <f t="shared" si="103"/>
        <v>0</v>
      </c>
      <c r="AP510" s="136">
        <f t="shared" si="103"/>
        <v>306108</v>
      </c>
      <c r="AQ510" s="136">
        <f t="shared" si="103"/>
        <v>0</v>
      </c>
      <c r="AR510" s="136">
        <f t="shared" si="103"/>
        <v>0</v>
      </c>
      <c r="AS510" s="136">
        <f t="shared" si="103"/>
        <v>0</v>
      </c>
      <c r="AT510" s="136">
        <f t="shared" si="103"/>
        <v>0</v>
      </c>
      <c r="AU510" s="136">
        <f t="shared" si="103"/>
        <v>250388</v>
      </c>
      <c r="AV510" s="136">
        <f t="shared" si="103"/>
        <v>0</v>
      </c>
      <c r="AW510" s="136">
        <f t="shared" si="103"/>
        <v>0</v>
      </c>
      <c r="AX510" s="136">
        <f t="shared" si="103"/>
        <v>0</v>
      </c>
      <c r="AY510" s="136">
        <f t="shared" si="103"/>
        <v>0</v>
      </c>
      <c r="AZ510" s="136">
        <f t="shared" si="103"/>
        <v>-653269</v>
      </c>
      <c r="BA510" s="136">
        <f t="shared" si="103"/>
        <v>0</v>
      </c>
      <c r="BB510" s="136">
        <f t="shared" si="103"/>
        <v>0</v>
      </c>
      <c r="BC510" s="136">
        <f t="shared" si="102"/>
        <v>0</v>
      </c>
      <c r="BD510" s="136">
        <f t="shared" si="102"/>
        <v>0</v>
      </c>
      <c r="BE510" s="136">
        <f t="shared" si="102"/>
        <v>-324416</v>
      </c>
      <c r="BF510" s="136">
        <f t="shared" si="102"/>
        <v>0</v>
      </c>
      <c r="BG510" s="136">
        <f t="shared" si="102"/>
        <v>0</v>
      </c>
      <c r="BH510" s="136">
        <f t="shared" si="102"/>
        <v>0</v>
      </c>
      <c r="BI510" s="136">
        <f t="shared" si="102"/>
        <v>0</v>
      </c>
      <c r="BJ510" s="136">
        <f t="shared" si="102"/>
        <v>-165194</v>
      </c>
      <c r="BK510" s="136">
        <f t="shared" si="102"/>
        <v>0</v>
      </c>
      <c r="BL510" s="136">
        <f t="shared" si="102"/>
        <v>0</v>
      </c>
      <c r="BM510" s="136">
        <f t="shared" si="102"/>
        <v>0</v>
      </c>
      <c r="BN510" s="136">
        <f t="shared" si="102"/>
        <v>0</v>
      </c>
      <c r="BO510" s="136">
        <f t="shared" si="102"/>
        <v>-689744</v>
      </c>
      <c r="BP510" s="136">
        <f t="shared" si="102"/>
        <v>0</v>
      </c>
      <c r="BQ510" s="136">
        <f t="shared" si="102"/>
        <v>0</v>
      </c>
      <c r="BR510" s="136">
        <f t="shared" si="102"/>
        <v>0</v>
      </c>
      <c r="BS510" s="136">
        <f t="shared" si="104"/>
        <v>0</v>
      </c>
      <c r="BT510" s="136">
        <f t="shared" si="104"/>
        <v>-314707</v>
      </c>
      <c r="BU510" s="136">
        <f t="shared" si="104"/>
        <v>0</v>
      </c>
      <c r="BV510" s="136">
        <f t="shared" si="104"/>
        <v>0</v>
      </c>
      <c r="BW510" s="136">
        <f t="shared" si="104"/>
        <v>0</v>
      </c>
      <c r="BX510" s="136">
        <f t="shared" si="104"/>
        <v>0</v>
      </c>
      <c r="BZ510" s="136">
        <f t="shared" ref="BZ510:CA512" si="107">BZ121-ER121</f>
        <v>0</v>
      </c>
      <c r="CA510" s="136">
        <f t="shared" si="107"/>
        <v>0</v>
      </c>
    </row>
    <row r="511" spans="7:79" hidden="1" x14ac:dyDescent="0.3">
      <c r="G511" s="136">
        <f t="shared" si="105"/>
        <v>0</v>
      </c>
      <c r="H511" s="136">
        <f t="shared" si="105"/>
        <v>0</v>
      </c>
      <c r="I511" s="136">
        <f t="shared" si="105"/>
        <v>0</v>
      </c>
      <c r="J511" s="136">
        <f t="shared" si="105"/>
        <v>0</v>
      </c>
      <c r="K511" s="136">
        <f t="shared" si="105"/>
        <v>0</v>
      </c>
      <c r="L511" s="136">
        <f t="shared" si="105"/>
        <v>0</v>
      </c>
      <c r="M511" s="136">
        <f t="shared" si="105"/>
        <v>0</v>
      </c>
      <c r="N511" s="136">
        <f t="shared" si="105"/>
        <v>0</v>
      </c>
      <c r="O511" s="136">
        <f t="shared" si="105"/>
        <v>0</v>
      </c>
      <c r="P511" s="136">
        <f t="shared" si="105"/>
        <v>0</v>
      </c>
      <c r="Q511" s="136">
        <f t="shared" si="105"/>
        <v>0</v>
      </c>
      <c r="R511" s="136">
        <f t="shared" si="105"/>
        <v>0</v>
      </c>
      <c r="S511" s="136">
        <f t="shared" si="105"/>
        <v>0</v>
      </c>
      <c r="T511" s="136">
        <f t="shared" si="105"/>
        <v>0</v>
      </c>
      <c r="U511" s="136">
        <f t="shared" si="105"/>
        <v>0</v>
      </c>
      <c r="V511" s="136">
        <f t="shared" si="105"/>
        <v>0</v>
      </c>
      <c r="W511" s="136">
        <f t="shared" si="106"/>
        <v>0</v>
      </c>
      <c r="X511" s="136">
        <f t="shared" si="106"/>
        <v>0</v>
      </c>
      <c r="Y511" s="136">
        <f t="shared" si="106"/>
        <v>0</v>
      </c>
      <c r="Z511" s="136">
        <f t="shared" si="106"/>
        <v>0</v>
      </c>
      <c r="AA511" s="136">
        <f t="shared" si="106"/>
        <v>0</v>
      </c>
      <c r="AB511" s="136">
        <f t="shared" si="106"/>
        <v>0</v>
      </c>
      <c r="AC511" s="136">
        <f t="shared" si="106"/>
        <v>0</v>
      </c>
      <c r="AD511" s="136">
        <f t="shared" si="106"/>
        <v>0</v>
      </c>
      <c r="AE511" s="136">
        <f t="shared" si="106"/>
        <v>0</v>
      </c>
      <c r="AF511" s="136">
        <f t="shared" si="106"/>
        <v>0</v>
      </c>
      <c r="AG511" s="136">
        <f t="shared" si="106"/>
        <v>0</v>
      </c>
      <c r="AH511" s="136">
        <f t="shared" si="106"/>
        <v>0</v>
      </c>
      <c r="AI511" s="136">
        <f t="shared" si="106"/>
        <v>0</v>
      </c>
      <c r="AJ511" s="136">
        <f t="shared" si="106"/>
        <v>0</v>
      </c>
      <c r="AK511" s="136">
        <f t="shared" si="106"/>
        <v>0</v>
      </c>
      <c r="AL511" s="136">
        <f t="shared" si="106"/>
        <v>0</v>
      </c>
      <c r="AM511" s="136">
        <f t="shared" si="103"/>
        <v>0</v>
      </c>
      <c r="AN511" s="136">
        <f t="shared" si="103"/>
        <v>0</v>
      </c>
      <c r="AO511" s="136">
        <f t="shared" si="103"/>
        <v>0</v>
      </c>
      <c r="AP511" s="136">
        <f t="shared" si="103"/>
        <v>0</v>
      </c>
      <c r="AQ511" s="136">
        <f t="shared" si="103"/>
        <v>0</v>
      </c>
      <c r="AR511" s="136">
        <f t="shared" si="103"/>
        <v>0</v>
      </c>
      <c r="AS511" s="136">
        <f t="shared" si="103"/>
        <v>0</v>
      </c>
      <c r="AT511" s="136">
        <f t="shared" si="103"/>
        <v>0</v>
      </c>
      <c r="AU511" s="136">
        <f t="shared" si="103"/>
        <v>0</v>
      </c>
      <c r="AV511" s="136">
        <f t="shared" si="103"/>
        <v>0</v>
      </c>
      <c r="AW511" s="136">
        <f t="shared" si="103"/>
        <v>0</v>
      </c>
      <c r="AX511" s="136">
        <f t="shared" si="103"/>
        <v>0</v>
      </c>
      <c r="AY511" s="136">
        <f t="shared" si="103"/>
        <v>0</v>
      </c>
      <c r="AZ511" s="136">
        <f t="shared" si="103"/>
        <v>0</v>
      </c>
      <c r="BA511" s="136">
        <f t="shared" si="103"/>
        <v>0</v>
      </c>
      <c r="BB511" s="136">
        <f t="shared" si="103"/>
        <v>0</v>
      </c>
      <c r="BC511" s="136">
        <f t="shared" ref="BC511:BR512" si="108">BC122-DU122</f>
        <v>0</v>
      </c>
      <c r="BD511" s="136">
        <f t="shared" si="108"/>
        <v>0</v>
      </c>
      <c r="BE511" s="136">
        <f t="shared" si="108"/>
        <v>0</v>
      </c>
      <c r="BF511" s="136">
        <f t="shared" si="108"/>
        <v>0</v>
      </c>
      <c r="BG511" s="136">
        <f t="shared" si="108"/>
        <v>0</v>
      </c>
      <c r="BH511" s="136">
        <f t="shared" si="108"/>
        <v>0</v>
      </c>
      <c r="BI511" s="136">
        <f t="shared" si="108"/>
        <v>0</v>
      </c>
      <c r="BJ511" s="136">
        <f t="shared" si="108"/>
        <v>0</v>
      </c>
      <c r="BK511" s="136">
        <f t="shared" si="108"/>
        <v>0</v>
      </c>
      <c r="BL511" s="136">
        <f t="shared" si="108"/>
        <v>0</v>
      </c>
      <c r="BM511" s="136">
        <f t="shared" si="108"/>
        <v>0</v>
      </c>
      <c r="BN511" s="136">
        <f t="shared" si="108"/>
        <v>0</v>
      </c>
      <c r="BO511" s="136">
        <f t="shared" si="108"/>
        <v>0</v>
      </c>
      <c r="BP511" s="136">
        <f t="shared" si="108"/>
        <v>0</v>
      </c>
      <c r="BQ511" s="136">
        <f t="shared" si="108"/>
        <v>0</v>
      </c>
      <c r="BR511" s="136">
        <f t="shared" si="108"/>
        <v>0</v>
      </c>
      <c r="BS511" s="136">
        <f t="shared" si="104"/>
        <v>0</v>
      </c>
      <c r="BT511" s="136">
        <f t="shared" si="104"/>
        <v>0</v>
      </c>
      <c r="BU511" s="136">
        <f t="shared" si="104"/>
        <v>0</v>
      </c>
      <c r="BV511" s="136">
        <f t="shared" si="104"/>
        <v>0</v>
      </c>
      <c r="BW511" s="136">
        <f t="shared" si="104"/>
        <v>0</v>
      </c>
      <c r="BX511" s="136">
        <f t="shared" si="104"/>
        <v>0</v>
      </c>
      <c r="BZ511" s="136">
        <f t="shared" si="107"/>
        <v>0</v>
      </c>
      <c r="CA511" s="136">
        <f t="shared" si="107"/>
        <v>0</v>
      </c>
    </row>
    <row r="512" spans="7:79" hidden="1" x14ac:dyDescent="0.3">
      <c r="G512" s="136">
        <f t="shared" si="105"/>
        <v>0</v>
      </c>
      <c r="H512" s="136">
        <f t="shared" si="105"/>
        <v>0</v>
      </c>
      <c r="I512" s="136">
        <f t="shared" si="105"/>
        <v>0</v>
      </c>
      <c r="J512" s="136">
        <f t="shared" si="105"/>
        <v>0</v>
      </c>
      <c r="K512" s="136">
        <f t="shared" si="105"/>
        <v>0</v>
      </c>
      <c r="L512" s="136">
        <f t="shared" si="105"/>
        <v>0</v>
      </c>
      <c r="M512" s="136">
        <f t="shared" si="105"/>
        <v>0</v>
      </c>
      <c r="N512" s="136">
        <f t="shared" si="105"/>
        <v>0</v>
      </c>
      <c r="O512" s="136">
        <f t="shared" si="105"/>
        <v>0</v>
      </c>
      <c r="P512" s="136">
        <f t="shared" si="105"/>
        <v>0</v>
      </c>
      <c r="Q512" s="136">
        <f t="shared" si="105"/>
        <v>0</v>
      </c>
      <c r="R512" s="136">
        <f t="shared" si="105"/>
        <v>0</v>
      </c>
      <c r="S512" s="136">
        <f t="shared" si="105"/>
        <v>0</v>
      </c>
      <c r="T512" s="136">
        <f t="shared" si="105"/>
        <v>0</v>
      </c>
      <c r="U512" s="136">
        <f t="shared" si="105"/>
        <v>0</v>
      </c>
      <c r="V512" s="136">
        <f t="shared" si="105"/>
        <v>0</v>
      </c>
      <c r="W512" s="136">
        <f t="shared" si="106"/>
        <v>0</v>
      </c>
      <c r="X512" s="136">
        <f t="shared" si="106"/>
        <v>0</v>
      </c>
      <c r="Y512" s="136">
        <f t="shared" si="106"/>
        <v>0</v>
      </c>
      <c r="Z512" s="136">
        <f t="shared" si="106"/>
        <v>0</v>
      </c>
      <c r="AA512" s="136">
        <f t="shared" si="106"/>
        <v>0</v>
      </c>
      <c r="AB512" s="136">
        <f t="shared" si="106"/>
        <v>0</v>
      </c>
      <c r="AC512" s="136">
        <f t="shared" si="106"/>
        <v>0</v>
      </c>
      <c r="AD512" s="136">
        <f t="shared" si="106"/>
        <v>0</v>
      </c>
      <c r="AE512" s="136">
        <f t="shared" si="106"/>
        <v>0</v>
      </c>
      <c r="AF512" s="136">
        <f t="shared" si="106"/>
        <v>0</v>
      </c>
      <c r="AG512" s="136">
        <f t="shared" si="106"/>
        <v>0</v>
      </c>
      <c r="AH512" s="136">
        <f t="shared" si="106"/>
        <v>0</v>
      </c>
      <c r="AI512" s="136">
        <f t="shared" si="106"/>
        <v>0</v>
      </c>
      <c r="AJ512" s="136">
        <f t="shared" si="106"/>
        <v>0</v>
      </c>
      <c r="AK512" s="136">
        <f t="shared" si="106"/>
        <v>0</v>
      </c>
      <c r="AL512" s="136">
        <f t="shared" si="106"/>
        <v>0</v>
      </c>
      <c r="AM512" s="136">
        <f t="shared" ref="AM512:BB512" si="109">AM123-DE123</f>
        <v>0</v>
      </c>
      <c r="AN512" s="136">
        <f t="shared" si="109"/>
        <v>0</v>
      </c>
      <c r="AO512" s="136">
        <f t="shared" si="109"/>
        <v>0</v>
      </c>
      <c r="AP512" s="136">
        <f t="shared" si="109"/>
        <v>0</v>
      </c>
      <c r="AQ512" s="136">
        <f t="shared" si="109"/>
        <v>0</v>
      </c>
      <c r="AR512" s="136">
        <f t="shared" si="109"/>
        <v>0</v>
      </c>
      <c r="AS512" s="136">
        <f t="shared" si="109"/>
        <v>0</v>
      </c>
      <c r="AT512" s="136">
        <f t="shared" si="109"/>
        <v>0</v>
      </c>
      <c r="AU512" s="136">
        <f t="shared" si="109"/>
        <v>0</v>
      </c>
      <c r="AV512" s="136">
        <f t="shared" si="109"/>
        <v>0</v>
      </c>
      <c r="AW512" s="136">
        <f t="shared" si="109"/>
        <v>0</v>
      </c>
      <c r="AX512" s="136">
        <f t="shared" si="109"/>
        <v>0</v>
      </c>
      <c r="AY512" s="136">
        <f t="shared" si="109"/>
        <v>0</v>
      </c>
      <c r="AZ512" s="136">
        <f t="shared" si="109"/>
        <v>0</v>
      </c>
      <c r="BA512" s="136">
        <f t="shared" si="109"/>
        <v>0</v>
      </c>
      <c r="BB512" s="136">
        <f t="shared" si="109"/>
        <v>0</v>
      </c>
      <c r="BC512" s="136">
        <f t="shared" si="108"/>
        <v>0</v>
      </c>
      <c r="BD512" s="136">
        <f t="shared" si="108"/>
        <v>0</v>
      </c>
      <c r="BE512" s="136">
        <f t="shared" si="108"/>
        <v>0</v>
      </c>
      <c r="BF512" s="136">
        <f t="shared" si="108"/>
        <v>0</v>
      </c>
      <c r="BG512" s="136">
        <f t="shared" si="108"/>
        <v>0</v>
      </c>
      <c r="BH512" s="136">
        <f t="shared" si="108"/>
        <v>0</v>
      </c>
      <c r="BI512" s="136">
        <f t="shared" si="108"/>
        <v>0</v>
      </c>
      <c r="BJ512" s="136">
        <f t="shared" si="108"/>
        <v>0</v>
      </c>
      <c r="BK512" s="136">
        <f t="shared" si="108"/>
        <v>0</v>
      </c>
      <c r="BL512" s="136">
        <f t="shared" si="108"/>
        <v>0</v>
      </c>
      <c r="BM512" s="136">
        <f t="shared" si="108"/>
        <v>0</v>
      </c>
      <c r="BN512" s="136">
        <f t="shared" si="108"/>
        <v>0</v>
      </c>
      <c r="BO512" s="136">
        <f t="shared" si="108"/>
        <v>0</v>
      </c>
      <c r="BP512" s="136">
        <f t="shared" si="108"/>
        <v>0</v>
      </c>
      <c r="BQ512" s="136">
        <f t="shared" si="108"/>
        <v>0</v>
      </c>
      <c r="BR512" s="136">
        <f t="shared" si="108"/>
        <v>0</v>
      </c>
      <c r="BS512" s="136">
        <f t="shared" si="104"/>
        <v>0</v>
      </c>
      <c r="BT512" s="136">
        <f t="shared" si="104"/>
        <v>0</v>
      </c>
      <c r="BU512" s="136">
        <f t="shared" si="104"/>
        <v>0</v>
      </c>
      <c r="BV512" s="136">
        <f t="shared" si="104"/>
        <v>0</v>
      </c>
      <c r="BW512" s="136">
        <f t="shared" si="104"/>
        <v>0</v>
      </c>
      <c r="BX512" s="136">
        <f t="shared" si="104"/>
        <v>0</v>
      </c>
      <c r="BZ512" s="136">
        <f t="shared" si="107"/>
        <v>0</v>
      </c>
      <c r="CA512" s="136">
        <f t="shared" si="107"/>
        <v>0</v>
      </c>
    </row>
    <row r="513" spans="7:79" hidden="1" x14ac:dyDescent="0.3">
      <c r="G513" s="136" t="e">
        <f>#REF!-#REF!</f>
        <v>#REF!</v>
      </c>
      <c r="H513" s="136" t="e">
        <f>#REF!-#REF!</f>
        <v>#REF!</v>
      </c>
      <c r="I513" s="136" t="e">
        <f>#REF!-#REF!</f>
        <v>#REF!</v>
      </c>
      <c r="J513" s="136" t="e">
        <f>#REF!-#REF!</f>
        <v>#REF!</v>
      </c>
      <c r="K513" s="136" t="e">
        <f>#REF!-#REF!</f>
        <v>#REF!</v>
      </c>
      <c r="L513" s="136" t="e">
        <f>#REF!-#REF!</f>
        <v>#REF!</v>
      </c>
      <c r="M513" s="136" t="e">
        <f>#REF!-#REF!</f>
        <v>#REF!</v>
      </c>
      <c r="N513" s="136" t="e">
        <f>#REF!-#REF!</f>
        <v>#REF!</v>
      </c>
      <c r="O513" s="136" t="e">
        <f>#REF!-#REF!</f>
        <v>#REF!</v>
      </c>
      <c r="P513" s="136" t="e">
        <f>#REF!-#REF!</f>
        <v>#REF!</v>
      </c>
      <c r="Q513" s="136" t="e">
        <f>#REF!-#REF!</f>
        <v>#REF!</v>
      </c>
      <c r="R513" s="136" t="e">
        <f>#REF!-#REF!</f>
        <v>#REF!</v>
      </c>
      <c r="S513" s="136" t="e">
        <f>#REF!-#REF!</f>
        <v>#REF!</v>
      </c>
      <c r="T513" s="136" t="e">
        <f>#REF!-#REF!</f>
        <v>#REF!</v>
      </c>
      <c r="U513" s="136" t="e">
        <f>#REF!-#REF!</f>
        <v>#REF!</v>
      </c>
      <c r="V513" s="136" t="e">
        <f>#REF!-#REF!</f>
        <v>#REF!</v>
      </c>
      <c r="W513" s="136" t="e">
        <f>#REF!-#REF!</f>
        <v>#REF!</v>
      </c>
      <c r="X513" s="136" t="e">
        <f>#REF!-#REF!</f>
        <v>#REF!</v>
      </c>
      <c r="Y513" s="136" t="e">
        <f>#REF!-#REF!</f>
        <v>#REF!</v>
      </c>
      <c r="Z513" s="136" t="e">
        <f>#REF!-#REF!</f>
        <v>#REF!</v>
      </c>
      <c r="AA513" s="136" t="e">
        <f>#REF!-#REF!</f>
        <v>#REF!</v>
      </c>
      <c r="AB513" s="136" t="e">
        <f>#REF!-#REF!</f>
        <v>#REF!</v>
      </c>
      <c r="AC513" s="136" t="e">
        <f>#REF!-#REF!</f>
        <v>#REF!</v>
      </c>
      <c r="AD513" s="136" t="e">
        <f>#REF!-#REF!</f>
        <v>#REF!</v>
      </c>
      <c r="AE513" s="136" t="e">
        <f>#REF!-#REF!</f>
        <v>#REF!</v>
      </c>
      <c r="AF513" s="136" t="e">
        <f>#REF!-#REF!</f>
        <v>#REF!</v>
      </c>
      <c r="AG513" s="136" t="e">
        <f>#REF!-#REF!</f>
        <v>#REF!</v>
      </c>
      <c r="AH513" s="136" t="e">
        <f>#REF!-#REF!</f>
        <v>#REF!</v>
      </c>
      <c r="AI513" s="136" t="e">
        <f>#REF!-#REF!</f>
        <v>#REF!</v>
      </c>
      <c r="AJ513" s="136" t="e">
        <f>#REF!-#REF!</f>
        <v>#REF!</v>
      </c>
      <c r="AK513" s="136" t="e">
        <f>#REF!-#REF!</f>
        <v>#REF!</v>
      </c>
      <c r="AL513" s="136" t="e">
        <f>#REF!-#REF!</f>
        <v>#REF!</v>
      </c>
      <c r="AM513" s="136" t="e">
        <f>#REF!-#REF!</f>
        <v>#REF!</v>
      </c>
      <c r="AN513" s="136" t="e">
        <f>#REF!-#REF!</f>
        <v>#REF!</v>
      </c>
      <c r="AO513" s="136" t="e">
        <f>#REF!-#REF!</f>
        <v>#REF!</v>
      </c>
      <c r="AP513" s="136" t="e">
        <f>#REF!-#REF!</f>
        <v>#REF!</v>
      </c>
      <c r="AQ513" s="136" t="e">
        <f>#REF!-#REF!</f>
        <v>#REF!</v>
      </c>
      <c r="AR513" s="136" t="e">
        <f>#REF!-#REF!</f>
        <v>#REF!</v>
      </c>
      <c r="AS513" s="136" t="e">
        <f>#REF!-#REF!</f>
        <v>#REF!</v>
      </c>
      <c r="AT513" s="136" t="e">
        <f>#REF!-#REF!</f>
        <v>#REF!</v>
      </c>
      <c r="AU513" s="136" t="e">
        <f>#REF!-#REF!</f>
        <v>#REF!</v>
      </c>
      <c r="AV513" s="136" t="e">
        <f>#REF!-#REF!</f>
        <v>#REF!</v>
      </c>
      <c r="AW513" s="136" t="e">
        <f>#REF!-#REF!</f>
        <v>#REF!</v>
      </c>
      <c r="AX513" s="136" t="e">
        <f>#REF!-#REF!</f>
        <v>#REF!</v>
      </c>
      <c r="AY513" s="136" t="e">
        <f>#REF!-#REF!</f>
        <v>#REF!</v>
      </c>
      <c r="AZ513" s="136" t="e">
        <f>#REF!-#REF!</f>
        <v>#REF!</v>
      </c>
      <c r="BA513" s="136" t="e">
        <f>#REF!-#REF!</f>
        <v>#REF!</v>
      </c>
      <c r="BB513" s="136" t="e">
        <f>#REF!-#REF!</f>
        <v>#REF!</v>
      </c>
      <c r="BC513" s="136" t="e">
        <f>#REF!-#REF!</f>
        <v>#REF!</v>
      </c>
      <c r="BD513" s="136" t="e">
        <f>#REF!-#REF!</f>
        <v>#REF!</v>
      </c>
      <c r="BE513" s="136" t="e">
        <f>#REF!-#REF!</f>
        <v>#REF!</v>
      </c>
      <c r="BF513" s="136" t="e">
        <f>#REF!-#REF!</f>
        <v>#REF!</v>
      </c>
      <c r="BG513" s="136" t="e">
        <f>#REF!-#REF!</f>
        <v>#REF!</v>
      </c>
      <c r="BH513" s="136" t="e">
        <f>#REF!-#REF!</f>
        <v>#REF!</v>
      </c>
      <c r="BI513" s="136" t="e">
        <f>#REF!-#REF!</f>
        <v>#REF!</v>
      </c>
      <c r="BJ513" s="136" t="e">
        <f>#REF!-#REF!</f>
        <v>#REF!</v>
      </c>
      <c r="BK513" s="136" t="e">
        <f>#REF!-#REF!</f>
        <v>#REF!</v>
      </c>
      <c r="BL513" s="136" t="e">
        <f>#REF!-#REF!</f>
        <v>#REF!</v>
      </c>
      <c r="BM513" s="136" t="e">
        <f>#REF!-#REF!</f>
        <v>#REF!</v>
      </c>
      <c r="BN513" s="136" t="e">
        <f>#REF!-#REF!</f>
        <v>#REF!</v>
      </c>
      <c r="BO513" s="136" t="e">
        <f>#REF!-#REF!</f>
        <v>#REF!</v>
      </c>
      <c r="BP513" s="136" t="e">
        <f>#REF!-#REF!</f>
        <v>#REF!</v>
      </c>
      <c r="BQ513" s="136" t="e">
        <f>#REF!-#REF!</f>
        <v>#REF!</v>
      </c>
      <c r="BR513" s="136" t="e">
        <f>#REF!-#REF!</f>
        <v>#REF!</v>
      </c>
      <c r="BS513" s="136" t="e">
        <f>#REF!-#REF!</f>
        <v>#REF!</v>
      </c>
      <c r="BT513" s="136" t="e">
        <f>#REF!-#REF!</f>
        <v>#REF!</v>
      </c>
      <c r="BU513" s="136" t="e">
        <f>#REF!-#REF!</f>
        <v>#REF!</v>
      </c>
      <c r="BV513" s="136" t="e">
        <f>#REF!-#REF!</f>
        <v>#REF!</v>
      </c>
      <c r="BW513" s="136" t="e">
        <f>#REF!-#REF!</f>
        <v>#REF!</v>
      </c>
      <c r="BX513" s="136" t="e">
        <f>#REF!-#REF!</f>
        <v>#REF!</v>
      </c>
      <c r="BZ513" s="136" t="e">
        <f>#REF!-#REF!</f>
        <v>#REF!</v>
      </c>
      <c r="CA513" s="136" t="e">
        <f>#REF!-#REF!</f>
        <v>#REF!</v>
      </c>
    </row>
    <row r="514" spans="7:79" hidden="1" x14ac:dyDescent="0.3">
      <c r="G514" s="136" t="e">
        <f>#REF!-#REF!</f>
        <v>#REF!</v>
      </c>
      <c r="H514" s="136" t="e">
        <f>#REF!-#REF!</f>
        <v>#REF!</v>
      </c>
      <c r="I514" s="136" t="e">
        <f>#REF!-#REF!</f>
        <v>#REF!</v>
      </c>
      <c r="J514" s="136" t="e">
        <f>#REF!-#REF!</f>
        <v>#REF!</v>
      </c>
      <c r="K514" s="136" t="e">
        <f>#REF!-#REF!</f>
        <v>#REF!</v>
      </c>
      <c r="L514" s="136" t="e">
        <f>#REF!-#REF!</f>
        <v>#REF!</v>
      </c>
      <c r="M514" s="136" t="e">
        <f>#REF!-#REF!</f>
        <v>#REF!</v>
      </c>
      <c r="N514" s="136" t="e">
        <f>#REF!-#REF!</f>
        <v>#REF!</v>
      </c>
      <c r="O514" s="136" t="e">
        <f>#REF!-#REF!</f>
        <v>#REF!</v>
      </c>
      <c r="P514" s="136" t="e">
        <f>#REF!-#REF!</f>
        <v>#REF!</v>
      </c>
      <c r="Q514" s="136" t="e">
        <f>#REF!-#REF!</f>
        <v>#REF!</v>
      </c>
      <c r="R514" s="136" t="e">
        <f>#REF!-#REF!</f>
        <v>#REF!</v>
      </c>
      <c r="S514" s="136" t="e">
        <f>#REF!-#REF!</f>
        <v>#REF!</v>
      </c>
      <c r="T514" s="136" t="e">
        <f>#REF!-#REF!</f>
        <v>#REF!</v>
      </c>
      <c r="U514" s="136" t="e">
        <f>#REF!-#REF!</f>
        <v>#REF!</v>
      </c>
      <c r="V514" s="136" t="e">
        <f>#REF!-#REF!</f>
        <v>#REF!</v>
      </c>
      <c r="W514" s="136" t="e">
        <f>#REF!-#REF!</f>
        <v>#REF!</v>
      </c>
      <c r="X514" s="136" t="e">
        <f>#REF!-#REF!</f>
        <v>#REF!</v>
      </c>
      <c r="Y514" s="136" t="e">
        <f>#REF!-#REF!</f>
        <v>#REF!</v>
      </c>
      <c r="Z514" s="136" t="e">
        <f>#REF!-#REF!</f>
        <v>#REF!</v>
      </c>
      <c r="AA514" s="136" t="e">
        <f>#REF!-#REF!</f>
        <v>#REF!</v>
      </c>
      <c r="AB514" s="136" t="e">
        <f>#REF!-#REF!</f>
        <v>#REF!</v>
      </c>
      <c r="AC514" s="136" t="e">
        <f>#REF!-#REF!</f>
        <v>#REF!</v>
      </c>
      <c r="AD514" s="136" t="e">
        <f>#REF!-#REF!</f>
        <v>#REF!</v>
      </c>
      <c r="AE514" s="136" t="e">
        <f>#REF!-#REF!</f>
        <v>#REF!</v>
      </c>
      <c r="AF514" s="136" t="e">
        <f>#REF!-#REF!</f>
        <v>#REF!</v>
      </c>
      <c r="AG514" s="136" t="e">
        <f>#REF!-#REF!</f>
        <v>#REF!</v>
      </c>
      <c r="AH514" s="136" t="e">
        <f>#REF!-#REF!</f>
        <v>#REF!</v>
      </c>
      <c r="AI514" s="136" t="e">
        <f>#REF!-#REF!</f>
        <v>#REF!</v>
      </c>
      <c r="AJ514" s="136" t="e">
        <f>#REF!-#REF!</f>
        <v>#REF!</v>
      </c>
      <c r="AK514" s="136" t="e">
        <f>#REF!-#REF!</f>
        <v>#REF!</v>
      </c>
      <c r="AL514" s="136" t="e">
        <f>#REF!-#REF!</f>
        <v>#REF!</v>
      </c>
      <c r="AM514" s="136" t="e">
        <f>#REF!-#REF!</f>
        <v>#REF!</v>
      </c>
      <c r="AN514" s="136" t="e">
        <f>#REF!-#REF!</f>
        <v>#REF!</v>
      </c>
      <c r="AO514" s="136" t="e">
        <f>#REF!-#REF!</f>
        <v>#REF!</v>
      </c>
      <c r="AP514" s="136" t="e">
        <f>#REF!-#REF!</f>
        <v>#REF!</v>
      </c>
      <c r="AQ514" s="136" t="e">
        <f>#REF!-#REF!</f>
        <v>#REF!</v>
      </c>
      <c r="AR514" s="136" t="e">
        <f>#REF!-#REF!</f>
        <v>#REF!</v>
      </c>
      <c r="AS514" s="136" t="e">
        <f>#REF!-#REF!</f>
        <v>#REF!</v>
      </c>
      <c r="AT514" s="136" t="e">
        <f>#REF!-#REF!</f>
        <v>#REF!</v>
      </c>
      <c r="AU514" s="136" t="e">
        <f>#REF!-#REF!</f>
        <v>#REF!</v>
      </c>
      <c r="AV514" s="136" t="e">
        <f>#REF!-#REF!</f>
        <v>#REF!</v>
      </c>
      <c r="AW514" s="136" t="e">
        <f>#REF!-#REF!</f>
        <v>#REF!</v>
      </c>
      <c r="AX514" s="136" t="e">
        <f>#REF!-#REF!</f>
        <v>#REF!</v>
      </c>
      <c r="AY514" s="136" t="e">
        <f>#REF!-#REF!</f>
        <v>#REF!</v>
      </c>
      <c r="AZ514" s="136" t="e">
        <f>#REF!-#REF!</f>
        <v>#REF!</v>
      </c>
      <c r="BA514" s="136" t="e">
        <f>#REF!-#REF!</f>
        <v>#REF!</v>
      </c>
      <c r="BB514" s="136" t="e">
        <f>#REF!-#REF!</f>
        <v>#REF!</v>
      </c>
      <c r="BC514" s="136" t="e">
        <f>#REF!-#REF!</f>
        <v>#REF!</v>
      </c>
      <c r="BD514" s="136" t="e">
        <f>#REF!-#REF!</f>
        <v>#REF!</v>
      </c>
      <c r="BE514" s="136" t="e">
        <f>#REF!-#REF!</f>
        <v>#REF!</v>
      </c>
      <c r="BF514" s="136" t="e">
        <f>#REF!-#REF!</f>
        <v>#REF!</v>
      </c>
      <c r="BG514" s="136" t="e">
        <f>#REF!-#REF!</f>
        <v>#REF!</v>
      </c>
      <c r="BH514" s="136" t="e">
        <f>#REF!-#REF!</f>
        <v>#REF!</v>
      </c>
      <c r="BI514" s="136" t="e">
        <f>#REF!-#REF!</f>
        <v>#REF!</v>
      </c>
      <c r="BJ514" s="136" t="e">
        <f>#REF!-#REF!</f>
        <v>#REF!</v>
      </c>
      <c r="BK514" s="136" t="e">
        <f>#REF!-#REF!</f>
        <v>#REF!</v>
      </c>
      <c r="BL514" s="136" t="e">
        <f>#REF!-#REF!</f>
        <v>#REF!</v>
      </c>
      <c r="BM514" s="136" t="e">
        <f>#REF!-#REF!</f>
        <v>#REF!</v>
      </c>
      <c r="BN514" s="136" t="e">
        <f>#REF!-#REF!</f>
        <v>#REF!</v>
      </c>
      <c r="BO514" s="136" t="e">
        <f>#REF!-#REF!</f>
        <v>#REF!</v>
      </c>
      <c r="BP514" s="136" t="e">
        <f>#REF!-#REF!</f>
        <v>#REF!</v>
      </c>
      <c r="BQ514" s="136" t="e">
        <f>#REF!-#REF!</f>
        <v>#REF!</v>
      </c>
      <c r="BR514" s="136" t="e">
        <f>#REF!-#REF!</f>
        <v>#REF!</v>
      </c>
      <c r="BS514" s="136" t="e">
        <f>#REF!-#REF!</f>
        <v>#REF!</v>
      </c>
      <c r="BT514" s="136" t="e">
        <f>#REF!-#REF!</f>
        <v>#REF!</v>
      </c>
      <c r="BU514" s="136" t="e">
        <f>#REF!-#REF!</f>
        <v>#REF!</v>
      </c>
      <c r="BV514" s="136" t="e">
        <f>#REF!-#REF!</f>
        <v>#REF!</v>
      </c>
      <c r="BW514" s="136" t="e">
        <f>#REF!-#REF!</f>
        <v>#REF!</v>
      </c>
      <c r="BX514" s="136" t="e">
        <f>#REF!-#REF!</f>
        <v>#REF!</v>
      </c>
      <c r="BZ514" s="136" t="e">
        <f>#REF!-#REF!</f>
        <v>#REF!</v>
      </c>
      <c r="CA514" s="136" t="e">
        <f>#REF!-#REF!</f>
        <v>#REF!</v>
      </c>
    </row>
    <row r="515" spans="7:79" hidden="1" x14ac:dyDescent="0.3">
      <c r="G515" s="136" t="e">
        <f>#REF!-#REF!</f>
        <v>#REF!</v>
      </c>
      <c r="H515" s="136" t="e">
        <f>#REF!-#REF!</f>
        <v>#REF!</v>
      </c>
      <c r="I515" s="136" t="e">
        <f>#REF!-#REF!</f>
        <v>#REF!</v>
      </c>
      <c r="J515" s="136" t="e">
        <f>#REF!-#REF!</f>
        <v>#REF!</v>
      </c>
      <c r="K515" s="136" t="e">
        <f>#REF!-#REF!</f>
        <v>#REF!</v>
      </c>
      <c r="L515" s="136" t="e">
        <f>#REF!-#REF!</f>
        <v>#REF!</v>
      </c>
      <c r="M515" s="136" t="e">
        <f>#REF!-#REF!</f>
        <v>#REF!</v>
      </c>
      <c r="N515" s="136" t="e">
        <f>#REF!-#REF!</f>
        <v>#REF!</v>
      </c>
      <c r="O515" s="136" t="e">
        <f>#REF!-#REF!</f>
        <v>#REF!</v>
      </c>
      <c r="P515" s="136" t="e">
        <f>#REF!-#REF!</f>
        <v>#REF!</v>
      </c>
      <c r="Q515" s="136" t="e">
        <f>#REF!-#REF!</f>
        <v>#REF!</v>
      </c>
      <c r="R515" s="136" t="e">
        <f>#REF!-#REF!</f>
        <v>#REF!</v>
      </c>
      <c r="S515" s="136" t="e">
        <f>#REF!-#REF!</f>
        <v>#REF!</v>
      </c>
      <c r="T515" s="136" t="e">
        <f>#REF!-#REF!</f>
        <v>#REF!</v>
      </c>
      <c r="U515" s="136" t="e">
        <f>#REF!-#REF!</f>
        <v>#REF!</v>
      </c>
      <c r="V515" s="136" t="e">
        <f>#REF!-#REF!</f>
        <v>#REF!</v>
      </c>
      <c r="W515" s="136" t="e">
        <f>#REF!-#REF!</f>
        <v>#REF!</v>
      </c>
      <c r="X515" s="136" t="e">
        <f>#REF!-#REF!</f>
        <v>#REF!</v>
      </c>
      <c r="Y515" s="136" t="e">
        <f>#REF!-#REF!</f>
        <v>#REF!</v>
      </c>
      <c r="Z515" s="136" t="e">
        <f>#REF!-#REF!</f>
        <v>#REF!</v>
      </c>
      <c r="AA515" s="136" t="e">
        <f>#REF!-#REF!</f>
        <v>#REF!</v>
      </c>
      <c r="AB515" s="136" t="e">
        <f>#REF!-#REF!</f>
        <v>#REF!</v>
      </c>
      <c r="AC515" s="136" t="e">
        <f>#REF!-#REF!</f>
        <v>#REF!</v>
      </c>
      <c r="AD515" s="136" t="e">
        <f>#REF!-#REF!</f>
        <v>#REF!</v>
      </c>
      <c r="AE515" s="136" t="e">
        <f>#REF!-#REF!</f>
        <v>#REF!</v>
      </c>
      <c r="AF515" s="136" t="e">
        <f>#REF!-#REF!</f>
        <v>#REF!</v>
      </c>
      <c r="AG515" s="136" t="e">
        <f>#REF!-#REF!</f>
        <v>#REF!</v>
      </c>
      <c r="AH515" s="136" t="e">
        <f>#REF!-#REF!</f>
        <v>#REF!</v>
      </c>
      <c r="AI515" s="136" t="e">
        <f>#REF!-#REF!</f>
        <v>#REF!</v>
      </c>
      <c r="AJ515" s="136" t="e">
        <f>#REF!-#REF!</f>
        <v>#REF!</v>
      </c>
      <c r="AK515" s="136" t="e">
        <f>#REF!-#REF!</f>
        <v>#REF!</v>
      </c>
      <c r="AL515" s="136" t="e">
        <f>#REF!-#REF!</f>
        <v>#REF!</v>
      </c>
      <c r="AM515" s="136" t="e">
        <f>#REF!-#REF!</f>
        <v>#REF!</v>
      </c>
      <c r="AN515" s="136" t="e">
        <f>#REF!-#REF!</f>
        <v>#REF!</v>
      </c>
      <c r="AO515" s="136" t="e">
        <f>#REF!-#REF!</f>
        <v>#REF!</v>
      </c>
      <c r="AP515" s="136" t="e">
        <f>#REF!-#REF!</f>
        <v>#REF!</v>
      </c>
      <c r="AQ515" s="136" t="e">
        <f>#REF!-#REF!</f>
        <v>#REF!</v>
      </c>
      <c r="AR515" s="136" t="e">
        <f>#REF!-#REF!</f>
        <v>#REF!</v>
      </c>
      <c r="AS515" s="136" t="e">
        <f>#REF!-#REF!</f>
        <v>#REF!</v>
      </c>
      <c r="AT515" s="136" t="e">
        <f>#REF!-#REF!</f>
        <v>#REF!</v>
      </c>
      <c r="AU515" s="136" t="e">
        <f>#REF!-#REF!</f>
        <v>#REF!</v>
      </c>
      <c r="AV515" s="136" t="e">
        <f>#REF!-#REF!</f>
        <v>#REF!</v>
      </c>
      <c r="AW515" s="136" t="e">
        <f>#REF!-#REF!</f>
        <v>#REF!</v>
      </c>
      <c r="AX515" s="136" t="e">
        <f>#REF!-#REF!</f>
        <v>#REF!</v>
      </c>
      <c r="AY515" s="136" t="e">
        <f>#REF!-#REF!</f>
        <v>#REF!</v>
      </c>
      <c r="AZ515" s="136" t="e">
        <f>#REF!-#REF!</f>
        <v>#REF!</v>
      </c>
      <c r="BA515" s="136" t="e">
        <f>#REF!-#REF!</f>
        <v>#REF!</v>
      </c>
      <c r="BB515" s="136" t="e">
        <f>#REF!-#REF!</f>
        <v>#REF!</v>
      </c>
      <c r="BC515" s="136" t="e">
        <f>#REF!-#REF!</f>
        <v>#REF!</v>
      </c>
      <c r="BD515" s="136" t="e">
        <f>#REF!-#REF!</f>
        <v>#REF!</v>
      </c>
      <c r="BE515" s="136" t="e">
        <f>#REF!-#REF!</f>
        <v>#REF!</v>
      </c>
      <c r="BF515" s="136" t="e">
        <f>#REF!-#REF!</f>
        <v>#REF!</v>
      </c>
      <c r="BG515" s="136" t="e">
        <f>#REF!-#REF!</f>
        <v>#REF!</v>
      </c>
      <c r="BH515" s="136" t="e">
        <f>#REF!-#REF!</f>
        <v>#REF!</v>
      </c>
      <c r="BI515" s="136" t="e">
        <f>#REF!-#REF!</f>
        <v>#REF!</v>
      </c>
      <c r="BJ515" s="136" t="e">
        <f>#REF!-#REF!</f>
        <v>#REF!</v>
      </c>
      <c r="BK515" s="136" t="e">
        <f>#REF!-#REF!</f>
        <v>#REF!</v>
      </c>
      <c r="BL515" s="136" t="e">
        <f>#REF!-#REF!</f>
        <v>#REF!</v>
      </c>
      <c r="BM515" s="136" t="e">
        <f>#REF!-#REF!</f>
        <v>#REF!</v>
      </c>
      <c r="BN515" s="136" t="e">
        <f>#REF!-#REF!</f>
        <v>#REF!</v>
      </c>
      <c r="BO515" s="136" t="e">
        <f>#REF!-#REF!</f>
        <v>#REF!</v>
      </c>
      <c r="BP515" s="136" t="e">
        <f>#REF!-#REF!</f>
        <v>#REF!</v>
      </c>
      <c r="BQ515" s="136" t="e">
        <f>#REF!-#REF!</f>
        <v>#REF!</v>
      </c>
      <c r="BR515" s="136" t="e">
        <f>#REF!-#REF!</f>
        <v>#REF!</v>
      </c>
      <c r="BS515" s="136" t="e">
        <f>#REF!-#REF!</f>
        <v>#REF!</v>
      </c>
      <c r="BT515" s="136" t="e">
        <f>#REF!-#REF!</f>
        <v>#REF!</v>
      </c>
      <c r="BU515" s="136" t="e">
        <f>#REF!-#REF!</f>
        <v>#REF!</v>
      </c>
      <c r="BV515" s="136" t="e">
        <f>#REF!-#REF!</f>
        <v>#REF!</v>
      </c>
      <c r="BW515" s="136" t="e">
        <f>#REF!-#REF!</f>
        <v>#REF!</v>
      </c>
      <c r="BX515" s="136" t="e">
        <f>#REF!-#REF!</f>
        <v>#REF!</v>
      </c>
      <c r="BZ515" s="136" t="e">
        <f>#REF!-#REF!</f>
        <v>#REF!</v>
      </c>
      <c r="CA515" s="136" t="e">
        <f>#REF!-#REF!</f>
        <v>#REF!</v>
      </c>
    </row>
    <row r="516" spans="7:79" hidden="1" x14ac:dyDescent="0.3">
      <c r="G516" s="136" t="e">
        <f>#REF!-#REF!</f>
        <v>#REF!</v>
      </c>
      <c r="H516" s="136" t="e">
        <f>#REF!-#REF!</f>
        <v>#REF!</v>
      </c>
      <c r="I516" s="136" t="e">
        <f>#REF!-#REF!</f>
        <v>#REF!</v>
      </c>
      <c r="J516" s="136" t="e">
        <f>#REF!-#REF!</f>
        <v>#REF!</v>
      </c>
      <c r="K516" s="136" t="e">
        <f>#REF!-#REF!</f>
        <v>#REF!</v>
      </c>
      <c r="L516" s="136" t="e">
        <f>#REF!-#REF!</f>
        <v>#REF!</v>
      </c>
      <c r="M516" s="136" t="e">
        <f>#REF!-#REF!</f>
        <v>#REF!</v>
      </c>
      <c r="N516" s="136" t="e">
        <f>#REF!-#REF!</f>
        <v>#REF!</v>
      </c>
      <c r="O516" s="136" t="e">
        <f>#REF!-#REF!</f>
        <v>#REF!</v>
      </c>
      <c r="P516" s="136" t="e">
        <f>#REF!-#REF!</f>
        <v>#REF!</v>
      </c>
      <c r="Q516" s="136" t="e">
        <f>#REF!-#REF!</f>
        <v>#REF!</v>
      </c>
      <c r="R516" s="136" t="e">
        <f>#REF!-#REF!</f>
        <v>#REF!</v>
      </c>
      <c r="S516" s="136" t="e">
        <f>#REF!-#REF!</f>
        <v>#REF!</v>
      </c>
      <c r="T516" s="136" t="e">
        <f>#REF!-#REF!</f>
        <v>#REF!</v>
      </c>
      <c r="U516" s="136" t="e">
        <f>#REF!-#REF!</f>
        <v>#REF!</v>
      </c>
      <c r="V516" s="136" t="e">
        <f>#REF!-#REF!</f>
        <v>#REF!</v>
      </c>
      <c r="W516" s="136" t="e">
        <f>#REF!-#REF!</f>
        <v>#REF!</v>
      </c>
      <c r="X516" s="136" t="e">
        <f>#REF!-#REF!</f>
        <v>#REF!</v>
      </c>
      <c r="Y516" s="136" t="e">
        <f>#REF!-#REF!</f>
        <v>#REF!</v>
      </c>
      <c r="Z516" s="136" t="e">
        <f>#REF!-#REF!</f>
        <v>#REF!</v>
      </c>
      <c r="AA516" s="136" t="e">
        <f>#REF!-#REF!</f>
        <v>#REF!</v>
      </c>
      <c r="AB516" s="136" t="e">
        <f>#REF!-#REF!</f>
        <v>#REF!</v>
      </c>
      <c r="AC516" s="136" t="e">
        <f>#REF!-#REF!</f>
        <v>#REF!</v>
      </c>
      <c r="AD516" s="136" t="e">
        <f>#REF!-#REF!</f>
        <v>#REF!</v>
      </c>
      <c r="AE516" s="136" t="e">
        <f>#REF!-#REF!</f>
        <v>#REF!</v>
      </c>
      <c r="AF516" s="136" t="e">
        <f>#REF!-#REF!</f>
        <v>#REF!</v>
      </c>
      <c r="AG516" s="136" t="e">
        <f>#REF!-#REF!</f>
        <v>#REF!</v>
      </c>
      <c r="AH516" s="136" t="e">
        <f>#REF!-#REF!</f>
        <v>#REF!</v>
      </c>
      <c r="AI516" s="136" t="e">
        <f>#REF!-#REF!</f>
        <v>#REF!</v>
      </c>
      <c r="AJ516" s="136" t="e">
        <f>#REF!-#REF!</f>
        <v>#REF!</v>
      </c>
      <c r="AK516" s="136" t="e">
        <f>#REF!-#REF!</f>
        <v>#REF!</v>
      </c>
      <c r="AL516" s="136" t="e">
        <f>#REF!-#REF!</f>
        <v>#REF!</v>
      </c>
      <c r="AM516" s="136" t="e">
        <f>#REF!-#REF!</f>
        <v>#REF!</v>
      </c>
      <c r="AN516" s="136" t="e">
        <f>#REF!-#REF!</f>
        <v>#REF!</v>
      </c>
      <c r="AO516" s="136" t="e">
        <f>#REF!-#REF!</f>
        <v>#REF!</v>
      </c>
      <c r="AP516" s="136" t="e">
        <f>#REF!-#REF!</f>
        <v>#REF!</v>
      </c>
      <c r="AQ516" s="136" t="e">
        <f>#REF!-#REF!</f>
        <v>#REF!</v>
      </c>
      <c r="AR516" s="136" t="e">
        <f>#REF!-#REF!</f>
        <v>#REF!</v>
      </c>
      <c r="AS516" s="136" t="e">
        <f>#REF!-#REF!</f>
        <v>#REF!</v>
      </c>
      <c r="AT516" s="136" t="e">
        <f>#REF!-#REF!</f>
        <v>#REF!</v>
      </c>
      <c r="AU516" s="136" t="e">
        <f>#REF!-#REF!</f>
        <v>#REF!</v>
      </c>
      <c r="AV516" s="136" t="e">
        <f>#REF!-#REF!</f>
        <v>#REF!</v>
      </c>
      <c r="AW516" s="136" t="e">
        <f>#REF!-#REF!</f>
        <v>#REF!</v>
      </c>
      <c r="AX516" s="136" t="e">
        <f>#REF!-#REF!</f>
        <v>#REF!</v>
      </c>
      <c r="AY516" s="136" t="e">
        <f>#REF!-#REF!</f>
        <v>#REF!</v>
      </c>
      <c r="AZ516" s="136" t="e">
        <f>#REF!-#REF!</f>
        <v>#REF!</v>
      </c>
      <c r="BA516" s="136" t="e">
        <f>#REF!-#REF!</f>
        <v>#REF!</v>
      </c>
      <c r="BB516" s="136" t="e">
        <f>#REF!-#REF!</f>
        <v>#REF!</v>
      </c>
      <c r="BC516" s="136" t="e">
        <f>#REF!-#REF!</f>
        <v>#REF!</v>
      </c>
      <c r="BD516" s="136" t="e">
        <f>#REF!-#REF!</f>
        <v>#REF!</v>
      </c>
      <c r="BE516" s="136" t="e">
        <f>#REF!-#REF!</f>
        <v>#REF!</v>
      </c>
      <c r="BF516" s="136" t="e">
        <f>#REF!-#REF!</f>
        <v>#REF!</v>
      </c>
      <c r="BG516" s="136" t="e">
        <f>#REF!-#REF!</f>
        <v>#REF!</v>
      </c>
      <c r="BH516" s="136" t="e">
        <f>#REF!-#REF!</f>
        <v>#REF!</v>
      </c>
      <c r="BI516" s="136" t="e">
        <f>#REF!-#REF!</f>
        <v>#REF!</v>
      </c>
      <c r="BJ516" s="136" t="e">
        <f>#REF!-#REF!</f>
        <v>#REF!</v>
      </c>
      <c r="BK516" s="136" t="e">
        <f>#REF!-#REF!</f>
        <v>#REF!</v>
      </c>
      <c r="BL516" s="136" t="e">
        <f>#REF!-#REF!</f>
        <v>#REF!</v>
      </c>
      <c r="BM516" s="136" t="e">
        <f>#REF!-#REF!</f>
        <v>#REF!</v>
      </c>
      <c r="BN516" s="136" t="e">
        <f>#REF!-#REF!</f>
        <v>#REF!</v>
      </c>
      <c r="BO516" s="136" t="e">
        <f>#REF!-#REF!</f>
        <v>#REF!</v>
      </c>
      <c r="BP516" s="136" t="e">
        <f>#REF!-#REF!</f>
        <v>#REF!</v>
      </c>
      <c r="BQ516" s="136" t="e">
        <f>#REF!-#REF!</f>
        <v>#REF!</v>
      </c>
      <c r="BR516" s="136" t="e">
        <f>#REF!-#REF!</f>
        <v>#REF!</v>
      </c>
      <c r="BS516" s="136" t="e">
        <f>#REF!-#REF!</f>
        <v>#REF!</v>
      </c>
      <c r="BT516" s="136" t="e">
        <f>#REF!-#REF!</f>
        <v>#REF!</v>
      </c>
      <c r="BU516" s="136" t="e">
        <f>#REF!-#REF!</f>
        <v>#REF!</v>
      </c>
      <c r="BV516" s="136" t="e">
        <f>#REF!-#REF!</f>
        <v>#REF!</v>
      </c>
      <c r="BW516" s="136" t="e">
        <f>#REF!-#REF!</f>
        <v>#REF!</v>
      </c>
      <c r="BX516" s="136" t="e">
        <f>#REF!-#REF!</f>
        <v>#REF!</v>
      </c>
      <c r="BZ516" s="136" t="e">
        <f>#REF!-#REF!</f>
        <v>#REF!</v>
      </c>
      <c r="CA516" s="136" t="e">
        <f>#REF!-#REF!</f>
        <v>#REF!</v>
      </c>
    </row>
    <row r="517" spans="7:79" hidden="1" x14ac:dyDescent="0.3">
      <c r="G517" s="136" t="e">
        <f>#REF!-#REF!</f>
        <v>#REF!</v>
      </c>
      <c r="H517" s="136" t="e">
        <f>#REF!-#REF!</f>
        <v>#REF!</v>
      </c>
      <c r="I517" s="136" t="e">
        <f>#REF!-#REF!</f>
        <v>#REF!</v>
      </c>
      <c r="J517" s="136" t="e">
        <f>#REF!-#REF!</f>
        <v>#REF!</v>
      </c>
      <c r="K517" s="136" t="e">
        <f>#REF!-#REF!</f>
        <v>#REF!</v>
      </c>
      <c r="L517" s="136" t="e">
        <f>#REF!-#REF!</f>
        <v>#REF!</v>
      </c>
      <c r="M517" s="136" t="e">
        <f>#REF!-#REF!</f>
        <v>#REF!</v>
      </c>
      <c r="N517" s="136" t="e">
        <f>#REF!-#REF!</f>
        <v>#REF!</v>
      </c>
      <c r="O517" s="136" t="e">
        <f>#REF!-#REF!</f>
        <v>#REF!</v>
      </c>
      <c r="P517" s="136" t="e">
        <f>#REF!-#REF!</f>
        <v>#REF!</v>
      </c>
      <c r="Q517" s="136" t="e">
        <f>#REF!-#REF!</f>
        <v>#REF!</v>
      </c>
      <c r="R517" s="136" t="e">
        <f>#REF!-#REF!</f>
        <v>#REF!</v>
      </c>
      <c r="S517" s="136" t="e">
        <f>#REF!-#REF!</f>
        <v>#REF!</v>
      </c>
      <c r="T517" s="136" t="e">
        <f>#REF!-#REF!</f>
        <v>#REF!</v>
      </c>
      <c r="U517" s="136" t="e">
        <f>#REF!-#REF!</f>
        <v>#REF!</v>
      </c>
      <c r="V517" s="136" t="e">
        <f>#REF!-#REF!</f>
        <v>#REF!</v>
      </c>
      <c r="W517" s="136" t="e">
        <f>#REF!-#REF!</f>
        <v>#REF!</v>
      </c>
      <c r="X517" s="136" t="e">
        <f>#REF!-#REF!</f>
        <v>#REF!</v>
      </c>
      <c r="Y517" s="136" t="e">
        <f>#REF!-#REF!</f>
        <v>#REF!</v>
      </c>
      <c r="Z517" s="136" t="e">
        <f>#REF!-#REF!</f>
        <v>#REF!</v>
      </c>
      <c r="AA517" s="136" t="e">
        <f>#REF!-#REF!</f>
        <v>#REF!</v>
      </c>
      <c r="AB517" s="136" t="e">
        <f>#REF!-#REF!</f>
        <v>#REF!</v>
      </c>
      <c r="AC517" s="136" t="e">
        <f>#REF!-#REF!</f>
        <v>#REF!</v>
      </c>
      <c r="AD517" s="136" t="e">
        <f>#REF!-#REF!</f>
        <v>#REF!</v>
      </c>
      <c r="AE517" s="136" t="e">
        <f>#REF!-#REF!</f>
        <v>#REF!</v>
      </c>
      <c r="AF517" s="136" t="e">
        <f>#REF!-#REF!</f>
        <v>#REF!</v>
      </c>
      <c r="AG517" s="136" t="e">
        <f>#REF!-#REF!</f>
        <v>#REF!</v>
      </c>
      <c r="AH517" s="136" t="e">
        <f>#REF!-#REF!</f>
        <v>#REF!</v>
      </c>
      <c r="AI517" s="136" t="e">
        <f>#REF!-#REF!</f>
        <v>#REF!</v>
      </c>
      <c r="AJ517" s="136" t="e">
        <f>#REF!-#REF!</f>
        <v>#REF!</v>
      </c>
      <c r="AK517" s="136" t="e">
        <f>#REF!-#REF!</f>
        <v>#REF!</v>
      </c>
      <c r="AL517" s="136" t="e">
        <f>#REF!-#REF!</f>
        <v>#REF!</v>
      </c>
      <c r="AM517" s="136" t="e">
        <f>#REF!-#REF!</f>
        <v>#REF!</v>
      </c>
      <c r="AN517" s="136" t="e">
        <f>#REF!-#REF!</f>
        <v>#REF!</v>
      </c>
      <c r="AO517" s="136" t="e">
        <f>#REF!-#REF!</f>
        <v>#REF!</v>
      </c>
      <c r="AP517" s="136" t="e">
        <f>#REF!-#REF!</f>
        <v>#REF!</v>
      </c>
      <c r="AQ517" s="136" t="e">
        <f>#REF!-#REF!</f>
        <v>#REF!</v>
      </c>
      <c r="AR517" s="136" t="e">
        <f>#REF!-#REF!</f>
        <v>#REF!</v>
      </c>
      <c r="AS517" s="136" t="e">
        <f>#REF!-#REF!</f>
        <v>#REF!</v>
      </c>
      <c r="AT517" s="136" t="e">
        <f>#REF!-#REF!</f>
        <v>#REF!</v>
      </c>
      <c r="AU517" s="136" t="e">
        <f>#REF!-#REF!</f>
        <v>#REF!</v>
      </c>
      <c r="AV517" s="136" t="e">
        <f>#REF!-#REF!</f>
        <v>#REF!</v>
      </c>
      <c r="AW517" s="136" t="e">
        <f>#REF!-#REF!</f>
        <v>#REF!</v>
      </c>
      <c r="AX517" s="136" t="e">
        <f>#REF!-#REF!</f>
        <v>#REF!</v>
      </c>
      <c r="AY517" s="136" t="e">
        <f>#REF!-#REF!</f>
        <v>#REF!</v>
      </c>
      <c r="AZ517" s="136" t="e">
        <f>#REF!-#REF!</f>
        <v>#REF!</v>
      </c>
      <c r="BA517" s="136" t="e">
        <f>#REF!-#REF!</f>
        <v>#REF!</v>
      </c>
      <c r="BB517" s="136" t="e">
        <f>#REF!-#REF!</f>
        <v>#REF!</v>
      </c>
      <c r="BC517" s="136" t="e">
        <f>#REF!-#REF!</f>
        <v>#REF!</v>
      </c>
      <c r="BD517" s="136" t="e">
        <f>#REF!-#REF!</f>
        <v>#REF!</v>
      </c>
      <c r="BE517" s="136" t="e">
        <f>#REF!-#REF!</f>
        <v>#REF!</v>
      </c>
      <c r="BF517" s="136" t="e">
        <f>#REF!-#REF!</f>
        <v>#REF!</v>
      </c>
      <c r="BG517" s="136" t="e">
        <f>#REF!-#REF!</f>
        <v>#REF!</v>
      </c>
      <c r="BH517" s="136" t="e">
        <f>#REF!-#REF!</f>
        <v>#REF!</v>
      </c>
      <c r="BI517" s="136" t="e">
        <f>#REF!-#REF!</f>
        <v>#REF!</v>
      </c>
      <c r="BJ517" s="136" t="e">
        <f>#REF!-#REF!</f>
        <v>#REF!</v>
      </c>
      <c r="BK517" s="136" t="e">
        <f>#REF!-#REF!</f>
        <v>#REF!</v>
      </c>
      <c r="BL517" s="136" t="e">
        <f>#REF!-#REF!</f>
        <v>#REF!</v>
      </c>
      <c r="BM517" s="136" t="e">
        <f>#REF!-#REF!</f>
        <v>#REF!</v>
      </c>
      <c r="BN517" s="136" t="e">
        <f>#REF!-#REF!</f>
        <v>#REF!</v>
      </c>
      <c r="BO517" s="136" t="e">
        <f>#REF!-#REF!</f>
        <v>#REF!</v>
      </c>
      <c r="BP517" s="136" t="e">
        <f>#REF!-#REF!</f>
        <v>#REF!</v>
      </c>
      <c r="BQ517" s="136" t="e">
        <f>#REF!-#REF!</f>
        <v>#REF!</v>
      </c>
      <c r="BR517" s="136" t="e">
        <f>#REF!-#REF!</f>
        <v>#REF!</v>
      </c>
      <c r="BS517" s="136" t="e">
        <f>#REF!-#REF!</f>
        <v>#REF!</v>
      </c>
      <c r="BT517" s="136" t="e">
        <f>#REF!-#REF!</f>
        <v>#REF!</v>
      </c>
      <c r="BU517" s="136" t="e">
        <f>#REF!-#REF!</f>
        <v>#REF!</v>
      </c>
      <c r="BV517" s="136" t="e">
        <f>#REF!-#REF!</f>
        <v>#REF!</v>
      </c>
      <c r="BW517" s="136" t="e">
        <f>#REF!-#REF!</f>
        <v>#REF!</v>
      </c>
      <c r="BX517" s="136" t="e">
        <f>#REF!-#REF!</f>
        <v>#REF!</v>
      </c>
      <c r="BZ517" s="136" t="e">
        <f>#REF!-#REF!</f>
        <v>#REF!</v>
      </c>
      <c r="CA517" s="136" t="e">
        <f>#REF!-#REF!</f>
        <v>#REF!</v>
      </c>
    </row>
    <row r="518" spans="7:79" hidden="1" x14ac:dyDescent="0.3">
      <c r="G518" s="136" t="e">
        <f>#REF!-#REF!</f>
        <v>#REF!</v>
      </c>
      <c r="H518" s="136" t="e">
        <f>#REF!-#REF!</f>
        <v>#REF!</v>
      </c>
      <c r="I518" s="136" t="e">
        <f>#REF!-#REF!</f>
        <v>#REF!</v>
      </c>
      <c r="J518" s="136" t="e">
        <f>#REF!-#REF!</f>
        <v>#REF!</v>
      </c>
      <c r="K518" s="136" t="e">
        <f>#REF!-#REF!</f>
        <v>#REF!</v>
      </c>
      <c r="L518" s="136" t="e">
        <f>#REF!-#REF!</f>
        <v>#REF!</v>
      </c>
      <c r="M518" s="136" t="e">
        <f>#REF!-#REF!</f>
        <v>#REF!</v>
      </c>
      <c r="N518" s="136" t="e">
        <f>#REF!-#REF!</f>
        <v>#REF!</v>
      </c>
      <c r="O518" s="136" t="e">
        <f>#REF!-#REF!</f>
        <v>#REF!</v>
      </c>
      <c r="P518" s="136" t="e">
        <f>#REF!-#REF!</f>
        <v>#REF!</v>
      </c>
      <c r="Q518" s="136" t="e">
        <f>#REF!-#REF!</f>
        <v>#REF!</v>
      </c>
      <c r="R518" s="136" t="e">
        <f>#REF!-#REF!</f>
        <v>#REF!</v>
      </c>
      <c r="S518" s="136" t="e">
        <f>#REF!-#REF!</f>
        <v>#REF!</v>
      </c>
      <c r="T518" s="136" t="e">
        <f>#REF!-#REF!</f>
        <v>#REF!</v>
      </c>
      <c r="U518" s="136" t="e">
        <f>#REF!-#REF!</f>
        <v>#REF!</v>
      </c>
      <c r="V518" s="136" t="e">
        <f>#REF!-#REF!</f>
        <v>#REF!</v>
      </c>
      <c r="W518" s="136" t="e">
        <f>#REF!-#REF!</f>
        <v>#REF!</v>
      </c>
      <c r="X518" s="136" t="e">
        <f>#REF!-#REF!</f>
        <v>#REF!</v>
      </c>
      <c r="Y518" s="136" t="e">
        <f>#REF!-#REF!</f>
        <v>#REF!</v>
      </c>
      <c r="Z518" s="136" t="e">
        <f>#REF!-#REF!</f>
        <v>#REF!</v>
      </c>
      <c r="AA518" s="136" t="e">
        <f>#REF!-#REF!</f>
        <v>#REF!</v>
      </c>
      <c r="AB518" s="136" t="e">
        <f>#REF!-#REF!</f>
        <v>#REF!</v>
      </c>
      <c r="AC518" s="136" t="e">
        <f>#REF!-#REF!</f>
        <v>#REF!</v>
      </c>
      <c r="AD518" s="136" t="e">
        <f>#REF!-#REF!</f>
        <v>#REF!</v>
      </c>
      <c r="AE518" s="136" t="e">
        <f>#REF!-#REF!</f>
        <v>#REF!</v>
      </c>
      <c r="AF518" s="136" t="e">
        <f>#REF!-#REF!</f>
        <v>#REF!</v>
      </c>
      <c r="AG518" s="136" t="e">
        <f>#REF!-#REF!</f>
        <v>#REF!</v>
      </c>
      <c r="AH518" s="136" t="e">
        <f>#REF!-#REF!</f>
        <v>#REF!</v>
      </c>
      <c r="AI518" s="136" t="e">
        <f>#REF!-#REF!</f>
        <v>#REF!</v>
      </c>
      <c r="AJ518" s="136" t="e">
        <f>#REF!-#REF!</f>
        <v>#REF!</v>
      </c>
      <c r="AK518" s="136" t="e">
        <f>#REF!-#REF!</f>
        <v>#REF!</v>
      </c>
      <c r="AL518" s="136" t="e">
        <f>#REF!-#REF!</f>
        <v>#REF!</v>
      </c>
      <c r="AM518" s="136" t="e">
        <f>#REF!-#REF!</f>
        <v>#REF!</v>
      </c>
      <c r="AN518" s="136" t="e">
        <f>#REF!-#REF!</f>
        <v>#REF!</v>
      </c>
      <c r="AO518" s="136" t="e">
        <f>#REF!-#REF!</f>
        <v>#REF!</v>
      </c>
      <c r="AP518" s="136" t="e">
        <f>#REF!-#REF!</f>
        <v>#REF!</v>
      </c>
      <c r="AQ518" s="136" t="e">
        <f>#REF!-#REF!</f>
        <v>#REF!</v>
      </c>
      <c r="AR518" s="136" t="e">
        <f>#REF!-#REF!</f>
        <v>#REF!</v>
      </c>
      <c r="AS518" s="136" t="e">
        <f>#REF!-#REF!</f>
        <v>#REF!</v>
      </c>
      <c r="AT518" s="136" t="e">
        <f>#REF!-#REF!</f>
        <v>#REF!</v>
      </c>
      <c r="AU518" s="136" t="e">
        <f>#REF!-#REF!</f>
        <v>#REF!</v>
      </c>
      <c r="AV518" s="136" t="e">
        <f>#REF!-#REF!</f>
        <v>#REF!</v>
      </c>
      <c r="AW518" s="136" t="e">
        <f>#REF!-#REF!</f>
        <v>#REF!</v>
      </c>
      <c r="AX518" s="136" t="e">
        <f>#REF!-#REF!</f>
        <v>#REF!</v>
      </c>
      <c r="AY518" s="136" t="e">
        <f>#REF!-#REF!</f>
        <v>#REF!</v>
      </c>
      <c r="AZ518" s="136" t="e">
        <f>#REF!-#REF!</f>
        <v>#REF!</v>
      </c>
      <c r="BA518" s="136" t="e">
        <f>#REF!-#REF!</f>
        <v>#REF!</v>
      </c>
      <c r="BB518" s="136" t="e">
        <f>#REF!-#REF!</f>
        <v>#REF!</v>
      </c>
      <c r="BC518" s="136" t="e">
        <f>#REF!-#REF!</f>
        <v>#REF!</v>
      </c>
      <c r="BD518" s="136" t="e">
        <f>#REF!-#REF!</f>
        <v>#REF!</v>
      </c>
      <c r="BE518" s="136" t="e">
        <f>#REF!-#REF!</f>
        <v>#REF!</v>
      </c>
      <c r="BF518" s="136" t="e">
        <f>#REF!-#REF!</f>
        <v>#REF!</v>
      </c>
      <c r="BG518" s="136" t="e">
        <f>#REF!-#REF!</f>
        <v>#REF!</v>
      </c>
      <c r="BH518" s="136" t="e">
        <f>#REF!-#REF!</f>
        <v>#REF!</v>
      </c>
      <c r="BI518" s="136" t="e">
        <f>#REF!-#REF!</f>
        <v>#REF!</v>
      </c>
      <c r="BJ518" s="136" t="e">
        <f>#REF!-#REF!</f>
        <v>#REF!</v>
      </c>
      <c r="BK518" s="136" t="e">
        <f>#REF!-#REF!</f>
        <v>#REF!</v>
      </c>
      <c r="BL518" s="136" t="e">
        <f>#REF!-#REF!</f>
        <v>#REF!</v>
      </c>
      <c r="BM518" s="136" t="e">
        <f>#REF!-#REF!</f>
        <v>#REF!</v>
      </c>
      <c r="BN518" s="136" t="e">
        <f>#REF!-#REF!</f>
        <v>#REF!</v>
      </c>
      <c r="BO518" s="136" t="e">
        <f>#REF!-#REF!</f>
        <v>#REF!</v>
      </c>
      <c r="BP518" s="136" t="e">
        <f>#REF!-#REF!</f>
        <v>#REF!</v>
      </c>
      <c r="BQ518" s="136" t="e">
        <f>#REF!-#REF!</f>
        <v>#REF!</v>
      </c>
      <c r="BR518" s="136" t="e">
        <f>#REF!-#REF!</f>
        <v>#REF!</v>
      </c>
      <c r="BS518" s="136" t="e">
        <f>#REF!-#REF!</f>
        <v>#REF!</v>
      </c>
      <c r="BT518" s="136" t="e">
        <f>#REF!-#REF!</f>
        <v>#REF!</v>
      </c>
      <c r="BU518" s="136" t="e">
        <f>#REF!-#REF!</f>
        <v>#REF!</v>
      </c>
      <c r="BV518" s="136" t="e">
        <f>#REF!-#REF!</f>
        <v>#REF!</v>
      </c>
      <c r="BW518" s="136" t="e">
        <f>#REF!-#REF!</f>
        <v>#REF!</v>
      </c>
      <c r="BX518" s="136" t="e">
        <f>#REF!-#REF!</f>
        <v>#REF!</v>
      </c>
      <c r="BZ518" s="136" t="e">
        <f>#REF!-#REF!</f>
        <v>#REF!</v>
      </c>
      <c r="CA518" s="136" t="e">
        <f>#REF!-#REF!</f>
        <v>#REF!</v>
      </c>
    </row>
    <row r="519" spans="7:79" hidden="1" x14ac:dyDescent="0.3">
      <c r="G519" s="136" t="e">
        <f>#REF!-#REF!</f>
        <v>#REF!</v>
      </c>
      <c r="H519" s="136" t="e">
        <f>#REF!-#REF!</f>
        <v>#REF!</v>
      </c>
      <c r="I519" s="136" t="e">
        <f>#REF!-#REF!</f>
        <v>#REF!</v>
      </c>
      <c r="J519" s="136" t="e">
        <f>#REF!-#REF!</f>
        <v>#REF!</v>
      </c>
      <c r="K519" s="136" t="e">
        <f>#REF!-#REF!</f>
        <v>#REF!</v>
      </c>
      <c r="L519" s="136" t="e">
        <f>#REF!-#REF!</f>
        <v>#REF!</v>
      </c>
      <c r="M519" s="136" t="e">
        <f>#REF!-#REF!</f>
        <v>#REF!</v>
      </c>
      <c r="N519" s="136" t="e">
        <f>#REF!-#REF!</f>
        <v>#REF!</v>
      </c>
      <c r="O519" s="136" t="e">
        <f>#REF!-#REF!</f>
        <v>#REF!</v>
      </c>
      <c r="P519" s="136" t="e">
        <f>#REF!-#REF!</f>
        <v>#REF!</v>
      </c>
      <c r="Q519" s="136" t="e">
        <f>#REF!-#REF!</f>
        <v>#REF!</v>
      </c>
      <c r="R519" s="136" t="e">
        <f>#REF!-#REF!</f>
        <v>#REF!</v>
      </c>
      <c r="S519" s="136" t="e">
        <f>#REF!-#REF!</f>
        <v>#REF!</v>
      </c>
      <c r="T519" s="136" t="e">
        <f>#REF!-#REF!</f>
        <v>#REF!</v>
      </c>
      <c r="U519" s="136" t="e">
        <f>#REF!-#REF!</f>
        <v>#REF!</v>
      </c>
      <c r="V519" s="136" t="e">
        <f>#REF!-#REF!</f>
        <v>#REF!</v>
      </c>
      <c r="W519" s="136" t="e">
        <f>#REF!-#REF!</f>
        <v>#REF!</v>
      </c>
      <c r="X519" s="136" t="e">
        <f>#REF!-#REF!</f>
        <v>#REF!</v>
      </c>
      <c r="Y519" s="136" t="e">
        <f>#REF!-#REF!</f>
        <v>#REF!</v>
      </c>
      <c r="Z519" s="136" t="e">
        <f>#REF!-#REF!</f>
        <v>#REF!</v>
      </c>
      <c r="AA519" s="136" t="e">
        <f>#REF!-#REF!</f>
        <v>#REF!</v>
      </c>
      <c r="AB519" s="136" t="e">
        <f>#REF!-#REF!</f>
        <v>#REF!</v>
      </c>
      <c r="AC519" s="136" t="e">
        <f>#REF!-#REF!</f>
        <v>#REF!</v>
      </c>
      <c r="AD519" s="136" t="e">
        <f>#REF!-#REF!</f>
        <v>#REF!</v>
      </c>
      <c r="AE519" s="136" t="e">
        <f>#REF!-#REF!</f>
        <v>#REF!</v>
      </c>
      <c r="AF519" s="136" t="e">
        <f>#REF!-#REF!</f>
        <v>#REF!</v>
      </c>
      <c r="AG519" s="136" t="e">
        <f>#REF!-#REF!</f>
        <v>#REF!</v>
      </c>
      <c r="AH519" s="136" t="e">
        <f>#REF!-#REF!</f>
        <v>#REF!</v>
      </c>
      <c r="AI519" s="136" t="e">
        <f>#REF!-#REF!</f>
        <v>#REF!</v>
      </c>
      <c r="AJ519" s="136" t="e">
        <f>#REF!-#REF!</f>
        <v>#REF!</v>
      </c>
      <c r="AK519" s="136" t="e">
        <f>#REF!-#REF!</f>
        <v>#REF!</v>
      </c>
      <c r="AL519" s="136" t="e">
        <f>#REF!-#REF!</f>
        <v>#REF!</v>
      </c>
      <c r="AM519" s="136" t="e">
        <f>#REF!-#REF!</f>
        <v>#REF!</v>
      </c>
      <c r="AN519" s="136" t="e">
        <f>#REF!-#REF!</f>
        <v>#REF!</v>
      </c>
      <c r="AO519" s="136" t="e">
        <f>#REF!-#REF!</f>
        <v>#REF!</v>
      </c>
      <c r="AP519" s="136" t="e">
        <f>#REF!-#REF!</f>
        <v>#REF!</v>
      </c>
      <c r="AQ519" s="136" t="e">
        <f>#REF!-#REF!</f>
        <v>#REF!</v>
      </c>
      <c r="AR519" s="136" t="e">
        <f>#REF!-#REF!</f>
        <v>#REF!</v>
      </c>
      <c r="AS519" s="136" t="e">
        <f>#REF!-#REF!</f>
        <v>#REF!</v>
      </c>
      <c r="AT519" s="136" t="e">
        <f>#REF!-#REF!</f>
        <v>#REF!</v>
      </c>
      <c r="AU519" s="136" t="e">
        <f>#REF!-#REF!</f>
        <v>#REF!</v>
      </c>
      <c r="AV519" s="136" t="e">
        <f>#REF!-#REF!</f>
        <v>#REF!</v>
      </c>
      <c r="AW519" s="136" t="e">
        <f>#REF!-#REF!</f>
        <v>#REF!</v>
      </c>
      <c r="AX519" s="136" t="e">
        <f>#REF!-#REF!</f>
        <v>#REF!</v>
      </c>
      <c r="AY519" s="136" t="e">
        <f>#REF!-#REF!</f>
        <v>#REF!</v>
      </c>
      <c r="AZ519" s="136" t="e">
        <f>#REF!-#REF!</f>
        <v>#REF!</v>
      </c>
      <c r="BA519" s="136" t="e">
        <f>#REF!-#REF!</f>
        <v>#REF!</v>
      </c>
      <c r="BB519" s="136" t="e">
        <f>#REF!-#REF!</f>
        <v>#REF!</v>
      </c>
      <c r="BC519" s="136" t="e">
        <f>#REF!-#REF!</f>
        <v>#REF!</v>
      </c>
      <c r="BD519" s="136" t="e">
        <f>#REF!-#REF!</f>
        <v>#REF!</v>
      </c>
      <c r="BE519" s="136" t="e">
        <f>#REF!-#REF!</f>
        <v>#REF!</v>
      </c>
      <c r="BF519" s="136" t="e">
        <f>#REF!-#REF!</f>
        <v>#REF!</v>
      </c>
      <c r="BG519" s="136" t="e">
        <f>#REF!-#REF!</f>
        <v>#REF!</v>
      </c>
      <c r="BH519" s="136" t="e">
        <f>#REF!-#REF!</f>
        <v>#REF!</v>
      </c>
      <c r="BI519" s="136" t="e">
        <f>#REF!-#REF!</f>
        <v>#REF!</v>
      </c>
      <c r="BJ519" s="136" t="e">
        <f>#REF!-#REF!</f>
        <v>#REF!</v>
      </c>
      <c r="BK519" s="136" t="e">
        <f>#REF!-#REF!</f>
        <v>#REF!</v>
      </c>
      <c r="BL519" s="136" t="e">
        <f>#REF!-#REF!</f>
        <v>#REF!</v>
      </c>
      <c r="BM519" s="136" t="e">
        <f>#REF!-#REF!</f>
        <v>#REF!</v>
      </c>
      <c r="BN519" s="136" t="e">
        <f>#REF!-#REF!</f>
        <v>#REF!</v>
      </c>
      <c r="BO519" s="136" t="e">
        <f>#REF!-#REF!</f>
        <v>#REF!</v>
      </c>
      <c r="BP519" s="136" t="e">
        <f>#REF!-#REF!</f>
        <v>#REF!</v>
      </c>
      <c r="BQ519" s="136" t="e">
        <f>#REF!-#REF!</f>
        <v>#REF!</v>
      </c>
      <c r="BR519" s="136" t="e">
        <f>#REF!-#REF!</f>
        <v>#REF!</v>
      </c>
      <c r="BS519" s="136" t="e">
        <f>#REF!-#REF!</f>
        <v>#REF!</v>
      </c>
      <c r="BT519" s="136" t="e">
        <f>#REF!-#REF!</f>
        <v>#REF!</v>
      </c>
      <c r="BU519" s="136" t="e">
        <f>#REF!-#REF!</f>
        <v>#REF!</v>
      </c>
      <c r="BV519" s="136" t="e">
        <f>#REF!-#REF!</f>
        <v>#REF!</v>
      </c>
      <c r="BW519" s="136" t="e">
        <f>#REF!-#REF!</f>
        <v>#REF!</v>
      </c>
      <c r="BX519" s="136" t="e">
        <f>#REF!-#REF!</f>
        <v>#REF!</v>
      </c>
      <c r="BZ519" s="136" t="e">
        <f>#REF!-#REF!</f>
        <v>#REF!</v>
      </c>
      <c r="CA519" s="136" t="e">
        <f>#REF!-#REF!</f>
        <v>#REF!</v>
      </c>
    </row>
    <row r="520" spans="7:79" hidden="1" x14ac:dyDescent="0.3">
      <c r="G520" s="136" t="e">
        <f>#REF!-#REF!</f>
        <v>#REF!</v>
      </c>
      <c r="H520" s="136" t="e">
        <f>#REF!-#REF!</f>
        <v>#REF!</v>
      </c>
      <c r="I520" s="136" t="e">
        <f>#REF!-#REF!</f>
        <v>#REF!</v>
      </c>
      <c r="J520" s="136" t="e">
        <f>#REF!-#REF!</f>
        <v>#REF!</v>
      </c>
      <c r="K520" s="136" t="e">
        <f>#REF!-#REF!</f>
        <v>#REF!</v>
      </c>
      <c r="L520" s="136" t="e">
        <f>#REF!-#REF!</f>
        <v>#REF!</v>
      </c>
      <c r="M520" s="136" t="e">
        <f>#REF!-#REF!</f>
        <v>#REF!</v>
      </c>
      <c r="N520" s="136" t="e">
        <f>#REF!-#REF!</f>
        <v>#REF!</v>
      </c>
      <c r="O520" s="136" t="e">
        <f>#REF!-#REF!</f>
        <v>#REF!</v>
      </c>
      <c r="P520" s="136" t="e">
        <f>#REF!-#REF!</f>
        <v>#REF!</v>
      </c>
      <c r="Q520" s="136" t="e">
        <f>#REF!-#REF!</f>
        <v>#REF!</v>
      </c>
      <c r="R520" s="136" t="e">
        <f>#REF!-#REF!</f>
        <v>#REF!</v>
      </c>
      <c r="S520" s="136" t="e">
        <f>#REF!-#REF!</f>
        <v>#REF!</v>
      </c>
      <c r="T520" s="136" t="e">
        <f>#REF!-#REF!</f>
        <v>#REF!</v>
      </c>
      <c r="U520" s="136" t="e">
        <f>#REF!-#REF!</f>
        <v>#REF!</v>
      </c>
      <c r="V520" s="136" t="e">
        <f>#REF!-#REF!</f>
        <v>#REF!</v>
      </c>
      <c r="W520" s="136" t="e">
        <f>#REF!-#REF!</f>
        <v>#REF!</v>
      </c>
      <c r="X520" s="136" t="e">
        <f>#REF!-#REF!</f>
        <v>#REF!</v>
      </c>
      <c r="Y520" s="136" t="e">
        <f>#REF!-#REF!</f>
        <v>#REF!</v>
      </c>
      <c r="Z520" s="136" t="e">
        <f>#REF!-#REF!</f>
        <v>#REF!</v>
      </c>
      <c r="AA520" s="136" t="e">
        <f>#REF!-#REF!</f>
        <v>#REF!</v>
      </c>
      <c r="AB520" s="136" t="e">
        <f>#REF!-#REF!</f>
        <v>#REF!</v>
      </c>
      <c r="AC520" s="136" t="e">
        <f>#REF!-#REF!</f>
        <v>#REF!</v>
      </c>
      <c r="AD520" s="136" t="e">
        <f>#REF!-#REF!</f>
        <v>#REF!</v>
      </c>
      <c r="AE520" s="136" t="e">
        <f>#REF!-#REF!</f>
        <v>#REF!</v>
      </c>
      <c r="AF520" s="136" t="e">
        <f>#REF!-#REF!</f>
        <v>#REF!</v>
      </c>
      <c r="AG520" s="136" t="e">
        <f>#REF!-#REF!</f>
        <v>#REF!</v>
      </c>
      <c r="AH520" s="136" t="e">
        <f>#REF!-#REF!</f>
        <v>#REF!</v>
      </c>
      <c r="AI520" s="136" t="e">
        <f>#REF!-#REF!</f>
        <v>#REF!</v>
      </c>
      <c r="AJ520" s="136" t="e">
        <f>#REF!-#REF!</f>
        <v>#REF!</v>
      </c>
      <c r="AK520" s="136" t="e">
        <f>#REF!-#REF!</f>
        <v>#REF!</v>
      </c>
      <c r="AL520" s="136" t="e">
        <f>#REF!-#REF!</f>
        <v>#REF!</v>
      </c>
      <c r="AM520" s="136" t="e">
        <f>#REF!-#REF!</f>
        <v>#REF!</v>
      </c>
      <c r="AN520" s="136" t="e">
        <f>#REF!-#REF!</f>
        <v>#REF!</v>
      </c>
      <c r="AO520" s="136" t="e">
        <f>#REF!-#REF!</f>
        <v>#REF!</v>
      </c>
      <c r="AP520" s="136" t="e">
        <f>#REF!-#REF!</f>
        <v>#REF!</v>
      </c>
      <c r="AQ520" s="136" t="e">
        <f>#REF!-#REF!</f>
        <v>#REF!</v>
      </c>
      <c r="AR520" s="136" t="e">
        <f>#REF!-#REF!</f>
        <v>#REF!</v>
      </c>
      <c r="AS520" s="136" t="e">
        <f>#REF!-#REF!</f>
        <v>#REF!</v>
      </c>
      <c r="AT520" s="136" t="e">
        <f>#REF!-#REF!</f>
        <v>#REF!</v>
      </c>
      <c r="AU520" s="136" t="e">
        <f>#REF!-#REF!</f>
        <v>#REF!</v>
      </c>
      <c r="AV520" s="136" t="e">
        <f>#REF!-#REF!</f>
        <v>#REF!</v>
      </c>
      <c r="AW520" s="136" t="e">
        <f>#REF!-#REF!</f>
        <v>#REF!</v>
      </c>
      <c r="AX520" s="136" t="e">
        <f>#REF!-#REF!</f>
        <v>#REF!</v>
      </c>
      <c r="AY520" s="136" t="e">
        <f>#REF!-#REF!</f>
        <v>#REF!</v>
      </c>
      <c r="AZ520" s="136" t="e">
        <f>#REF!-#REF!</f>
        <v>#REF!</v>
      </c>
      <c r="BA520" s="136" t="e">
        <f>#REF!-#REF!</f>
        <v>#REF!</v>
      </c>
      <c r="BB520" s="136" t="e">
        <f>#REF!-#REF!</f>
        <v>#REF!</v>
      </c>
      <c r="BC520" s="136" t="e">
        <f>#REF!-#REF!</f>
        <v>#REF!</v>
      </c>
      <c r="BD520" s="136" t="e">
        <f>#REF!-#REF!</f>
        <v>#REF!</v>
      </c>
      <c r="BE520" s="136" t="e">
        <f>#REF!-#REF!</f>
        <v>#REF!</v>
      </c>
      <c r="BF520" s="136" t="e">
        <f>#REF!-#REF!</f>
        <v>#REF!</v>
      </c>
      <c r="BG520" s="136" t="e">
        <f>#REF!-#REF!</f>
        <v>#REF!</v>
      </c>
      <c r="BH520" s="136" t="e">
        <f>#REF!-#REF!</f>
        <v>#REF!</v>
      </c>
      <c r="BI520" s="136" t="e">
        <f>#REF!-#REF!</f>
        <v>#REF!</v>
      </c>
      <c r="BJ520" s="136" t="e">
        <f>#REF!-#REF!</f>
        <v>#REF!</v>
      </c>
      <c r="BK520" s="136" t="e">
        <f>#REF!-#REF!</f>
        <v>#REF!</v>
      </c>
      <c r="BL520" s="136" t="e">
        <f>#REF!-#REF!</f>
        <v>#REF!</v>
      </c>
      <c r="BM520" s="136" t="e">
        <f>#REF!-#REF!</f>
        <v>#REF!</v>
      </c>
      <c r="BN520" s="136" t="e">
        <f>#REF!-#REF!</f>
        <v>#REF!</v>
      </c>
      <c r="BO520" s="136" t="e">
        <f>#REF!-#REF!</f>
        <v>#REF!</v>
      </c>
      <c r="BP520" s="136" t="e">
        <f>#REF!-#REF!</f>
        <v>#REF!</v>
      </c>
      <c r="BQ520" s="136" t="e">
        <f>#REF!-#REF!</f>
        <v>#REF!</v>
      </c>
      <c r="BR520" s="136" t="e">
        <f>#REF!-#REF!</f>
        <v>#REF!</v>
      </c>
      <c r="BS520" s="136" t="e">
        <f>#REF!-#REF!</f>
        <v>#REF!</v>
      </c>
      <c r="BT520" s="136" t="e">
        <f>#REF!-#REF!</f>
        <v>#REF!</v>
      </c>
      <c r="BU520" s="136" t="e">
        <f>#REF!-#REF!</f>
        <v>#REF!</v>
      </c>
      <c r="BV520" s="136" t="e">
        <f>#REF!-#REF!</f>
        <v>#REF!</v>
      </c>
      <c r="BW520" s="136" t="e">
        <f>#REF!-#REF!</f>
        <v>#REF!</v>
      </c>
      <c r="BX520" s="136" t="e">
        <f>#REF!-#REF!</f>
        <v>#REF!</v>
      </c>
      <c r="BZ520" s="136" t="e">
        <f>#REF!-#REF!</f>
        <v>#REF!</v>
      </c>
      <c r="CA520" s="136" t="e">
        <f>#REF!-#REF!</f>
        <v>#REF!</v>
      </c>
    </row>
    <row r="521" spans="7:79" hidden="1" x14ac:dyDescent="0.3">
      <c r="G521" s="136" t="e">
        <f>#REF!-#REF!</f>
        <v>#REF!</v>
      </c>
      <c r="H521" s="136" t="e">
        <f>#REF!-#REF!</f>
        <v>#REF!</v>
      </c>
      <c r="I521" s="136" t="e">
        <f>#REF!-#REF!</f>
        <v>#REF!</v>
      </c>
      <c r="J521" s="136" t="e">
        <f>#REF!-#REF!</f>
        <v>#REF!</v>
      </c>
      <c r="K521" s="136" t="e">
        <f>#REF!-#REF!</f>
        <v>#REF!</v>
      </c>
      <c r="L521" s="136" t="e">
        <f>#REF!-#REF!</f>
        <v>#REF!</v>
      </c>
      <c r="M521" s="136" t="e">
        <f>#REF!-#REF!</f>
        <v>#REF!</v>
      </c>
      <c r="N521" s="136" t="e">
        <f>#REF!-#REF!</f>
        <v>#REF!</v>
      </c>
      <c r="O521" s="136" t="e">
        <f>#REF!-#REF!</f>
        <v>#REF!</v>
      </c>
      <c r="P521" s="136" t="e">
        <f>#REF!-#REF!</f>
        <v>#REF!</v>
      </c>
      <c r="Q521" s="136" t="e">
        <f>#REF!-#REF!</f>
        <v>#REF!</v>
      </c>
      <c r="R521" s="136" t="e">
        <f>#REF!-#REF!</f>
        <v>#REF!</v>
      </c>
      <c r="S521" s="136" t="e">
        <f>#REF!-#REF!</f>
        <v>#REF!</v>
      </c>
      <c r="T521" s="136" t="e">
        <f>#REF!-#REF!</f>
        <v>#REF!</v>
      </c>
      <c r="U521" s="136" t="e">
        <f>#REF!-#REF!</f>
        <v>#REF!</v>
      </c>
      <c r="V521" s="136" t="e">
        <f>#REF!-#REF!</f>
        <v>#REF!</v>
      </c>
      <c r="W521" s="136" t="e">
        <f>#REF!-#REF!</f>
        <v>#REF!</v>
      </c>
      <c r="X521" s="136" t="e">
        <f>#REF!-#REF!</f>
        <v>#REF!</v>
      </c>
      <c r="Y521" s="136" t="e">
        <f>#REF!-#REF!</f>
        <v>#REF!</v>
      </c>
      <c r="Z521" s="136" t="e">
        <f>#REF!-#REF!</f>
        <v>#REF!</v>
      </c>
      <c r="AA521" s="136" t="e">
        <f>#REF!-#REF!</f>
        <v>#REF!</v>
      </c>
      <c r="AB521" s="136" t="e">
        <f>#REF!-#REF!</f>
        <v>#REF!</v>
      </c>
      <c r="AC521" s="136" t="e">
        <f>#REF!-#REF!</f>
        <v>#REF!</v>
      </c>
      <c r="AD521" s="136" t="e">
        <f>#REF!-#REF!</f>
        <v>#REF!</v>
      </c>
      <c r="AE521" s="136" t="e">
        <f>#REF!-#REF!</f>
        <v>#REF!</v>
      </c>
      <c r="AF521" s="136" t="e">
        <f>#REF!-#REF!</f>
        <v>#REF!</v>
      </c>
      <c r="AG521" s="136" t="e">
        <f>#REF!-#REF!</f>
        <v>#REF!</v>
      </c>
      <c r="AH521" s="136" t="e">
        <f>#REF!-#REF!</f>
        <v>#REF!</v>
      </c>
      <c r="AI521" s="136" t="e">
        <f>#REF!-#REF!</f>
        <v>#REF!</v>
      </c>
      <c r="AJ521" s="136" t="e">
        <f>#REF!-#REF!</f>
        <v>#REF!</v>
      </c>
      <c r="AK521" s="136" t="e">
        <f>#REF!-#REF!</f>
        <v>#REF!</v>
      </c>
      <c r="AL521" s="136" t="e">
        <f>#REF!-#REF!</f>
        <v>#REF!</v>
      </c>
      <c r="AM521" s="136" t="e">
        <f>#REF!-#REF!</f>
        <v>#REF!</v>
      </c>
      <c r="AN521" s="136" t="e">
        <f>#REF!-#REF!</f>
        <v>#REF!</v>
      </c>
      <c r="AO521" s="136" t="e">
        <f>#REF!-#REF!</f>
        <v>#REF!</v>
      </c>
      <c r="AP521" s="136" t="e">
        <f>#REF!-#REF!</f>
        <v>#REF!</v>
      </c>
      <c r="AQ521" s="136" t="e">
        <f>#REF!-#REF!</f>
        <v>#REF!</v>
      </c>
      <c r="AR521" s="136" t="e">
        <f>#REF!-#REF!</f>
        <v>#REF!</v>
      </c>
      <c r="AS521" s="136" t="e">
        <f>#REF!-#REF!</f>
        <v>#REF!</v>
      </c>
      <c r="AT521" s="136" t="e">
        <f>#REF!-#REF!</f>
        <v>#REF!</v>
      </c>
      <c r="AU521" s="136" t="e">
        <f>#REF!-#REF!</f>
        <v>#REF!</v>
      </c>
      <c r="AV521" s="136" t="e">
        <f>#REF!-#REF!</f>
        <v>#REF!</v>
      </c>
      <c r="AW521" s="136" t="e">
        <f>#REF!-#REF!</f>
        <v>#REF!</v>
      </c>
      <c r="AX521" s="136" t="e">
        <f>#REF!-#REF!</f>
        <v>#REF!</v>
      </c>
      <c r="AY521" s="136" t="e">
        <f>#REF!-#REF!</f>
        <v>#REF!</v>
      </c>
      <c r="AZ521" s="136" t="e">
        <f>#REF!-#REF!</f>
        <v>#REF!</v>
      </c>
      <c r="BA521" s="136" t="e">
        <f>#REF!-#REF!</f>
        <v>#REF!</v>
      </c>
      <c r="BB521" s="136" t="e">
        <f>#REF!-#REF!</f>
        <v>#REF!</v>
      </c>
      <c r="BC521" s="136" t="e">
        <f>#REF!-#REF!</f>
        <v>#REF!</v>
      </c>
      <c r="BD521" s="136" t="e">
        <f>#REF!-#REF!</f>
        <v>#REF!</v>
      </c>
      <c r="BE521" s="136" t="e">
        <f>#REF!-#REF!</f>
        <v>#REF!</v>
      </c>
      <c r="BF521" s="136" t="e">
        <f>#REF!-#REF!</f>
        <v>#REF!</v>
      </c>
      <c r="BG521" s="136" t="e">
        <f>#REF!-#REF!</f>
        <v>#REF!</v>
      </c>
      <c r="BH521" s="136" t="e">
        <f>#REF!-#REF!</f>
        <v>#REF!</v>
      </c>
      <c r="BI521" s="136" t="e">
        <f>#REF!-#REF!</f>
        <v>#REF!</v>
      </c>
      <c r="BJ521" s="136" t="e">
        <f>#REF!-#REF!</f>
        <v>#REF!</v>
      </c>
      <c r="BK521" s="136" t="e">
        <f>#REF!-#REF!</f>
        <v>#REF!</v>
      </c>
      <c r="BL521" s="136" t="e">
        <f>#REF!-#REF!</f>
        <v>#REF!</v>
      </c>
      <c r="BM521" s="136" t="e">
        <f>#REF!-#REF!</f>
        <v>#REF!</v>
      </c>
      <c r="BN521" s="136" t="e">
        <f>#REF!-#REF!</f>
        <v>#REF!</v>
      </c>
      <c r="BO521" s="136" t="e">
        <f>#REF!-#REF!</f>
        <v>#REF!</v>
      </c>
      <c r="BP521" s="136" t="e">
        <f>#REF!-#REF!</f>
        <v>#REF!</v>
      </c>
      <c r="BQ521" s="136" t="e">
        <f>#REF!-#REF!</f>
        <v>#REF!</v>
      </c>
      <c r="BR521" s="136" t="e">
        <f>#REF!-#REF!</f>
        <v>#REF!</v>
      </c>
      <c r="BS521" s="136" t="e">
        <f>#REF!-#REF!</f>
        <v>#REF!</v>
      </c>
      <c r="BT521" s="136" t="e">
        <f>#REF!-#REF!</f>
        <v>#REF!</v>
      </c>
      <c r="BU521" s="136" t="e">
        <f>#REF!-#REF!</f>
        <v>#REF!</v>
      </c>
      <c r="BV521" s="136" t="e">
        <f>#REF!-#REF!</f>
        <v>#REF!</v>
      </c>
      <c r="BW521" s="136" t="e">
        <f>#REF!-#REF!</f>
        <v>#REF!</v>
      </c>
      <c r="BX521" s="136" t="e">
        <f>#REF!-#REF!</f>
        <v>#REF!</v>
      </c>
      <c r="BZ521" s="136" t="e">
        <f>#REF!-#REF!</f>
        <v>#REF!</v>
      </c>
      <c r="CA521" s="136" t="e">
        <f>#REF!-#REF!</f>
        <v>#REF!</v>
      </c>
    </row>
    <row r="522" spans="7:79" hidden="1" x14ac:dyDescent="0.3">
      <c r="G522" s="136" t="e">
        <f>#REF!-#REF!</f>
        <v>#REF!</v>
      </c>
      <c r="H522" s="136" t="e">
        <f>#REF!-#REF!</f>
        <v>#REF!</v>
      </c>
      <c r="I522" s="136" t="e">
        <f>#REF!-#REF!</f>
        <v>#REF!</v>
      </c>
      <c r="J522" s="136" t="e">
        <f>#REF!-#REF!</f>
        <v>#REF!</v>
      </c>
      <c r="K522" s="136" t="e">
        <f>#REF!-#REF!</f>
        <v>#REF!</v>
      </c>
      <c r="L522" s="136" t="e">
        <f>#REF!-#REF!</f>
        <v>#REF!</v>
      </c>
      <c r="M522" s="136" t="e">
        <f>#REF!-#REF!</f>
        <v>#REF!</v>
      </c>
      <c r="N522" s="136" t="e">
        <f>#REF!-#REF!</f>
        <v>#REF!</v>
      </c>
      <c r="O522" s="136" t="e">
        <f>#REF!-#REF!</f>
        <v>#REF!</v>
      </c>
      <c r="P522" s="136" t="e">
        <f>#REF!-#REF!</f>
        <v>#REF!</v>
      </c>
      <c r="Q522" s="136" t="e">
        <f>#REF!-#REF!</f>
        <v>#REF!</v>
      </c>
      <c r="R522" s="136" t="e">
        <f>#REF!-#REF!</f>
        <v>#REF!</v>
      </c>
      <c r="S522" s="136" t="e">
        <f>#REF!-#REF!</f>
        <v>#REF!</v>
      </c>
      <c r="T522" s="136" t="e">
        <f>#REF!-#REF!</f>
        <v>#REF!</v>
      </c>
      <c r="U522" s="136" t="e">
        <f>#REF!-#REF!</f>
        <v>#REF!</v>
      </c>
      <c r="V522" s="136" t="e">
        <f>#REF!-#REF!</f>
        <v>#REF!</v>
      </c>
      <c r="W522" s="136" t="e">
        <f>#REF!-#REF!</f>
        <v>#REF!</v>
      </c>
      <c r="X522" s="136" t="e">
        <f>#REF!-#REF!</f>
        <v>#REF!</v>
      </c>
      <c r="Y522" s="136" t="e">
        <f>#REF!-#REF!</f>
        <v>#REF!</v>
      </c>
      <c r="Z522" s="136" t="e">
        <f>#REF!-#REF!</f>
        <v>#REF!</v>
      </c>
      <c r="AA522" s="136" t="e">
        <f>#REF!-#REF!</f>
        <v>#REF!</v>
      </c>
      <c r="AB522" s="136" t="e">
        <f>#REF!-#REF!</f>
        <v>#REF!</v>
      </c>
      <c r="AC522" s="136" t="e">
        <f>#REF!-#REF!</f>
        <v>#REF!</v>
      </c>
      <c r="AD522" s="136" t="e">
        <f>#REF!-#REF!</f>
        <v>#REF!</v>
      </c>
      <c r="AE522" s="136" t="e">
        <f>#REF!-#REF!</f>
        <v>#REF!</v>
      </c>
      <c r="AF522" s="136" t="e">
        <f>#REF!-#REF!</f>
        <v>#REF!</v>
      </c>
      <c r="AG522" s="136" t="e">
        <f>#REF!-#REF!</f>
        <v>#REF!</v>
      </c>
      <c r="AH522" s="136" t="e">
        <f>#REF!-#REF!</f>
        <v>#REF!</v>
      </c>
      <c r="AI522" s="136" t="e">
        <f>#REF!-#REF!</f>
        <v>#REF!</v>
      </c>
      <c r="AJ522" s="136" t="e">
        <f>#REF!-#REF!</f>
        <v>#REF!</v>
      </c>
      <c r="AK522" s="136" t="e">
        <f>#REF!-#REF!</f>
        <v>#REF!</v>
      </c>
      <c r="AL522" s="136" t="e">
        <f>#REF!-#REF!</f>
        <v>#REF!</v>
      </c>
      <c r="AM522" s="136" t="e">
        <f>#REF!-#REF!</f>
        <v>#REF!</v>
      </c>
      <c r="AN522" s="136" t="e">
        <f>#REF!-#REF!</f>
        <v>#REF!</v>
      </c>
      <c r="AO522" s="136" t="e">
        <f>#REF!-#REF!</f>
        <v>#REF!</v>
      </c>
      <c r="AP522" s="136" t="e">
        <f>#REF!-#REF!</f>
        <v>#REF!</v>
      </c>
      <c r="AQ522" s="136" t="e">
        <f>#REF!-#REF!</f>
        <v>#REF!</v>
      </c>
      <c r="AR522" s="136" t="e">
        <f>#REF!-#REF!</f>
        <v>#REF!</v>
      </c>
      <c r="AS522" s="136" t="e">
        <f>#REF!-#REF!</f>
        <v>#REF!</v>
      </c>
      <c r="AT522" s="136" t="e">
        <f>#REF!-#REF!</f>
        <v>#REF!</v>
      </c>
      <c r="AU522" s="136" t="e">
        <f>#REF!-#REF!</f>
        <v>#REF!</v>
      </c>
      <c r="AV522" s="136" t="e">
        <f>#REF!-#REF!</f>
        <v>#REF!</v>
      </c>
      <c r="AW522" s="136" t="e">
        <f>#REF!-#REF!</f>
        <v>#REF!</v>
      </c>
      <c r="AX522" s="136" t="e">
        <f>#REF!-#REF!</f>
        <v>#REF!</v>
      </c>
      <c r="AY522" s="136" t="e">
        <f>#REF!-#REF!</f>
        <v>#REF!</v>
      </c>
      <c r="AZ522" s="136" t="e">
        <f>#REF!-#REF!</f>
        <v>#REF!</v>
      </c>
      <c r="BA522" s="136" t="e">
        <f>#REF!-#REF!</f>
        <v>#REF!</v>
      </c>
      <c r="BB522" s="136" t="e">
        <f>#REF!-#REF!</f>
        <v>#REF!</v>
      </c>
      <c r="BC522" s="136" t="e">
        <f>#REF!-#REF!</f>
        <v>#REF!</v>
      </c>
      <c r="BD522" s="136" t="e">
        <f>#REF!-#REF!</f>
        <v>#REF!</v>
      </c>
      <c r="BE522" s="136" t="e">
        <f>#REF!-#REF!</f>
        <v>#REF!</v>
      </c>
      <c r="BF522" s="136" t="e">
        <f>#REF!-#REF!</f>
        <v>#REF!</v>
      </c>
      <c r="BG522" s="136" t="e">
        <f>#REF!-#REF!</f>
        <v>#REF!</v>
      </c>
      <c r="BH522" s="136" t="e">
        <f>#REF!-#REF!</f>
        <v>#REF!</v>
      </c>
      <c r="BI522" s="136" t="e">
        <f>#REF!-#REF!</f>
        <v>#REF!</v>
      </c>
      <c r="BJ522" s="136" t="e">
        <f>#REF!-#REF!</f>
        <v>#REF!</v>
      </c>
      <c r="BK522" s="136" t="e">
        <f>#REF!-#REF!</f>
        <v>#REF!</v>
      </c>
      <c r="BL522" s="136" t="e">
        <f>#REF!-#REF!</f>
        <v>#REF!</v>
      </c>
      <c r="BM522" s="136" t="e">
        <f>#REF!-#REF!</f>
        <v>#REF!</v>
      </c>
      <c r="BN522" s="136" t="e">
        <f>#REF!-#REF!</f>
        <v>#REF!</v>
      </c>
      <c r="BO522" s="136" t="e">
        <f>#REF!-#REF!</f>
        <v>#REF!</v>
      </c>
      <c r="BP522" s="136" t="e">
        <f>#REF!-#REF!</f>
        <v>#REF!</v>
      </c>
      <c r="BQ522" s="136" t="e">
        <f>#REF!-#REF!</f>
        <v>#REF!</v>
      </c>
      <c r="BR522" s="136" t="e">
        <f>#REF!-#REF!</f>
        <v>#REF!</v>
      </c>
      <c r="BS522" s="136" t="e">
        <f>#REF!-#REF!</f>
        <v>#REF!</v>
      </c>
      <c r="BT522" s="136" t="e">
        <f>#REF!-#REF!</f>
        <v>#REF!</v>
      </c>
      <c r="BU522" s="136" t="e">
        <f>#REF!-#REF!</f>
        <v>#REF!</v>
      </c>
      <c r="BV522" s="136" t="e">
        <f>#REF!-#REF!</f>
        <v>#REF!</v>
      </c>
      <c r="BW522" s="136" t="e">
        <f>#REF!-#REF!</f>
        <v>#REF!</v>
      </c>
      <c r="BX522" s="136" t="e">
        <f>#REF!-#REF!</f>
        <v>#REF!</v>
      </c>
      <c r="BZ522" s="136" t="e">
        <f>#REF!-#REF!</f>
        <v>#REF!</v>
      </c>
      <c r="CA522" s="136" t="e">
        <f>#REF!-#REF!</f>
        <v>#REF!</v>
      </c>
    </row>
    <row r="523" spans="7:79" hidden="1" x14ac:dyDescent="0.3">
      <c r="G523" s="136" t="e">
        <f>#REF!-#REF!</f>
        <v>#REF!</v>
      </c>
      <c r="H523" s="136" t="e">
        <f>#REF!-#REF!</f>
        <v>#REF!</v>
      </c>
      <c r="I523" s="136" t="e">
        <f>#REF!-#REF!</f>
        <v>#REF!</v>
      </c>
      <c r="J523" s="136" t="e">
        <f>#REF!-#REF!</f>
        <v>#REF!</v>
      </c>
      <c r="K523" s="136" t="e">
        <f>#REF!-#REF!</f>
        <v>#REF!</v>
      </c>
      <c r="L523" s="136" t="e">
        <f>#REF!-#REF!</f>
        <v>#REF!</v>
      </c>
      <c r="M523" s="136" t="e">
        <f>#REF!-#REF!</f>
        <v>#REF!</v>
      </c>
      <c r="N523" s="136" t="e">
        <f>#REF!-#REF!</f>
        <v>#REF!</v>
      </c>
      <c r="O523" s="136" t="e">
        <f>#REF!-#REF!</f>
        <v>#REF!</v>
      </c>
      <c r="P523" s="136" t="e">
        <f>#REF!-#REF!</f>
        <v>#REF!</v>
      </c>
      <c r="Q523" s="136" t="e">
        <f>#REF!-#REF!</f>
        <v>#REF!</v>
      </c>
      <c r="R523" s="136" t="e">
        <f>#REF!-#REF!</f>
        <v>#REF!</v>
      </c>
      <c r="S523" s="136" t="e">
        <f>#REF!-#REF!</f>
        <v>#REF!</v>
      </c>
      <c r="T523" s="136" t="e">
        <f>#REF!-#REF!</f>
        <v>#REF!</v>
      </c>
      <c r="U523" s="136" t="e">
        <f>#REF!-#REF!</f>
        <v>#REF!</v>
      </c>
      <c r="V523" s="136" t="e">
        <f>#REF!-#REF!</f>
        <v>#REF!</v>
      </c>
      <c r="W523" s="136" t="e">
        <f>#REF!-#REF!</f>
        <v>#REF!</v>
      </c>
      <c r="X523" s="136" t="e">
        <f>#REF!-#REF!</f>
        <v>#REF!</v>
      </c>
      <c r="Y523" s="136" t="e">
        <f>#REF!-#REF!</f>
        <v>#REF!</v>
      </c>
      <c r="Z523" s="136" t="e">
        <f>#REF!-#REF!</f>
        <v>#REF!</v>
      </c>
      <c r="AA523" s="136" t="e">
        <f>#REF!-#REF!</f>
        <v>#REF!</v>
      </c>
      <c r="AB523" s="136" t="e">
        <f>#REF!-#REF!</f>
        <v>#REF!</v>
      </c>
      <c r="AC523" s="136" t="e">
        <f>#REF!-#REF!</f>
        <v>#REF!</v>
      </c>
      <c r="AD523" s="136" t="e">
        <f>#REF!-#REF!</f>
        <v>#REF!</v>
      </c>
      <c r="AE523" s="136" t="e">
        <f>#REF!-#REF!</f>
        <v>#REF!</v>
      </c>
      <c r="AF523" s="136" t="e">
        <f>#REF!-#REF!</f>
        <v>#REF!</v>
      </c>
      <c r="AG523" s="136" t="e">
        <f>#REF!-#REF!</f>
        <v>#REF!</v>
      </c>
      <c r="AH523" s="136" t="e">
        <f>#REF!-#REF!</f>
        <v>#REF!</v>
      </c>
      <c r="AI523" s="136" t="e">
        <f>#REF!-#REF!</f>
        <v>#REF!</v>
      </c>
      <c r="AJ523" s="136" t="e">
        <f>#REF!-#REF!</f>
        <v>#REF!</v>
      </c>
      <c r="AK523" s="136" t="e">
        <f>#REF!-#REF!</f>
        <v>#REF!</v>
      </c>
      <c r="AL523" s="136" t="e">
        <f>#REF!-#REF!</f>
        <v>#REF!</v>
      </c>
      <c r="AM523" s="136" t="e">
        <f>#REF!-#REF!</f>
        <v>#REF!</v>
      </c>
      <c r="AN523" s="136" t="e">
        <f>#REF!-#REF!</f>
        <v>#REF!</v>
      </c>
      <c r="AO523" s="136" t="e">
        <f>#REF!-#REF!</f>
        <v>#REF!</v>
      </c>
      <c r="AP523" s="136" t="e">
        <f>#REF!-#REF!</f>
        <v>#REF!</v>
      </c>
      <c r="AQ523" s="136" t="e">
        <f>#REF!-#REF!</f>
        <v>#REF!</v>
      </c>
      <c r="AR523" s="136" t="e">
        <f>#REF!-#REF!</f>
        <v>#REF!</v>
      </c>
      <c r="AS523" s="136" t="e">
        <f>#REF!-#REF!</f>
        <v>#REF!</v>
      </c>
      <c r="AT523" s="136" t="e">
        <f>#REF!-#REF!</f>
        <v>#REF!</v>
      </c>
      <c r="AU523" s="136" t="e">
        <f>#REF!-#REF!</f>
        <v>#REF!</v>
      </c>
      <c r="AV523" s="136" t="e">
        <f>#REF!-#REF!</f>
        <v>#REF!</v>
      </c>
      <c r="AW523" s="136" t="e">
        <f>#REF!-#REF!</f>
        <v>#REF!</v>
      </c>
      <c r="AX523" s="136" t="e">
        <f>#REF!-#REF!</f>
        <v>#REF!</v>
      </c>
      <c r="AY523" s="136" t="e">
        <f>#REF!-#REF!</f>
        <v>#REF!</v>
      </c>
      <c r="AZ523" s="136" t="e">
        <f>#REF!-#REF!</f>
        <v>#REF!</v>
      </c>
      <c r="BA523" s="136" t="e">
        <f>#REF!-#REF!</f>
        <v>#REF!</v>
      </c>
      <c r="BB523" s="136" t="e">
        <f>#REF!-#REF!</f>
        <v>#REF!</v>
      </c>
      <c r="BC523" s="136" t="e">
        <f>#REF!-#REF!</f>
        <v>#REF!</v>
      </c>
      <c r="BD523" s="136" t="e">
        <f>#REF!-#REF!</f>
        <v>#REF!</v>
      </c>
      <c r="BE523" s="136" t="e">
        <f>#REF!-#REF!</f>
        <v>#REF!</v>
      </c>
      <c r="BF523" s="136" t="e">
        <f>#REF!-#REF!</f>
        <v>#REF!</v>
      </c>
      <c r="BG523" s="136" t="e">
        <f>#REF!-#REF!</f>
        <v>#REF!</v>
      </c>
      <c r="BH523" s="136" t="e">
        <f>#REF!-#REF!</f>
        <v>#REF!</v>
      </c>
      <c r="BI523" s="136" t="e">
        <f>#REF!-#REF!</f>
        <v>#REF!</v>
      </c>
      <c r="BJ523" s="136" t="e">
        <f>#REF!-#REF!</f>
        <v>#REF!</v>
      </c>
      <c r="BK523" s="136" t="e">
        <f>#REF!-#REF!</f>
        <v>#REF!</v>
      </c>
      <c r="BL523" s="136" t="e">
        <f>#REF!-#REF!</f>
        <v>#REF!</v>
      </c>
      <c r="BM523" s="136" t="e">
        <f>#REF!-#REF!</f>
        <v>#REF!</v>
      </c>
      <c r="BN523" s="136" t="e">
        <f>#REF!-#REF!</f>
        <v>#REF!</v>
      </c>
      <c r="BO523" s="136" t="e">
        <f>#REF!-#REF!</f>
        <v>#REF!</v>
      </c>
      <c r="BP523" s="136" t="e">
        <f>#REF!-#REF!</f>
        <v>#REF!</v>
      </c>
      <c r="BQ523" s="136" t="e">
        <f>#REF!-#REF!</f>
        <v>#REF!</v>
      </c>
      <c r="BR523" s="136" t="e">
        <f>#REF!-#REF!</f>
        <v>#REF!</v>
      </c>
      <c r="BS523" s="136" t="e">
        <f>#REF!-#REF!</f>
        <v>#REF!</v>
      </c>
      <c r="BT523" s="136" t="e">
        <f>#REF!-#REF!</f>
        <v>#REF!</v>
      </c>
      <c r="BU523" s="136" t="e">
        <f>#REF!-#REF!</f>
        <v>#REF!</v>
      </c>
      <c r="BV523" s="136" t="e">
        <f>#REF!-#REF!</f>
        <v>#REF!</v>
      </c>
      <c r="BW523" s="136" t="e">
        <f>#REF!-#REF!</f>
        <v>#REF!</v>
      </c>
      <c r="BX523" s="136" t="e">
        <f>#REF!-#REF!</f>
        <v>#REF!</v>
      </c>
      <c r="BZ523" s="136" t="e">
        <f>#REF!-#REF!</f>
        <v>#REF!</v>
      </c>
      <c r="CA523" s="136" t="e">
        <f>#REF!-#REF!</f>
        <v>#REF!</v>
      </c>
    </row>
    <row r="524" spans="7:79" hidden="1" x14ac:dyDescent="0.3">
      <c r="G524" s="136" t="e">
        <f>#REF!-#REF!</f>
        <v>#REF!</v>
      </c>
      <c r="H524" s="136" t="e">
        <f>#REF!-#REF!</f>
        <v>#REF!</v>
      </c>
      <c r="I524" s="136" t="e">
        <f>#REF!-#REF!</f>
        <v>#REF!</v>
      </c>
      <c r="J524" s="136" t="e">
        <f>#REF!-#REF!</f>
        <v>#REF!</v>
      </c>
      <c r="K524" s="136" t="e">
        <f>#REF!-#REF!</f>
        <v>#REF!</v>
      </c>
      <c r="L524" s="136" t="e">
        <f>#REF!-#REF!</f>
        <v>#REF!</v>
      </c>
      <c r="M524" s="136" t="e">
        <f>#REF!-#REF!</f>
        <v>#REF!</v>
      </c>
      <c r="N524" s="136" t="e">
        <f>#REF!-#REF!</f>
        <v>#REF!</v>
      </c>
      <c r="O524" s="136" t="e">
        <f>#REF!-#REF!</f>
        <v>#REF!</v>
      </c>
      <c r="P524" s="136" t="e">
        <f>#REF!-#REF!</f>
        <v>#REF!</v>
      </c>
      <c r="Q524" s="136" t="e">
        <f>#REF!-#REF!</f>
        <v>#REF!</v>
      </c>
      <c r="R524" s="136" t="e">
        <f>#REF!-#REF!</f>
        <v>#REF!</v>
      </c>
      <c r="S524" s="136" t="e">
        <f>#REF!-#REF!</f>
        <v>#REF!</v>
      </c>
      <c r="T524" s="136" t="e">
        <f>#REF!-#REF!</f>
        <v>#REF!</v>
      </c>
      <c r="U524" s="136" t="e">
        <f>#REF!-#REF!</f>
        <v>#REF!</v>
      </c>
      <c r="V524" s="136" t="e">
        <f>#REF!-#REF!</f>
        <v>#REF!</v>
      </c>
      <c r="W524" s="136" t="e">
        <f>#REF!-#REF!</f>
        <v>#REF!</v>
      </c>
      <c r="X524" s="136" t="e">
        <f>#REF!-#REF!</f>
        <v>#REF!</v>
      </c>
      <c r="Y524" s="136" t="e">
        <f>#REF!-#REF!</f>
        <v>#REF!</v>
      </c>
      <c r="Z524" s="136" t="e">
        <f>#REF!-#REF!</f>
        <v>#REF!</v>
      </c>
      <c r="AA524" s="136" t="e">
        <f>#REF!-#REF!</f>
        <v>#REF!</v>
      </c>
      <c r="AB524" s="136" t="e">
        <f>#REF!-#REF!</f>
        <v>#REF!</v>
      </c>
      <c r="AC524" s="136" t="e">
        <f>#REF!-#REF!</f>
        <v>#REF!</v>
      </c>
      <c r="AD524" s="136" t="e">
        <f>#REF!-#REF!</f>
        <v>#REF!</v>
      </c>
      <c r="AE524" s="136" t="e">
        <f>#REF!-#REF!</f>
        <v>#REF!</v>
      </c>
      <c r="AF524" s="136" t="e">
        <f>#REF!-#REF!</f>
        <v>#REF!</v>
      </c>
      <c r="AG524" s="136" t="e">
        <f>#REF!-#REF!</f>
        <v>#REF!</v>
      </c>
      <c r="AH524" s="136" t="e">
        <f>#REF!-#REF!</f>
        <v>#REF!</v>
      </c>
      <c r="AI524" s="136" t="e">
        <f>#REF!-#REF!</f>
        <v>#REF!</v>
      </c>
      <c r="AJ524" s="136" t="e">
        <f>#REF!-#REF!</f>
        <v>#REF!</v>
      </c>
      <c r="AK524" s="136" t="e">
        <f>#REF!-#REF!</f>
        <v>#REF!</v>
      </c>
      <c r="AL524" s="136" t="e">
        <f>#REF!-#REF!</f>
        <v>#REF!</v>
      </c>
      <c r="AM524" s="136" t="e">
        <f>#REF!-#REF!</f>
        <v>#REF!</v>
      </c>
      <c r="AN524" s="136" t="e">
        <f>#REF!-#REF!</f>
        <v>#REF!</v>
      </c>
      <c r="AO524" s="136" t="e">
        <f>#REF!-#REF!</f>
        <v>#REF!</v>
      </c>
      <c r="AP524" s="136" t="e">
        <f>#REF!-#REF!</f>
        <v>#REF!</v>
      </c>
      <c r="AQ524" s="136" t="e">
        <f>#REF!-#REF!</f>
        <v>#REF!</v>
      </c>
      <c r="AR524" s="136" t="e">
        <f>#REF!-#REF!</f>
        <v>#REF!</v>
      </c>
      <c r="AS524" s="136" t="e">
        <f>#REF!-#REF!</f>
        <v>#REF!</v>
      </c>
      <c r="AT524" s="136" t="e">
        <f>#REF!-#REF!</f>
        <v>#REF!</v>
      </c>
      <c r="AU524" s="136" t="e">
        <f>#REF!-#REF!</f>
        <v>#REF!</v>
      </c>
      <c r="AV524" s="136" t="e">
        <f>#REF!-#REF!</f>
        <v>#REF!</v>
      </c>
      <c r="AW524" s="136" t="e">
        <f>#REF!-#REF!</f>
        <v>#REF!</v>
      </c>
      <c r="AX524" s="136" t="e">
        <f>#REF!-#REF!</f>
        <v>#REF!</v>
      </c>
      <c r="AY524" s="136" t="e">
        <f>#REF!-#REF!</f>
        <v>#REF!</v>
      </c>
      <c r="AZ524" s="136" t="e">
        <f>#REF!-#REF!</f>
        <v>#REF!</v>
      </c>
      <c r="BA524" s="136" t="e">
        <f>#REF!-#REF!</f>
        <v>#REF!</v>
      </c>
      <c r="BB524" s="136" t="e">
        <f>#REF!-#REF!</f>
        <v>#REF!</v>
      </c>
      <c r="BC524" s="136" t="e">
        <f>#REF!-#REF!</f>
        <v>#REF!</v>
      </c>
      <c r="BD524" s="136" t="e">
        <f>#REF!-#REF!</f>
        <v>#REF!</v>
      </c>
      <c r="BE524" s="136" t="e">
        <f>#REF!-#REF!</f>
        <v>#REF!</v>
      </c>
      <c r="BF524" s="136" t="e">
        <f>#REF!-#REF!</f>
        <v>#REF!</v>
      </c>
      <c r="BG524" s="136" t="e">
        <f>#REF!-#REF!</f>
        <v>#REF!</v>
      </c>
      <c r="BH524" s="136" t="e">
        <f>#REF!-#REF!</f>
        <v>#REF!</v>
      </c>
      <c r="BI524" s="136" t="e">
        <f>#REF!-#REF!</f>
        <v>#REF!</v>
      </c>
      <c r="BJ524" s="136" t="e">
        <f>#REF!-#REF!</f>
        <v>#REF!</v>
      </c>
      <c r="BK524" s="136" t="e">
        <f>#REF!-#REF!</f>
        <v>#REF!</v>
      </c>
      <c r="BL524" s="136" t="e">
        <f>#REF!-#REF!</f>
        <v>#REF!</v>
      </c>
      <c r="BM524" s="136" t="e">
        <f>#REF!-#REF!</f>
        <v>#REF!</v>
      </c>
      <c r="BN524" s="136" t="e">
        <f>#REF!-#REF!</f>
        <v>#REF!</v>
      </c>
      <c r="BO524" s="136" t="e">
        <f>#REF!-#REF!</f>
        <v>#REF!</v>
      </c>
      <c r="BP524" s="136" t="e">
        <f>#REF!-#REF!</f>
        <v>#REF!</v>
      </c>
      <c r="BQ524" s="136" t="e">
        <f>#REF!-#REF!</f>
        <v>#REF!</v>
      </c>
      <c r="BR524" s="136" t="e">
        <f>#REF!-#REF!</f>
        <v>#REF!</v>
      </c>
      <c r="BS524" s="136" t="e">
        <f>#REF!-#REF!</f>
        <v>#REF!</v>
      </c>
      <c r="BT524" s="136" t="e">
        <f>#REF!-#REF!</f>
        <v>#REF!</v>
      </c>
      <c r="BU524" s="136" t="e">
        <f>#REF!-#REF!</f>
        <v>#REF!</v>
      </c>
      <c r="BV524" s="136" t="e">
        <f>#REF!-#REF!</f>
        <v>#REF!</v>
      </c>
      <c r="BW524" s="136" t="e">
        <f>#REF!-#REF!</f>
        <v>#REF!</v>
      </c>
      <c r="BX524" s="136" t="e">
        <f>#REF!-#REF!</f>
        <v>#REF!</v>
      </c>
      <c r="BZ524" s="136" t="e">
        <f>#REF!-#REF!</f>
        <v>#REF!</v>
      </c>
      <c r="CA524" s="136" t="e">
        <f>#REF!-#REF!</f>
        <v>#REF!</v>
      </c>
    </row>
    <row r="525" spans="7:79" hidden="1" x14ac:dyDescent="0.3">
      <c r="G525" s="136">
        <f t="shared" ref="G525:BR527" si="110">G124-BY124</f>
        <v>-27588392</v>
      </c>
      <c r="H525" s="136">
        <f t="shared" si="110"/>
        <v>0</v>
      </c>
      <c r="I525" s="136">
        <f t="shared" si="110"/>
        <v>0</v>
      </c>
      <c r="J525" s="136">
        <f t="shared" si="110"/>
        <v>0</v>
      </c>
      <c r="K525" s="136">
        <f t="shared" si="110"/>
        <v>0</v>
      </c>
      <c r="L525" s="136">
        <f t="shared" si="110"/>
        <v>1387213</v>
      </c>
      <c r="M525" s="136">
        <f t="shared" si="110"/>
        <v>0</v>
      </c>
      <c r="N525" s="136">
        <f t="shared" si="110"/>
        <v>0</v>
      </c>
      <c r="O525" s="136">
        <f t="shared" si="110"/>
        <v>0</v>
      </c>
      <c r="P525" s="136">
        <f t="shared" si="110"/>
        <v>0</v>
      </c>
      <c r="Q525" s="136">
        <f t="shared" si="110"/>
        <v>1651000</v>
      </c>
      <c r="R525" s="136">
        <f t="shared" si="110"/>
        <v>0</v>
      </c>
      <c r="S525" s="136">
        <f t="shared" si="110"/>
        <v>0</v>
      </c>
      <c r="T525" s="136">
        <f t="shared" si="110"/>
        <v>0</v>
      </c>
      <c r="U525" s="136">
        <f t="shared" si="110"/>
        <v>0</v>
      </c>
      <c r="V525" s="136">
        <f t="shared" si="110"/>
        <v>1950000</v>
      </c>
      <c r="W525" s="136">
        <f t="shared" si="110"/>
        <v>0</v>
      </c>
      <c r="X525" s="136">
        <f t="shared" si="110"/>
        <v>0</v>
      </c>
      <c r="Y525" s="136">
        <f t="shared" si="110"/>
        <v>0</v>
      </c>
      <c r="Z525" s="136">
        <f t="shared" si="110"/>
        <v>0</v>
      </c>
      <c r="AA525" s="136">
        <f t="shared" si="110"/>
        <v>-1948000</v>
      </c>
      <c r="AB525" s="136">
        <f t="shared" si="110"/>
        <v>0</v>
      </c>
      <c r="AC525" s="136">
        <f t="shared" si="110"/>
        <v>0</v>
      </c>
      <c r="AD525" s="136">
        <f t="shared" si="110"/>
        <v>0</v>
      </c>
      <c r="AE525" s="136">
        <f t="shared" si="110"/>
        <v>0</v>
      </c>
      <c r="AF525" s="136">
        <f t="shared" si="110"/>
        <v>2596000</v>
      </c>
      <c r="AG525" s="136">
        <f t="shared" si="110"/>
        <v>0</v>
      </c>
      <c r="AH525" s="136">
        <f t="shared" si="110"/>
        <v>0</v>
      </c>
      <c r="AI525" s="136">
        <f t="shared" si="110"/>
        <v>0</v>
      </c>
      <c r="AJ525" s="136">
        <f t="shared" si="110"/>
        <v>0</v>
      </c>
      <c r="AK525" s="136">
        <f t="shared" si="110"/>
        <v>3900000</v>
      </c>
      <c r="AL525" s="136">
        <f t="shared" si="110"/>
        <v>0</v>
      </c>
      <c r="AM525" s="136">
        <f t="shared" si="110"/>
        <v>0</v>
      </c>
      <c r="AN525" s="136">
        <f t="shared" si="110"/>
        <v>0</v>
      </c>
      <c r="AO525" s="136">
        <f t="shared" si="110"/>
        <v>0</v>
      </c>
      <c r="AP525" s="136">
        <f t="shared" si="110"/>
        <v>-1116000</v>
      </c>
      <c r="AQ525" s="136">
        <f t="shared" si="110"/>
        <v>0</v>
      </c>
      <c r="AR525" s="136">
        <f t="shared" si="110"/>
        <v>0</v>
      </c>
      <c r="AS525" s="136">
        <f t="shared" si="110"/>
        <v>0</v>
      </c>
      <c r="AT525" s="136">
        <f t="shared" si="110"/>
        <v>0</v>
      </c>
      <c r="AU525" s="136">
        <f t="shared" si="110"/>
        <v>740000</v>
      </c>
      <c r="AV525" s="136">
        <f t="shared" si="110"/>
        <v>0</v>
      </c>
      <c r="AW525" s="136">
        <f t="shared" si="110"/>
        <v>0</v>
      </c>
      <c r="AX525" s="136">
        <f t="shared" si="110"/>
        <v>0</v>
      </c>
      <c r="AY525" s="136">
        <f t="shared" si="110"/>
        <v>0</v>
      </c>
      <c r="AZ525" s="136">
        <f t="shared" si="110"/>
        <v>-1945000</v>
      </c>
      <c r="BA525" s="136">
        <f t="shared" si="110"/>
        <v>0</v>
      </c>
      <c r="BB525" s="136">
        <f t="shared" si="110"/>
        <v>0</v>
      </c>
      <c r="BC525" s="136">
        <f t="shared" si="110"/>
        <v>0</v>
      </c>
      <c r="BD525" s="136">
        <f t="shared" si="110"/>
        <v>0</v>
      </c>
      <c r="BE525" s="136">
        <f t="shared" si="110"/>
        <v>646000</v>
      </c>
      <c r="BF525" s="136">
        <f t="shared" si="110"/>
        <v>0</v>
      </c>
      <c r="BG525" s="136">
        <f t="shared" si="110"/>
        <v>0</v>
      </c>
      <c r="BH525" s="136">
        <f t="shared" si="110"/>
        <v>0</v>
      </c>
      <c r="BI525" s="136">
        <f t="shared" si="110"/>
        <v>0</v>
      </c>
      <c r="BJ525" s="136">
        <f t="shared" si="110"/>
        <v>-5843559</v>
      </c>
      <c r="BK525" s="136">
        <f t="shared" si="110"/>
        <v>0</v>
      </c>
      <c r="BL525" s="136">
        <f t="shared" si="110"/>
        <v>0</v>
      </c>
      <c r="BM525" s="136">
        <f t="shared" si="110"/>
        <v>0</v>
      </c>
      <c r="BN525" s="136">
        <f t="shared" si="110"/>
        <v>0</v>
      </c>
      <c r="BO525" s="136">
        <f t="shared" si="110"/>
        <v>0</v>
      </c>
      <c r="BP525" s="136">
        <f t="shared" si="110"/>
        <v>0</v>
      </c>
      <c r="BQ525" s="136">
        <f t="shared" si="110"/>
        <v>0</v>
      </c>
      <c r="BR525" s="136">
        <f t="shared" si="110"/>
        <v>0</v>
      </c>
      <c r="BS525" s="136">
        <f t="shared" ref="BO525:BX527" si="111">BS124-EK124</f>
        <v>0</v>
      </c>
      <c r="BT525" s="136">
        <f t="shared" si="111"/>
        <v>7861213</v>
      </c>
      <c r="BU525" s="136">
        <f t="shared" si="111"/>
        <v>0</v>
      </c>
      <c r="BV525" s="136">
        <f t="shared" si="111"/>
        <v>0</v>
      </c>
      <c r="BW525" s="136">
        <f t="shared" si="111"/>
        <v>0</v>
      </c>
      <c r="BX525" s="136">
        <f t="shared" si="111"/>
        <v>0</v>
      </c>
      <c r="BZ525" s="136">
        <f t="shared" ref="BZ525:CA527" si="112">BZ124-ER124</f>
        <v>0</v>
      </c>
      <c r="CA525" s="136">
        <f t="shared" si="112"/>
        <v>0</v>
      </c>
    </row>
    <row r="526" spans="7:79" hidden="1" x14ac:dyDescent="0.3">
      <c r="G526" s="136">
        <f t="shared" si="110"/>
        <v>-23943727</v>
      </c>
      <c r="H526" s="136">
        <f t="shared" si="110"/>
        <v>0</v>
      </c>
      <c r="I526" s="136">
        <f t="shared" si="110"/>
        <v>0</v>
      </c>
      <c r="J526" s="136">
        <f t="shared" si="110"/>
        <v>0</v>
      </c>
      <c r="K526" s="136">
        <f t="shared" si="110"/>
        <v>0</v>
      </c>
      <c r="L526" s="136">
        <f t="shared" si="110"/>
        <v>1223124</v>
      </c>
      <c r="M526" s="136">
        <f t="shared" si="110"/>
        <v>0</v>
      </c>
      <c r="N526" s="136">
        <f t="shared" si="110"/>
        <v>0</v>
      </c>
      <c r="O526" s="136">
        <f t="shared" si="110"/>
        <v>0</v>
      </c>
      <c r="P526" s="136">
        <f t="shared" si="110"/>
        <v>0</v>
      </c>
      <c r="Q526" s="136">
        <f t="shared" si="110"/>
        <v>1413034</v>
      </c>
      <c r="R526" s="136">
        <f t="shared" si="110"/>
        <v>0</v>
      </c>
      <c r="S526" s="136">
        <f t="shared" si="110"/>
        <v>0</v>
      </c>
      <c r="T526" s="136">
        <f t="shared" si="110"/>
        <v>0</v>
      </c>
      <c r="U526" s="136">
        <f t="shared" si="110"/>
        <v>0</v>
      </c>
      <c r="V526" s="136">
        <f t="shared" si="110"/>
        <v>1504599</v>
      </c>
      <c r="W526" s="136">
        <f t="shared" si="110"/>
        <v>0</v>
      </c>
      <c r="X526" s="136">
        <f t="shared" si="110"/>
        <v>0</v>
      </c>
      <c r="Y526" s="136">
        <f t="shared" si="110"/>
        <v>0</v>
      </c>
      <c r="Z526" s="136">
        <f t="shared" si="110"/>
        <v>0</v>
      </c>
      <c r="AA526" s="136">
        <f t="shared" si="110"/>
        <v>-1952039</v>
      </c>
      <c r="AB526" s="136">
        <f t="shared" si="110"/>
        <v>0</v>
      </c>
      <c r="AC526" s="136">
        <f t="shared" si="110"/>
        <v>0</v>
      </c>
      <c r="AD526" s="136">
        <f t="shared" si="110"/>
        <v>0</v>
      </c>
      <c r="AE526" s="136">
        <f t="shared" si="110"/>
        <v>0</v>
      </c>
      <c r="AF526" s="136">
        <f t="shared" si="110"/>
        <v>2096603</v>
      </c>
      <c r="AG526" s="136">
        <f t="shared" si="110"/>
        <v>0</v>
      </c>
      <c r="AH526" s="136">
        <f t="shared" si="110"/>
        <v>0</v>
      </c>
      <c r="AI526" s="136">
        <f t="shared" si="110"/>
        <v>0</v>
      </c>
      <c r="AJ526" s="136">
        <f t="shared" si="110"/>
        <v>0</v>
      </c>
      <c r="AK526" s="136">
        <f t="shared" si="110"/>
        <v>3179164</v>
      </c>
      <c r="AL526" s="136">
        <f t="shared" si="110"/>
        <v>0</v>
      </c>
      <c r="AM526" s="136">
        <f t="shared" si="110"/>
        <v>0</v>
      </c>
      <c r="AN526" s="136">
        <f t="shared" si="110"/>
        <v>0</v>
      </c>
      <c r="AO526" s="136">
        <f t="shared" si="110"/>
        <v>0</v>
      </c>
      <c r="AP526" s="136">
        <f t="shared" si="110"/>
        <v>-1123983</v>
      </c>
      <c r="AQ526" s="136">
        <f t="shared" si="110"/>
        <v>0</v>
      </c>
      <c r="AR526" s="136">
        <f t="shared" si="110"/>
        <v>0</v>
      </c>
      <c r="AS526" s="136">
        <f t="shared" si="110"/>
        <v>0</v>
      </c>
      <c r="AT526" s="136">
        <f t="shared" si="110"/>
        <v>0</v>
      </c>
      <c r="AU526" s="136">
        <f t="shared" si="110"/>
        <v>423054</v>
      </c>
      <c r="AV526" s="136">
        <f t="shared" si="110"/>
        <v>0</v>
      </c>
      <c r="AW526" s="136">
        <f t="shared" si="110"/>
        <v>0</v>
      </c>
      <c r="AX526" s="136">
        <f t="shared" si="110"/>
        <v>0</v>
      </c>
      <c r="AY526" s="136">
        <f t="shared" si="110"/>
        <v>0</v>
      </c>
      <c r="AZ526" s="136">
        <f t="shared" si="110"/>
        <v>-1779875</v>
      </c>
      <c r="BA526" s="136">
        <f t="shared" si="110"/>
        <v>0</v>
      </c>
      <c r="BB526" s="136">
        <f t="shared" si="110"/>
        <v>0</v>
      </c>
      <c r="BC526" s="136">
        <f t="shared" si="110"/>
        <v>0</v>
      </c>
      <c r="BD526" s="136">
        <f t="shared" si="110"/>
        <v>0</v>
      </c>
      <c r="BE526" s="136">
        <f t="shared" si="110"/>
        <v>455967</v>
      </c>
      <c r="BF526" s="136">
        <f t="shared" si="110"/>
        <v>0</v>
      </c>
      <c r="BG526" s="136">
        <f t="shared" si="110"/>
        <v>0</v>
      </c>
      <c r="BH526" s="136">
        <f t="shared" si="110"/>
        <v>0</v>
      </c>
      <c r="BI526" s="136">
        <f t="shared" si="110"/>
        <v>0</v>
      </c>
      <c r="BJ526" s="136">
        <f t="shared" si="110"/>
        <v>-5188370</v>
      </c>
      <c r="BK526" s="136">
        <f t="shared" si="110"/>
        <v>0</v>
      </c>
      <c r="BL526" s="136">
        <f t="shared" si="110"/>
        <v>0</v>
      </c>
      <c r="BM526" s="136">
        <f t="shared" si="110"/>
        <v>0</v>
      </c>
      <c r="BN526" s="136">
        <f t="shared" si="110"/>
        <v>0</v>
      </c>
      <c r="BO526" s="136">
        <f t="shared" si="111"/>
        <v>0</v>
      </c>
      <c r="BP526" s="136">
        <f t="shared" si="111"/>
        <v>0</v>
      </c>
      <c r="BQ526" s="136">
        <f t="shared" si="111"/>
        <v>0</v>
      </c>
      <c r="BR526" s="136">
        <f t="shared" si="111"/>
        <v>0</v>
      </c>
      <c r="BS526" s="136">
        <f t="shared" si="111"/>
        <v>0</v>
      </c>
      <c r="BT526" s="136">
        <f t="shared" si="111"/>
        <v>5439648</v>
      </c>
      <c r="BU526" s="136">
        <f t="shared" si="111"/>
        <v>0</v>
      </c>
      <c r="BV526" s="136">
        <f t="shared" si="111"/>
        <v>0</v>
      </c>
      <c r="BW526" s="136">
        <f t="shared" si="111"/>
        <v>0</v>
      </c>
      <c r="BX526" s="136">
        <f t="shared" si="111"/>
        <v>0</v>
      </c>
      <c r="BZ526" s="136">
        <f t="shared" si="112"/>
        <v>0</v>
      </c>
      <c r="CA526" s="136">
        <f t="shared" si="112"/>
        <v>0</v>
      </c>
    </row>
    <row r="527" spans="7:79" hidden="1" x14ac:dyDescent="0.3">
      <c r="G527" s="136">
        <f t="shared" si="110"/>
        <v>-3644665</v>
      </c>
      <c r="H527" s="136">
        <f t="shared" si="110"/>
        <v>0</v>
      </c>
      <c r="I527" s="136">
        <f t="shared" si="110"/>
        <v>0</v>
      </c>
      <c r="J527" s="136">
        <f t="shared" si="110"/>
        <v>0</v>
      </c>
      <c r="K527" s="136">
        <f t="shared" si="110"/>
        <v>0</v>
      </c>
      <c r="L527" s="136">
        <f t="shared" si="110"/>
        <v>164089</v>
      </c>
      <c r="M527" s="136">
        <f t="shared" si="110"/>
        <v>0</v>
      </c>
      <c r="N527" s="136">
        <f t="shared" si="110"/>
        <v>0</v>
      </c>
      <c r="O527" s="136">
        <f t="shared" si="110"/>
        <v>0</v>
      </c>
      <c r="P527" s="136">
        <f t="shared" si="110"/>
        <v>0</v>
      </c>
      <c r="Q527" s="136">
        <f t="shared" si="110"/>
        <v>237966</v>
      </c>
      <c r="R527" s="136">
        <f t="shared" si="110"/>
        <v>0</v>
      </c>
      <c r="S527" s="136">
        <f t="shared" si="110"/>
        <v>0</v>
      </c>
      <c r="T527" s="136">
        <f t="shared" si="110"/>
        <v>0</v>
      </c>
      <c r="U527" s="136">
        <f t="shared" si="110"/>
        <v>0</v>
      </c>
      <c r="V527" s="136">
        <f t="shared" si="110"/>
        <v>445401</v>
      </c>
      <c r="W527" s="136">
        <f t="shared" si="110"/>
        <v>0</v>
      </c>
      <c r="X527" s="136">
        <f t="shared" si="110"/>
        <v>0</v>
      </c>
      <c r="Y527" s="136">
        <f t="shared" si="110"/>
        <v>0</v>
      </c>
      <c r="Z527" s="136">
        <f t="shared" si="110"/>
        <v>0</v>
      </c>
      <c r="AA527" s="136">
        <f t="shared" si="110"/>
        <v>4039</v>
      </c>
      <c r="AB527" s="136">
        <f t="shared" si="110"/>
        <v>0</v>
      </c>
      <c r="AC527" s="136">
        <f t="shared" si="110"/>
        <v>0</v>
      </c>
      <c r="AD527" s="136">
        <f t="shared" si="110"/>
        <v>0</v>
      </c>
      <c r="AE527" s="136">
        <f t="shared" si="110"/>
        <v>0</v>
      </c>
      <c r="AF527" s="136">
        <f t="shared" si="110"/>
        <v>499397</v>
      </c>
      <c r="AG527" s="136">
        <f t="shared" si="110"/>
        <v>0</v>
      </c>
      <c r="AH527" s="136">
        <f t="shared" si="110"/>
        <v>0</v>
      </c>
      <c r="AI527" s="136">
        <f t="shared" si="110"/>
        <v>0</v>
      </c>
      <c r="AJ527" s="136">
        <f t="shared" si="110"/>
        <v>0</v>
      </c>
      <c r="AK527" s="136">
        <f t="shared" si="110"/>
        <v>720836</v>
      </c>
      <c r="AL527" s="136">
        <f t="shared" si="110"/>
        <v>0</v>
      </c>
      <c r="AM527" s="136">
        <f t="shared" si="110"/>
        <v>0</v>
      </c>
      <c r="AN527" s="136">
        <f t="shared" si="110"/>
        <v>0</v>
      </c>
      <c r="AO527" s="136">
        <f t="shared" si="110"/>
        <v>0</v>
      </c>
      <c r="AP527" s="136">
        <f t="shared" si="110"/>
        <v>7983</v>
      </c>
      <c r="AQ527" s="136">
        <f t="shared" si="110"/>
        <v>0</v>
      </c>
      <c r="AR527" s="136">
        <f t="shared" si="110"/>
        <v>0</v>
      </c>
      <c r="AS527" s="136">
        <f t="shared" si="110"/>
        <v>0</v>
      </c>
      <c r="AT527" s="136">
        <f t="shared" si="110"/>
        <v>0</v>
      </c>
      <c r="AU527" s="136">
        <f t="shared" si="110"/>
        <v>316946</v>
      </c>
      <c r="AV527" s="136">
        <f t="shared" si="110"/>
        <v>0</v>
      </c>
      <c r="AW527" s="136">
        <f t="shared" si="110"/>
        <v>0</v>
      </c>
      <c r="AX527" s="136">
        <f t="shared" si="110"/>
        <v>0</v>
      </c>
      <c r="AY527" s="136">
        <f t="shared" si="110"/>
        <v>0</v>
      </c>
      <c r="AZ527" s="136">
        <f t="shared" si="110"/>
        <v>-165125</v>
      </c>
      <c r="BA527" s="136">
        <f t="shared" si="110"/>
        <v>0</v>
      </c>
      <c r="BB527" s="136">
        <f t="shared" si="110"/>
        <v>0</v>
      </c>
      <c r="BC527" s="136">
        <f t="shared" si="110"/>
        <v>0</v>
      </c>
      <c r="BD527" s="136">
        <f t="shared" si="110"/>
        <v>0</v>
      </c>
      <c r="BE527" s="136">
        <f t="shared" si="110"/>
        <v>190033</v>
      </c>
      <c r="BF527" s="136">
        <f t="shared" si="110"/>
        <v>0</v>
      </c>
      <c r="BG527" s="136">
        <f t="shared" si="110"/>
        <v>0</v>
      </c>
      <c r="BH527" s="136">
        <f t="shared" si="110"/>
        <v>0</v>
      </c>
      <c r="BI527" s="136">
        <f t="shared" si="110"/>
        <v>0</v>
      </c>
      <c r="BJ527" s="136">
        <f t="shared" si="110"/>
        <v>-655189</v>
      </c>
      <c r="BK527" s="136">
        <f t="shared" si="110"/>
        <v>0</v>
      </c>
      <c r="BL527" s="136">
        <f t="shared" si="110"/>
        <v>0</v>
      </c>
      <c r="BM527" s="136">
        <f t="shared" si="110"/>
        <v>0</v>
      </c>
      <c r="BN527" s="136">
        <f t="shared" si="110"/>
        <v>0</v>
      </c>
      <c r="BO527" s="136">
        <f t="shared" si="111"/>
        <v>0</v>
      </c>
      <c r="BP527" s="136">
        <f t="shared" si="111"/>
        <v>0</v>
      </c>
      <c r="BQ527" s="136">
        <f t="shared" si="111"/>
        <v>0</v>
      </c>
      <c r="BR527" s="136">
        <f t="shared" si="111"/>
        <v>0</v>
      </c>
      <c r="BS527" s="136">
        <f t="shared" si="111"/>
        <v>0</v>
      </c>
      <c r="BT527" s="136">
        <f t="shared" si="111"/>
        <v>2421565</v>
      </c>
      <c r="BU527" s="136">
        <f t="shared" si="111"/>
        <v>0</v>
      </c>
      <c r="BV527" s="136">
        <f t="shared" si="111"/>
        <v>0</v>
      </c>
      <c r="BW527" s="136">
        <f t="shared" si="111"/>
        <v>0</v>
      </c>
      <c r="BX527" s="136">
        <f t="shared" si="111"/>
        <v>0</v>
      </c>
      <c r="BZ527" s="136">
        <f t="shared" si="112"/>
        <v>0</v>
      </c>
      <c r="CA527" s="136">
        <f t="shared" si="112"/>
        <v>0</v>
      </c>
    </row>
    <row r="528" spans="7:79" hidden="1" x14ac:dyDescent="0.3">
      <c r="G528" s="136" t="e">
        <f>#REF!-#REF!</f>
        <v>#REF!</v>
      </c>
      <c r="H528" s="136" t="e">
        <f>#REF!-#REF!</f>
        <v>#REF!</v>
      </c>
      <c r="I528" s="136" t="e">
        <f>#REF!-#REF!</f>
        <v>#REF!</v>
      </c>
      <c r="J528" s="136" t="e">
        <f>#REF!-#REF!</f>
        <v>#REF!</v>
      </c>
      <c r="K528" s="136" t="e">
        <f>#REF!-#REF!</f>
        <v>#REF!</v>
      </c>
      <c r="L528" s="136" t="e">
        <f>#REF!-#REF!</f>
        <v>#REF!</v>
      </c>
      <c r="M528" s="136" t="e">
        <f>#REF!-#REF!</f>
        <v>#REF!</v>
      </c>
      <c r="N528" s="136" t="e">
        <f>#REF!-#REF!</f>
        <v>#REF!</v>
      </c>
      <c r="O528" s="136" t="e">
        <f>#REF!-#REF!</f>
        <v>#REF!</v>
      </c>
      <c r="P528" s="136" t="e">
        <f>#REF!-#REF!</f>
        <v>#REF!</v>
      </c>
      <c r="Q528" s="136" t="e">
        <f>#REF!-#REF!</f>
        <v>#REF!</v>
      </c>
      <c r="R528" s="136" t="e">
        <f>#REF!-#REF!</f>
        <v>#REF!</v>
      </c>
      <c r="S528" s="136" t="e">
        <f>#REF!-#REF!</f>
        <v>#REF!</v>
      </c>
      <c r="T528" s="136" t="e">
        <f>#REF!-#REF!</f>
        <v>#REF!</v>
      </c>
      <c r="U528" s="136" t="e">
        <f>#REF!-#REF!</f>
        <v>#REF!</v>
      </c>
      <c r="V528" s="136" t="e">
        <f>#REF!-#REF!</f>
        <v>#REF!</v>
      </c>
      <c r="W528" s="136" t="e">
        <f>#REF!-#REF!</f>
        <v>#REF!</v>
      </c>
      <c r="X528" s="136" t="e">
        <f>#REF!-#REF!</f>
        <v>#REF!</v>
      </c>
      <c r="Y528" s="136" t="e">
        <f>#REF!-#REF!</f>
        <v>#REF!</v>
      </c>
      <c r="Z528" s="136" t="e">
        <f>#REF!-#REF!</f>
        <v>#REF!</v>
      </c>
      <c r="AA528" s="136" t="e">
        <f>#REF!-#REF!</f>
        <v>#REF!</v>
      </c>
      <c r="AB528" s="136" t="e">
        <f>#REF!-#REF!</f>
        <v>#REF!</v>
      </c>
      <c r="AC528" s="136" t="e">
        <f>#REF!-#REF!</f>
        <v>#REF!</v>
      </c>
      <c r="AD528" s="136" t="e">
        <f>#REF!-#REF!</f>
        <v>#REF!</v>
      </c>
      <c r="AE528" s="136" t="e">
        <f>#REF!-#REF!</f>
        <v>#REF!</v>
      </c>
      <c r="AF528" s="136" t="e">
        <f>#REF!-#REF!</f>
        <v>#REF!</v>
      </c>
      <c r="AG528" s="136" t="e">
        <f>#REF!-#REF!</f>
        <v>#REF!</v>
      </c>
      <c r="AH528" s="136" t="e">
        <f>#REF!-#REF!</f>
        <v>#REF!</v>
      </c>
      <c r="AI528" s="136" t="e">
        <f>#REF!-#REF!</f>
        <v>#REF!</v>
      </c>
      <c r="AJ528" s="136" t="e">
        <f>#REF!-#REF!</f>
        <v>#REF!</v>
      </c>
      <c r="AK528" s="136" t="e">
        <f>#REF!-#REF!</f>
        <v>#REF!</v>
      </c>
      <c r="AL528" s="136" t="e">
        <f>#REF!-#REF!</f>
        <v>#REF!</v>
      </c>
      <c r="AM528" s="136" t="e">
        <f>#REF!-#REF!</f>
        <v>#REF!</v>
      </c>
      <c r="AN528" s="136" t="e">
        <f>#REF!-#REF!</f>
        <v>#REF!</v>
      </c>
      <c r="AO528" s="136" t="e">
        <f>#REF!-#REF!</f>
        <v>#REF!</v>
      </c>
      <c r="AP528" s="136" t="e">
        <f>#REF!-#REF!</f>
        <v>#REF!</v>
      </c>
      <c r="AQ528" s="136" t="e">
        <f>#REF!-#REF!</f>
        <v>#REF!</v>
      </c>
      <c r="AR528" s="136" t="e">
        <f>#REF!-#REF!</f>
        <v>#REF!</v>
      </c>
      <c r="AS528" s="136" t="e">
        <f>#REF!-#REF!</f>
        <v>#REF!</v>
      </c>
      <c r="AT528" s="136" t="e">
        <f>#REF!-#REF!</f>
        <v>#REF!</v>
      </c>
      <c r="AU528" s="136" t="e">
        <f>#REF!-#REF!</f>
        <v>#REF!</v>
      </c>
      <c r="AV528" s="136" t="e">
        <f>#REF!-#REF!</f>
        <v>#REF!</v>
      </c>
      <c r="AW528" s="136" t="e">
        <f>#REF!-#REF!</f>
        <v>#REF!</v>
      </c>
      <c r="AX528" s="136" t="e">
        <f>#REF!-#REF!</f>
        <v>#REF!</v>
      </c>
      <c r="AY528" s="136" t="e">
        <f>#REF!-#REF!</f>
        <v>#REF!</v>
      </c>
      <c r="AZ528" s="136" t="e">
        <f>#REF!-#REF!</f>
        <v>#REF!</v>
      </c>
      <c r="BA528" s="136" t="e">
        <f>#REF!-#REF!</f>
        <v>#REF!</v>
      </c>
      <c r="BB528" s="136" t="e">
        <f>#REF!-#REF!</f>
        <v>#REF!</v>
      </c>
      <c r="BC528" s="136" t="e">
        <f>#REF!-#REF!</f>
        <v>#REF!</v>
      </c>
      <c r="BD528" s="136" t="e">
        <f>#REF!-#REF!</f>
        <v>#REF!</v>
      </c>
      <c r="BE528" s="136" t="e">
        <f>#REF!-#REF!</f>
        <v>#REF!</v>
      </c>
      <c r="BF528" s="136" t="e">
        <f>#REF!-#REF!</f>
        <v>#REF!</v>
      </c>
      <c r="BG528" s="136" t="e">
        <f>#REF!-#REF!</f>
        <v>#REF!</v>
      </c>
      <c r="BH528" s="136" t="e">
        <f>#REF!-#REF!</f>
        <v>#REF!</v>
      </c>
      <c r="BI528" s="136" t="e">
        <f>#REF!-#REF!</f>
        <v>#REF!</v>
      </c>
      <c r="BJ528" s="136" t="e">
        <f>#REF!-#REF!</f>
        <v>#REF!</v>
      </c>
      <c r="BK528" s="136" t="e">
        <f>#REF!-#REF!</f>
        <v>#REF!</v>
      </c>
      <c r="BL528" s="136" t="e">
        <f>#REF!-#REF!</f>
        <v>#REF!</v>
      </c>
      <c r="BM528" s="136" t="e">
        <f>#REF!-#REF!</f>
        <v>#REF!</v>
      </c>
      <c r="BN528" s="136" t="e">
        <f>#REF!-#REF!</f>
        <v>#REF!</v>
      </c>
      <c r="BO528" s="136" t="e">
        <f>#REF!-#REF!</f>
        <v>#REF!</v>
      </c>
      <c r="BP528" s="136" t="e">
        <f>#REF!-#REF!</f>
        <v>#REF!</v>
      </c>
      <c r="BQ528" s="136" t="e">
        <f>#REF!-#REF!</f>
        <v>#REF!</v>
      </c>
      <c r="BR528" s="136" t="e">
        <f>#REF!-#REF!</f>
        <v>#REF!</v>
      </c>
      <c r="BS528" s="136" t="e">
        <f>#REF!-#REF!</f>
        <v>#REF!</v>
      </c>
      <c r="BT528" s="136" t="e">
        <f>#REF!-#REF!</f>
        <v>#REF!</v>
      </c>
      <c r="BU528" s="136" t="e">
        <f>#REF!-#REF!</f>
        <v>#REF!</v>
      </c>
      <c r="BV528" s="136" t="e">
        <f>#REF!-#REF!</f>
        <v>#REF!</v>
      </c>
      <c r="BW528" s="136" t="e">
        <f>#REF!-#REF!</f>
        <v>#REF!</v>
      </c>
      <c r="BX528" s="136" t="e">
        <f>#REF!-#REF!</f>
        <v>#REF!</v>
      </c>
      <c r="BZ528" s="136" t="e">
        <f>#REF!-#REF!</f>
        <v>#REF!</v>
      </c>
      <c r="CA528" s="136" t="e">
        <f>#REF!-#REF!</f>
        <v>#REF!</v>
      </c>
    </row>
    <row r="529" spans="7:79" hidden="1" x14ac:dyDescent="0.3">
      <c r="G529" s="136">
        <f t="shared" ref="G529:BR532" si="113">G127-BY127</f>
        <v>0</v>
      </c>
      <c r="H529" s="136">
        <f t="shared" si="113"/>
        <v>0</v>
      </c>
      <c r="I529" s="136">
        <f t="shared" si="113"/>
        <v>0</v>
      </c>
      <c r="J529" s="136">
        <f t="shared" si="113"/>
        <v>0</v>
      </c>
      <c r="K529" s="136">
        <f t="shared" si="113"/>
        <v>0</v>
      </c>
      <c r="L529" s="136">
        <f t="shared" si="113"/>
        <v>0</v>
      </c>
      <c r="M529" s="136">
        <f t="shared" si="113"/>
        <v>0</v>
      </c>
      <c r="N529" s="136">
        <f t="shared" si="113"/>
        <v>0</v>
      </c>
      <c r="O529" s="136">
        <f t="shared" si="113"/>
        <v>0</v>
      </c>
      <c r="P529" s="136">
        <f t="shared" si="113"/>
        <v>0</v>
      </c>
      <c r="Q529" s="136">
        <f t="shared" si="113"/>
        <v>0</v>
      </c>
      <c r="R529" s="136">
        <f t="shared" si="113"/>
        <v>0</v>
      </c>
      <c r="S529" s="136">
        <f t="shared" si="113"/>
        <v>0</v>
      </c>
      <c r="T529" s="136">
        <f t="shared" si="113"/>
        <v>0</v>
      </c>
      <c r="U529" s="136">
        <f t="shared" si="113"/>
        <v>0</v>
      </c>
      <c r="V529" s="136">
        <f t="shared" si="113"/>
        <v>0</v>
      </c>
      <c r="W529" s="136">
        <f t="shared" si="113"/>
        <v>0</v>
      </c>
      <c r="X529" s="136">
        <f t="shared" si="113"/>
        <v>0</v>
      </c>
      <c r="Y529" s="136">
        <f t="shared" si="113"/>
        <v>0</v>
      </c>
      <c r="Z529" s="136">
        <f t="shared" si="113"/>
        <v>0</v>
      </c>
      <c r="AA529" s="136">
        <f t="shared" si="113"/>
        <v>0</v>
      </c>
      <c r="AB529" s="136">
        <f t="shared" si="113"/>
        <v>0</v>
      </c>
      <c r="AC529" s="136">
        <f t="shared" si="113"/>
        <v>0</v>
      </c>
      <c r="AD529" s="136">
        <f t="shared" si="113"/>
        <v>0</v>
      </c>
      <c r="AE529" s="136">
        <f t="shared" si="113"/>
        <v>0</v>
      </c>
      <c r="AF529" s="136">
        <f t="shared" si="113"/>
        <v>0</v>
      </c>
      <c r="AG529" s="136">
        <f t="shared" si="113"/>
        <v>0</v>
      </c>
      <c r="AH529" s="136">
        <f t="shared" si="113"/>
        <v>0</v>
      </c>
      <c r="AI529" s="136">
        <f t="shared" si="113"/>
        <v>0</v>
      </c>
      <c r="AJ529" s="136">
        <f t="shared" si="113"/>
        <v>0</v>
      </c>
      <c r="AK529" s="136">
        <f t="shared" si="113"/>
        <v>0</v>
      </c>
      <c r="AL529" s="136">
        <f t="shared" si="113"/>
        <v>0</v>
      </c>
      <c r="AM529" s="136">
        <f t="shared" si="113"/>
        <v>0</v>
      </c>
      <c r="AN529" s="136">
        <f t="shared" si="113"/>
        <v>0</v>
      </c>
      <c r="AO529" s="136">
        <f t="shared" si="113"/>
        <v>0</v>
      </c>
      <c r="AP529" s="136">
        <f t="shared" si="113"/>
        <v>0</v>
      </c>
      <c r="AQ529" s="136">
        <f t="shared" si="113"/>
        <v>0</v>
      </c>
      <c r="AR529" s="136">
        <f t="shared" si="113"/>
        <v>0</v>
      </c>
      <c r="AS529" s="136">
        <f t="shared" si="113"/>
        <v>0</v>
      </c>
      <c r="AT529" s="136">
        <f t="shared" si="113"/>
        <v>0</v>
      </c>
      <c r="AU529" s="136">
        <f t="shared" si="113"/>
        <v>0</v>
      </c>
      <c r="AV529" s="136">
        <f t="shared" si="113"/>
        <v>0</v>
      </c>
      <c r="AW529" s="136">
        <f t="shared" si="113"/>
        <v>0</v>
      </c>
      <c r="AX529" s="136">
        <f t="shared" si="113"/>
        <v>0</v>
      </c>
      <c r="AY529" s="136">
        <f t="shared" si="113"/>
        <v>0</v>
      </c>
      <c r="AZ529" s="136">
        <f t="shared" si="113"/>
        <v>0</v>
      </c>
      <c r="BA529" s="136">
        <f t="shared" si="113"/>
        <v>0</v>
      </c>
      <c r="BB529" s="136">
        <f t="shared" si="113"/>
        <v>0</v>
      </c>
      <c r="BC529" s="136">
        <f t="shared" si="113"/>
        <v>0</v>
      </c>
      <c r="BD529" s="136">
        <f t="shared" si="113"/>
        <v>0</v>
      </c>
      <c r="BE529" s="136">
        <f t="shared" si="113"/>
        <v>0</v>
      </c>
      <c r="BF529" s="136">
        <f t="shared" si="113"/>
        <v>0</v>
      </c>
      <c r="BG529" s="136">
        <f t="shared" si="113"/>
        <v>0</v>
      </c>
      <c r="BH529" s="136">
        <f t="shared" si="113"/>
        <v>0</v>
      </c>
      <c r="BI529" s="136">
        <f t="shared" si="113"/>
        <v>0</v>
      </c>
      <c r="BJ529" s="136">
        <f t="shared" si="113"/>
        <v>0</v>
      </c>
      <c r="BK529" s="136">
        <f t="shared" si="113"/>
        <v>0</v>
      </c>
      <c r="BL529" s="136">
        <f t="shared" si="113"/>
        <v>0</v>
      </c>
      <c r="BM529" s="136">
        <f t="shared" si="113"/>
        <v>0</v>
      </c>
      <c r="BN529" s="136">
        <f t="shared" si="113"/>
        <v>0</v>
      </c>
      <c r="BO529" s="136">
        <f t="shared" si="113"/>
        <v>0</v>
      </c>
      <c r="BP529" s="136">
        <f t="shared" si="113"/>
        <v>0</v>
      </c>
      <c r="BQ529" s="136">
        <f t="shared" si="113"/>
        <v>0</v>
      </c>
      <c r="BR529" s="136">
        <f t="shared" si="113"/>
        <v>0</v>
      </c>
      <c r="BS529" s="136">
        <f t="shared" ref="BS529:BX544" si="114">BS127-EK127</f>
        <v>0</v>
      </c>
      <c r="BT529" s="136">
        <f t="shared" si="114"/>
        <v>0</v>
      </c>
      <c r="BU529" s="136">
        <f t="shared" si="114"/>
        <v>0</v>
      </c>
      <c r="BV529" s="136">
        <f t="shared" si="114"/>
        <v>0</v>
      </c>
      <c r="BW529" s="136">
        <f t="shared" si="114"/>
        <v>0</v>
      </c>
      <c r="BX529" s="136">
        <f t="shared" si="114"/>
        <v>0</v>
      </c>
      <c r="BZ529" s="136">
        <f t="shared" ref="BZ529:CA544" si="115">BZ127-ER127</f>
        <v>0</v>
      </c>
      <c r="CA529" s="136">
        <f t="shared" si="115"/>
        <v>0</v>
      </c>
    </row>
    <row r="530" spans="7:79" hidden="1" x14ac:dyDescent="0.3">
      <c r="G530" s="136">
        <f t="shared" si="113"/>
        <v>0</v>
      </c>
      <c r="H530" s="136">
        <f t="shared" si="113"/>
        <v>0</v>
      </c>
      <c r="I530" s="136">
        <f t="shared" si="113"/>
        <v>0</v>
      </c>
      <c r="J530" s="136">
        <f t="shared" si="113"/>
        <v>0</v>
      </c>
      <c r="K530" s="136">
        <f t="shared" si="113"/>
        <v>0</v>
      </c>
      <c r="L530" s="136">
        <f t="shared" si="113"/>
        <v>0</v>
      </c>
      <c r="M530" s="136">
        <f t="shared" si="113"/>
        <v>0</v>
      </c>
      <c r="N530" s="136">
        <f t="shared" si="113"/>
        <v>0</v>
      </c>
      <c r="O530" s="136">
        <f t="shared" si="113"/>
        <v>0</v>
      </c>
      <c r="P530" s="136">
        <f t="shared" si="113"/>
        <v>0</v>
      </c>
      <c r="Q530" s="136">
        <f t="shared" si="113"/>
        <v>0</v>
      </c>
      <c r="R530" s="136">
        <f t="shared" si="113"/>
        <v>0</v>
      </c>
      <c r="S530" s="136">
        <f t="shared" si="113"/>
        <v>0</v>
      </c>
      <c r="T530" s="136">
        <f t="shared" si="113"/>
        <v>0</v>
      </c>
      <c r="U530" s="136">
        <f t="shared" si="113"/>
        <v>0</v>
      </c>
      <c r="V530" s="136">
        <f t="shared" si="113"/>
        <v>0</v>
      </c>
      <c r="W530" s="136">
        <f t="shared" si="113"/>
        <v>0</v>
      </c>
      <c r="X530" s="136">
        <f t="shared" si="113"/>
        <v>0</v>
      </c>
      <c r="Y530" s="136">
        <f t="shared" si="113"/>
        <v>0</v>
      </c>
      <c r="Z530" s="136">
        <f t="shared" si="113"/>
        <v>0</v>
      </c>
      <c r="AA530" s="136">
        <f t="shared" si="113"/>
        <v>0</v>
      </c>
      <c r="AB530" s="136">
        <f t="shared" si="113"/>
        <v>0</v>
      </c>
      <c r="AC530" s="136">
        <f t="shared" si="113"/>
        <v>0</v>
      </c>
      <c r="AD530" s="136">
        <f t="shared" si="113"/>
        <v>0</v>
      </c>
      <c r="AE530" s="136">
        <f t="shared" si="113"/>
        <v>0</v>
      </c>
      <c r="AF530" s="136">
        <f t="shared" si="113"/>
        <v>0</v>
      </c>
      <c r="AG530" s="136">
        <f t="shared" si="113"/>
        <v>0</v>
      </c>
      <c r="AH530" s="136">
        <f t="shared" si="113"/>
        <v>0</v>
      </c>
      <c r="AI530" s="136">
        <f t="shared" si="113"/>
        <v>0</v>
      </c>
      <c r="AJ530" s="136">
        <f t="shared" si="113"/>
        <v>0</v>
      </c>
      <c r="AK530" s="136">
        <f t="shared" si="113"/>
        <v>0</v>
      </c>
      <c r="AL530" s="136">
        <f t="shared" si="113"/>
        <v>0</v>
      </c>
      <c r="AM530" s="136">
        <f t="shared" si="113"/>
        <v>0</v>
      </c>
      <c r="AN530" s="136">
        <f t="shared" si="113"/>
        <v>0</v>
      </c>
      <c r="AO530" s="136">
        <f t="shared" si="113"/>
        <v>0</v>
      </c>
      <c r="AP530" s="136">
        <f t="shared" si="113"/>
        <v>0</v>
      </c>
      <c r="AQ530" s="136">
        <f t="shared" si="113"/>
        <v>0</v>
      </c>
      <c r="AR530" s="136">
        <f t="shared" si="113"/>
        <v>0</v>
      </c>
      <c r="AS530" s="136">
        <f t="shared" si="113"/>
        <v>0</v>
      </c>
      <c r="AT530" s="136">
        <f t="shared" si="113"/>
        <v>0</v>
      </c>
      <c r="AU530" s="136">
        <f t="shared" si="113"/>
        <v>0</v>
      </c>
      <c r="AV530" s="136">
        <f t="shared" si="113"/>
        <v>0</v>
      </c>
      <c r="AW530" s="136">
        <f t="shared" si="113"/>
        <v>0</v>
      </c>
      <c r="AX530" s="136">
        <f t="shared" si="113"/>
        <v>0</v>
      </c>
      <c r="AY530" s="136">
        <f t="shared" si="113"/>
        <v>0</v>
      </c>
      <c r="AZ530" s="136">
        <f t="shared" si="113"/>
        <v>0</v>
      </c>
      <c r="BA530" s="136">
        <f t="shared" si="113"/>
        <v>0</v>
      </c>
      <c r="BB530" s="136">
        <f t="shared" si="113"/>
        <v>0</v>
      </c>
      <c r="BC530" s="136">
        <f t="shared" si="113"/>
        <v>0</v>
      </c>
      <c r="BD530" s="136">
        <f t="shared" si="113"/>
        <v>0</v>
      </c>
      <c r="BE530" s="136">
        <f t="shared" si="113"/>
        <v>0</v>
      </c>
      <c r="BF530" s="136">
        <f t="shared" si="113"/>
        <v>0</v>
      </c>
      <c r="BG530" s="136">
        <f t="shared" si="113"/>
        <v>0</v>
      </c>
      <c r="BH530" s="136">
        <f t="shared" si="113"/>
        <v>0</v>
      </c>
      <c r="BI530" s="136">
        <f t="shared" si="113"/>
        <v>0</v>
      </c>
      <c r="BJ530" s="136">
        <f t="shared" si="113"/>
        <v>0</v>
      </c>
      <c r="BK530" s="136">
        <f t="shared" si="113"/>
        <v>0</v>
      </c>
      <c r="BL530" s="136">
        <f t="shared" si="113"/>
        <v>0</v>
      </c>
      <c r="BM530" s="136">
        <f t="shared" si="113"/>
        <v>0</v>
      </c>
      <c r="BN530" s="136">
        <f t="shared" si="113"/>
        <v>0</v>
      </c>
      <c r="BO530" s="136">
        <f t="shared" si="113"/>
        <v>0</v>
      </c>
      <c r="BP530" s="136">
        <f t="shared" si="113"/>
        <v>0</v>
      </c>
      <c r="BQ530" s="136">
        <f t="shared" si="113"/>
        <v>0</v>
      </c>
      <c r="BR530" s="136">
        <f t="shared" si="113"/>
        <v>0</v>
      </c>
      <c r="BS530" s="136">
        <f t="shared" si="114"/>
        <v>0</v>
      </c>
      <c r="BT530" s="136">
        <f t="shared" si="114"/>
        <v>0</v>
      </c>
      <c r="BU530" s="136">
        <f t="shared" si="114"/>
        <v>0</v>
      </c>
      <c r="BV530" s="136">
        <f t="shared" si="114"/>
        <v>0</v>
      </c>
      <c r="BW530" s="136">
        <f t="shared" si="114"/>
        <v>0</v>
      </c>
      <c r="BX530" s="136">
        <f t="shared" si="114"/>
        <v>0</v>
      </c>
      <c r="BZ530" s="136">
        <f t="shared" si="115"/>
        <v>0</v>
      </c>
      <c r="CA530" s="136">
        <f t="shared" si="115"/>
        <v>0</v>
      </c>
    </row>
    <row r="531" spans="7:79" hidden="1" x14ac:dyDescent="0.3">
      <c r="G531" s="136">
        <f t="shared" si="113"/>
        <v>0</v>
      </c>
      <c r="H531" s="136">
        <f t="shared" si="113"/>
        <v>0</v>
      </c>
      <c r="I531" s="136">
        <f t="shared" si="113"/>
        <v>0</v>
      </c>
      <c r="J531" s="136">
        <f t="shared" si="113"/>
        <v>0</v>
      </c>
      <c r="K531" s="136">
        <f t="shared" si="113"/>
        <v>0</v>
      </c>
      <c r="L531" s="136">
        <f t="shared" si="113"/>
        <v>0</v>
      </c>
      <c r="M531" s="136">
        <f t="shared" si="113"/>
        <v>0</v>
      </c>
      <c r="N531" s="136">
        <f t="shared" si="113"/>
        <v>0</v>
      </c>
      <c r="O531" s="136">
        <f t="shared" si="113"/>
        <v>0</v>
      </c>
      <c r="P531" s="136">
        <f t="shared" si="113"/>
        <v>0</v>
      </c>
      <c r="Q531" s="136">
        <f t="shared" si="113"/>
        <v>0</v>
      </c>
      <c r="R531" s="136">
        <f t="shared" si="113"/>
        <v>0</v>
      </c>
      <c r="S531" s="136">
        <f t="shared" si="113"/>
        <v>0</v>
      </c>
      <c r="T531" s="136">
        <f t="shared" si="113"/>
        <v>0</v>
      </c>
      <c r="U531" s="136">
        <f t="shared" si="113"/>
        <v>0</v>
      </c>
      <c r="V531" s="136">
        <f t="shared" si="113"/>
        <v>0</v>
      </c>
      <c r="W531" s="136">
        <f t="shared" si="113"/>
        <v>0</v>
      </c>
      <c r="X531" s="136">
        <f t="shared" si="113"/>
        <v>0</v>
      </c>
      <c r="Y531" s="136">
        <f t="shared" si="113"/>
        <v>0</v>
      </c>
      <c r="Z531" s="136">
        <f t="shared" si="113"/>
        <v>0</v>
      </c>
      <c r="AA531" s="136">
        <f t="shared" si="113"/>
        <v>0</v>
      </c>
      <c r="AB531" s="136">
        <f t="shared" si="113"/>
        <v>0</v>
      </c>
      <c r="AC531" s="136">
        <f t="shared" si="113"/>
        <v>0</v>
      </c>
      <c r="AD531" s="136">
        <f t="shared" si="113"/>
        <v>0</v>
      </c>
      <c r="AE531" s="136">
        <f t="shared" si="113"/>
        <v>0</v>
      </c>
      <c r="AF531" s="136">
        <f t="shared" si="113"/>
        <v>0</v>
      </c>
      <c r="AG531" s="136">
        <f t="shared" si="113"/>
        <v>0</v>
      </c>
      <c r="AH531" s="136">
        <f t="shared" si="113"/>
        <v>0</v>
      </c>
      <c r="AI531" s="136">
        <f t="shared" si="113"/>
        <v>0</v>
      </c>
      <c r="AJ531" s="136">
        <f t="shared" si="113"/>
        <v>0</v>
      </c>
      <c r="AK531" s="136">
        <f t="shared" si="113"/>
        <v>0</v>
      </c>
      <c r="AL531" s="136">
        <f t="shared" si="113"/>
        <v>0</v>
      </c>
      <c r="AM531" s="136">
        <f t="shared" si="113"/>
        <v>0</v>
      </c>
      <c r="AN531" s="136">
        <f t="shared" si="113"/>
        <v>0</v>
      </c>
      <c r="AO531" s="136">
        <f t="shared" si="113"/>
        <v>0</v>
      </c>
      <c r="AP531" s="136">
        <f t="shared" si="113"/>
        <v>0</v>
      </c>
      <c r="AQ531" s="136">
        <f t="shared" si="113"/>
        <v>0</v>
      </c>
      <c r="AR531" s="136">
        <f t="shared" si="113"/>
        <v>0</v>
      </c>
      <c r="AS531" s="136">
        <f t="shared" si="113"/>
        <v>0</v>
      </c>
      <c r="AT531" s="136">
        <f t="shared" si="113"/>
        <v>0</v>
      </c>
      <c r="AU531" s="136">
        <f t="shared" si="113"/>
        <v>0</v>
      </c>
      <c r="AV531" s="136">
        <f t="shared" si="113"/>
        <v>0</v>
      </c>
      <c r="AW531" s="136">
        <f t="shared" si="113"/>
        <v>0</v>
      </c>
      <c r="AX531" s="136">
        <f t="shared" si="113"/>
        <v>0</v>
      </c>
      <c r="AY531" s="136">
        <f t="shared" si="113"/>
        <v>0</v>
      </c>
      <c r="AZ531" s="136">
        <f t="shared" si="113"/>
        <v>0</v>
      </c>
      <c r="BA531" s="136">
        <f t="shared" si="113"/>
        <v>0</v>
      </c>
      <c r="BB531" s="136">
        <f t="shared" si="113"/>
        <v>0</v>
      </c>
      <c r="BC531" s="136">
        <f t="shared" si="113"/>
        <v>0</v>
      </c>
      <c r="BD531" s="136">
        <f t="shared" si="113"/>
        <v>0</v>
      </c>
      <c r="BE531" s="136">
        <f t="shared" si="113"/>
        <v>0</v>
      </c>
      <c r="BF531" s="136">
        <f t="shared" si="113"/>
        <v>0</v>
      </c>
      <c r="BG531" s="136">
        <f t="shared" si="113"/>
        <v>0</v>
      </c>
      <c r="BH531" s="136">
        <f t="shared" si="113"/>
        <v>0</v>
      </c>
      <c r="BI531" s="136">
        <f t="shared" si="113"/>
        <v>0</v>
      </c>
      <c r="BJ531" s="136">
        <f t="shared" si="113"/>
        <v>0</v>
      </c>
      <c r="BK531" s="136">
        <f t="shared" si="113"/>
        <v>0</v>
      </c>
      <c r="BL531" s="136">
        <f t="shared" si="113"/>
        <v>0</v>
      </c>
      <c r="BM531" s="136">
        <f t="shared" si="113"/>
        <v>0</v>
      </c>
      <c r="BN531" s="136">
        <f t="shared" si="113"/>
        <v>0</v>
      </c>
      <c r="BO531" s="136">
        <f t="shared" si="113"/>
        <v>0</v>
      </c>
      <c r="BP531" s="136">
        <f t="shared" si="113"/>
        <v>0</v>
      </c>
      <c r="BQ531" s="136">
        <f t="shared" si="113"/>
        <v>0</v>
      </c>
      <c r="BR531" s="136">
        <f t="shared" si="113"/>
        <v>0</v>
      </c>
      <c r="BS531" s="136">
        <f t="shared" si="114"/>
        <v>0</v>
      </c>
      <c r="BT531" s="136">
        <f t="shared" si="114"/>
        <v>0</v>
      </c>
      <c r="BU531" s="136">
        <f t="shared" si="114"/>
        <v>0</v>
      </c>
      <c r="BV531" s="136">
        <f t="shared" si="114"/>
        <v>0</v>
      </c>
      <c r="BW531" s="136">
        <f t="shared" si="114"/>
        <v>0</v>
      </c>
      <c r="BX531" s="136">
        <f t="shared" si="114"/>
        <v>0</v>
      </c>
      <c r="BZ531" s="136">
        <f t="shared" si="115"/>
        <v>0</v>
      </c>
      <c r="CA531" s="136">
        <f t="shared" si="115"/>
        <v>0</v>
      </c>
    </row>
    <row r="532" spans="7:79" hidden="1" x14ac:dyDescent="0.3">
      <c r="G532" s="136">
        <f t="shared" si="113"/>
        <v>0</v>
      </c>
      <c r="H532" s="136">
        <f t="shared" si="113"/>
        <v>0</v>
      </c>
      <c r="I532" s="136">
        <f t="shared" si="113"/>
        <v>0</v>
      </c>
      <c r="J532" s="136">
        <f t="shared" si="113"/>
        <v>0</v>
      </c>
      <c r="K532" s="136">
        <f t="shared" si="113"/>
        <v>0</v>
      </c>
      <c r="L532" s="136">
        <f t="shared" si="113"/>
        <v>0</v>
      </c>
      <c r="M532" s="136">
        <f t="shared" si="113"/>
        <v>0</v>
      </c>
      <c r="N532" s="136">
        <f t="shared" si="113"/>
        <v>0</v>
      </c>
      <c r="O532" s="136">
        <f t="shared" si="113"/>
        <v>0</v>
      </c>
      <c r="P532" s="136">
        <f t="shared" si="113"/>
        <v>0</v>
      </c>
      <c r="Q532" s="136">
        <f t="shared" si="113"/>
        <v>0</v>
      </c>
      <c r="R532" s="136">
        <f t="shared" si="113"/>
        <v>0</v>
      </c>
      <c r="S532" s="136">
        <f t="shared" si="113"/>
        <v>0</v>
      </c>
      <c r="T532" s="136">
        <f t="shared" si="113"/>
        <v>0</v>
      </c>
      <c r="U532" s="136">
        <f t="shared" si="113"/>
        <v>0</v>
      </c>
      <c r="V532" s="136">
        <f t="shared" si="113"/>
        <v>0</v>
      </c>
      <c r="W532" s="136">
        <f t="shared" si="113"/>
        <v>0</v>
      </c>
      <c r="X532" s="136">
        <f t="shared" si="113"/>
        <v>0</v>
      </c>
      <c r="Y532" s="136">
        <f t="shared" si="113"/>
        <v>0</v>
      </c>
      <c r="Z532" s="136">
        <f t="shared" si="113"/>
        <v>0</v>
      </c>
      <c r="AA532" s="136">
        <f t="shared" si="113"/>
        <v>0</v>
      </c>
      <c r="AB532" s="136">
        <f t="shared" si="113"/>
        <v>0</v>
      </c>
      <c r="AC532" s="136">
        <f t="shared" si="113"/>
        <v>0</v>
      </c>
      <c r="AD532" s="136">
        <f t="shared" si="113"/>
        <v>0</v>
      </c>
      <c r="AE532" s="136">
        <f t="shared" si="113"/>
        <v>0</v>
      </c>
      <c r="AF532" s="136">
        <f t="shared" si="113"/>
        <v>0</v>
      </c>
      <c r="AG532" s="136">
        <f t="shared" si="113"/>
        <v>0</v>
      </c>
      <c r="AH532" s="136">
        <f t="shared" si="113"/>
        <v>0</v>
      </c>
      <c r="AI532" s="136">
        <f t="shared" si="113"/>
        <v>0</v>
      </c>
      <c r="AJ532" s="136">
        <f t="shared" si="113"/>
        <v>0</v>
      </c>
      <c r="AK532" s="136">
        <f t="shared" si="113"/>
        <v>0</v>
      </c>
      <c r="AL532" s="136">
        <f t="shared" si="113"/>
        <v>0</v>
      </c>
      <c r="AM532" s="136">
        <f t="shared" si="113"/>
        <v>0</v>
      </c>
      <c r="AN532" s="136">
        <f t="shared" si="113"/>
        <v>0</v>
      </c>
      <c r="AO532" s="136">
        <f t="shared" si="113"/>
        <v>0</v>
      </c>
      <c r="AP532" s="136">
        <f t="shared" si="113"/>
        <v>0</v>
      </c>
      <c r="AQ532" s="136">
        <f t="shared" si="113"/>
        <v>0</v>
      </c>
      <c r="AR532" s="136">
        <f t="shared" si="113"/>
        <v>0</v>
      </c>
      <c r="AS532" s="136">
        <f t="shared" si="113"/>
        <v>0</v>
      </c>
      <c r="AT532" s="136">
        <f t="shared" si="113"/>
        <v>0</v>
      </c>
      <c r="AU532" s="136">
        <f t="shared" si="113"/>
        <v>0</v>
      </c>
      <c r="AV532" s="136">
        <f t="shared" si="113"/>
        <v>0</v>
      </c>
      <c r="AW532" s="136">
        <f t="shared" si="113"/>
        <v>0</v>
      </c>
      <c r="AX532" s="136">
        <f t="shared" si="113"/>
        <v>0</v>
      </c>
      <c r="AY532" s="136">
        <f t="shared" si="113"/>
        <v>0</v>
      </c>
      <c r="AZ532" s="136">
        <f t="shared" si="113"/>
        <v>0</v>
      </c>
      <c r="BA532" s="136">
        <f t="shared" si="113"/>
        <v>0</v>
      </c>
      <c r="BB532" s="136">
        <f t="shared" si="113"/>
        <v>0</v>
      </c>
      <c r="BC532" s="136">
        <f t="shared" si="113"/>
        <v>0</v>
      </c>
      <c r="BD532" s="136">
        <f t="shared" si="113"/>
        <v>0</v>
      </c>
      <c r="BE532" s="136">
        <f t="shared" si="113"/>
        <v>0</v>
      </c>
      <c r="BF532" s="136">
        <f t="shared" si="113"/>
        <v>0</v>
      </c>
      <c r="BG532" s="136">
        <f t="shared" si="113"/>
        <v>0</v>
      </c>
      <c r="BH532" s="136">
        <f t="shared" si="113"/>
        <v>0</v>
      </c>
      <c r="BI532" s="136">
        <f t="shared" si="113"/>
        <v>0</v>
      </c>
      <c r="BJ532" s="136">
        <f t="shared" si="113"/>
        <v>0</v>
      </c>
      <c r="BK532" s="136">
        <f t="shared" si="113"/>
        <v>0</v>
      </c>
      <c r="BL532" s="136">
        <f t="shared" si="113"/>
        <v>0</v>
      </c>
      <c r="BM532" s="136">
        <f t="shared" si="113"/>
        <v>0</v>
      </c>
      <c r="BN532" s="136">
        <f t="shared" si="113"/>
        <v>0</v>
      </c>
      <c r="BO532" s="136">
        <f t="shared" si="113"/>
        <v>0</v>
      </c>
      <c r="BP532" s="136">
        <f t="shared" si="113"/>
        <v>0</v>
      </c>
      <c r="BQ532" s="136">
        <f t="shared" si="113"/>
        <v>0</v>
      </c>
      <c r="BR532" s="136">
        <f t="shared" ref="BR532:BX547" si="116">BR130-EJ130</f>
        <v>0</v>
      </c>
      <c r="BS532" s="136">
        <f t="shared" si="114"/>
        <v>0</v>
      </c>
      <c r="BT532" s="136">
        <f t="shared" si="114"/>
        <v>0</v>
      </c>
      <c r="BU532" s="136">
        <f t="shared" si="114"/>
        <v>0</v>
      </c>
      <c r="BV532" s="136">
        <f t="shared" si="114"/>
        <v>0</v>
      </c>
      <c r="BW532" s="136">
        <f t="shared" si="114"/>
        <v>0</v>
      </c>
      <c r="BX532" s="136">
        <f t="shared" si="114"/>
        <v>0</v>
      </c>
      <c r="BZ532" s="136">
        <f t="shared" si="115"/>
        <v>0</v>
      </c>
      <c r="CA532" s="136">
        <f t="shared" si="115"/>
        <v>0</v>
      </c>
    </row>
    <row r="533" spans="7:79" hidden="1" x14ac:dyDescent="0.3">
      <c r="G533" s="136">
        <f t="shared" ref="G533:BQ537" si="117">G131-BY131</f>
        <v>0</v>
      </c>
      <c r="H533" s="136">
        <f t="shared" si="117"/>
        <v>0</v>
      </c>
      <c r="I533" s="136">
        <f t="shared" si="117"/>
        <v>0</v>
      </c>
      <c r="J533" s="136">
        <f t="shared" si="117"/>
        <v>0</v>
      </c>
      <c r="K533" s="136">
        <f t="shared" si="117"/>
        <v>0</v>
      </c>
      <c r="L533" s="136">
        <f t="shared" si="117"/>
        <v>0</v>
      </c>
      <c r="M533" s="136">
        <f t="shared" si="117"/>
        <v>0</v>
      </c>
      <c r="N533" s="136">
        <f t="shared" si="117"/>
        <v>0</v>
      </c>
      <c r="O533" s="136">
        <f t="shared" si="117"/>
        <v>0</v>
      </c>
      <c r="P533" s="136">
        <f t="shared" si="117"/>
        <v>0</v>
      </c>
      <c r="Q533" s="136">
        <f t="shared" si="117"/>
        <v>0</v>
      </c>
      <c r="R533" s="136">
        <f t="shared" si="117"/>
        <v>0</v>
      </c>
      <c r="S533" s="136">
        <f t="shared" si="117"/>
        <v>0</v>
      </c>
      <c r="T533" s="136">
        <f t="shared" si="117"/>
        <v>0</v>
      </c>
      <c r="U533" s="136">
        <f t="shared" si="117"/>
        <v>0</v>
      </c>
      <c r="V533" s="136">
        <f t="shared" si="117"/>
        <v>0</v>
      </c>
      <c r="W533" s="136">
        <f t="shared" si="117"/>
        <v>0</v>
      </c>
      <c r="X533" s="136">
        <f t="shared" si="117"/>
        <v>0</v>
      </c>
      <c r="Y533" s="136">
        <f t="shared" si="117"/>
        <v>0</v>
      </c>
      <c r="Z533" s="136">
        <f t="shared" si="117"/>
        <v>0</v>
      </c>
      <c r="AA533" s="136">
        <f t="shared" si="117"/>
        <v>0</v>
      </c>
      <c r="AB533" s="136">
        <f t="shared" si="117"/>
        <v>0</v>
      </c>
      <c r="AC533" s="136">
        <f t="shared" si="117"/>
        <v>0</v>
      </c>
      <c r="AD533" s="136">
        <f t="shared" si="117"/>
        <v>0</v>
      </c>
      <c r="AE533" s="136">
        <f t="shared" si="117"/>
        <v>0</v>
      </c>
      <c r="AF533" s="136">
        <f t="shared" si="117"/>
        <v>0</v>
      </c>
      <c r="AG533" s="136">
        <f t="shared" si="117"/>
        <v>0</v>
      </c>
      <c r="AH533" s="136">
        <f t="shared" si="117"/>
        <v>0</v>
      </c>
      <c r="AI533" s="136">
        <f t="shared" si="117"/>
        <v>0</v>
      </c>
      <c r="AJ533" s="136">
        <f t="shared" si="117"/>
        <v>0</v>
      </c>
      <c r="AK533" s="136">
        <f t="shared" si="117"/>
        <v>0</v>
      </c>
      <c r="AL533" s="136">
        <f t="shared" si="117"/>
        <v>0</v>
      </c>
      <c r="AM533" s="136">
        <f t="shared" si="117"/>
        <v>0</v>
      </c>
      <c r="AN533" s="136">
        <f t="shared" si="117"/>
        <v>0</v>
      </c>
      <c r="AO533" s="136">
        <f t="shared" si="117"/>
        <v>0</v>
      </c>
      <c r="AP533" s="136">
        <f t="shared" si="117"/>
        <v>0</v>
      </c>
      <c r="AQ533" s="136">
        <f t="shared" si="117"/>
        <v>0</v>
      </c>
      <c r="AR533" s="136">
        <f t="shared" si="117"/>
        <v>0</v>
      </c>
      <c r="AS533" s="136">
        <f t="shared" si="117"/>
        <v>0</v>
      </c>
      <c r="AT533" s="136">
        <f t="shared" si="117"/>
        <v>0</v>
      </c>
      <c r="AU533" s="136">
        <f t="shared" si="117"/>
        <v>0</v>
      </c>
      <c r="AV533" s="136">
        <f t="shared" si="117"/>
        <v>0</v>
      </c>
      <c r="AW533" s="136">
        <f t="shared" si="117"/>
        <v>0</v>
      </c>
      <c r="AX533" s="136">
        <f t="shared" si="117"/>
        <v>0</v>
      </c>
      <c r="AY533" s="136">
        <f t="shared" si="117"/>
        <v>0</v>
      </c>
      <c r="AZ533" s="136">
        <f t="shared" si="117"/>
        <v>0</v>
      </c>
      <c r="BA533" s="136">
        <f t="shared" si="117"/>
        <v>0</v>
      </c>
      <c r="BB533" s="136">
        <f t="shared" si="117"/>
        <v>0</v>
      </c>
      <c r="BC533" s="136">
        <f t="shared" si="117"/>
        <v>0</v>
      </c>
      <c r="BD533" s="136">
        <f t="shared" si="117"/>
        <v>0</v>
      </c>
      <c r="BE533" s="136">
        <f t="shared" si="117"/>
        <v>0</v>
      </c>
      <c r="BF533" s="136">
        <f t="shared" si="117"/>
        <v>0</v>
      </c>
      <c r="BG533" s="136">
        <f t="shared" si="117"/>
        <v>0</v>
      </c>
      <c r="BH533" s="136">
        <f t="shared" si="117"/>
        <v>0</v>
      </c>
      <c r="BI533" s="136">
        <f t="shared" si="117"/>
        <v>0</v>
      </c>
      <c r="BJ533" s="136">
        <f t="shared" si="117"/>
        <v>0</v>
      </c>
      <c r="BK533" s="136">
        <f t="shared" si="117"/>
        <v>0</v>
      </c>
      <c r="BL533" s="136">
        <f t="shared" si="117"/>
        <v>0</v>
      </c>
      <c r="BM533" s="136">
        <f t="shared" si="117"/>
        <v>0</v>
      </c>
      <c r="BN533" s="136">
        <f t="shared" si="117"/>
        <v>0</v>
      </c>
      <c r="BO533" s="136">
        <f t="shared" si="117"/>
        <v>0</v>
      </c>
      <c r="BP533" s="136">
        <f t="shared" si="117"/>
        <v>0</v>
      </c>
      <c r="BQ533" s="136">
        <f t="shared" si="117"/>
        <v>0</v>
      </c>
      <c r="BR533" s="136">
        <f t="shared" si="116"/>
        <v>0</v>
      </c>
      <c r="BS533" s="136">
        <f t="shared" si="114"/>
        <v>0</v>
      </c>
      <c r="BT533" s="136">
        <f t="shared" si="114"/>
        <v>0</v>
      </c>
      <c r="BU533" s="136">
        <f t="shared" si="114"/>
        <v>0</v>
      </c>
      <c r="BV533" s="136">
        <f t="shared" si="114"/>
        <v>0</v>
      </c>
      <c r="BW533" s="136">
        <f t="shared" si="114"/>
        <v>0</v>
      </c>
      <c r="BX533" s="136">
        <f t="shared" si="114"/>
        <v>0</v>
      </c>
      <c r="BZ533" s="136">
        <f t="shared" si="115"/>
        <v>0</v>
      </c>
      <c r="CA533" s="136">
        <f t="shared" si="115"/>
        <v>0</v>
      </c>
    </row>
    <row r="534" spans="7:79" hidden="1" x14ac:dyDescent="0.3">
      <c r="G534" s="136">
        <f t="shared" si="117"/>
        <v>0</v>
      </c>
      <c r="H534" s="136">
        <f t="shared" si="117"/>
        <v>0</v>
      </c>
      <c r="I534" s="136">
        <f t="shared" si="117"/>
        <v>0</v>
      </c>
      <c r="J534" s="136">
        <f t="shared" si="117"/>
        <v>0</v>
      </c>
      <c r="K534" s="136">
        <f t="shared" si="117"/>
        <v>0</v>
      </c>
      <c r="L534" s="136">
        <f t="shared" si="117"/>
        <v>0</v>
      </c>
      <c r="M534" s="136">
        <f t="shared" si="117"/>
        <v>0</v>
      </c>
      <c r="N534" s="136">
        <f t="shared" si="117"/>
        <v>0</v>
      </c>
      <c r="O534" s="136">
        <f t="shared" si="117"/>
        <v>0</v>
      </c>
      <c r="P534" s="136">
        <f t="shared" si="117"/>
        <v>0</v>
      </c>
      <c r="Q534" s="136">
        <f t="shared" si="117"/>
        <v>0</v>
      </c>
      <c r="R534" s="136">
        <f t="shared" si="117"/>
        <v>0</v>
      </c>
      <c r="S534" s="136">
        <f t="shared" si="117"/>
        <v>0</v>
      </c>
      <c r="T534" s="136">
        <f t="shared" si="117"/>
        <v>0</v>
      </c>
      <c r="U534" s="136">
        <f t="shared" si="117"/>
        <v>0</v>
      </c>
      <c r="V534" s="136">
        <f t="shared" si="117"/>
        <v>0</v>
      </c>
      <c r="W534" s="136">
        <f t="shared" si="117"/>
        <v>0</v>
      </c>
      <c r="X534" s="136">
        <f t="shared" si="117"/>
        <v>0</v>
      </c>
      <c r="Y534" s="136">
        <f t="shared" si="117"/>
        <v>0</v>
      </c>
      <c r="Z534" s="136">
        <f t="shared" si="117"/>
        <v>0</v>
      </c>
      <c r="AA534" s="136">
        <f t="shared" si="117"/>
        <v>0</v>
      </c>
      <c r="AB534" s="136">
        <f t="shared" si="117"/>
        <v>0</v>
      </c>
      <c r="AC534" s="136">
        <f t="shared" si="117"/>
        <v>0</v>
      </c>
      <c r="AD534" s="136">
        <f t="shared" si="117"/>
        <v>0</v>
      </c>
      <c r="AE534" s="136">
        <f t="shared" si="117"/>
        <v>0</v>
      </c>
      <c r="AF534" s="136">
        <f t="shared" si="117"/>
        <v>0</v>
      </c>
      <c r="AG534" s="136">
        <f t="shared" si="117"/>
        <v>0</v>
      </c>
      <c r="AH534" s="136">
        <f t="shared" si="117"/>
        <v>0</v>
      </c>
      <c r="AI534" s="136">
        <f t="shared" si="117"/>
        <v>0</v>
      </c>
      <c r="AJ534" s="136">
        <f t="shared" si="117"/>
        <v>0</v>
      </c>
      <c r="AK534" s="136">
        <f t="shared" si="117"/>
        <v>0</v>
      </c>
      <c r="AL534" s="136">
        <f t="shared" si="117"/>
        <v>0</v>
      </c>
      <c r="AM534" s="136">
        <f t="shared" si="117"/>
        <v>0</v>
      </c>
      <c r="AN534" s="136">
        <f t="shared" si="117"/>
        <v>0</v>
      </c>
      <c r="AO534" s="136">
        <f t="shared" si="117"/>
        <v>0</v>
      </c>
      <c r="AP534" s="136">
        <f t="shared" si="117"/>
        <v>0</v>
      </c>
      <c r="AQ534" s="136">
        <f t="shared" si="117"/>
        <v>0</v>
      </c>
      <c r="AR534" s="136">
        <f t="shared" si="117"/>
        <v>0</v>
      </c>
      <c r="AS534" s="136">
        <f t="shared" si="117"/>
        <v>0</v>
      </c>
      <c r="AT534" s="136">
        <f t="shared" si="117"/>
        <v>0</v>
      </c>
      <c r="AU534" s="136">
        <f t="shared" si="117"/>
        <v>0</v>
      </c>
      <c r="AV534" s="136">
        <f t="shared" si="117"/>
        <v>0</v>
      </c>
      <c r="AW534" s="136">
        <f t="shared" si="117"/>
        <v>0</v>
      </c>
      <c r="AX534" s="136">
        <f t="shared" si="117"/>
        <v>0</v>
      </c>
      <c r="AY534" s="136">
        <f t="shared" si="117"/>
        <v>0</v>
      </c>
      <c r="AZ534" s="136">
        <f t="shared" si="117"/>
        <v>0</v>
      </c>
      <c r="BA534" s="136">
        <f t="shared" si="117"/>
        <v>0</v>
      </c>
      <c r="BB534" s="136">
        <f t="shared" si="117"/>
        <v>0</v>
      </c>
      <c r="BC534" s="136">
        <f t="shared" si="117"/>
        <v>0</v>
      </c>
      <c r="BD534" s="136">
        <f t="shared" si="117"/>
        <v>0</v>
      </c>
      <c r="BE534" s="136">
        <f t="shared" si="117"/>
        <v>0</v>
      </c>
      <c r="BF534" s="136">
        <f t="shared" si="117"/>
        <v>0</v>
      </c>
      <c r="BG534" s="136">
        <f t="shared" si="117"/>
        <v>0</v>
      </c>
      <c r="BH534" s="136">
        <f t="shared" si="117"/>
        <v>0</v>
      </c>
      <c r="BI534" s="136">
        <f t="shared" si="117"/>
        <v>0</v>
      </c>
      <c r="BJ534" s="136">
        <f t="shared" si="117"/>
        <v>0</v>
      </c>
      <c r="BK534" s="136">
        <f t="shared" si="117"/>
        <v>0</v>
      </c>
      <c r="BL534" s="136">
        <f t="shared" si="117"/>
        <v>0</v>
      </c>
      <c r="BM534" s="136">
        <f t="shared" si="117"/>
        <v>0</v>
      </c>
      <c r="BN534" s="136">
        <f t="shared" si="117"/>
        <v>0</v>
      </c>
      <c r="BO534" s="136">
        <f t="shared" si="117"/>
        <v>0</v>
      </c>
      <c r="BP534" s="136">
        <f t="shared" si="117"/>
        <v>0</v>
      </c>
      <c r="BQ534" s="136">
        <f t="shared" si="117"/>
        <v>0</v>
      </c>
      <c r="BR534" s="136">
        <f t="shared" si="116"/>
        <v>0</v>
      </c>
      <c r="BS534" s="136">
        <f t="shared" si="114"/>
        <v>0</v>
      </c>
      <c r="BT534" s="136">
        <f t="shared" si="114"/>
        <v>0</v>
      </c>
      <c r="BU534" s="136">
        <f t="shared" si="114"/>
        <v>0</v>
      </c>
      <c r="BV534" s="136">
        <f t="shared" si="114"/>
        <v>0</v>
      </c>
      <c r="BW534" s="136">
        <f t="shared" si="114"/>
        <v>0</v>
      </c>
      <c r="BX534" s="136">
        <f t="shared" si="114"/>
        <v>0</v>
      </c>
      <c r="BZ534" s="136">
        <f t="shared" si="115"/>
        <v>0</v>
      </c>
      <c r="CA534" s="136">
        <f t="shared" si="115"/>
        <v>0</v>
      </c>
    </row>
    <row r="535" spans="7:79" hidden="1" x14ac:dyDescent="0.3">
      <c r="G535" s="136">
        <f t="shared" si="117"/>
        <v>0</v>
      </c>
      <c r="H535" s="136">
        <f t="shared" si="117"/>
        <v>0</v>
      </c>
      <c r="I535" s="136">
        <f t="shared" si="117"/>
        <v>0</v>
      </c>
      <c r="J535" s="136">
        <f t="shared" si="117"/>
        <v>0</v>
      </c>
      <c r="K535" s="136">
        <f t="shared" si="117"/>
        <v>0</v>
      </c>
      <c r="L535" s="136">
        <f t="shared" si="117"/>
        <v>0</v>
      </c>
      <c r="M535" s="136">
        <f t="shared" si="117"/>
        <v>0</v>
      </c>
      <c r="N535" s="136">
        <f t="shared" si="117"/>
        <v>0</v>
      </c>
      <c r="O535" s="136">
        <f t="shared" si="117"/>
        <v>0</v>
      </c>
      <c r="P535" s="136">
        <f t="shared" si="117"/>
        <v>0</v>
      </c>
      <c r="Q535" s="136">
        <f t="shared" si="117"/>
        <v>0</v>
      </c>
      <c r="R535" s="136">
        <f t="shared" si="117"/>
        <v>0</v>
      </c>
      <c r="S535" s="136">
        <f t="shared" si="117"/>
        <v>0</v>
      </c>
      <c r="T535" s="136">
        <f t="shared" si="117"/>
        <v>0</v>
      </c>
      <c r="U535" s="136">
        <f t="shared" si="117"/>
        <v>0</v>
      </c>
      <c r="V535" s="136">
        <f t="shared" si="117"/>
        <v>0</v>
      </c>
      <c r="W535" s="136">
        <f t="shared" si="117"/>
        <v>0</v>
      </c>
      <c r="X535" s="136">
        <f t="shared" si="117"/>
        <v>0</v>
      </c>
      <c r="Y535" s="136">
        <f t="shared" si="117"/>
        <v>0</v>
      </c>
      <c r="Z535" s="136">
        <f t="shared" si="117"/>
        <v>0</v>
      </c>
      <c r="AA535" s="136">
        <f t="shared" si="117"/>
        <v>0</v>
      </c>
      <c r="AB535" s="136">
        <f t="shared" si="117"/>
        <v>0</v>
      </c>
      <c r="AC535" s="136">
        <f t="shared" si="117"/>
        <v>0</v>
      </c>
      <c r="AD535" s="136">
        <f t="shared" si="117"/>
        <v>0</v>
      </c>
      <c r="AE535" s="136">
        <f t="shared" si="117"/>
        <v>0</v>
      </c>
      <c r="AF535" s="136">
        <f t="shared" si="117"/>
        <v>0</v>
      </c>
      <c r="AG535" s="136">
        <f t="shared" si="117"/>
        <v>0</v>
      </c>
      <c r="AH535" s="136">
        <f t="shared" si="117"/>
        <v>0</v>
      </c>
      <c r="AI535" s="136">
        <f t="shared" si="117"/>
        <v>0</v>
      </c>
      <c r="AJ535" s="136">
        <f t="shared" si="117"/>
        <v>0</v>
      </c>
      <c r="AK535" s="136">
        <f t="shared" si="117"/>
        <v>0</v>
      </c>
      <c r="AL535" s="136">
        <f t="shared" si="117"/>
        <v>0</v>
      </c>
      <c r="AM535" s="136">
        <f t="shared" si="117"/>
        <v>0</v>
      </c>
      <c r="AN535" s="136">
        <f t="shared" si="117"/>
        <v>0</v>
      </c>
      <c r="AO535" s="136">
        <f t="shared" si="117"/>
        <v>0</v>
      </c>
      <c r="AP535" s="136">
        <f t="shared" si="117"/>
        <v>0</v>
      </c>
      <c r="AQ535" s="136">
        <f t="shared" si="117"/>
        <v>0</v>
      </c>
      <c r="AR535" s="136">
        <f t="shared" si="117"/>
        <v>0</v>
      </c>
      <c r="AS535" s="136">
        <f t="shared" si="117"/>
        <v>0</v>
      </c>
      <c r="AT535" s="136">
        <f t="shared" si="117"/>
        <v>0</v>
      </c>
      <c r="AU535" s="136">
        <f t="shared" si="117"/>
        <v>0</v>
      </c>
      <c r="AV535" s="136">
        <f t="shared" si="117"/>
        <v>0</v>
      </c>
      <c r="AW535" s="136">
        <f t="shared" si="117"/>
        <v>0</v>
      </c>
      <c r="AX535" s="136">
        <f t="shared" si="117"/>
        <v>0</v>
      </c>
      <c r="AY535" s="136">
        <f t="shared" si="117"/>
        <v>0</v>
      </c>
      <c r="AZ535" s="136">
        <f t="shared" si="117"/>
        <v>0</v>
      </c>
      <c r="BA535" s="136">
        <f t="shared" si="117"/>
        <v>0</v>
      </c>
      <c r="BB535" s="136">
        <f t="shared" si="117"/>
        <v>0</v>
      </c>
      <c r="BC535" s="136">
        <f t="shared" si="117"/>
        <v>0</v>
      </c>
      <c r="BD535" s="136">
        <f t="shared" si="117"/>
        <v>0</v>
      </c>
      <c r="BE535" s="136">
        <f t="shared" si="117"/>
        <v>0</v>
      </c>
      <c r="BF535" s="136">
        <f t="shared" si="117"/>
        <v>0</v>
      </c>
      <c r="BG535" s="136">
        <f t="shared" si="117"/>
        <v>0</v>
      </c>
      <c r="BH535" s="136">
        <f t="shared" si="117"/>
        <v>0</v>
      </c>
      <c r="BI535" s="136">
        <f t="shared" si="117"/>
        <v>0</v>
      </c>
      <c r="BJ535" s="136">
        <f t="shared" si="117"/>
        <v>0</v>
      </c>
      <c r="BK535" s="136">
        <f t="shared" si="117"/>
        <v>0</v>
      </c>
      <c r="BL535" s="136">
        <f t="shared" si="117"/>
        <v>0</v>
      </c>
      <c r="BM535" s="136">
        <f t="shared" si="117"/>
        <v>0</v>
      </c>
      <c r="BN535" s="136">
        <f t="shared" si="117"/>
        <v>0</v>
      </c>
      <c r="BO535" s="136">
        <f t="shared" si="117"/>
        <v>0</v>
      </c>
      <c r="BP535" s="136">
        <f t="shared" si="117"/>
        <v>0</v>
      </c>
      <c r="BQ535" s="136">
        <f t="shared" si="117"/>
        <v>0</v>
      </c>
      <c r="BR535" s="136">
        <f t="shared" si="116"/>
        <v>0</v>
      </c>
      <c r="BS535" s="136">
        <f t="shared" si="114"/>
        <v>0</v>
      </c>
      <c r="BT535" s="136">
        <f t="shared" si="114"/>
        <v>0</v>
      </c>
      <c r="BU535" s="136">
        <f t="shared" si="114"/>
        <v>0</v>
      </c>
      <c r="BV535" s="136">
        <f t="shared" si="114"/>
        <v>0</v>
      </c>
      <c r="BW535" s="136">
        <f t="shared" si="114"/>
        <v>0</v>
      </c>
      <c r="BX535" s="136">
        <f t="shared" si="114"/>
        <v>0</v>
      </c>
      <c r="BZ535" s="136">
        <f t="shared" si="115"/>
        <v>0</v>
      </c>
      <c r="CA535" s="136">
        <f t="shared" si="115"/>
        <v>0</v>
      </c>
    </row>
    <row r="536" spans="7:79" hidden="1" x14ac:dyDescent="0.3">
      <c r="G536" s="136">
        <f t="shared" si="117"/>
        <v>-27246490</v>
      </c>
      <c r="H536" s="136">
        <f t="shared" si="117"/>
        <v>0</v>
      </c>
      <c r="I536" s="136">
        <f t="shared" si="117"/>
        <v>0</v>
      </c>
      <c r="J536" s="136">
        <f t="shared" si="117"/>
        <v>0</v>
      </c>
      <c r="K536" s="136">
        <f t="shared" si="117"/>
        <v>0</v>
      </c>
      <c r="L536" s="136">
        <f t="shared" si="117"/>
        <v>-3495480</v>
      </c>
      <c r="M536" s="136">
        <f t="shared" si="117"/>
        <v>0</v>
      </c>
      <c r="N536" s="136">
        <f t="shared" si="117"/>
        <v>0</v>
      </c>
      <c r="O536" s="136">
        <f t="shared" si="117"/>
        <v>0</v>
      </c>
      <c r="P536" s="136">
        <f t="shared" si="117"/>
        <v>0</v>
      </c>
      <c r="Q536" s="136">
        <f t="shared" si="117"/>
        <v>660000</v>
      </c>
      <c r="R536" s="136">
        <f t="shared" si="117"/>
        <v>0</v>
      </c>
      <c r="S536" s="136">
        <f t="shared" si="117"/>
        <v>0</v>
      </c>
      <c r="T536" s="136">
        <f t="shared" si="117"/>
        <v>0</v>
      </c>
      <c r="U536" s="136">
        <f t="shared" si="117"/>
        <v>0</v>
      </c>
      <c r="V536" s="136">
        <f t="shared" si="117"/>
        <v>3336000</v>
      </c>
      <c r="W536" s="136">
        <f t="shared" si="117"/>
        <v>0</v>
      </c>
      <c r="X536" s="136">
        <f t="shared" si="117"/>
        <v>0</v>
      </c>
      <c r="Y536" s="136">
        <f t="shared" si="117"/>
        <v>0</v>
      </c>
      <c r="Z536" s="136">
        <f t="shared" si="117"/>
        <v>0</v>
      </c>
      <c r="AA536" s="136">
        <f t="shared" si="117"/>
        <v>3693000</v>
      </c>
      <c r="AB536" s="136">
        <f t="shared" si="117"/>
        <v>0</v>
      </c>
      <c r="AC536" s="136">
        <f t="shared" si="117"/>
        <v>0</v>
      </c>
      <c r="AD536" s="136">
        <f t="shared" si="117"/>
        <v>0</v>
      </c>
      <c r="AE536" s="136">
        <f t="shared" si="117"/>
        <v>0</v>
      </c>
      <c r="AF536" s="136">
        <f t="shared" si="117"/>
        <v>-1947000</v>
      </c>
      <c r="AG536" s="136">
        <f t="shared" si="117"/>
        <v>0</v>
      </c>
      <c r="AH536" s="136">
        <f t="shared" si="117"/>
        <v>0</v>
      </c>
      <c r="AI536" s="136">
        <f t="shared" si="117"/>
        <v>0</v>
      </c>
      <c r="AJ536" s="136">
        <f t="shared" si="117"/>
        <v>0</v>
      </c>
      <c r="AK536" s="136">
        <f t="shared" si="117"/>
        <v>-4790000</v>
      </c>
      <c r="AL536" s="136">
        <f t="shared" si="117"/>
        <v>0</v>
      </c>
      <c r="AM536" s="136">
        <f t="shared" si="117"/>
        <v>0</v>
      </c>
      <c r="AN536" s="136">
        <f t="shared" si="117"/>
        <v>0</v>
      </c>
      <c r="AO536" s="136">
        <f t="shared" si="117"/>
        <v>0</v>
      </c>
      <c r="AP536" s="136">
        <f t="shared" si="117"/>
        <v>-1948000</v>
      </c>
      <c r="AQ536" s="136">
        <f t="shared" si="117"/>
        <v>0</v>
      </c>
      <c r="AR536" s="136">
        <f t="shared" si="117"/>
        <v>0</v>
      </c>
      <c r="AS536" s="136">
        <f t="shared" si="117"/>
        <v>0</v>
      </c>
      <c r="AT536" s="136">
        <f t="shared" si="117"/>
        <v>0</v>
      </c>
      <c r="AU536" s="136">
        <f t="shared" si="117"/>
        <v>2458510</v>
      </c>
      <c r="AV536" s="136">
        <f t="shared" si="117"/>
        <v>0</v>
      </c>
      <c r="AW536" s="136">
        <f t="shared" si="117"/>
        <v>0</v>
      </c>
      <c r="AX536" s="136">
        <f t="shared" si="117"/>
        <v>0</v>
      </c>
      <c r="AY536" s="136">
        <f t="shared" si="117"/>
        <v>0</v>
      </c>
      <c r="AZ536" s="136">
        <f t="shared" si="117"/>
        <v>0</v>
      </c>
      <c r="BA536" s="136">
        <f t="shared" si="117"/>
        <v>0</v>
      </c>
      <c r="BB536" s="136">
        <f t="shared" si="117"/>
        <v>0</v>
      </c>
      <c r="BC536" s="136">
        <f t="shared" si="117"/>
        <v>0</v>
      </c>
      <c r="BD536" s="136">
        <f t="shared" si="117"/>
        <v>0</v>
      </c>
      <c r="BE536" s="136">
        <f t="shared" si="117"/>
        <v>-3896000</v>
      </c>
      <c r="BF536" s="136">
        <f t="shared" si="117"/>
        <v>0</v>
      </c>
      <c r="BG536" s="136">
        <f t="shared" si="117"/>
        <v>0</v>
      </c>
      <c r="BH536" s="136">
        <f t="shared" si="117"/>
        <v>0</v>
      </c>
      <c r="BI536" s="136">
        <f t="shared" si="117"/>
        <v>0</v>
      </c>
      <c r="BJ536" s="136">
        <f t="shared" si="117"/>
        <v>0</v>
      </c>
      <c r="BK536" s="136">
        <f t="shared" si="117"/>
        <v>0</v>
      </c>
      <c r="BL536" s="136">
        <f t="shared" si="117"/>
        <v>0</v>
      </c>
      <c r="BM536" s="136">
        <f t="shared" si="117"/>
        <v>0</v>
      </c>
      <c r="BN536" s="136">
        <f t="shared" si="117"/>
        <v>0</v>
      </c>
      <c r="BO536" s="136">
        <f t="shared" si="117"/>
        <v>-3894000</v>
      </c>
      <c r="BP536" s="136">
        <f t="shared" si="117"/>
        <v>0</v>
      </c>
      <c r="BQ536" s="136">
        <f t="shared" si="117"/>
        <v>0</v>
      </c>
      <c r="BR536" s="136">
        <f t="shared" si="116"/>
        <v>0</v>
      </c>
      <c r="BS536" s="136">
        <f t="shared" si="114"/>
        <v>0</v>
      </c>
      <c r="BT536" s="136">
        <f t="shared" si="114"/>
        <v>-5928970</v>
      </c>
      <c r="BU536" s="136">
        <f t="shared" si="114"/>
        <v>0</v>
      </c>
      <c r="BV536" s="136">
        <f t="shared" si="114"/>
        <v>0</v>
      </c>
      <c r="BW536" s="136">
        <f t="shared" si="114"/>
        <v>0</v>
      </c>
      <c r="BX536" s="136">
        <f t="shared" si="114"/>
        <v>0</v>
      </c>
      <c r="BZ536" s="136">
        <f t="shared" si="115"/>
        <v>0</v>
      </c>
      <c r="CA536" s="136">
        <f t="shared" si="115"/>
        <v>0</v>
      </c>
    </row>
    <row r="537" spans="7:79" hidden="1" x14ac:dyDescent="0.3">
      <c r="G537" s="136">
        <f t="shared" si="117"/>
        <v>-22526538</v>
      </c>
      <c r="H537" s="136">
        <f t="shared" si="117"/>
        <v>0</v>
      </c>
      <c r="I537" s="136">
        <f t="shared" si="117"/>
        <v>0</v>
      </c>
      <c r="J537" s="136">
        <f t="shared" ref="J537:BQ541" si="118">J135-CB135</f>
        <v>0</v>
      </c>
      <c r="K537" s="136">
        <f t="shared" si="118"/>
        <v>0</v>
      </c>
      <c r="L537" s="136">
        <f t="shared" si="118"/>
        <v>-2711333</v>
      </c>
      <c r="M537" s="136">
        <f t="shared" si="118"/>
        <v>0</v>
      </c>
      <c r="N537" s="136">
        <f t="shared" si="118"/>
        <v>0</v>
      </c>
      <c r="O537" s="136">
        <f t="shared" si="118"/>
        <v>0</v>
      </c>
      <c r="P537" s="136">
        <f t="shared" si="118"/>
        <v>0</v>
      </c>
      <c r="Q537" s="136">
        <f t="shared" si="118"/>
        <v>540997</v>
      </c>
      <c r="R537" s="136">
        <f t="shared" si="118"/>
        <v>0</v>
      </c>
      <c r="S537" s="136">
        <f t="shared" si="118"/>
        <v>0</v>
      </c>
      <c r="T537" s="136">
        <f t="shared" si="118"/>
        <v>0</v>
      </c>
      <c r="U537" s="136">
        <f t="shared" si="118"/>
        <v>0</v>
      </c>
      <c r="V537" s="136">
        <f t="shared" si="118"/>
        <v>2653315</v>
      </c>
      <c r="W537" s="136">
        <f t="shared" si="118"/>
        <v>0</v>
      </c>
      <c r="X537" s="136">
        <f t="shared" si="118"/>
        <v>0</v>
      </c>
      <c r="Y537" s="136">
        <f t="shared" si="118"/>
        <v>0</v>
      </c>
      <c r="Z537" s="136">
        <f t="shared" si="118"/>
        <v>0</v>
      </c>
      <c r="AA537" s="136">
        <f t="shared" si="118"/>
        <v>2782531</v>
      </c>
      <c r="AB537" s="136">
        <f t="shared" si="118"/>
        <v>0</v>
      </c>
      <c r="AC537" s="136">
        <f t="shared" si="118"/>
        <v>0</v>
      </c>
      <c r="AD537" s="136">
        <f t="shared" si="118"/>
        <v>0</v>
      </c>
      <c r="AE537" s="136">
        <f t="shared" si="118"/>
        <v>0</v>
      </c>
      <c r="AF537" s="136">
        <f t="shared" si="118"/>
        <v>-1636330</v>
      </c>
      <c r="AG537" s="136">
        <f t="shared" si="118"/>
        <v>0</v>
      </c>
      <c r="AH537" s="136">
        <f t="shared" si="118"/>
        <v>0</v>
      </c>
      <c r="AI537" s="136">
        <f t="shared" si="118"/>
        <v>0</v>
      </c>
      <c r="AJ537" s="136">
        <f t="shared" si="118"/>
        <v>0</v>
      </c>
      <c r="AK537" s="136">
        <f t="shared" si="118"/>
        <v>-4138031</v>
      </c>
      <c r="AL537" s="136">
        <f t="shared" si="118"/>
        <v>0</v>
      </c>
      <c r="AM537" s="136">
        <f t="shared" si="118"/>
        <v>0</v>
      </c>
      <c r="AN537" s="136">
        <f t="shared" si="118"/>
        <v>0</v>
      </c>
      <c r="AO537" s="136">
        <f t="shared" si="118"/>
        <v>0</v>
      </c>
      <c r="AP537" s="136">
        <f t="shared" si="118"/>
        <v>-1670503</v>
      </c>
      <c r="AQ537" s="136">
        <f t="shared" si="118"/>
        <v>0</v>
      </c>
      <c r="AR537" s="136">
        <f t="shared" si="118"/>
        <v>0</v>
      </c>
      <c r="AS537" s="136">
        <f t="shared" si="118"/>
        <v>0</v>
      </c>
      <c r="AT537" s="136">
        <f t="shared" si="118"/>
        <v>0</v>
      </c>
      <c r="AU537" s="136">
        <f t="shared" si="118"/>
        <v>1895931</v>
      </c>
      <c r="AV537" s="136">
        <f t="shared" si="118"/>
        <v>0</v>
      </c>
      <c r="AW537" s="136">
        <f t="shared" si="118"/>
        <v>0</v>
      </c>
      <c r="AX537" s="136">
        <f t="shared" si="118"/>
        <v>0</v>
      </c>
      <c r="AY537" s="136">
        <f t="shared" si="118"/>
        <v>0</v>
      </c>
      <c r="AZ537" s="136">
        <f t="shared" si="118"/>
        <v>0</v>
      </c>
      <c r="BA537" s="136">
        <f t="shared" si="118"/>
        <v>0</v>
      </c>
      <c r="BB537" s="136">
        <f t="shared" si="118"/>
        <v>0</v>
      </c>
      <c r="BC537" s="136">
        <f t="shared" si="118"/>
        <v>0</v>
      </c>
      <c r="BD537" s="136">
        <f t="shared" si="118"/>
        <v>0</v>
      </c>
      <c r="BE537" s="136">
        <f t="shared" si="118"/>
        <v>-3244173</v>
      </c>
      <c r="BF537" s="136">
        <f t="shared" si="118"/>
        <v>0</v>
      </c>
      <c r="BG537" s="136">
        <f t="shared" si="118"/>
        <v>0</v>
      </c>
      <c r="BH537" s="136">
        <f t="shared" si="118"/>
        <v>0</v>
      </c>
      <c r="BI537" s="136">
        <f t="shared" si="118"/>
        <v>0</v>
      </c>
      <c r="BJ537" s="136">
        <f t="shared" si="118"/>
        <v>0</v>
      </c>
      <c r="BK537" s="136">
        <f t="shared" si="118"/>
        <v>0</v>
      </c>
      <c r="BL537" s="136">
        <f t="shared" si="118"/>
        <v>0</v>
      </c>
      <c r="BM537" s="136">
        <f t="shared" si="118"/>
        <v>0</v>
      </c>
      <c r="BN537" s="136">
        <f t="shared" si="118"/>
        <v>0</v>
      </c>
      <c r="BO537" s="136">
        <f t="shared" si="118"/>
        <v>-3216034</v>
      </c>
      <c r="BP537" s="136">
        <f t="shared" si="118"/>
        <v>0</v>
      </c>
      <c r="BQ537" s="136">
        <f t="shared" si="118"/>
        <v>0</v>
      </c>
      <c r="BR537" s="136">
        <f t="shared" si="116"/>
        <v>0</v>
      </c>
      <c r="BS537" s="136">
        <f t="shared" si="114"/>
        <v>0</v>
      </c>
      <c r="BT537" s="136">
        <f t="shared" si="114"/>
        <v>-5527596</v>
      </c>
      <c r="BU537" s="136">
        <f t="shared" si="114"/>
        <v>0</v>
      </c>
      <c r="BV537" s="136">
        <f t="shared" si="114"/>
        <v>0</v>
      </c>
      <c r="BW537" s="136">
        <f t="shared" si="114"/>
        <v>0</v>
      </c>
      <c r="BX537" s="136">
        <f t="shared" si="114"/>
        <v>0</v>
      </c>
      <c r="BZ537" s="136">
        <f t="shared" si="115"/>
        <v>0</v>
      </c>
      <c r="CA537" s="136">
        <f t="shared" si="115"/>
        <v>0</v>
      </c>
    </row>
    <row r="538" spans="7:79" hidden="1" x14ac:dyDescent="0.3">
      <c r="G538" s="136">
        <f t="shared" ref="G538:V553" si="119">G136-BY136</f>
        <v>-4719952</v>
      </c>
      <c r="H538" s="136">
        <f t="shared" si="119"/>
        <v>0</v>
      </c>
      <c r="I538" s="136">
        <f t="shared" si="119"/>
        <v>0</v>
      </c>
      <c r="J538" s="136">
        <f t="shared" si="118"/>
        <v>0</v>
      </c>
      <c r="K538" s="136">
        <f t="shared" si="118"/>
        <v>0</v>
      </c>
      <c r="L538" s="136">
        <f t="shared" si="118"/>
        <v>-784147</v>
      </c>
      <c r="M538" s="136">
        <f t="shared" si="118"/>
        <v>0</v>
      </c>
      <c r="N538" s="136">
        <f t="shared" si="118"/>
        <v>0</v>
      </c>
      <c r="O538" s="136">
        <f t="shared" si="118"/>
        <v>0</v>
      </c>
      <c r="P538" s="136">
        <f t="shared" si="118"/>
        <v>0</v>
      </c>
      <c r="Q538" s="136">
        <f t="shared" si="118"/>
        <v>119003</v>
      </c>
      <c r="R538" s="136">
        <f t="shared" si="118"/>
        <v>0</v>
      </c>
      <c r="S538" s="136">
        <f t="shared" si="118"/>
        <v>0</v>
      </c>
      <c r="T538" s="136">
        <f t="shared" si="118"/>
        <v>0</v>
      </c>
      <c r="U538" s="136">
        <f t="shared" si="118"/>
        <v>0</v>
      </c>
      <c r="V538" s="136">
        <f t="shared" si="118"/>
        <v>682685</v>
      </c>
      <c r="W538" s="136">
        <f t="shared" si="118"/>
        <v>0</v>
      </c>
      <c r="X538" s="136">
        <f t="shared" si="118"/>
        <v>0</v>
      </c>
      <c r="Y538" s="136">
        <f t="shared" si="118"/>
        <v>0</v>
      </c>
      <c r="Z538" s="136">
        <f t="shared" si="118"/>
        <v>0</v>
      </c>
      <c r="AA538" s="136">
        <f t="shared" si="118"/>
        <v>910469</v>
      </c>
      <c r="AB538" s="136">
        <f t="shared" si="118"/>
        <v>0</v>
      </c>
      <c r="AC538" s="136">
        <f t="shared" si="118"/>
        <v>0</v>
      </c>
      <c r="AD538" s="136">
        <f t="shared" si="118"/>
        <v>0</v>
      </c>
      <c r="AE538" s="136">
        <f t="shared" si="118"/>
        <v>0</v>
      </c>
      <c r="AF538" s="136">
        <f t="shared" si="118"/>
        <v>-310670</v>
      </c>
      <c r="AG538" s="136">
        <f t="shared" si="118"/>
        <v>0</v>
      </c>
      <c r="AH538" s="136">
        <f t="shared" si="118"/>
        <v>0</v>
      </c>
      <c r="AI538" s="136">
        <f t="shared" si="118"/>
        <v>0</v>
      </c>
      <c r="AJ538" s="136">
        <f t="shared" si="118"/>
        <v>0</v>
      </c>
      <c r="AK538" s="136">
        <f t="shared" si="118"/>
        <v>-651969</v>
      </c>
      <c r="AL538" s="136">
        <f t="shared" si="118"/>
        <v>0</v>
      </c>
      <c r="AM538" s="136">
        <f t="shared" si="118"/>
        <v>0</v>
      </c>
      <c r="AN538" s="136">
        <f t="shared" si="118"/>
        <v>0</v>
      </c>
      <c r="AO538" s="136">
        <f t="shared" si="118"/>
        <v>0</v>
      </c>
      <c r="AP538" s="136">
        <f t="shared" si="118"/>
        <v>-277497</v>
      </c>
      <c r="AQ538" s="136">
        <f t="shared" si="118"/>
        <v>0</v>
      </c>
      <c r="AR538" s="136">
        <f t="shared" si="118"/>
        <v>0</v>
      </c>
      <c r="AS538" s="136">
        <f t="shared" si="118"/>
        <v>0</v>
      </c>
      <c r="AT538" s="136">
        <f t="shared" si="118"/>
        <v>0</v>
      </c>
      <c r="AU538" s="136">
        <f t="shared" si="118"/>
        <v>562579</v>
      </c>
      <c r="AV538" s="136">
        <f t="shared" si="118"/>
        <v>0</v>
      </c>
      <c r="AW538" s="136">
        <f t="shared" si="118"/>
        <v>0</v>
      </c>
      <c r="AX538" s="136">
        <f t="shared" si="118"/>
        <v>0</v>
      </c>
      <c r="AY538" s="136">
        <f t="shared" si="118"/>
        <v>0</v>
      </c>
      <c r="AZ538" s="136">
        <f t="shared" si="118"/>
        <v>0</v>
      </c>
      <c r="BA538" s="136">
        <f t="shared" si="118"/>
        <v>0</v>
      </c>
      <c r="BB538" s="136">
        <f t="shared" si="118"/>
        <v>0</v>
      </c>
      <c r="BC538" s="136">
        <f t="shared" si="118"/>
        <v>0</v>
      </c>
      <c r="BD538" s="136">
        <f t="shared" si="118"/>
        <v>0</v>
      </c>
      <c r="BE538" s="136">
        <f t="shared" si="118"/>
        <v>-651827</v>
      </c>
      <c r="BF538" s="136">
        <f t="shared" si="118"/>
        <v>0</v>
      </c>
      <c r="BG538" s="136">
        <f t="shared" si="118"/>
        <v>0</v>
      </c>
      <c r="BH538" s="136">
        <f t="shared" si="118"/>
        <v>0</v>
      </c>
      <c r="BI538" s="136">
        <f t="shared" si="118"/>
        <v>0</v>
      </c>
      <c r="BJ538" s="136">
        <f t="shared" si="118"/>
        <v>0</v>
      </c>
      <c r="BK538" s="136">
        <f t="shared" si="118"/>
        <v>0</v>
      </c>
      <c r="BL538" s="136">
        <f t="shared" si="118"/>
        <v>0</v>
      </c>
      <c r="BM538" s="136">
        <f t="shared" si="118"/>
        <v>0</v>
      </c>
      <c r="BN538" s="136">
        <f t="shared" si="118"/>
        <v>0</v>
      </c>
      <c r="BO538" s="136">
        <f t="shared" si="118"/>
        <v>-677966</v>
      </c>
      <c r="BP538" s="136">
        <f t="shared" si="118"/>
        <v>0</v>
      </c>
      <c r="BQ538" s="136">
        <f t="shared" si="118"/>
        <v>0</v>
      </c>
      <c r="BR538" s="136">
        <f t="shared" si="116"/>
        <v>0</v>
      </c>
      <c r="BS538" s="136">
        <f t="shared" si="114"/>
        <v>0</v>
      </c>
      <c r="BT538" s="136">
        <f t="shared" si="114"/>
        <v>-401374</v>
      </c>
      <c r="BU538" s="136">
        <f t="shared" si="114"/>
        <v>0</v>
      </c>
      <c r="BV538" s="136">
        <f t="shared" si="114"/>
        <v>0</v>
      </c>
      <c r="BW538" s="136">
        <f t="shared" si="114"/>
        <v>0</v>
      </c>
      <c r="BX538" s="136">
        <f t="shared" si="114"/>
        <v>0</v>
      </c>
      <c r="BZ538" s="136">
        <f t="shared" si="115"/>
        <v>0</v>
      </c>
      <c r="CA538" s="136">
        <f t="shared" si="115"/>
        <v>0</v>
      </c>
    </row>
    <row r="539" spans="7:79" hidden="1" x14ac:dyDescent="0.3">
      <c r="G539" s="136">
        <f t="shared" si="119"/>
        <v>0</v>
      </c>
      <c r="H539" s="136">
        <f t="shared" si="119"/>
        <v>0</v>
      </c>
      <c r="I539" s="136">
        <f t="shared" si="119"/>
        <v>0</v>
      </c>
      <c r="J539" s="136">
        <f t="shared" si="118"/>
        <v>0</v>
      </c>
      <c r="K539" s="136">
        <f t="shared" si="118"/>
        <v>0</v>
      </c>
      <c r="L539" s="136">
        <f t="shared" si="118"/>
        <v>0</v>
      </c>
      <c r="M539" s="136">
        <f t="shared" si="118"/>
        <v>0</v>
      </c>
      <c r="N539" s="136">
        <f t="shared" si="118"/>
        <v>0</v>
      </c>
      <c r="O539" s="136">
        <f t="shared" si="118"/>
        <v>0</v>
      </c>
      <c r="P539" s="136">
        <f t="shared" si="118"/>
        <v>0</v>
      </c>
      <c r="Q539" s="136">
        <f t="shared" si="118"/>
        <v>0</v>
      </c>
      <c r="R539" s="136">
        <f t="shared" si="118"/>
        <v>0</v>
      </c>
      <c r="S539" s="136">
        <f t="shared" si="118"/>
        <v>0</v>
      </c>
      <c r="T539" s="136">
        <f t="shared" si="118"/>
        <v>0</v>
      </c>
      <c r="U539" s="136">
        <f t="shared" si="118"/>
        <v>0</v>
      </c>
      <c r="V539" s="136">
        <f t="shared" si="118"/>
        <v>0</v>
      </c>
      <c r="W539" s="136">
        <f t="shared" si="118"/>
        <v>0</v>
      </c>
      <c r="X539" s="136">
        <f t="shared" si="118"/>
        <v>0</v>
      </c>
      <c r="Y539" s="136">
        <f t="shared" si="118"/>
        <v>0</v>
      </c>
      <c r="Z539" s="136">
        <f t="shared" si="118"/>
        <v>0</v>
      </c>
      <c r="AA539" s="136">
        <f t="shared" si="118"/>
        <v>0</v>
      </c>
      <c r="AB539" s="136">
        <f t="shared" si="118"/>
        <v>0</v>
      </c>
      <c r="AC539" s="136">
        <f t="shared" si="118"/>
        <v>0</v>
      </c>
      <c r="AD539" s="136">
        <f t="shared" si="118"/>
        <v>0</v>
      </c>
      <c r="AE539" s="136">
        <f t="shared" si="118"/>
        <v>0</v>
      </c>
      <c r="AF539" s="136">
        <f t="shared" si="118"/>
        <v>0</v>
      </c>
      <c r="AG539" s="136">
        <f t="shared" si="118"/>
        <v>0</v>
      </c>
      <c r="AH539" s="136">
        <f t="shared" si="118"/>
        <v>0</v>
      </c>
      <c r="AI539" s="136">
        <f t="shared" si="118"/>
        <v>0</v>
      </c>
      <c r="AJ539" s="136">
        <f t="shared" si="118"/>
        <v>0</v>
      </c>
      <c r="AK539" s="136">
        <f t="shared" si="118"/>
        <v>0</v>
      </c>
      <c r="AL539" s="136">
        <f t="shared" si="118"/>
        <v>0</v>
      </c>
      <c r="AM539" s="136">
        <f t="shared" si="118"/>
        <v>0</v>
      </c>
      <c r="AN539" s="136">
        <f t="shared" si="118"/>
        <v>0</v>
      </c>
      <c r="AO539" s="136">
        <f t="shared" si="118"/>
        <v>0</v>
      </c>
      <c r="AP539" s="136">
        <f t="shared" si="118"/>
        <v>0</v>
      </c>
      <c r="AQ539" s="136">
        <f t="shared" si="118"/>
        <v>0</v>
      </c>
      <c r="AR539" s="136">
        <f t="shared" si="118"/>
        <v>0</v>
      </c>
      <c r="AS539" s="136">
        <f t="shared" si="118"/>
        <v>0</v>
      </c>
      <c r="AT539" s="136">
        <f t="shared" si="118"/>
        <v>0</v>
      </c>
      <c r="AU539" s="136">
        <f t="shared" si="118"/>
        <v>0</v>
      </c>
      <c r="AV539" s="136">
        <f t="shared" si="118"/>
        <v>0</v>
      </c>
      <c r="AW539" s="136">
        <f t="shared" si="118"/>
        <v>0</v>
      </c>
      <c r="AX539" s="136">
        <f t="shared" si="118"/>
        <v>0</v>
      </c>
      <c r="AY539" s="136">
        <f t="shared" si="118"/>
        <v>0</v>
      </c>
      <c r="AZ539" s="136">
        <f t="shared" si="118"/>
        <v>0</v>
      </c>
      <c r="BA539" s="136">
        <f t="shared" si="118"/>
        <v>0</v>
      </c>
      <c r="BB539" s="136">
        <f t="shared" si="118"/>
        <v>0</v>
      </c>
      <c r="BC539" s="136">
        <f t="shared" si="118"/>
        <v>0</v>
      </c>
      <c r="BD539" s="136">
        <f t="shared" si="118"/>
        <v>0</v>
      </c>
      <c r="BE539" s="136">
        <f t="shared" si="118"/>
        <v>0</v>
      </c>
      <c r="BF539" s="136">
        <f t="shared" si="118"/>
        <v>0</v>
      </c>
      <c r="BG539" s="136">
        <f t="shared" si="118"/>
        <v>0</v>
      </c>
      <c r="BH539" s="136">
        <f t="shared" si="118"/>
        <v>0</v>
      </c>
      <c r="BI539" s="136">
        <f t="shared" si="118"/>
        <v>0</v>
      </c>
      <c r="BJ539" s="136">
        <f t="shared" si="118"/>
        <v>0</v>
      </c>
      <c r="BK539" s="136">
        <f t="shared" si="118"/>
        <v>0</v>
      </c>
      <c r="BL539" s="136">
        <f t="shared" si="118"/>
        <v>0</v>
      </c>
      <c r="BM539" s="136">
        <f t="shared" si="118"/>
        <v>0</v>
      </c>
      <c r="BN539" s="136">
        <f t="shared" si="118"/>
        <v>0</v>
      </c>
      <c r="BO539" s="136">
        <f t="shared" si="118"/>
        <v>0</v>
      </c>
      <c r="BP539" s="136">
        <f t="shared" si="118"/>
        <v>0</v>
      </c>
      <c r="BQ539" s="136">
        <f t="shared" si="118"/>
        <v>0</v>
      </c>
      <c r="BR539" s="136">
        <f t="shared" si="116"/>
        <v>0</v>
      </c>
      <c r="BS539" s="136">
        <f t="shared" si="114"/>
        <v>0</v>
      </c>
      <c r="BT539" s="136">
        <f t="shared" si="114"/>
        <v>0</v>
      </c>
      <c r="BU539" s="136">
        <f t="shared" si="114"/>
        <v>0</v>
      </c>
      <c r="BV539" s="136">
        <f t="shared" si="114"/>
        <v>0</v>
      </c>
      <c r="BW539" s="136">
        <f t="shared" si="114"/>
        <v>0</v>
      </c>
      <c r="BX539" s="136">
        <f t="shared" si="114"/>
        <v>0</v>
      </c>
      <c r="BZ539" s="136">
        <f t="shared" si="115"/>
        <v>0</v>
      </c>
      <c r="CA539" s="136">
        <f t="shared" si="115"/>
        <v>0</v>
      </c>
    </row>
    <row r="540" spans="7:79" hidden="1" x14ac:dyDescent="0.3">
      <c r="G540" s="136">
        <f t="shared" si="119"/>
        <v>0</v>
      </c>
      <c r="H540" s="136">
        <f t="shared" si="119"/>
        <v>0</v>
      </c>
      <c r="I540" s="136">
        <f t="shared" si="119"/>
        <v>0</v>
      </c>
      <c r="J540" s="136">
        <f t="shared" si="118"/>
        <v>0</v>
      </c>
      <c r="K540" s="136">
        <f t="shared" si="118"/>
        <v>0</v>
      </c>
      <c r="L540" s="136">
        <f t="shared" si="118"/>
        <v>0</v>
      </c>
      <c r="M540" s="136">
        <f t="shared" si="118"/>
        <v>0</v>
      </c>
      <c r="N540" s="136">
        <f t="shared" si="118"/>
        <v>0</v>
      </c>
      <c r="O540" s="136">
        <f t="shared" si="118"/>
        <v>0</v>
      </c>
      <c r="P540" s="136">
        <f t="shared" si="118"/>
        <v>0</v>
      </c>
      <c r="Q540" s="136">
        <f t="shared" si="118"/>
        <v>0</v>
      </c>
      <c r="R540" s="136">
        <f t="shared" si="118"/>
        <v>0</v>
      </c>
      <c r="S540" s="136">
        <f t="shared" si="118"/>
        <v>0</v>
      </c>
      <c r="T540" s="136">
        <f t="shared" si="118"/>
        <v>0</v>
      </c>
      <c r="U540" s="136">
        <f t="shared" si="118"/>
        <v>0</v>
      </c>
      <c r="V540" s="136">
        <f t="shared" si="118"/>
        <v>0</v>
      </c>
      <c r="W540" s="136">
        <f t="shared" si="118"/>
        <v>0</v>
      </c>
      <c r="X540" s="136">
        <f t="shared" si="118"/>
        <v>0</v>
      </c>
      <c r="Y540" s="136">
        <f t="shared" si="118"/>
        <v>0</v>
      </c>
      <c r="Z540" s="136">
        <f t="shared" si="118"/>
        <v>0</v>
      </c>
      <c r="AA540" s="136">
        <f t="shared" si="118"/>
        <v>0</v>
      </c>
      <c r="AB540" s="136">
        <f t="shared" si="118"/>
        <v>0</v>
      </c>
      <c r="AC540" s="136">
        <f t="shared" si="118"/>
        <v>0</v>
      </c>
      <c r="AD540" s="136">
        <f t="shared" si="118"/>
        <v>0</v>
      </c>
      <c r="AE540" s="136">
        <f t="shared" si="118"/>
        <v>0</v>
      </c>
      <c r="AF540" s="136">
        <f t="shared" si="118"/>
        <v>0</v>
      </c>
      <c r="AG540" s="136">
        <f t="shared" si="118"/>
        <v>0</v>
      </c>
      <c r="AH540" s="136">
        <f t="shared" si="118"/>
        <v>0</v>
      </c>
      <c r="AI540" s="136">
        <f t="shared" si="118"/>
        <v>0</v>
      </c>
      <c r="AJ540" s="136">
        <f t="shared" si="118"/>
        <v>0</v>
      </c>
      <c r="AK540" s="136">
        <f t="shared" si="118"/>
        <v>0</v>
      </c>
      <c r="AL540" s="136">
        <f t="shared" si="118"/>
        <v>0</v>
      </c>
      <c r="AM540" s="136">
        <f t="shared" si="118"/>
        <v>0</v>
      </c>
      <c r="AN540" s="136">
        <f t="shared" si="118"/>
        <v>0</v>
      </c>
      <c r="AO540" s="136">
        <f t="shared" si="118"/>
        <v>0</v>
      </c>
      <c r="AP540" s="136">
        <f t="shared" si="118"/>
        <v>0</v>
      </c>
      <c r="AQ540" s="136">
        <f t="shared" si="118"/>
        <v>0</v>
      </c>
      <c r="AR540" s="136">
        <f t="shared" si="118"/>
        <v>0</v>
      </c>
      <c r="AS540" s="136">
        <f t="shared" si="118"/>
        <v>0</v>
      </c>
      <c r="AT540" s="136">
        <f t="shared" si="118"/>
        <v>0</v>
      </c>
      <c r="AU540" s="136">
        <f t="shared" si="118"/>
        <v>0</v>
      </c>
      <c r="AV540" s="136">
        <f t="shared" si="118"/>
        <v>0</v>
      </c>
      <c r="AW540" s="136">
        <f t="shared" si="118"/>
        <v>0</v>
      </c>
      <c r="AX540" s="136">
        <f t="shared" si="118"/>
        <v>0</v>
      </c>
      <c r="AY540" s="136">
        <f t="shared" si="118"/>
        <v>0</v>
      </c>
      <c r="AZ540" s="136">
        <f t="shared" si="118"/>
        <v>0</v>
      </c>
      <c r="BA540" s="136">
        <f t="shared" si="118"/>
        <v>0</v>
      </c>
      <c r="BB540" s="136">
        <f t="shared" si="118"/>
        <v>0</v>
      </c>
      <c r="BC540" s="136">
        <f t="shared" si="118"/>
        <v>0</v>
      </c>
      <c r="BD540" s="136">
        <f t="shared" si="118"/>
        <v>0</v>
      </c>
      <c r="BE540" s="136">
        <f t="shared" si="118"/>
        <v>0</v>
      </c>
      <c r="BF540" s="136">
        <f t="shared" si="118"/>
        <v>0</v>
      </c>
      <c r="BG540" s="136">
        <f t="shared" si="118"/>
        <v>0</v>
      </c>
      <c r="BH540" s="136">
        <f t="shared" si="118"/>
        <v>0</v>
      </c>
      <c r="BI540" s="136">
        <f t="shared" si="118"/>
        <v>0</v>
      </c>
      <c r="BJ540" s="136">
        <f t="shared" si="118"/>
        <v>0</v>
      </c>
      <c r="BK540" s="136">
        <f t="shared" si="118"/>
        <v>0</v>
      </c>
      <c r="BL540" s="136">
        <f t="shared" si="118"/>
        <v>0</v>
      </c>
      <c r="BM540" s="136">
        <f t="shared" si="118"/>
        <v>0</v>
      </c>
      <c r="BN540" s="136">
        <f t="shared" si="118"/>
        <v>0</v>
      </c>
      <c r="BO540" s="136">
        <f t="shared" si="118"/>
        <v>0</v>
      </c>
      <c r="BP540" s="136">
        <f t="shared" si="118"/>
        <v>0</v>
      </c>
      <c r="BQ540" s="136">
        <f t="shared" si="118"/>
        <v>0</v>
      </c>
      <c r="BR540" s="136">
        <f t="shared" si="116"/>
        <v>0</v>
      </c>
      <c r="BS540" s="136">
        <f t="shared" si="114"/>
        <v>0</v>
      </c>
      <c r="BT540" s="136">
        <f t="shared" si="114"/>
        <v>0</v>
      </c>
      <c r="BU540" s="136">
        <f t="shared" si="114"/>
        <v>0</v>
      </c>
      <c r="BV540" s="136">
        <f t="shared" si="114"/>
        <v>0</v>
      </c>
      <c r="BW540" s="136">
        <f t="shared" si="114"/>
        <v>0</v>
      </c>
      <c r="BX540" s="136">
        <f t="shared" si="114"/>
        <v>0</v>
      </c>
      <c r="BZ540" s="136">
        <f t="shared" si="115"/>
        <v>0</v>
      </c>
      <c r="CA540" s="136">
        <f t="shared" si="115"/>
        <v>0</v>
      </c>
    </row>
    <row r="541" spans="7:79" hidden="1" x14ac:dyDescent="0.3">
      <c r="G541" s="136">
        <f t="shared" si="119"/>
        <v>-30467573</v>
      </c>
      <c r="H541" s="136">
        <f t="shared" si="119"/>
        <v>0</v>
      </c>
      <c r="I541" s="136">
        <f t="shared" si="119"/>
        <v>0</v>
      </c>
      <c r="J541" s="136">
        <f t="shared" si="118"/>
        <v>0</v>
      </c>
      <c r="K541" s="136">
        <f t="shared" si="118"/>
        <v>0</v>
      </c>
      <c r="L541" s="136">
        <f t="shared" si="118"/>
        <v>-246276</v>
      </c>
      <c r="M541" s="136">
        <f t="shared" si="118"/>
        <v>0</v>
      </c>
      <c r="N541" s="136">
        <f t="shared" si="118"/>
        <v>0</v>
      </c>
      <c r="O541" s="136">
        <f t="shared" si="118"/>
        <v>0</v>
      </c>
      <c r="P541" s="136">
        <f t="shared" si="118"/>
        <v>0</v>
      </c>
      <c r="Q541" s="136">
        <f t="shared" si="118"/>
        <v>712691</v>
      </c>
      <c r="R541" s="136">
        <f t="shared" si="118"/>
        <v>0</v>
      </c>
      <c r="S541" s="136">
        <f t="shared" si="118"/>
        <v>0</v>
      </c>
      <c r="T541" s="136">
        <f t="shared" si="118"/>
        <v>0</v>
      </c>
      <c r="U541" s="136">
        <f t="shared" si="118"/>
        <v>0</v>
      </c>
      <c r="V541" s="136">
        <f t="shared" si="118"/>
        <v>1493000</v>
      </c>
      <c r="W541" s="136">
        <f t="shared" si="118"/>
        <v>0</v>
      </c>
      <c r="X541" s="136">
        <f t="shared" si="118"/>
        <v>0</v>
      </c>
      <c r="Y541" s="136">
        <f t="shared" ref="Y541:BQ546" si="120">Y139-CQ139</f>
        <v>0</v>
      </c>
      <c r="Z541" s="136">
        <f t="shared" si="120"/>
        <v>0</v>
      </c>
      <c r="AA541" s="136">
        <f t="shared" si="120"/>
        <v>1300000</v>
      </c>
      <c r="AB541" s="136">
        <f t="shared" si="120"/>
        <v>0</v>
      </c>
      <c r="AC541" s="136">
        <f t="shared" si="120"/>
        <v>0</v>
      </c>
      <c r="AD541" s="136">
        <f t="shared" si="120"/>
        <v>0</v>
      </c>
      <c r="AE541" s="136">
        <f t="shared" si="120"/>
        <v>0</v>
      </c>
      <c r="AF541" s="136">
        <f t="shared" si="120"/>
        <v>0</v>
      </c>
      <c r="AG541" s="136">
        <f t="shared" si="120"/>
        <v>0</v>
      </c>
      <c r="AH541" s="136">
        <f t="shared" si="120"/>
        <v>0</v>
      </c>
      <c r="AI541" s="136">
        <f t="shared" si="120"/>
        <v>0</v>
      </c>
      <c r="AJ541" s="136">
        <f t="shared" si="120"/>
        <v>0</v>
      </c>
      <c r="AK541" s="136">
        <f t="shared" si="120"/>
        <v>0</v>
      </c>
      <c r="AL541" s="136">
        <f t="shared" si="120"/>
        <v>0</v>
      </c>
      <c r="AM541" s="136">
        <f t="shared" si="120"/>
        <v>0</v>
      </c>
      <c r="AN541" s="136">
        <f t="shared" si="120"/>
        <v>0</v>
      </c>
      <c r="AO541" s="136">
        <f t="shared" si="120"/>
        <v>0</v>
      </c>
      <c r="AP541" s="136">
        <f t="shared" si="120"/>
        <v>-6845000</v>
      </c>
      <c r="AQ541" s="136">
        <f t="shared" si="120"/>
        <v>0</v>
      </c>
      <c r="AR541" s="136">
        <f t="shared" si="120"/>
        <v>0</v>
      </c>
      <c r="AS541" s="136">
        <f t="shared" si="120"/>
        <v>0</v>
      </c>
      <c r="AT541" s="136">
        <f t="shared" si="120"/>
        <v>0</v>
      </c>
      <c r="AU541" s="136">
        <f t="shared" si="120"/>
        <v>-159000</v>
      </c>
      <c r="AV541" s="136">
        <f t="shared" si="120"/>
        <v>0</v>
      </c>
      <c r="AW541" s="136">
        <f t="shared" si="120"/>
        <v>0</v>
      </c>
      <c r="AX541" s="136">
        <f t="shared" si="120"/>
        <v>0</v>
      </c>
      <c r="AY541" s="136">
        <f t="shared" si="120"/>
        <v>0</v>
      </c>
      <c r="AZ541" s="136">
        <f t="shared" si="120"/>
        <v>-1947000</v>
      </c>
      <c r="BA541" s="136">
        <f t="shared" si="120"/>
        <v>0</v>
      </c>
      <c r="BB541" s="136">
        <f t="shared" si="120"/>
        <v>0</v>
      </c>
      <c r="BC541" s="136">
        <f t="shared" si="120"/>
        <v>0</v>
      </c>
      <c r="BD541" s="136">
        <f t="shared" si="120"/>
        <v>0</v>
      </c>
      <c r="BE541" s="136">
        <f t="shared" si="120"/>
        <v>-3264</v>
      </c>
      <c r="BF541" s="136">
        <f t="shared" si="120"/>
        <v>0</v>
      </c>
      <c r="BG541" s="136">
        <f t="shared" si="120"/>
        <v>0</v>
      </c>
      <c r="BH541" s="136">
        <f t="shared" si="120"/>
        <v>0</v>
      </c>
      <c r="BI541" s="136">
        <f t="shared" si="120"/>
        <v>0</v>
      </c>
      <c r="BJ541" s="136">
        <f t="shared" si="120"/>
        <v>-1947000</v>
      </c>
      <c r="BK541" s="136">
        <f t="shared" si="120"/>
        <v>0</v>
      </c>
      <c r="BL541" s="136">
        <f t="shared" si="120"/>
        <v>0</v>
      </c>
      <c r="BM541" s="136">
        <f t="shared" si="120"/>
        <v>0</v>
      </c>
      <c r="BN541" s="136">
        <f t="shared" si="120"/>
        <v>0</v>
      </c>
      <c r="BO541" s="136">
        <f t="shared" si="120"/>
        <v>-1946000</v>
      </c>
      <c r="BP541" s="136">
        <f t="shared" si="120"/>
        <v>0</v>
      </c>
      <c r="BQ541" s="136">
        <f t="shared" si="120"/>
        <v>0</v>
      </c>
      <c r="BR541" s="136">
        <f t="shared" si="116"/>
        <v>0</v>
      </c>
      <c r="BS541" s="136">
        <f t="shared" si="114"/>
        <v>0</v>
      </c>
      <c r="BT541" s="136">
        <f t="shared" si="114"/>
        <v>-5694849</v>
      </c>
      <c r="BU541" s="136">
        <f t="shared" si="114"/>
        <v>0</v>
      </c>
      <c r="BV541" s="136">
        <f t="shared" si="114"/>
        <v>0</v>
      </c>
      <c r="BW541" s="136">
        <f t="shared" si="114"/>
        <v>0</v>
      </c>
      <c r="BX541" s="136">
        <f t="shared" si="114"/>
        <v>0</v>
      </c>
      <c r="BZ541" s="136">
        <f t="shared" si="115"/>
        <v>0</v>
      </c>
      <c r="CA541" s="136">
        <f t="shared" si="115"/>
        <v>0</v>
      </c>
    </row>
    <row r="542" spans="7:79" hidden="1" x14ac:dyDescent="0.3">
      <c r="G542" s="136">
        <f t="shared" si="119"/>
        <v>-25090426</v>
      </c>
      <c r="H542" s="136">
        <f t="shared" si="119"/>
        <v>0</v>
      </c>
      <c r="I542" s="136">
        <f t="shared" si="119"/>
        <v>0</v>
      </c>
      <c r="J542" s="136">
        <f t="shared" si="119"/>
        <v>0</v>
      </c>
      <c r="K542" s="136">
        <f t="shared" si="119"/>
        <v>0</v>
      </c>
      <c r="L542" s="136">
        <f t="shared" si="119"/>
        <v>-20508</v>
      </c>
      <c r="M542" s="136">
        <f t="shared" si="119"/>
        <v>0</v>
      </c>
      <c r="N542" s="136">
        <f t="shared" si="119"/>
        <v>0</v>
      </c>
      <c r="O542" s="136">
        <f t="shared" si="119"/>
        <v>0</v>
      </c>
      <c r="P542" s="136">
        <f t="shared" si="119"/>
        <v>0</v>
      </c>
      <c r="Q542" s="136">
        <f t="shared" si="119"/>
        <v>516583</v>
      </c>
      <c r="R542" s="136">
        <f t="shared" si="119"/>
        <v>0</v>
      </c>
      <c r="S542" s="136">
        <f t="shared" si="119"/>
        <v>0</v>
      </c>
      <c r="T542" s="136">
        <f t="shared" si="119"/>
        <v>0</v>
      </c>
      <c r="U542" s="136">
        <f t="shared" si="119"/>
        <v>0</v>
      </c>
      <c r="V542" s="136">
        <f t="shared" si="119"/>
        <v>1082132</v>
      </c>
      <c r="W542" s="136">
        <f t="shared" ref="W542:AL554" si="121">W140-CO140</f>
        <v>0</v>
      </c>
      <c r="X542" s="136">
        <f t="shared" si="121"/>
        <v>0</v>
      </c>
      <c r="Y542" s="136">
        <f t="shared" si="120"/>
        <v>0</v>
      </c>
      <c r="Z542" s="136">
        <f t="shared" si="120"/>
        <v>0</v>
      </c>
      <c r="AA542" s="136">
        <f t="shared" si="120"/>
        <v>857362</v>
      </c>
      <c r="AB542" s="136">
        <f t="shared" si="120"/>
        <v>0</v>
      </c>
      <c r="AC542" s="136">
        <f t="shared" si="120"/>
        <v>0</v>
      </c>
      <c r="AD542" s="136">
        <f t="shared" si="120"/>
        <v>0</v>
      </c>
      <c r="AE542" s="136">
        <f t="shared" si="120"/>
        <v>0</v>
      </c>
      <c r="AF542" s="136">
        <f t="shared" si="120"/>
        <v>-53343</v>
      </c>
      <c r="AG542" s="136">
        <f t="shared" si="120"/>
        <v>0</v>
      </c>
      <c r="AH542" s="136">
        <f t="shared" si="120"/>
        <v>0</v>
      </c>
      <c r="AI542" s="136">
        <f t="shared" si="120"/>
        <v>0</v>
      </c>
      <c r="AJ542" s="136">
        <f t="shared" si="120"/>
        <v>0</v>
      </c>
      <c r="AK542" s="136">
        <f t="shared" si="120"/>
        <v>-61940</v>
      </c>
      <c r="AL542" s="136">
        <f t="shared" si="120"/>
        <v>0</v>
      </c>
      <c r="AM542" s="136">
        <f t="shared" si="120"/>
        <v>0</v>
      </c>
      <c r="AN542" s="136">
        <f t="shared" si="120"/>
        <v>0</v>
      </c>
      <c r="AO542" s="136">
        <f t="shared" si="120"/>
        <v>0</v>
      </c>
      <c r="AP542" s="136">
        <f t="shared" si="120"/>
        <v>-5616448</v>
      </c>
      <c r="AQ542" s="136">
        <f t="shared" si="120"/>
        <v>0</v>
      </c>
      <c r="AR542" s="136">
        <f t="shared" si="120"/>
        <v>0</v>
      </c>
      <c r="AS542" s="136">
        <f t="shared" si="120"/>
        <v>0</v>
      </c>
      <c r="AT542" s="136">
        <f t="shared" si="120"/>
        <v>0</v>
      </c>
      <c r="AU542" s="136">
        <f t="shared" si="120"/>
        <v>-252340</v>
      </c>
      <c r="AV542" s="136">
        <f t="shared" si="120"/>
        <v>0</v>
      </c>
      <c r="AW542" s="136">
        <f t="shared" si="120"/>
        <v>0</v>
      </c>
      <c r="AX542" s="136">
        <f t="shared" si="120"/>
        <v>0</v>
      </c>
      <c r="AY542" s="136">
        <f t="shared" si="120"/>
        <v>0</v>
      </c>
      <c r="AZ542" s="136">
        <f t="shared" si="120"/>
        <v>-1741254</v>
      </c>
      <c r="BA542" s="136">
        <f t="shared" si="120"/>
        <v>0</v>
      </c>
      <c r="BB542" s="136">
        <f t="shared" si="120"/>
        <v>0</v>
      </c>
      <c r="BC542" s="136">
        <f t="shared" si="120"/>
        <v>0</v>
      </c>
      <c r="BD542" s="136">
        <f t="shared" si="120"/>
        <v>0</v>
      </c>
      <c r="BE542" s="136">
        <f t="shared" si="120"/>
        <v>-2699</v>
      </c>
      <c r="BF542" s="136">
        <f t="shared" si="120"/>
        <v>0</v>
      </c>
      <c r="BG542" s="136">
        <f t="shared" si="120"/>
        <v>0</v>
      </c>
      <c r="BH542" s="136">
        <f t="shared" si="120"/>
        <v>0</v>
      </c>
      <c r="BI542" s="136">
        <f t="shared" si="120"/>
        <v>0</v>
      </c>
      <c r="BJ542" s="136">
        <f t="shared" si="120"/>
        <v>-1654415</v>
      </c>
      <c r="BK542" s="136">
        <f t="shared" si="120"/>
        <v>0</v>
      </c>
      <c r="BL542" s="136">
        <f t="shared" si="120"/>
        <v>0</v>
      </c>
      <c r="BM542" s="136">
        <f t="shared" si="120"/>
        <v>0</v>
      </c>
      <c r="BN542" s="136">
        <f t="shared" si="120"/>
        <v>0</v>
      </c>
      <c r="BO542" s="136">
        <f t="shared" si="120"/>
        <v>-1542576</v>
      </c>
      <c r="BP542" s="136">
        <f t="shared" si="120"/>
        <v>0</v>
      </c>
      <c r="BQ542" s="136">
        <f t="shared" si="120"/>
        <v>0</v>
      </c>
      <c r="BR542" s="136">
        <f t="shared" si="116"/>
        <v>0</v>
      </c>
      <c r="BS542" s="136">
        <f t="shared" si="114"/>
        <v>0</v>
      </c>
      <c r="BT542" s="136">
        <f t="shared" si="114"/>
        <v>-5292455</v>
      </c>
      <c r="BU542" s="136">
        <f t="shared" si="114"/>
        <v>0</v>
      </c>
      <c r="BV542" s="136">
        <f t="shared" si="114"/>
        <v>0</v>
      </c>
      <c r="BW542" s="136">
        <f t="shared" si="114"/>
        <v>0</v>
      </c>
      <c r="BX542" s="136">
        <f t="shared" si="114"/>
        <v>0</v>
      </c>
      <c r="BZ542" s="136">
        <f t="shared" si="115"/>
        <v>0</v>
      </c>
      <c r="CA542" s="136">
        <f t="shared" si="115"/>
        <v>0</v>
      </c>
    </row>
    <row r="543" spans="7:79" hidden="1" x14ac:dyDescent="0.3">
      <c r="G543" s="136">
        <f t="shared" si="119"/>
        <v>-5377147</v>
      </c>
      <c r="H543" s="136">
        <f t="shared" si="119"/>
        <v>0</v>
      </c>
      <c r="I543" s="136">
        <f t="shared" si="119"/>
        <v>0</v>
      </c>
      <c r="J543" s="136">
        <f t="shared" si="119"/>
        <v>0</v>
      </c>
      <c r="K543" s="136">
        <f t="shared" si="119"/>
        <v>0</v>
      </c>
      <c r="L543" s="136">
        <f t="shared" si="119"/>
        <v>-225768</v>
      </c>
      <c r="M543" s="136">
        <f t="shared" si="119"/>
        <v>0</v>
      </c>
      <c r="N543" s="136">
        <f t="shared" si="119"/>
        <v>0</v>
      </c>
      <c r="O543" s="136">
        <f t="shared" si="119"/>
        <v>0</v>
      </c>
      <c r="P543" s="136">
        <f t="shared" si="119"/>
        <v>0</v>
      </c>
      <c r="Q543" s="136">
        <f t="shared" si="119"/>
        <v>196108</v>
      </c>
      <c r="R543" s="136">
        <f t="shared" si="119"/>
        <v>0</v>
      </c>
      <c r="S543" s="136">
        <f t="shared" si="119"/>
        <v>0</v>
      </c>
      <c r="T543" s="136">
        <f t="shared" si="119"/>
        <v>0</v>
      </c>
      <c r="U543" s="136">
        <f t="shared" si="119"/>
        <v>0</v>
      </c>
      <c r="V543" s="136">
        <f t="shared" si="119"/>
        <v>410868</v>
      </c>
      <c r="W543" s="136">
        <f t="shared" si="121"/>
        <v>0</v>
      </c>
      <c r="X543" s="136">
        <f t="shared" si="121"/>
        <v>0</v>
      </c>
      <c r="Y543" s="136">
        <f t="shared" si="120"/>
        <v>0</v>
      </c>
      <c r="Z543" s="136">
        <f t="shared" si="120"/>
        <v>0</v>
      </c>
      <c r="AA543" s="136">
        <f t="shared" si="120"/>
        <v>442638</v>
      </c>
      <c r="AB543" s="136">
        <f t="shared" si="120"/>
        <v>0</v>
      </c>
      <c r="AC543" s="136">
        <f t="shared" si="120"/>
        <v>0</v>
      </c>
      <c r="AD543" s="136">
        <f t="shared" si="120"/>
        <v>0</v>
      </c>
      <c r="AE543" s="136">
        <f t="shared" si="120"/>
        <v>0</v>
      </c>
      <c r="AF543" s="136">
        <f t="shared" si="120"/>
        <v>53343</v>
      </c>
      <c r="AG543" s="136">
        <f t="shared" si="120"/>
        <v>0</v>
      </c>
      <c r="AH543" s="136">
        <f t="shared" si="120"/>
        <v>0</v>
      </c>
      <c r="AI543" s="136">
        <f t="shared" si="120"/>
        <v>0</v>
      </c>
      <c r="AJ543" s="136">
        <f t="shared" si="120"/>
        <v>0</v>
      </c>
      <c r="AK543" s="136">
        <f t="shared" si="120"/>
        <v>61940</v>
      </c>
      <c r="AL543" s="136">
        <f t="shared" si="120"/>
        <v>0</v>
      </c>
      <c r="AM543" s="136">
        <f t="shared" si="120"/>
        <v>0</v>
      </c>
      <c r="AN543" s="136">
        <f t="shared" si="120"/>
        <v>0</v>
      </c>
      <c r="AO543" s="136">
        <f t="shared" si="120"/>
        <v>0</v>
      </c>
      <c r="AP543" s="136">
        <f t="shared" si="120"/>
        <v>-1228552</v>
      </c>
      <c r="AQ543" s="136">
        <f t="shared" si="120"/>
        <v>0</v>
      </c>
      <c r="AR543" s="136">
        <f t="shared" si="120"/>
        <v>0</v>
      </c>
      <c r="AS543" s="136">
        <f t="shared" si="120"/>
        <v>0</v>
      </c>
      <c r="AT543" s="136">
        <f t="shared" si="120"/>
        <v>0</v>
      </c>
      <c r="AU543" s="136">
        <f t="shared" si="120"/>
        <v>93340</v>
      </c>
      <c r="AV543" s="136">
        <f t="shared" si="120"/>
        <v>0</v>
      </c>
      <c r="AW543" s="136">
        <f t="shared" si="120"/>
        <v>0</v>
      </c>
      <c r="AX543" s="136">
        <f t="shared" si="120"/>
        <v>0</v>
      </c>
      <c r="AY543" s="136">
        <f t="shared" si="120"/>
        <v>0</v>
      </c>
      <c r="AZ543" s="136">
        <f t="shared" si="120"/>
        <v>-205746</v>
      </c>
      <c r="BA543" s="136">
        <f t="shared" si="120"/>
        <v>0</v>
      </c>
      <c r="BB543" s="136">
        <f t="shared" si="120"/>
        <v>0</v>
      </c>
      <c r="BC543" s="136">
        <f t="shared" si="120"/>
        <v>0</v>
      </c>
      <c r="BD543" s="136">
        <f t="shared" si="120"/>
        <v>0</v>
      </c>
      <c r="BE543" s="136">
        <f t="shared" si="120"/>
        <v>-565</v>
      </c>
      <c r="BF543" s="136">
        <f t="shared" si="120"/>
        <v>0</v>
      </c>
      <c r="BG543" s="136">
        <f t="shared" si="120"/>
        <v>0</v>
      </c>
      <c r="BH543" s="136">
        <f t="shared" si="120"/>
        <v>0</v>
      </c>
      <c r="BI543" s="136">
        <f t="shared" si="120"/>
        <v>0</v>
      </c>
      <c r="BJ543" s="136">
        <f t="shared" si="120"/>
        <v>-292585</v>
      </c>
      <c r="BK543" s="136">
        <f t="shared" si="120"/>
        <v>0</v>
      </c>
      <c r="BL543" s="136">
        <f t="shared" si="120"/>
        <v>0</v>
      </c>
      <c r="BM543" s="136">
        <f t="shared" si="120"/>
        <v>0</v>
      </c>
      <c r="BN543" s="136">
        <f t="shared" si="120"/>
        <v>0</v>
      </c>
      <c r="BO543" s="136">
        <f t="shared" si="120"/>
        <v>-403424</v>
      </c>
      <c r="BP543" s="136">
        <f t="shared" si="120"/>
        <v>0</v>
      </c>
      <c r="BQ543" s="136">
        <f t="shared" si="120"/>
        <v>0</v>
      </c>
      <c r="BR543" s="136">
        <f t="shared" si="116"/>
        <v>0</v>
      </c>
      <c r="BS543" s="136">
        <f t="shared" si="114"/>
        <v>0</v>
      </c>
      <c r="BT543" s="136">
        <f t="shared" si="114"/>
        <v>-402394</v>
      </c>
      <c r="BU543" s="136">
        <f t="shared" si="114"/>
        <v>0</v>
      </c>
      <c r="BV543" s="136">
        <f t="shared" si="114"/>
        <v>0</v>
      </c>
      <c r="BW543" s="136">
        <f t="shared" si="114"/>
        <v>0</v>
      </c>
      <c r="BX543" s="136">
        <f t="shared" si="114"/>
        <v>0</v>
      </c>
      <c r="BZ543" s="136">
        <f t="shared" si="115"/>
        <v>0</v>
      </c>
      <c r="CA543" s="136">
        <f t="shared" si="115"/>
        <v>0</v>
      </c>
    </row>
    <row r="544" spans="7:79" hidden="1" x14ac:dyDescent="0.3">
      <c r="G544" s="136">
        <f t="shared" si="119"/>
        <v>0</v>
      </c>
      <c r="H544" s="136">
        <f t="shared" si="119"/>
        <v>0</v>
      </c>
      <c r="I544" s="136">
        <f t="shared" si="119"/>
        <v>0</v>
      </c>
      <c r="J544" s="136">
        <f t="shared" si="119"/>
        <v>0</v>
      </c>
      <c r="K544" s="136">
        <f t="shared" si="119"/>
        <v>0</v>
      </c>
      <c r="L544" s="136">
        <f t="shared" si="119"/>
        <v>0</v>
      </c>
      <c r="M544" s="136">
        <f t="shared" si="119"/>
        <v>0</v>
      </c>
      <c r="N544" s="136">
        <f t="shared" si="119"/>
        <v>0</v>
      </c>
      <c r="O544" s="136">
        <f t="shared" si="119"/>
        <v>0</v>
      </c>
      <c r="P544" s="136">
        <f t="shared" si="119"/>
        <v>0</v>
      </c>
      <c r="Q544" s="136">
        <f t="shared" si="119"/>
        <v>0</v>
      </c>
      <c r="R544" s="136">
        <f t="shared" si="119"/>
        <v>0</v>
      </c>
      <c r="S544" s="136">
        <f t="shared" si="119"/>
        <v>0</v>
      </c>
      <c r="T544" s="136">
        <f t="shared" si="119"/>
        <v>0</v>
      </c>
      <c r="U544" s="136">
        <f t="shared" si="119"/>
        <v>0</v>
      </c>
      <c r="V544" s="136">
        <f t="shared" si="119"/>
        <v>0</v>
      </c>
      <c r="W544" s="136">
        <f t="shared" si="121"/>
        <v>0</v>
      </c>
      <c r="X544" s="136">
        <f t="shared" si="121"/>
        <v>0</v>
      </c>
      <c r="Y544" s="136">
        <f t="shared" si="120"/>
        <v>0</v>
      </c>
      <c r="Z544" s="136">
        <f t="shared" si="120"/>
        <v>0</v>
      </c>
      <c r="AA544" s="136">
        <f t="shared" si="120"/>
        <v>0</v>
      </c>
      <c r="AB544" s="136">
        <f t="shared" si="120"/>
        <v>0</v>
      </c>
      <c r="AC544" s="136">
        <f t="shared" si="120"/>
        <v>0</v>
      </c>
      <c r="AD544" s="136">
        <f t="shared" si="120"/>
        <v>0</v>
      </c>
      <c r="AE544" s="136">
        <f t="shared" si="120"/>
        <v>0</v>
      </c>
      <c r="AF544" s="136">
        <f t="shared" si="120"/>
        <v>0</v>
      </c>
      <c r="AG544" s="136">
        <f t="shared" si="120"/>
        <v>0</v>
      </c>
      <c r="AH544" s="136">
        <f t="shared" si="120"/>
        <v>0</v>
      </c>
      <c r="AI544" s="136">
        <f t="shared" si="120"/>
        <v>0</v>
      </c>
      <c r="AJ544" s="136">
        <f t="shared" si="120"/>
        <v>0</v>
      </c>
      <c r="AK544" s="136">
        <f t="shared" si="120"/>
        <v>0</v>
      </c>
      <c r="AL544" s="136">
        <f t="shared" si="120"/>
        <v>0</v>
      </c>
      <c r="AM544" s="136">
        <f t="shared" si="120"/>
        <v>0</v>
      </c>
      <c r="AN544" s="136">
        <f t="shared" si="120"/>
        <v>0</v>
      </c>
      <c r="AO544" s="136">
        <f t="shared" si="120"/>
        <v>0</v>
      </c>
      <c r="AP544" s="136">
        <f t="shared" si="120"/>
        <v>0</v>
      </c>
      <c r="AQ544" s="136">
        <f t="shared" si="120"/>
        <v>0</v>
      </c>
      <c r="AR544" s="136">
        <f t="shared" si="120"/>
        <v>0</v>
      </c>
      <c r="AS544" s="136">
        <f t="shared" si="120"/>
        <v>0</v>
      </c>
      <c r="AT544" s="136">
        <f t="shared" si="120"/>
        <v>0</v>
      </c>
      <c r="AU544" s="136">
        <f t="shared" si="120"/>
        <v>0</v>
      </c>
      <c r="AV544" s="136">
        <f t="shared" si="120"/>
        <v>0</v>
      </c>
      <c r="AW544" s="136">
        <f t="shared" si="120"/>
        <v>0</v>
      </c>
      <c r="AX544" s="136">
        <f t="shared" si="120"/>
        <v>0</v>
      </c>
      <c r="AY544" s="136">
        <f t="shared" si="120"/>
        <v>0</v>
      </c>
      <c r="AZ544" s="136">
        <f t="shared" si="120"/>
        <v>0</v>
      </c>
      <c r="BA544" s="136">
        <f t="shared" si="120"/>
        <v>0</v>
      </c>
      <c r="BB544" s="136">
        <f t="shared" si="120"/>
        <v>0</v>
      </c>
      <c r="BC544" s="136">
        <f t="shared" si="120"/>
        <v>0</v>
      </c>
      <c r="BD544" s="136">
        <f t="shared" si="120"/>
        <v>0</v>
      </c>
      <c r="BE544" s="136">
        <f t="shared" si="120"/>
        <v>0</v>
      </c>
      <c r="BF544" s="136">
        <f t="shared" si="120"/>
        <v>0</v>
      </c>
      <c r="BG544" s="136">
        <f t="shared" si="120"/>
        <v>0</v>
      </c>
      <c r="BH544" s="136">
        <f t="shared" si="120"/>
        <v>0</v>
      </c>
      <c r="BI544" s="136">
        <f t="shared" si="120"/>
        <v>0</v>
      </c>
      <c r="BJ544" s="136">
        <f t="shared" si="120"/>
        <v>0</v>
      </c>
      <c r="BK544" s="136">
        <f t="shared" si="120"/>
        <v>0</v>
      </c>
      <c r="BL544" s="136">
        <f t="shared" si="120"/>
        <v>0</v>
      </c>
      <c r="BM544" s="136">
        <f t="shared" si="120"/>
        <v>0</v>
      </c>
      <c r="BN544" s="136">
        <f t="shared" si="120"/>
        <v>0</v>
      </c>
      <c r="BO544" s="136">
        <f t="shared" si="120"/>
        <v>0</v>
      </c>
      <c r="BP544" s="136">
        <f t="shared" si="120"/>
        <v>0</v>
      </c>
      <c r="BQ544" s="136">
        <f t="shared" si="120"/>
        <v>0</v>
      </c>
      <c r="BR544" s="136">
        <f t="shared" si="116"/>
        <v>0</v>
      </c>
      <c r="BS544" s="136">
        <f t="shared" si="114"/>
        <v>0</v>
      </c>
      <c r="BT544" s="136">
        <f t="shared" si="114"/>
        <v>0</v>
      </c>
      <c r="BU544" s="136">
        <f t="shared" si="114"/>
        <v>0</v>
      </c>
      <c r="BV544" s="136">
        <f t="shared" si="114"/>
        <v>0</v>
      </c>
      <c r="BW544" s="136">
        <f t="shared" si="114"/>
        <v>0</v>
      </c>
      <c r="BX544" s="136">
        <f t="shared" si="114"/>
        <v>0</v>
      </c>
      <c r="BZ544" s="136">
        <f t="shared" si="115"/>
        <v>0</v>
      </c>
      <c r="CA544" s="136">
        <f t="shared" si="115"/>
        <v>0</v>
      </c>
    </row>
    <row r="545" spans="7:79" hidden="1" x14ac:dyDescent="0.3">
      <c r="G545" s="136">
        <f t="shared" si="119"/>
        <v>0</v>
      </c>
      <c r="H545" s="136">
        <f t="shared" si="119"/>
        <v>0</v>
      </c>
      <c r="I545" s="136">
        <f t="shared" si="119"/>
        <v>0</v>
      </c>
      <c r="J545" s="136">
        <f t="shared" si="119"/>
        <v>0</v>
      </c>
      <c r="K545" s="136">
        <f t="shared" si="119"/>
        <v>0</v>
      </c>
      <c r="L545" s="136">
        <f t="shared" si="119"/>
        <v>0</v>
      </c>
      <c r="M545" s="136">
        <f t="shared" si="119"/>
        <v>0</v>
      </c>
      <c r="N545" s="136">
        <f t="shared" si="119"/>
        <v>0</v>
      </c>
      <c r="O545" s="136">
        <f t="shared" si="119"/>
        <v>0</v>
      </c>
      <c r="P545" s="136">
        <f t="shared" si="119"/>
        <v>0</v>
      </c>
      <c r="Q545" s="136">
        <f t="shared" si="119"/>
        <v>0</v>
      </c>
      <c r="R545" s="136">
        <f t="shared" si="119"/>
        <v>0</v>
      </c>
      <c r="S545" s="136">
        <f t="shared" si="119"/>
        <v>0</v>
      </c>
      <c r="T545" s="136">
        <f t="shared" si="119"/>
        <v>0</v>
      </c>
      <c r="U545" s="136">
        <f t="shared" si="119"/>
        <v>0</v>
      </c>
      <c r="V545" s="136">
        <f t="shared" si="119"/>
        <v>0</v>
      </c>
      <c r="W545" s="136">
        <f t="shared" si="121"/>
        <v>0</v>
      </c>
      <c r="X545" s="136">
        <f t="shared" si="121"/>
        <v>0</v>
      </c>
      <c r="Y545" s="136">
        <f t="shared" si="120"/>
        <v>0</v>
      </c>
      <c r="Z545" s="136">
        <f t="shared" si="120"/>
        <v>0</v>
      </c>
      <c r="AA545" s="136">
        <f t="shared" si="120"/>
        <v>0</v>
      </c>
      <c r="AB545" s="136">
        <f t="shared" si="120"/>
        <v>0</v>
      </c>
      <c r="AC545" s="136">
        <f t="shared" si="120"/>
        <v>0</v>
      </c>
      <c r="AD545" s="136">
        <f t="shared" si="120"/>
        <v>0</v>
      </c>
      <c r="AE545" s="136">
        <f t="shared" si="120"/>
        <v>0</v>
      </c>
      <c r="AF545" s="136">
        <f t="shared" si="120"/>
        <v>0</v>
      </c>
      <c r="AG545" s="136">
        <f t="shared" si="120"/>
        <v>0</v>
      </c>
      <c r="AH545" s="136">
        <f t="shared" si="120"/>
        <v>0</v>
      </c>
      <c r="AI545" s="136">
        <f t="shared" si="120"/>
        <v>0</v>
      </c>
      <c r="AJ545" s="136">
        <f t="shared" si="120"/>
        <v>0</v>
      </c>
      <c r="AK545" s="136">
        <f t="shared" si="120"/>
        <v>0</v>
      </c>
      <c r="AL545" s="136">
        <f t="shared" si="120"/>
        <v>0</v>
      </c>
      <c r="AM545" s="136">
        <f t="shared" si="120"/>
        <v>0</v>
      </c>
      <c r="AN545" s="136">
        <f t="shared" si="120"/>
        <v>0</v>
      </c>
      <c r="AO545" s="136">
        <f t="shared" si="120"/>
        <v>0</v>
      </c>
      <c r="AP545" s="136">
        <f t="shared" si="120"/>
        <v>0</v>
      </c>
      <c r="AQ545" s="136">
        <f t="shared" si="120"/>
        <v>0</v>
      </c>
      <c r="AR545" s="136">
        <f t="shared" si="120"/>
        <v>0</v>
      </c>
      <c r="AS545" s="136">
        <f t="shared" si="120"/>
        <v>0</v>
      </c>
      <c r="AT545" s="136">
        <f t="shared" si="120"/>
        <v>0</v>
      </c>
      <c r="AU545" s="136">
        <f t="shared" si="120"/>
        <v>0</v>
      </c>
      <c r="AV545" s="136">
        <f t="shared" si="120"/>
        <v>0</v>
      </c>
      <c r="AW545" s="136">
        <f t="shared" si="120"/>
        <v>0</v>
      </c>
      <c r="AX545" s="136">
        <f t="shared" si="120"/>
        <v>0</v>
      </c>
      <c r="AY545" s="136">
        <f t="shared" si="120"/>
        <v>0</v>
      </c>
      <c r="AZ545" s="136">
        <f t="shared" si="120"/>
        <v>0</v>
      </c>
      <c r="BA545" s="136">
        <f t="shared" si="120"/>
        <v>0</v>
      </c>
      <c r="BB545" s="136">
        <f t="shared" si="120"/>
        <v>0</v>
      </c>
      <c r="BC545" s="136">
        <f t="shared" si="120"/>
        <v>0</v>
      </c>
      <c r="BD545" s="136">
        <f t="shared" si="120"/>
        <v>0</v>
      </c>
      <c r="BE545" s="136">
        <f t="shared" si="120"/>
        <v>0</v>
      </c>
      <c r="BF545" s="136">
        <f t="shared" si="120"/>
        <v>0</v>
      </c>
      <c r="BG545" s="136">
        <f t="shared" si="120"/>
        <v>0</v>
      </c>
      <c r="BH545" s="136">
        <f t="shared" si="120"/>
        <v>0</v>
      </c>
      <c r="BI545" s="136">
        <f t="shared" si="120"/>
        <v>0</v>
      </c>
      <c r="BJ545" s="136">
        <f t="shared" si="120"/>
        <v>0</v>
      </c>
      <c r="BK545" s="136">
        <f t="shared" si="120"/>
        <v>0</v>
      </c>
      <c r="BL545" s="136">
        <f t="shared" si="120"/>
        <v>0</v>
      </c>
      <c r="BM545" s="136">
        <f t="shared" si="120"/>
        <v>0</v>
      </c>
      <c r="BN545" s="136">
        <f t="shared" si="120"/>
        <v>0</v>
      </c>
      <c r="BO545" s="136">
        <f t="shared" si="120"/>
        <v>0</v>
      </c>
      <c r="BP545" s="136">
        <f t="shared" si="120"/>
        <v>0</v>
      </c>
      <c r="BQ545" s="136">
        <f t="shared" si="120"/>
        <v>0</v>
      </c>
      <c r="BR545" s="136">
        <f t="shared" si="116"/>
        <v>0</v>
      </c>
      <c r="BS545" s="136">
        <f t="shared" si="116"/>
        <v>0</v>
      </c>
      <c r="BT545" s="136">
        <f t="shared" si="116"/>
        <v>0</v>
      </c>
      <c r="BU545" s="136">
        <f t="shared" si="116"/>
        <v>0</v>
      </c>
      <c r="BV545" s="136">
        <f t="shared" si="116"/>
        <v>0</v>
      </c>
      <c r="BW545" s="136">
        <f t="shared" si="116"/>
        <v>0</v>
      </c>
      <c r="BX545" s="136">
        <f t="shared" si="116"/>
        <v>0</v>
      </c>
      <c r="BZ545" s="136">
        <f t="shared" ref="BZ545:CA554" si="122">BZ143-ER143</f>
        <v>0</v>
      </c>
      <c r="CA545" s="136">
        <f t="shared" si="122"/>
        <v>0</v>
      </c>
    </row>
    <row r="546" spans="7:79" hidden="1" x14ac:dyDescent="0.3">
      <c r="G546" s="136">
        <f t="shared" si="119"/>
        <v>0</v>
      </c>
      <c r="H546" s="136">
        <f t="shared" si="119"/>
        <v>0</v>
      </c>
      <c r="I546" s="136">
        <f t="shared" si="119"/>
        <v>0</v>
      </c>
      <c r="J546" s="136">
        <f t="shared" si="119"/>
        <v>0</v>
      </c>
      <c r="K546" s="136">
        <f t="shared" si="119"/>
        <v>0</v>
      </c>
      <c r="L546" s="136">
        <f t="shared" si="119"/>
        <v>0</v>
      </c>
      <c r="M546" s="136">
        <f t="shared" si="119"/>
        <v>0</v>
      </c>
      <c r="N546" s="136">
        <f t="shared" si="119"/>
        <v>0</v>
      </c>
      <c r="O546" s="136">
        <f t="shared" si="119"/>
        <v>0</v>
      </c>
      <c r="P546" s="136">
        <f t="shared" si="119"/>
        <v>0</v>
      </c>
      <c r="Q546" s="136">
        <f t="shared" si="119"/>
        <v>0</v>
      </c>
      <c r="R546" s="136">
        <f t="shared" si="119"/>
        <v>0</v>
      </c>
      <c r="S546" s="136">
        <f t="shared" si="119"/>
        <v>0</v>
      </c>
      <c r="T546" s="136">
        <f t="shared" si="119"/>
        <v>0</v>
      </c>
      <c r="U546" s="136">
        <f t="shared" si="119"/>
        <v>0</v>
      </c>
      <c r="V546" s="136">
        <f t="shared" si="119"/>
        <v>0</v>
      </c>
      <c r="W546" s="136">
        <f t="shared" si="121"/>
        <v>0</v>
      </c>
      <c r="X546" s="136">
        <f t="shared" si="121"/>
        <v>0</v>
      </c>
      <c r="Y546" s="136">
        <f t="shared" si="120"/>
        <v>0</v>
      </c>
      <c r="Z546" s="136">
        <f t="shared" si="120"/>
        <v>0</v>
      </c>
      <c r="AA546" s="136">
        <f t="shared" si="120"/>
        <v>22595000</v>
      </c>
      <c r="AB546" s="136">
        <f t="shared" si="120"/>
        <v>0</v>
      </c>
      <c r="AC546" s="136">
        <f t="shared" si="120"/>
        <v>0</v>
      </c>
      <c r="AD546" s="136">
        <f t="shared" si="120"/>
        <v>0</v>
      </c>
      <c r="AE546" s="136">
        <f t="shared" si="120"/>
        <v>0</v>
      </c>
      <c r="AF546" s="136">
        <f t="shared" si="120"/>
        <v>3905000</v>
      </c>
      <c r="AG546" s="136">
        <f t="shared" si="120"/>
        <v>0</v>
      </c>
      <c r="AH546" s="136">
        <f t="shared" si="120"/>
        <v>0</v>
      </c>
      <c r="AI546" s="136">
        <f t="shared" si="120"/>
        <v>0</v>
      </c>
      <c r="AJ546" s="136">
        <f t="shared" si="120"/>
        <v>0</v>
      </c>
      <c r="AK546" s="136">
        <f t="shared" si="120"/>
        <v>9640000</v>
      </c>
      <c r="AL546" s="136">
        <f t="shared" si="120"/>
        <v>0</v>
      </c>
      <c r="AM546" s="136">
        <f t="shared" si="120"/>
        <v>0</v>
      </c>
      <c r="AN546" s="136">
        <f t="shared" si="120"/>
        <v>0</v>
      </c>
      <c r="AO546" s="136">
        <f t="shared" si="120"/>
        <v>0</v>
      </c>
      <c r="AP546" s="136">
        <f t="shared" si="120"/>
        <v>8875000</v>
      </c>
      <c r="AQ546" s="136">
        <f t="shared" si="120"/>
        <v>0</v>
      </c>
      <c r="AR546" s="136">
        <f t="shared" si="120"/>
        <v>0</v>
      </c>
      <c r="AS546" s="136">
        <f t="shared" si="120"/>
        <v>0</v>
      </c>
      <c r="AT546" s="136">
        <f t="shared" si="120"/>
        <v>0</v>
      </c>
      <c r="AU546" s="136">
        <f t="shared" si="120"/>
        <v>6210000</v>
      </c>
      <c r="AV546" s="136">
        <f t="shared" si="120"/>
        <v>0</v>
      </c>
      <c r="AW546" s="136">
        <f t="shared" si="120"/>
        <v>0</v>
      </c>
      <c r="AX546" s="136">
        <f t="shared" si="120"/>
        <v>0</v>
      </c>
      <c r="AY546" s="136">
        <f t="shared" si="120"/>
        <v>0</v>
      </c>
      <c r="AZ546" s="136">
        <f t="shared" si="120"/>
        <v>0</v>
      </c>
      <c r="BA546" s="136">
        <f t="shared" si="120"/>
        <v>0</v>
      </c>
      <c r="BB546" s="136">
        <f t="shared" si="120"/>
        <v>0</v>
      </c>
      <c r="BC546" s="136">
        <f t="shared" ref="BC546:BR554" si="123">BC144-DU144</f>
        <v>0</v>
      </c>
      <c r="BD546" s="136">
        <f t="shared" si="123"/>
        <v>0</v>
      </c>
      <c r="BE546" s="136">
        <f t="shared" si="123"/>
        <v>0</v>
      </c>
      <c r="BF546" s="136">
        <f t="shared" si="123"/>
        <v>0</v>
      </c>
      <c r="BG546" s="136">
        <f t="shared" si="123"/>
        <v>0</v>
      </c>
      <c r="BH546" s="136">
        <f t="shared" si="123"/>
        <v>0</v>
      </c>
      <c r="BI546" s="136">
        <f t="shared" si="123"/>
        <v>0</v>
      </c>
      <c r="BJ546" s="136">
        <f t="shared" si="123"/>
        <v>0</v>
      </c>
      <c r="BK546" s="136">
        <f t="shared" si="123"/>
        <v>0</v>
      </c>
      <c r="BL546" s="136">
        <f t="shared" si="123"/>
        <v>0</v>
      </c>
      <c r="BM546" s="136">
        <f t="shared" si="123"/>
        <v>0</v>
      </c>
      <c r="BN546" s="136">
        <f t="shared" si="123"/>
        <v>0</v>
      </c>
      <c r="BO546" s="136">
        <f t="shared" si="123"/>
        <v>0</v>
      </c>
      <c r="BP546" s="136">
        <f t="shared" si="123"/>
        <v>0</v>
      </c>
      <c r="BQ546" s="136">
        <f t="shared" si="123"/>
        <v>0</v>
      </c>
      <c r="BR546" s="136">
        <f t="shared" si="116"/>
        <v>0</v>
      </c>
      <c r="BS546" s="136">
        <f t="shared" si="116"/>
        <v>0</v>
      </c>
      <c r="BT546" s="136">
        <f t="shared" si="116"/>
        <v>51225000</v>
      </c>
      <c r="BU546" s="136">
        <f t="shared" si="116"/>
        <v>0</v>
      </c>
      <c r="BV546" s="136">
        <f t="shared" si="116"/>
        <v>0</v>
      </c>
      <c r="BW546" s="136">
        <f t="shared" si="116"/>
        <v>0</v>
      </c>
      <c r="BX546" s="136">
        <f t="shared" si="116"/>
        <v>0</v>
      </c>
      <c r="BZ546" s="136">
        <f t="shared" si="122"/>
        <v>0</v>
      </c>
      <c r="CA546" s="136">
        <f t="shared" si="122"/>
        <v>0</v>
      </c>
    </row>
    <row r="547" spans="7:79" hidden="1" x14ac:dyDescent="0.3">
      <c r="G547" s="136">
        <f t="shared" si="119"/>
        <v>0</v>
      </c>
      <c r="H547" s="136">
        <f t="shared" si="119"/>
        <v>0</v>
      </c>
      <c r="I547" s="136">
        <f t="shared" si="119"/>
        <v>0</v>
      </c>
      <c r="J547" s="136">
        <f t="shared" si="119"/>
        <v>0</v>
      </c>
      <c r="K547" s="136">
        <f t="shared" si="119"/>
        <v>0</v>
      </c>
      <c r="L547" s="136">
        <f t="shared" si="119"/>
        <v>0</v>
      </c>
      <c r="M547" s="136">
        <f t="shared" si="119"/>
        <v>0</v>
      </c>
      <c r="N547" s="136">
        <f t="shared" si="119"/>
        <v>0</v>
      </c>
      <c r="O547" s="136">
        <f t="shared" si="119"/>
        <v>0</v>
      </c>
      <c r="P547" s="136">
        <f t="shared" si="119"/>
        <v>0</v>
      </c>
      <c r="Q547" s="136">
        <f t="shared" si="119"/>
        <v>0</v>
      </c>
      <c r="R547" s="136">
        <f t="shared" si="119"/>
        <v>0</v>
      </c>
      <c r="S547" s="136">
        <f t="shared" si="119"/>
        <v>0</v>
      </c>
      <c r="T547" s="136">
        <f t="shared" si="119"/>
        <v>0</v>
      </c>
      <c r="U547" s="136">
        <f t="shared" si="119"/>
        <v>0</v>
      </c>
      <c r="V547" s="136">
        <f t="shared" si="119"/>
        <v>0</v>
      </c>
      <c r="W547" s="136">
        <f t="shared" si="121"/>
        <v>0</v>
      </c>
      <c r="X547" s="136">
        <f t="shared" si="121"/>
        <v>0</v>
      </c>
      <c r="Y547" s="136">
        <f t="shared" si="121"/>
        <v>0</v>
      </c>
      <c r="Z547" s="136">
        <f t="shared" si="121"/>
        <v>0</v>
      </c>
      <c r="AA547" s="136">
        <f t="shared" si="121"/>
        <v>22595000</v>
      </c>
      <c r="AB547" s="136">
        <f t="shared" si="121"/>
        <v>0</v>
      </c>
      <c r="AC547" s="136">
        <f t="shared" si="121"/>
        <v>0</v>
      </c>
      <c r="AD547" s="136">
        <f t="shared" si="121"/>
        <v>0</v>
      </c>
      <c r="AE547" s="136">
        <f t="shared" si="121"/>
        <v>0</v>
      </c>
      <c r="AF547" s="136">
        <f t="shared" si="121"/>
        <v>3932779</v>
      </c>
      <c r="AG547" s="136">
        <f t="shared" si="121"/>
        <v>0</v>
      </c>
      <c r="AH547" s="136">
        <f t="shared" si="121"/>
        <v>0</v>
      </c>
      <c r="AI547" s="136">
        <f t="shared" si="121"/>
        <v>0</v>
      </c>
      <c r="AJ547" s="136">
        <f t="shared" si="121"/>
        <v>0</v>
      </c>
      <c r="AK547" s="136">
        <f t="shared" si="121"/>
        <v>9756280</v>
      </c>
      <c r="AL547" s="136">
        <f t="shared" si="121"/>
        <v>0</v>
      </c>
      <c r="AM547" s="136">
        <f t="shared" ref="AM547:BB554" si="124">AM145-DE145</f>
        <v>0</v>
      </c>
      <c r="AN547" s="136">
        <f t="shared" si="124"/>
        <v>0</v>
      </c>
      <c r="AO547" s="136">
        <f t="shared" si="124"/>
        <v>0</v>
      </c>
      <c r="AP547" s="136">
        <f t="shared" si="124"/>
        <v>9033830</v>
      </c>
      <c r="AQ547" s="136">
        <f t="shared" si="124"/>
        <v>0</v>
      </c>
      <c r="AR547" s="136">
        <f t="shared" si="124"/>
        <v>0</v>
      </c>
      <c r="AS547" s="136">
        <f t="shared" si="124"/>
        <v>0</v>
      </c>
      <c r="AT547" s="136">
        <f t="shared" si="124"/>
        <v>0</v>
      </c>
      <c r="AU547" s="136">
        <f t="shared" si="124"/>
        <v>6349890</v>
      </c>
      <c r="AV547" s="136">
        <f t="shared" si="124"/>
        <v>0</v>
      </c>
      <c r="AW547" s="136">
        <f t="shared" si="124"/>
        <v>0</v>
      </c>
      <c r="AX547" s="136">
        <f t="shared" si="124"/>
        <v>0</v>
      </c>
      <c r="AY547" s="136">
        <f t="shared" si="124"/>
        <v>0</v>
      </c>
      <c r="AZ547" s="136">
        <f t="shared" si="124"/>
        <v>0</v>
      </c>
      <c r="BA547" s="136">
        <f t="shared" si="124"/>
        <v>0</v>
      </c>
      <c r="BB547" s="136">
        <f t="shared" si="124"/>
        <v>0</v>
      </c>
      <c r="BC547" s="136">
        <f t="shared" si="123"/>
        <v>0</v>
      </c>
      <c r="BD547" s="136">
        <f t="shared" si="123"/>
        <v>0</v>
      </c>
      <c r="BE547" s="136">
        <f t="shared" si="123"/>
        <v>0</v>
      </c>
      <c r="BF547" s="136">
        <f t="shared" si="123"/>
        <v>0</v>
      </c>
      <c r="BG547" s="136">
        <f t="shared" si="123"/>
        <v>0</v>
      </c>
      <c r="BH547" s="136">
        <f t="shared" si="123"/>
        <v>0</v>
      </c>
      <c r="BI547" s="136">
        <f t="shared" si="123"/>
        <v>0</v>
      </c>
      <c r="BJ547" s="136">
        <f t="shared" si="123"/>
        <v>0</v>
      </c>
      <c r="BK547" s="136">
        <f t="shared" si="123"/>
        <v>0</v>
      </c>
      <c r="BL547" s="136">
        <f t="shared" si="123"/>
        <v>0</v>
      </c>
      <c r="BM547" s="136">
        <f t="shared" si="123"/>
        <v>0</v>
      </c>
      <c r="BN547" s="136">
        <f t="shared" si="123"/>
        <v>0</v>
      </c>
      <c r="BO547" s="136">
        <f t="shared" si="123"/>
        <v>0</v>
      </c>
      <c r="BP547" s="136">
        <f t="shared" si="123"/>
        <v>0</v>
      </c>
      <c r="BQ547" s="136">
        <f t="shared" si="123"/>
        <v>0</v>
      </c>
      <c r="BR547" s="136">
        <f t="shared" si="116"/>
        <v>0</v>
      </c>
      <c r="BS547" s="136">
        <f t="shared" si="116"/>
        <v>0</v>
      </c>
      <c r="BT547" s="136">
        <f t="shared" si="116"/>
        <v>51667779</v>
      </c>
      <c r="BU547" s="136">
        <f t="shared" si="116"/>
        <v>0</v>
      </c>
      <c r="BV547" s="136">
        <f t="shared" si="116"/>
        <v>0</v>
      </c>
      <c r="BW547" s="136">
        <f t="shared" si="116"/>
        <v>0</v>
      </c>
      <c r="BX547" s="136">
        <f t="shared" si="116"/>
        <v>0</v>
      </c>
      <c r="BZ547" s="136">
        <f t="shared" si="122"/>
        <v>0</v>
      </c>
      <c r="CA547" s="136">
        <f t="shared" si="122"/>
        <v>0</v>
      </c>
    </row>
    <row r="548" spans="7:79" hidden="1" x14ac:dyDescent="0.3">
      <c r="G548" s="136">
        <f t="shared" si="119"/>
        <v>0</v>
      </c>
      <c r="H548" s="136">
        <f t="shared" si="119"/>
        <v>0</v>
      </c>
      <c r="I548" s="136">
        <f t="shared" si="119"/>
        <v>0</v>
      </c>
      <c r="J548" s="136">
        <f t="shared" si="119"/>
        <v>0</v>
      </c>
      <c r="K548" s="136">
        <f t="shared" si="119"/>
        <v>0</v>
      </c>
      <c r="L548" s="136">
        <f t="shared" si="119"/>
        <v>0</v>
      </c>
      <c r="M548" s="136">
        <f t="shared" si="119"/>
        <v>0</v>
      </c>
      <c r="N548" s="136">
        <f t="shared" si="119"/>
        <v>0</v>
      </c>
      <c r="O548" s="136">
        <f t="shared" si="119"/>
        <v>0</v>
      </c>
      <c r="P548" s="136">
        <f t="shared" si="119"/>
        <v>0</v>
      </c>
      <c r="Q548" s="136">
        <f t="shared" si="119"/>
        <v>0</v>
      </c>
      <c r="R548" s="136">
        <f t="shared" si="119"/>
        <v>0</v>
      </c>
      <c r="S548" s="136">
        <f t="shared" si="119"/>
        <v>0</v>
      </c>
      <c r="T548" s="136">
        <f t="shared" si="119"/>
        <v>0</v>
      </c>
      <c r="U548" s="136">
        <f t="shared" si="119"/>
        <v>0</v>
      </c>
      <c r="V548" s="136">
        <f t="shared" si="119"/>
        <v>0</v>
      </c>
      <c r="W548" s="136">
        <f t="shared" si="121"/>
        <v>0</v>
      </c>
      <c r="X548" s="136">
        <f t="shared" si="121"/>
        <v>0</v>
      </c>
      <c r="Y548" s="136">
        <f t="shared" si="121"/>
        <v>0</v>
      </c>
      <c r="Z548" s="136">
        <f t="shared" si="121"/>
        <v>0</v>
      </c>
      <c r="AA548" s="136">
        <f t="shared" si="121"/>
        <v>0</v>
      </c>
      <c r="AB548" s="136">
        <f t="shared" si="121"/>
        <v>0</v>
      </c>
      <c r="AC548" s="136">
        <f t="shared" si="121"/>
        <v>0</v>
      </c>
      <c r="AD548" s="136">
        <f t="shared" si="121"/>
        <v>0</v>
      </c>
      <c r="AE548" s="136">
        <f t="shared" si="121"/>
        <v>0</v>
      </c>
      <c r="AF548" s="136">
        <f t="shared" si="121"/>
        <v>0</v>
      </c>
      <c r="AG548" s="136">
        <f t="shared" si="121"/>
        <v>0</v>
      </c>
      <c r="AH548" s="136">
        <f t="shared" si="121"/>
        <v>0</v>
      </c>
      <c r="AI548" s="136">
        <f t="shared" si="121"/>
        <v>0</v>
      </c>
      <c r="AJ548" s="136">
        <f t="shared" si="121"/>
        <v>0</v>
      </c>
      <c r="AK548" s="136">
        <f t="shared" si="121"/>
        <v>0</v>
      </c>
      <c r="AL548" s="136">
        <f t="shared" si="121"/>
        <v>0</v>
      </c>
      <c r="AM548" s="136">
        <f t="shared" si="124"/>
        <v>0</v>
      </c>
      <c r="AN548" s="136">
        <f t="shared" si="124"/>
        <v>0</v>
      </c>
      <c r="AO548" s="136">
        <f t="shared" si="124"/>
        <v>0</v>
      </c>
      <c r="AP548" s="136">
        <f t="shared" si="124"/>
        <v>0</v>
      </c>
      <c r="AQ548" s="136">
        <f t="shared" si="124"/>
        <v>0</v>
      </c>
      <c r="AR548" s="136">
        <f t="shared" si="124"/>
        <v>0</v>
      </c>
      <c r="AS548" s="136">
        <f t="shared" si="124"/>
        <v>0</v>
      </c>
      <c r="AT548" s="136">
        <f t="shared" si="124"/>
        <v>0</v>
      </c>
      <c r="AU548" s="136">
        <f t="shared" si="124"/>
        <v>0</v>
      </c>
      <c r="AV548" s="136">
        <f t="shared" si="124"/>
        <v>0</v>
      </c>
      <c r="AW548" s="136">
        <f t="shared" si="124"/>
        <v>0</v>
      </c>
      <c r="AX548" s="136">
        <f t="shared" si="124"/>
        <v>0</v>
      </c>
      <c r="AY548" s="136">
        <f t="shared" si="124"/>
        <v>0</v>
      </c>
      <c r="AZ548" s="136">
        <f t="shared" si="124"/>
        <v>0</v>
      </c>
      <c r="BA548" s="136">
        <f t="shared" si="124"/>
        <v>0</v>
      </c>
      <c r="BB548" s="136">
        <f t="shared" si="124"/>
        <v>0</v>
      </c>
      <c r="BC548" s="136">
        <f t="shared" si="123"/>
        <v>0</v>
      </c>
      <c r="BD548" s="136">
        <f t="shared" si="123"/>
        <v>0</v>
      </c>
      <c r="BE548" s="136">
        <f t="shared" si="123"/>
        <v>0</v>
      </c>
      <c r="BF548" s="136">
        <f t="shared" si="123"/>
        <v>0</v>
      </c>
      <c r="BG548" s="136">
        <f t="shared" si="123"/>
        <v>0</v>
      </c>
      <c r="BH548" s="136">
        <f t="shared" si="123"/>
        <v>0</v>
      </c>
      <c r="BI548" s="136">
        <f t="shared" si="123"/>
        <v>0</v>
      </c>
      <c r="BJ548" s="136">
        <f t="shared" si="123"/>
        <v>0</v>
      </c>
      <c r="BK548" s="136">
        <f t="shared" si="123"/>
        <v>0</v>
      </c>
      <c r="BL548" s="136">
        <f t="shared" si="123"/>
        <v>0</v>
      </c>
      <c r="BM548" s="136">
        <f t="shared" si="123"/>
        <v>0</v>
      </c>
      <c r="BN548" s="136">
        <f t="shared" si="123"/>
        <v>0</v>
      </c>
      <c r="BO548" s="136">
        <f t="shared" si="123"/>
        <v>0</v>
      </c>
      <c r="BP548" s="136">
        <f t="shared" si="123"/>
        <v>0</v>
      </c>
      <c r="BQ548" s="136">
        <f t="shared" si="123"/>
        <v>0</v>
      </c>
      <c r="BR548" s="136">
        <f t="shared" si="123"/>
        <v>0</v>
      </c>
      <c r="BS548" s="136">
        <f t="shared" ref="BS548:BX554" si="125">BS146-EK146</f>
        <v>0</v>
      </c>
      <c r="BT548" s="136">
        <f t="shared" si="125"/>
        <v>0</v>
      </c>
      <c r="BU548" s="136">
        <f t="shared" si="125"/>
        <v>0</v>
      </c>
      <c r="BV548" s="136">
        <f t="shared" si="125"/>
        <v>0</v>
      </c>
      <c r="BW548" s="136">
        <f t="shared" si="125"/>
        <v>0</v>
      </c>
      <c r="BX548" s="136">
        <f t="shared" si="125"/>
        <v>0</v>
      </c>
      <c r="BZ548" s="136">
        <f t="shared" si="122"/>
        <v>0</v>
      </c>
      <c r="CA548" s="136">
        <f t="shared" si="122"/>
        <v>0</v>
      </c>
    </row>
    <row r="549" spans="7:79" hidden="1" x14ac:dyDescent="0.3">
      <c r="G549" s="136">
        <f t="shared" si="119"/>
        <v>0</v>
      </c>
      <c r="H549" s="136">
        <f t="shared" si="119"/>
        <v>0</v>
      </c>
      <c r="I549" s="136">
        <f t="shared" si="119"/>
        <v>0</v>
      </c>
      <c r="J549" s="136">
        <f t="shared" si="119"/>
        <v>0</v>
      </c>
      <c r="K549" s="136">
        <f t="shared" si="119"/>
        <v>0</v>
      </c>
      <c r="L549" s="136">
        <f t="shared" si="119"/>
        <v>0</v>
      </c>
      <c r="M549" s="136">
        <f t="shared" si="119"/>
        <v>0</v>
      </c>
      <c r="N549" s="136">
        <f t="shared" si="119"/>
        <v>0</v>
      </c>
      <c r="O549" s="136">
        <f t="shared" si="119"/>
        <v>0</v>
      </c>
      <c r="P549" s="136">
        <f t="shared" si="119"/>
        <v>0</v>
      </c>
      <c r="Q549" s="136">
        <f t="shared" si="119"/>
        <v>0</v>
      </c>
      <c r="R549" s="136">
        <f t="shared" si="119"/>
        <v>0</v>
      </c>
      <c r="S549" s="136">
        <f t="shared" si="119"/>
        <v>0</v>
      </c>
      <c r="T549" s="136">
        <f t="shared" si="119"/>
        <v>0</v>
      </c>
      <c r="U549" s="136">
        <f t="shared" si="119"/>
        <v>0</v>
      </c>
      <c r="V549" s="136">
        <f t="shared" si="119"/>
        <v>0</v>
      </c>
      <c r="W549" s="136">
        <f t="shared" si="121"/>
        <v>0</v>
      </c>
      <c r="X549" s="136">
        <f t="shared" si="121"/>
        <v>0</v>
      </c>
      <c r="Y549" s="136">
        <f t="shared" si="121"/>
        <v>0</v>
      </c>
      <c r="Z549" s="136">
        <f t="shared" si="121"/>
        <v>0</v>
      </c>
      <c r="AA549" s="136">
        <f t="shared" si="121"/>
        <v>0</v>
      </c>
      <c r="AB549" s="136">
        <f t="shared" si="121"/>
        <v>0</v>
      </c>
      <c r="AC549" s="136">
        <f t="shared" si="121"/>
        <v>0</v>
      </c>
      <c r="AD549" s="136">
        <f t="shared" si="121"/>
        <v>0</v>
      </c>
      <c r="AE549" s="136">
        <f t="shared" si="121"/>
        <v>0</v>
      </c>
      <c r="AF549" s="136">
        <f t="shared" si="121"/>
        <v>-27779</v>
      </c>
      <c r="AG549" s="136">
        <f t="shared" si="121"/>
        <v>0</v>
      </c>
      <c r="AH549" s="136">
        <f t="shared" si="121"/>
        <v>0</v>
      </c>
      <c r="AI549" s="136">
        <f t="shared" si="121"/>
        <v>0</v>
      </c>
      <c r="AJ549" s="136">
        <f t="shared" si="121"/>
        <v>0</v>
      </c>
      <c r="AK549" s="136">
        <f t="shared" si="121"/>
        <v>-116280</v>
      </c>
      <c r="AL549" s="136">
        <f t="shared" si="121"/>
        <v>0</v>
      </c>
      <c r="AM549" s="136">
        <f t="shared" si="124"/>
        <v>0</v>
      </c>
      <c r="AN549" s="136">
        <f t="shared" si="124"/>
        <v>0</v>
      </c>
      <c r="AO549" s="136">
        <f t="shared" si="124"/>
        <v>0</v>
      </c>
      <c r="AP549" s="136">
        <f t="shared" si="124"/>
        <v>-158830</v>
      </c>
      <c r="AQ549" s="136">
        <f t="shared" si="124"/>
        <v>0</v>
      </c>
      <c r="AR549" s="136">
        <f t="shared" si="124"/>
        <v>0</v>
      </c>
      <c r="AS549" s="136">
        <f t="shared" si="124"/>
        <v>0</v>
      </c>
      <c r="AT549" s="136">
        <f t="shared" si="124"/>
        <v>0</v>
      </c>
      <c r="AU549" s="136">
        <f t="shared" si="124"/>
        <v>-139890</v>
      </c>
      <c r="AV549" s="136">
        <f t="shared" si="124"/>
        <v>0</v>
      </c>
      <c r="AW549" s="136">
        <f t="shared" si="124"/>
        <v>0</v>
      </c>
      <c r="AX549" s="136">
        <f t="shared" si="124"/>
        <v>0</v>
      </c>
      <c r="AY549" s="136">
        <f t="shared" si="124"/>
        <v>0</v>
      </c>
      <c r="AZ549" s="136">
        <f t="shared" si="124"/>
        <v>0</v>
      </c>
      <c r="BA549" s="136">
        <f t="shared" si="124"/>
        <v>0</v>
      </c>
      <c r="BB549" s="136">
        <f t="shared" si="124"/>
        <v>0</v>
      </c>
      <c r="BC549" s="136">
        <f t="shared" si="123"/>
        <v>0</v>
      </c>
      <c r="BD549" s="136">
        <f t="shared" si="123"/>
        <v>0</v>
      </c>
      <c r="BE549" s="136">
        <f t="shared" si="123"/>
        <v>0</v>
      </c>
      <c r="BF549" s="136">
        <f t="shared" si="123"/>
        <v>0</v>
      </c>
      <c r="BG549" s="136">
        <f t="shared" si="123"/>
        <v>0</v>
      </c>
      <c r="BH549" s="136">
        <f t="shared" si="123"/>
        <v>0</v>
      </c>
      <c r="BI549" s="136">
        <f t="shared" si="123"/>
        <v>0</v>
      </c>
      <c r="BJ549" s="136">
        <f t="shared" si="123"/>
        <v>0</v>
      </c>
      <c r="BK549" s="136">
        <f t="shared" si="123"/>
        <v>0</v>
      </c>
      <c r="BL549" s="136">
        <f t="shared" si="123"/>
        <v>0</v>
      </c>
      <c r="BM549" s="136">
        <f t="shared" si="123"/>
        <v>0</v>
      </c>
      <c r="BN549" s="136">
        <f t="shared" si="123"/>
        <v>0</v>
      </c>
      <c r="BO549" s="136">
        <f t="shared" si="123"/>
        <v>0</v>
      </c>
      <c r="BP549" s="136">
        <f t="shared" si="123"/>
        <v>0</v>
      </c>
      <c r="BQ549" s="136">
        <f t="shared" si="123"/>
        <v>0</v>
      </c>
      <c r="BR549" s="136">
        <f t="shared" si="123"/>
        <v>0</v>
      </c>
      <c r="BS549" s="136">
        <f t="shared" si="125"/>
        <v>0</v>
      </c>
      <c r="BT549" s="136">
        <f t="shared" si="125"/>
        <v>-442779</v>
      </c>
      <c r="BU549" s="136">
        <f t="shared" si="125"/>
        <v>0</v>
      </c>
      <c r="BV549" s="136">
        <f t="shared" si="125"/>
        <v>0</v>
      </c>
      <c r="BW549" s="136">
        <f t="shared" si="125"/>
        <v>0</v>
      </c>
      <c r="BX549" s="136">
        <f t="shared" si="125"/>
        <v>0</v>
      </c>
      <c r="BZ549" s="136">
        <f t="shared" si="122"/>
        <v>0</v>
      </c>
      <c r="CA549" s="136">
        <f t="shared" si="122"/>
        <v>0</v>
      </c>
    </row>
    <row r="550" spans="7:79" hidden="1" x14ac:dyDescent="0.3">
      <c r="G550" s="136">
        <f t="shared" si="119"/>
        <v>0</v>
      </c>
      <c r="H550" s="136">
        <f t="shared" si="119"/>
        <v>0</v>
      </c>
      <c r="I550" s="136">
        <f t="shared" si="119"/>
        <v>0</v>
      </c>
      <c r="J550" s="136">
        <f t="shared" si="119"/>
        <v>0</v>
      </c>
      <c r="K550" s="136">
        <f t="shared" si="119"/>
        <v>0</v>
      </c>
      <c r="L550" s="136">
        <f t="shared" si="119"/>
        <v>0</v>
      </c>
      <c r="M550" s="136">
        <f t="shared" si="119"/>
        <v>0</v>
      </c>
      <c r="N550" s="136">
        <f t="shared" si="119"/>
        <v>0</v>
      </c>
      <c r="O550" s="136">
        <f t="shared" si="119"/>
        <v>0</v>
      </c>
      <c r="P550" s="136">
        <f t="shared" si="119"/>
        <v>0</v>
      </c>
      <c r="Q550" s="136">
        <f t="shared" si="119"/>
        <v>0</v>
      </c>
      <c r="R550" s="136">
        <f t="shared" si="119"/>
        <v>0</v>
      </c>
      <c r="S550" s="136">
        <f t="shared" si="119"/>
        <v>0</v>
      </c>
      <c r="T550" s="136">
        <f t="shared" si="119"/>
        <v>0</v>
      </c>
      <c r="U550" s="136">
        <f t="shared" si="119"/>
        <v>0</v>
      </c>
      <c r="V550" s="136">
        <f t="shared" si="119"/>
        <v>0</v>
      </c>
      <c r="W550" s="136">
        <f t="shared" si="121"/>
        <v>0</v>
      </c>
      <c r="X550" s="136">
        <f t="shared" si="121"/>
        <v>0</v>
      </c>
      <c r="Y550" s="136">
        <f t="shared" si="121"/>
        <v>0</v>
      </c>
      <c r="Z550" s="136">
        <f t="shared" si="121"/>
        <v>0</v>
      </c>
      <c r="AA550" s="136">
        <f t="shared" si="121"/>
        <v>0</v>
      </c>
      <c r="AB550" s="136">
        <f t="shared" si="121"/>
        <v>0</v>
      </c>
      <c r="AC550" s="136">
        <f t="shared" si="121"/>
        <v>0</v>
      </c>
      <c r="AD550" s="136">
        <f t="shared" si="121"/>
        <v>0</v>
      </c>
      <c r="AE550" s="136">
        <f t="shared" si="121"/>
        <v>0</v>
      </c>
      <c r="AF550" s="136">
        <f t="shared" si="121"/>
        <v>0</v>
      </c>
      <c r="AG550" s="136">
        <f t="shared" si="121"/>
        <v>0</v>
      </c>
      <c r="AH550" s="136">
        <f t="shared" si="121"/>
        <v>0</v>
      </c>
      <c r="AI550" s="136">
        <f t="shared" si="121"/>
        <v>0</v>
      </c>
      <c r="AJ550" s="136">
        <f t="shared" si="121"/>
        <v>0</v>
      </c>
      <c r="AK550" s="136">
        <f t="shared" si="121"/>
        <v>0</v>
      </c>
      <c r="AL550" s="136">
        <f t="shared" si="121"/>
        <v>0</v>
      </c>
      <c r="AM550" s="136">
        <f t="shared" si="124"/>
        <v>0</v>
      </c>
      <c r="AN550" s="136">
        <f t="shared" si="124"/>
        <v>0</v>
      </c>
      <c r="AO550" s="136">
        <f t="shared" si="124"/>
        <v>0</v>
      </c>
      <c r="AP550" s="136">
        <f t="shared" si="124"/>
        <v>0</v>
      </c>
      <c r="AQ550" s="136">
        <f t="shared" si="124"/>
        <v>0</v>
      </c>
      <c r="AR550" s="136">
        <f t="shared" si="124"/>
        <v>0</v>
      </c>
      <c r="AS550" s="136">
        <f t="shared" si="124"/>
        <v>0</v>
      </c>
      <c r="AT550" s="136">
        <f t="shared" si="124"/>
        <v>0</v>
      </c>
      <c r="AU550" s="136">
        <f t="shared" si="124"/>
        <v>0</v>
      </c>
      <c r="AV550" s="136">
        <f t="shared" si="124"/>
        <v>0</v>
      </c>
      <c r="AW550" s="136">
        <f t="shared" si="124"/>
        <v>0</v>
      </c>
      <c r="AX550" s="136">
        <f t="shared" si="124"/>
        <v>0</v>
      </c>
      <c r="AY550" s="136">
        <f t="shared" si="124"/>
        <v>0</v>
      </c>
      <c r="AZ550" s="136">
        <f t="shared" si="124"/>
        <v>0</v>
      </c>
      <c r="BA550" s="136">
        <f t="shared" si="124"/>
        <v>0</v>
      </c>
      <c r="BB550" s="136">
        <f t="shared" si="124"/>
        <v>0</v>
      </c>
      <c r="BC550" s="136">
        <f t="shared" si="123"/>
        <v>0</v>
      </c>
      <c r="BD550" s="136">
        <f t="shared" si="123"/>
        <v>0</v>
      </c>
      <c r="BE550" s="136">
        <f t="shared" si="123"/>
        <v>0</v>
      </c>
      <c r="BF550" s="136">
        <f t="shared" si="123"/>
        <v>0</v>
      </c>
      <c r="BG550" s="136">
        <f t="shared" si="123"/>
        <v>0</v>
      </c>
      <c r="BH550" s="136">
        <f t="shared" si="123"/>
        <v>0</v>
      </c>
      <c r="BI550" s="136">
        <f t="shared" si="123"/>
        <v>0</v>
      </c>
      <c r="BJ550" s="136">
        <f t="shared" si="123"/>
        <v>0</v>
      </c>
      <c r="BK550" s="136">
        <f t="shared" si="123"/>
        <v>0</v>
      </c>
      <c r="BL550" s="136">
        <f t="shared" si="123"/>
        <v>0</v>
      </c>
      <c r="BM550" s="136">
        <f t="shared" si="123"/>
        <v>0</v>
      </c>
      <c r="BN550" s="136">
        <f t="shared" si="123"/>
        <v>0</v>
      </c>
      <c r="BO550" s="136">
        <f t="shared" si="123"/>
        <v>0</v>
      </c>
      <c r="BP550" s="136">
        <f t="shared" si="123"/>
        <v>0</v>
      </c>
      <c r="BQ550" s="136">
        <f t="shared" si="123"/>
        <v>0</v>
      </c>
      <c r="BR550" s="136">
        <f t="shared" si="123"/>
        <v>0</v>
      </c>
      <c r="BS550" s="136">
        <f t="shared" si="125"/>
        <v>0</v>
      </c>
      <c r="BT550" s="136">
        <f t="shared" si="125"/>
        <v>0</v>
      </c>
      <c r="BU550" s="136">
        <f t="shared" si="125"/>
        <v>0</v>
      </c>
      <c r="BV550" s="136">
        <f t="shared" si="125"/>
        <v>0</v>
      </c>
      <c r="BW550" s="136">
        <f t="shared" si="125"/>
        <v>0</v>
      </c>
      <c r="BX550" s="136">
        <f t="shared" si="125"/>
        <v>0</v>
      </c>
      <c r="BZ550" s="136">
        <f t="shared" si="122"/>
        <v>0</v>
      </c>
      <c r="CA550" s="136">
        <f t="shared" si="122"/>
        <v>0</v>
      </c>
    </row>
    <row r="551" spans="7:79" hidden="1" x14ac:dyDescent="0.3">
      <c r="G551" s="136">
        <f t="shared" si="119"/>
        <v>0</v>
      </c>
      <c r="H551" s="136">
        <f t="shared" si="119"/>
        <v>0</v>
      </c>
      <c r="I551" s="136">
        <f t="shared" si="119"/>
        <v>0</v>
      </c>
      <c r="J551" s="136">
        <f t="shared" si="119"/>
        <v>0</v>
      </c>
      <c r="K551" s="136">
        <f t="shared" si="119"/>
        <v>0</v>
      </c>
      <c r="L551" s="136">
        <f t="shared" si="119"/>
        <v>0</v>
      </c>
      <c r="M551" s="136">
        <f t="shared" si="119"/>
        <v>0</v>
      </c>
      <c r="N551" s="136">
        <f t="shared" si="119"/>
        <v>0</v>
      </c>
      <c r="O551" s="136">
        <f t="shared" si="119"/>
        <v>0</v>
      </c>
      <c r="P551" s="136">
        <f t="shared" si="119"/>
        <v>0</v>
      </c>
      <c r="Q551" s="136">
        <f t="shared" si="119"/>
        <v>0</v>
      </c>
      <c r="R551" s="136">
        <f t="shared" si="119"/>
        <v>0</v>
      </c>
      <c r="S551" s="136">
        <f t="shared" si="119"/>
        <v>0</v>
      </c>
      <c r="T551" s="136">
        <f t="shared" si="119"/>
        <v>0</v>
      </c>
      <c r="U551" s="136">
        <f t="shared" si="119"/>
        <v>0</v>
      </c>
      <c r="V551" s="136">
        <f t="shared" si="119"/>
        <v>0</v>
      </c>
      <c r="W551" s="136">
        <f t="shared" si="121"/>
        <v>0</v>
      </c>
      <c r="X551" s="136">
        <f t="shared" si="121"/>
        <v>0</v>
      </c>
      <c r="Y551" s="136">
        <f t="shared" si="121"/>
        <v>0</v>
      </c>
      <c r="Z551" s="136">
        <f t="shared" si="121"/>
        <v>0</v>
      </c>
      <c r="AA551" s="136">
        <f t="shared" si="121"/>
        <v>0</v>
      </c>
      <c r="AB551" s="136">
        <f t="shared" si="121"/>
        <v>0</v>
      </c>
      <c r="AC551" s="136">
        <f t="shared" si="121"/>
        <v>0</v>
      </c>
      <c r="AD551" s="136">
        <f t="shared" si="121"/>
        <v>0</v>
      </c>
      <c r="AE551" s="136">
        <f t="shared" si="121"/>
        <v>0</v>
      </c>
      <c r="AF551" s="136">
        <f t="shared" si="121"/>
        <v>0</v>
      </c>
      <c r="AG551" s="136">
        <f t="shared" si="121"/>
        <v>0</v>
      </c>
      <c r="AH551" s="136">
        <f t="shared" si="121"/>
        <v>0</v>
      </c>
      <c r="AI551" s="136">
        <f t="shared" si="121"/>
        <v>0</v>
      </c>
      <c r="AJ551" s="136">
        <f t="shared" si="121"/>
        <v>0</v>
      </c>
      <c r="AK551" s="136">
        <f t="shared" si="121"/>
        <v>0</v>
      </c>
      <c r="AL551" s="136">
        <f t="shared" si="121"/>
        <v>0</v>
      </c>
      <c r="AM551" s="136">
        <f t="shared" si="124"/>
        <v>0</v>
      </c>
      <c r="AN551" s="136">
        <f t="shared" si="124"/>
        <v>0</v>
      </c>
      <c r="AO551" s="136">
        <f t="shared" si="124"/>
        <v>0</v>
      </c>
      <c r="AP551" s="136">
        <f t="shared" si="124"/>
        <v>0</v>
      </c>
      <c r="AQ551" s="136">
        <f t="shared" si="124"/>
        <v>0</v>
      </c>
      <c r="AR551" s="136">
        <f t="shared" si="124"/>
        <v>0</v>
      </c>
      <c r="AS551" s="136">
        <f t="shared" si="124"/>
        <v>0</v>
      </c>
      <c r="AT551" s="136">
        <f t="shared" si="124"/>
        <v>0</v>
      </c>
      <c r="AU551" s="136">
        <f t="shared" si="124"/>
        <v>0</v>
      </c>
      <c r="AV551" s="136">
        <f t="shared" si="124"/>
        <v>0</v>
      </c>
      <c r="AW551" s="136">
        <f t="shared" si="124"/>
        <v>0</v>
      </c>
      <c r="AX551" s="136">
        <f t="shared" si="124"/>
        <v>0</v>
      </c>
      <c r="AY551" s="136">
        <f t="shared" si="124"/>
        <v>0</v>
      </c>
      <c r="AZ551" s="136">
        <f t="shared" si="124"/>
        <v>0</v>
      </c>
      <c r="BA551" s="136">
        <f t="shared" si="124"/>
        <v>0</v>
      </c>
      <c r="BB551" s="136">
        <f t="shared" si="124"/>
        <v>0</v>
      </c>
      <c r="BC551" s="136">
        <f t="shared" si="123"/>
        <v>0</v>
      </c>
      <c r="BD551" s="136">
        <f t="shared" si="123"/>
        <v>0</v>
      </c>
      <c r="BE551" s="136">
        <f t="shared" si="123"/>
        <v>0</v>
      </c>
      <c r="BF551" s="136">
        <f t="shared" si="123"/>
        <v>0</v>
      </c>
      <c r="BG551" s="136">
        <f t="shared" si="123"/>
        <v>0</v>
      </c>
      <c r="BH551" s="136">
        <f t="shared" si="123"/>
        <v>0</v>
      </c>
      <c r="BI551" s="136">
        <f t="shared" si="123"/>
        <v>0</v>
      </c>
      <c r="BJ551" s="136">
        <f t="shared" si="123"/>
        <v>0</v>
      </c>
      <c r="BK551" s="136">
        <f t="shared" si="123"/>
        <v>0</v>
      </c>
      <c r="BL551" s="136">
        <f t="shared" si="123"/>
        <v>0</v>
      </c>
      <c r="BM551" s="136">
        <f t="shared" si="123"/>
        <v>0</v>
      </c>
      <c r="BN551" s="136">
        <f t="shared" si="123"/>
        <v>0</v>
      </c>
      <c r="BO551" s="136">
        <f t="shared" si="123"/>
        <v>0</v>
      </c>
      <c r="BP551" s="136">
        <f t="shared" si="123"/>
        <v>0</v>
      </c>
      <c r="BQ551" s="136">
        <f t="shared" si="123"/>
        <v>0</v>
      </c>
      <c r="BR551" s="136">
        <f t="shared" si="123"/>
        <v>0</v>
      </c>
      <c r="BS551" s="136">
        <f t="shared" si="125"/>
        <v>0</v>
      </c>
      <c r="BT551" s="136">
        <f t="shared" si="125"/>
        <v>0</v>
      </c>
      <c r="BU551" s="136">
        <f t="shared" si="125"/>
        <v>0</v>
      </c>
      <c r="BV551" s="136">
        <f t="shared" si="125"/>
        <v>0</v>
      </c>
      <c r="BW551" s="136">
        <f t="shared" si="125"/>
        <v>0</v>
      </c>
      <c r="BX551" s="136">
        <f t="shared" si="125"/>
        <v>0</v>
      </c>
      <c r="BZ551" s="136">
        <f t="shared" si="122"/>
        <v>0</v>
      </c>
      <c r="CA551" s="136">
        <f t="shared" si="122"/>
        <v>0</v>
      </c>
    </row>
    <row r="552" spans="7:79" hidden="1" x14ac:dyDescent="0.3">
      <c r="G552" s="136">
        <f t="shared" si="119"/>
        <v>0</v>
      </c>
      <c r="H552" s="136">
        <f t="shared" si="119"/>
        <v>0</v>
      </c>
      <c r="I552" s="136">
        <f t="shared" si="119"/>
        <v>0</v>
      </c>
      <c r="J552" s="136">
        <f t="shared" si="119"/>
        <v>0</v>
      </c>
      <c r="K552" s="136">
        <f t="shared" si="119"/>
        <v>0</v>
      </c>
      <c r="L552" s="136">
        <f t="shared" si="119"/>
        <v>0</v>
      </c>
      <c r="M552" s="136">
        <f t="shared" si="119"/>
        <v>0</v>
      </c>
      <c r="N552" s="136">
        <f t="shared" si="119"/>
        <v>0</v>
      </c>
      <c r="O552" s="136">
        <f t="shared" si="119"/>
        <v>0</v>
      </c>
      <c r="P552" s="136">
        <f t="shared" si="119"/>
        <v>0</v>
      </c>
      <c r="Q552" s="136">
        <f t="shared" si="119"/>
        <v>0</v>
      </c>
      <c r="R552" s="136">
        <f t="shared" si="119"/>
        <v>0</v>
      </c>
      <c r="S552" s="136">
        <f t="shared" si="119"/>
        <v>0</v>
      </c>
      <c r="T552" s="136">
        <f t="shared" si="119"/>
        <v>0</v>
      </c>
      <c r="U552" s="136">
        <f t="shared" si="119"/>
        <v>0</v>
      </c>
      <c r="V552" s="136">
        <f t="shared" si="119"/>
        <v>0</v>
      </c>
      <c r="W552" s="136">
        <f t="shared" si="121"/>
        <v>0</v>
      </c>
      <c r="X552" s="136">
        <f t="shared" si="121"/>
        <v>0</v>
      </c>
      <c r="Y552" s="136">
        <f t="shared" si="121"/>
        <v>0</v>
      </c>
      <c r="Z552" s="136">
        <f t="shared" si="121"/>
        <v>0</v>
      </c>
      <c r="AA552" s="136">
        <f t="shared" si="121"/>
        <v>0</v>
      </c>
      <c r="AB552" s="136">
        <f t="shared" si="121"/>
        <v>0</v>
      </c>
      <c r="AC552" s="136">
        <f t="shared" si="121"/>
        <v>0</v>
      </c>
      <c r="AD552" s="136">
        <f t="shared" si="121"/>
        <v>0</v>
      </c>
      <c r="AE552" s="136">
        <f t="shared" si="121"/>
        <v>0</v>
      </c>
      <c r="AF552" s="136">
        <f t="shared" si="121"/>
        <v>0</v>
      </c>
      <c r="AG552" s="136">
        <f t="shared" si="121"/>
        <v>0</v>
      </c>
      <c r="AH552" s="136">
        <f t="shared" si="121"/>
        <v>0</v>
      </c>
      <c r="AI552" s="136">
        <f t="shared" si="121"/>
        <v>0</v>
      </c>
      <c r="AJ552" s="136">
        <f t="shared" si="121"/>
        <v>0</v>
      </c>
      <c r="AK552" s="136">
        <f t="shared" si="121"/>
        <v>0</v>
      </c>
      <c r="AL552" s="136">
        <f t="shared" si="121"/>
        <v>0</v>
      </c>
      <c r="AM552" s="136">
        <f t="shared" si="124"/>
        <v>0</v>
      </c>
      <c r="AN552" s="136">
        <f t="shared" si="124"/>
        <v>0</v>
      </c>
      <c r="AO552" s="136">
        <f t="shared" si="124"/>
        <v>0</v>
      </c>
      <c r="AP552" s="136">
        <f t="shared" si="124"/>
        <v>0</v>
      </c>
      <c r="AQ552" s="136">
        <f t="shared" si="124"/>
        <v>0</v>
      </c>
      <c r="AR552" s="136">
        <f t="shared" si="124"/>
        <v>0</v>
      </c>
      <c r="AS552" s="136">
        <f t="shared" si="124"/>
        <v>0</v>
      </c>
      <c r="AT552" s="136">
        <f t="shared" si="124"/>
        <v>0</v>
      </c>
      <c r="AU552" s="136">
        <f t="shared" si="124"/>
        <v>0</v>
      </c>
      <c r="AV552" s="136">
        <f t="shared" si="124"/>
        <v>0</v>
      </c>
      <c r="AW552" s="136">
        <f t="shared" si="124"/>
        <v>0</v>
      </c>
      <c r="AX552" s="136">
        <f t="shared" si="124"/>
        <v>0</v>
      </c>
      <c r="AY552" s="136">
        <f t="shared" si="124"/>
        <v>0</v>
      </c>
      <c r="AZ552" s="136">
        <f t="shared" si="124"/>
        <v>0</v>
      </c>
      <c r="BA552" s="136">
        <f t="shared" si="124"/>
        <v>0</v>
      </c>
      <c r="BB552" s="136">
        <f t="shared" si="124"/>
        <v>0</v>
      </c>
      <c r="BC552" s="136">
        <f t="shared" si="123"/>
        <v>0</v>
      </c>
      <c r="BD552" s="136">
        <f t="shared" si="123"/>
        <v>0</v>
      </c>
      <c r="BE552" s="136">
        <f t="shared" si="123"/>
        <v>0</v>
      </c>
      <c r="BF552" s="136">
        <f t="shared" si="123"/>
        <v>0</v>
      </c>
      <c r="BG552" s="136">
        <f t="shared" si="123"/>
        <v>0</v>
      </c>
      <c r="BH552" s="136">
        <f t="shared" si="123"/>
        <v>0</v>
      </c>
      <c r="BI552" s="136">
        <f t="shared" si="123"/>
        <v>0</v>
      </c>
      <c r="BJ552" s="136">
        <f t="shared" si="123"/>
        <v>0</v>
      </c>
      <c r="BK552" s="136">
        <f t="shared" si="123"/>
        <v>0</v>
      </c>
      <c r="BL552" s="136">
        <f t="shared" si="123"/>
        <v>0</v>
      </c>
      <c r="BM552" s="136">
        <f t="shared" si="123"/>
        <v>0</v>
      </c>
      <c r="BN552" s="136">
        <f t="shared" si="123"/>
        <v>0</v>
      </c>
      <c r="BO552" s="136">
        <f t="shared" si="123"/>
        <v>0</v>
      </c>
      <c r="BP552" s="136">
        <f t="shared" si="123"/>
        <v>0</v>
      </c>
      <c r="BQ552" s="136">
        <f t="shared" si="123"/>
        <v>0</v>
      </c>
      <c r="BR552" s="136">
        <f t="shared" si="123"/>
        <v>0</v>
      </c>
      <c r="BS552" s="136">
        <f t="shared" si="125"/>
        <v>0</v>
      </c>
      <c r="BT552" s="136">
        <f t="shared" si="125"/>
        <v>0</v>
      </c>
      <c r="BU552" s="136">
        <f t="shared" si="125"/>
        <v>0</v>
      </c>
      <c r="BV552" s="136">
        <f t="shared" si="125"/>
        <v>0</v>
      </c>
      <c r="BW552" s="136">
        <f t="shared" si="125"/>
        <v>0</v>
      </c>
      <c r="BX552" s="136">
        <f t="shared" si="125"/>
        <v>0</v>
      </c>
      <c r="BZ552" s="136">
        <f t="shared" si="122"/>
        <v>0</v>
      </c>
      <c r="CA552" s="136">
        <f t="shared" si="122"/>
        <v>0</v>
      </c>
    </row>
    <row r="553" spans="7:79" hidden="1" x14ac:dyDescent="0.3">
      <c r="G553" s="136">
        <f t="shared" si="119"/>
        <v>0</v>
      </c>
      <c r="H553" s="136">
        <f t="shared" si="119"/>
        <v>0</v>
      </c>
      <c r="I553" s="136">
        <f t="shared" si="119"/>
        <v>0</v>
      </c>
      <c r="J553" s="136">
        <f t="shared" si="119"/>
        <v>0</v>
      </c>
      <c r="K553" s="136">
        <f t="shared" si="119"/>
        <v>0</v>
      </c>
      <c r="L553" s="136">
        <f t="shared" si="119"/>
        <v>0</v>
      </c>
      <c r="M553" s="136">
        <f t="shared" si="119"/>
        <v>0</v>
      </c>
      <c r="N553" s="136">
        <f t="shared" si="119"/>
        <v>0</v>
      </c>
      <c r="O553" s="136">
        <f t="shared" si="119"/>
        <v>0</v>
      </c>
      <c r="P553" s="136">
        <f t="shared" si="119"/>
        <v>0</v>
      </c>
      <c r="Q553" s="136">
        <f t="shared" si="119"/>
        <v>0</v>
      </c>
      <c r="R553" s="136">
        <f t="shared" si="119"/>
        <v>0</v>
      </c>
      <c r="S553" s="136">
        <f t="shared" si="119"/>
        <v>0</v>
      </c>
      <c r="T553" s="136">
        <f t="shared" si="119"/>
        <v>0</v>
      </c>
      <c r="U553" s="136">
        <f t="shared" si="119"/>
        <v>0</v>
      </c>
      <c r="V553" s="136">
        <f t="shared" si="119"/>
        <v>0</v>
      </c>
      <c r="W553" s="136">
        <f t="shared" si="121"/>
        <v>0</v>
      </c>
      <c r="X553" s="136">
        <f t="shared" si="121"/>
        <v>0</v>
      </c>
      <c r="Y553" s="136">
        <f t="shared" si="121"/>
        <v>0</v>
      </c>
      <c r="Z553" s="136">
        <f t="shared" si="121"/>
        <v>0</v>
      </c>
      <c r="AA553" s="136">
        <f t="shared" si="121"/>
        <v>0</v>
      </c>
      <c r="AB553" s="136">
        <f t="shared" si="121"/>
        <v>0</v>
      </c>
      <c r="AC553" s="136">
        <f t="shared" si="121"/>
        <v>0</v>
      </c>
      <c r="AD553" s="136">
        <f t="shared" si="121"/>
        <v>0</v>
      </c>
      <c r="AE553" s="136">
        <f t="shared" si="121"/>
        <v>0</v>
      </c>
      <c r="AF553" s="136">
        <f t="shared" si="121"/>
        <v>0</v>
      </c>
      <c r="AG553" s="136">
        <f t="shared" si="121"/>
        <v>0</v>
      </c>
      <c r="AH553" s="136">
        <f t="shared" si="121"/>
        <v>0</v>
      </c>
      <c r="AI553" s="136">
        <f t="shared" si="121"/>
        <v>0</v>
      </c>
      <c r="AJ553" s="136">
        <f t="shared" si="121"/>
        <v>0</v>
      </c>
      <c r="AK553" s="136">
        <f t="shared" si="121"/>
        <v>0</v>
      </c>
      <c r="AL553" s="136">
        <f t="shared" si="121"/>
        <v>0</v>
      </c>
      <c r="AM553" s="136">
        <f t="shared" si="124"/>
        <v>0</v>
      </c>
      <c r="AN553" s="136">
        <f t="shared" si="124"/>
        <v>0</v>
      </c>
      <c r="AO553" s="136">
        <f t="shared" si="124"/>
        <v>0</v>
      </c>
      <c r="AP553" s="136">
        <f t="shared" si="124"/>
        <v>0</v>
      </c>
      <c r="AQ553" s="136">
        <f t="shared" si="124"/>
        <v>0</v>
      </c>
      <c r="AR553" s="136">
        <f t="shared" si="124"/>
        <v>0</v>
      </c>
      <c r="AS553" s="136">
        <f t="shared" si="124"/>
        <v>0</v>
      </c>
      <c r="AT553" s="136">
        <f t="shared" si="124"/>
        <v>0</v>
      </c>
      <c r="AU553" s="136">
        <f t="shared" si="124"/>
        <v>0</v>
      </c>
      <c r="AV553" s="136">
        <f t="shared" si="124"/>
        <v>0</v>
      </c>
      <c r="AW553" s="136">
        <f t="shared" si="124"/>
        <v>0</v>
      </c>
      <c r="AX553" s="136">
        <f t="shared" si="124"/>
        <v>0</v>
      </c>
      <c r="AY553" s="136">
        <f t="shared" si="124"/>
        <v>0</v>
      </c>
      <c r="AZ553" s="136">
        <f t="shared" si="124"/>
        <v>0</v>
      </c>
      <c r="BA553" s="136">
        <f t="shared" si="124"/>
        <v>0</v>
      </c>
      <c r="BB553" s="136">
        <f t="shared" si="124"/>
        <v>0</v>
      </c>
      <c r="BC553" s="136">
        <f t="shared" si="123"/>
        <v>0</v>
      </c>
      <c r="BD553" s="136">
        <f t="shared" si="123"/>
        <v>0</v>
      </c>
      <c r="BE553" s="136">
        <f t="shared" si="123"/>
        <v>0</v>
      </c>
      <c r="BF553" s="136">
        <f t="shared" si="123"/>
        <v>0</v>
      </c>
      <c r="BG553" s="136">
        <f t="shared" si="123"/>
        <v>0</v>
      </c>
      <c r="BH553" s="136">
        <f t="shared" si="123"/>
        <v>0</v>
      </c>
      <c r="BI553" s="136">
        <f t="shared" si="123"/>
        <v>0</v>
      </c>
      <c r="BJ553" s="136">
        <f t="shared" si="123"/>
        <v>0</v>
      </c>
      <c r="BK553" s="136">
        <f t="shared" si="123"/>
        <v>0</v>
      </c>
      <c r="BL553" s="136">
        <f t="shared" si="123"/>
        <v>0</v>
      </c>
      <c r="BM553" s="136">
        <f t="shared" si="123"/>
        <v>0</v>
      </c>
      <c r="BN553" s="136">
        <f t="shared" si="123"/>
        <v>0</v>
      </c>
      <c r="BO553" s="136">
        <f t="shared" si="123"/>
        <v>0</v>
      </c>
      <c r="BP553" s="136">
        <f t="shared" si="123"/>
        <v>0</v>
      </c>
      <c r="BQ553" s="136">
        <f t="shared" si="123"/>
        <v>0</v>
      </c>
      <c r="BR553" s="136">
        <f t="shared" si="123"/>
        <v>0</v>
      </c>
      <c r="BS553" s="136">
        <f t="shared" si="125"/>
        <v>0</v>
      </c>
      <c r="BT553" s="136">
        <f t="shared" si="125"/>
        <v>0</v>
      </c>
      <c r="BU553" s="136">
        <f t="shared" si="125"/>
        <v>0</v>
      </c>
      <c r="BV553" s="136">
        <f t="shared" si="125"/>
        <v>0</v>
      </c>
      <c r="BW553" s="136">
        <f t="shared" si="125"/>
        <v>0</v>
      </c>
      <c r="BX553" s="136">
        <f t="shared" si="125"/>
        <v>0</v>
      </c>
      <c r="BZ553" s="136">
        <f t="shared" si="122"/>
        <v>0</v>
      </c>
      <c r="CA553" s="136">
        <f t="shared" si="122"/>
        <v>0</v>
      </c>
    </row>
    <row r="554" spans="7:79" hidden="1" x14ac:dyDescent="0.3">
      <c r="G554" s="136">
        <f t="shared" ref="G554:V554" si="126">G152-BY152</f>
        <v>0</v>
      </c>
      <c r="H554" s="136">
        <f t="shared" si="126"/>
        <v>0</v>
      </c>
      <c r="I554" s="136">
        <f t="shared" si="126"/>
        <v>0</v>
      </c>
      <c r="J554" s="136">
        <f t="shared" si="126"/>
        <v>0</v>
      </c>
      <c r="K554" s="136">
        <f t="shared" si="126"/>
        <v>0</v>
      </c>
      <c r="L554" s="136">
        <f t="shared" si="126"/>
        <v>0</v>
      </c>
      <c r="M554" s="136">
        <f t="shared" si="126"/>
        <v>0</v>
      </c>
      <c r="N554" s="136">
        <f t="shared" si="126"/>
        <v>0</v>
      </c>
      <c r="O554" s="136">
        <f t="shared" si="126"/>
        <v>0</v>
      </c>
      <c r="P554" s="136">
        <f t="shared" si="126"/>
        <v>0</v>
      </c>
      <c r="Q554" s="136">
        <f t="shared" si="126"/>
        <v>0</v>
      </c>
      <c r="R554" s="136">
        <f t="shared" si="126"/>
        <v>0</v>
      </c>
      <c r="S554" s="136">
        <f t="shared" si="126"/>
        <v>0</v>
      </c>
      <c r="T554" s="136">
        <f t="shared" si="126"/>
        <v>0</v>
      </c>
      <c r="U554" s="136">
        <f t="shared" si="126"/>
        <v>0</v>
      </c>
      <c r="V554" s="136">
        <f t="shared" si="126"/>
        <v>0</v>
      </c>
      <c r="W554" s="136">
        <f t="shared" si="121"/>
        <v>0</v>
      </c>
      <c r="X554" s="136">
        <f t="shared" si="121"/>
        <v>0</v>
      </c>
      <c r="Y554" s="136">
        <f t="shared" si="121"/>
        <v>0</v>
      </c>
      <c r="Z554" s="136">
        <f t="shared" si="121"/>
        <v>0</v>
      </c>
      <c r="AA554" s="136">
        <f t="shared" si="121"/>
        <v>0</v>
      </c>
      <c r="AB554" s="136">
        <f t="shared" si="121"/>
        <v>0</v>
      </c>
      <c r="AC554" s="136">
        <f t="shared" si="121"/>
        <v>0</v>
      </c>
      <c r="AD554" s="136">
        <f t="shared" si="121"/>
        <v>0</v>
      </c>
      <c r="AE554" s="136">
        <f t="shared" si="121"/>
        <v>0</v>
      </c>
      <c r="AF554" s="136">
        <f t="shared" si="121"/>
        <v>0</v>
      </c>
      <c r="AG554" s="136">
        <f t="shared" si="121"/>
        <v>0</v>
      </c>
      <c r="AH554" s="136">
        <f t="shared" si="121"/>
        <v>0</v>
      </c>
      <c r="AI554" s="136">
        <f t="shared" si="121"/>
        <v>0</v>
      </c>
      <c r="AJ554" s="136">
        <f t="shared" si="121"/>
        <v>0</v>
      </c>
      <c r="AK554" s="136">
        <f t="shared" si="121"/>
        <v>0</v>
      </c>
      <c r="AL554" s="136">
        <f t="shared" si="121"/>
        <v>0</v>
      </c>
      <c r="AM554" s="136">
        <f t="shared" si="124"/>
        <v>0</v>
      </c>
      <c r="AN554" s="136">
        <f t="shared" si="124"/>
        <v>0</v>
      </c>
      <c r="AO554" s="136">
        <f t="shared" si="124"/>
        <v>0</v>
      </c>
      <c r="AP554" s="136">
        <f t="shared" si="124"/>
        <v>0</v>
      </c>
      <c r="AQ554" s="136">
        <f t="shared" si="124"/>
        <v>0</v>
      </c>
      <c r="AR554" s="136">
        <f t="shared" si="124"/>
        <v>0</v>
      </c>
      <c r="AS554" s="136">
        <f t="shared" si="124"/>
        <v>0</v>
      </c>
      <c r="AT554" s="136">
        <f t="shared" si="124"/>
        <v>0</v>
      </c>
      <c r="AU554" s="136">
        <f t="shared" si="124"/>
        <v>0</v>
      </c>
      <c r="AV554" s="136">
        <f t="shared" si="124"/>
        <v>0</v>
      </c>
      <c r="AW554" s="136">
        <f t="shared" si="124"/>
        <v>0</v>
      </c>
      <c r="AX554" s="136">
        <f t="shared" si="124"/>
        <v>0</v>
      </c>
      <c r="AY554" s="136">
        <f t="shared" si="124"/>
        <v>0</v>
      </c>
      <c r="AZ554" s="136">
        <f t="shared" si="124"/>
        <v>0</v>
      </c>
      <c r="BA554" s="136">
        <f t="shared" si="124"/>
        <v>0</v>
      </c>
      <c r="BB554" s="136">
        <f t="shared" si="124"/>
        <v>0</v>
      </c>
      <c r="BC554" s="136">
        <f t="shared" si="123"/>
        <v>0</v>
      </c>
      <c r="BD554" s="136">
        <f t="shared" si="123"/>
        <v>0</v>
      </c>
      <c r="BE554" s="136">
        <f t="shared" si="123"/>
        <v>0</v>
      </c>
      <c r="BF554" s="136">
        <f t="shared" si="123"/>
        <v>0</v>
      </c>
      <c r="BG554" s="136">
        <f t="shared" si="123"/>
        <v>0</v>
      </c>
      <c r="BH554" s="136">
        <f t="shared" si="123"/>
        <v>0</v>
      </c>
      <c r="BI554" s="136">
        <f t="shared" si="123"/>
        <v>0</v>
      </c>
      <c r="BJ554" s="136">
        <f t="shared" si="123"/>
        <v>0</v>
      </c>
      <c r="BK554" s="136">
        <f t="shared" si="123"/>
        <v>0</v>
      </c>
      <c r="BL554" s="136">
        <f t="shared" si="123"/>
        <v>0</v>
      </c>
      <c r="BM554" s="136">
        <f t="shared" si="123"/>
        <v>0</v>
      </c>
      <c r="BN554" s="136">
        <f t="shared" si="123"/>
        <v>0</v>
      </c>
      <c r="BO554" s="136">
        <f t="shared" si="123"/>
        <v>0</v>
      </c>
      <c r="BP554" s="136">
        <f t="shared" si="123"/>
        <v>0</v>
      </c>
      <c r="BQ554" s="136">
        <f t="shared" si="123"/>
        <v>0</v>
      </c>
      <c r="BR554" s="136">
        <f t="shared" si="123"/>
        <v>0</v>
      </c>
      <c r="BS554" s="136">
        <f t="shared" si="125"/>
        <v>0</v>
      </c>
      <c r="BT554" s="136">
        <f t="shared" si="125"/>
        <v>0</v>
      </c>
      <c r="BU554" s="136">
        <f t="shared" si="125"/>
        <v>0</v>
      </c>
      <c r="BV554" s="136">
        <f t="shared" si="125"/>
        <v>0</v>
      </c>
      <c r="BW554" s="136">
        <f t="shared" si="125"/>
        <v>0</v>
      </c>
      <c r="BX554" s="136">
        <f t="shared" si="125"/>
        <v>0</v>
      </c>
      <c r="BZ554" s="136">
        <f t="shared" si="122"/>
        <v>0</v>
      </c>
      <c r="CA554" s="136">
        <f t="shared" si="122"/>
        <v>0</v>
      </c>
    </row>
    <row r="555" spans="7:79" hidden="1" x14ac:dyDescent="0.3">
      <c r="G555" s="136" t="e">
        <f>#REF!-#REF!</f>
        <v>#REF!</v>
      </c>
      <c r="H555" s="136" t="e">
        <f>#REF!-#REF!</f>
        <v>#REF!</v>
      </c>
      <c r="I555" s="136" t="e">
        <f>#REF!-#REF!</f>
        <v>#REF!</v>
      </c>
      <c r="J555" s="136" t="e">
        <f>#REF!-#REF!</f>
        <v>#REF!</v>
      </c>
      <c r="K555" s="136" t="e">
        <f>#REF!-#REF!</f>
        <v>#REF!</v>
      </c>
      <c r="L555" s="136" t="e">
        <f>#REF!-#REF!</f>
        <v>#REF!</v>
      </c>
      <c r="M555" s="136" t="e">
        <f>#REF!-#REF!</f>
        <v>#REF!</v>
      </c>
      <c r="N555" s="136" t="e">
        <f>#REF!-#REF!</f>
        <v>#REF!</v>
      </c>
      <c r="O555" s="136" t="e">
        <f>#REF!-#REF!</f>
        <v>#REF!</v>
      </c>
      <c r="P555" s="136" t="e">
        <f>#REF!-#REF!</f>
        <v>#REF!</v>
      </c>
      <c r="Q555" s="136" t="e">
        <f>#REF!-#REF!</f>
        <v>#REF!</v>
      </c>
      <c r="R555" s="136" t="e">
        <f>#REF!-#REF!</f>
        <v>#REF!</v>
      </c>
      <c r="S555" s="136" t="e">
        <f>#REF!-#REF!</f>
        <v>#REF!</v>
      </c>
      <c r="T555" s="136" t="e">
        <f>#REF!-#REF!</f>
        <v>#REF!</v>
      </c>
      <c r="U555" s="136" t="e">
        <f>#REF!-#REF!</f>
        <v>#REF!</v>
      </c>
      <c r="V555" s="136" t="e">
        <f>#REF!-#REF!</f>
        <v>#REF!</v>
      </c>
      <c r="W555" s="136" t="e">
        <f>#REF!-#REF!</f>
        <v>#REF!</v>
      </c>
      <c r="X555" s="136" t="e">
        <f>#REF!-#REF!</f>
        <v>#REF!</v>
      </c>
      <c r="Y555" s="136" t="e">
        <f>#REF!-#REF!</f>
        <v>#REF!</v>
      </c>
      <c r="Z555" s="136" t="e">
        <f>#REF!-#REF!</f>
        <v>#REF!</v>
      </c>
      <c r="AA555" s="136" t="e">
        <f>#REF!-#REF!</f>
        <v>#REF!</v>
      </c>
      <c r="AB555" s="136" t="e">
        <f>#REF!-#REF!</f>
        <v>#REF!</v>
      </c>
      <c r="AC555" s="136" t="e">
        <f>#REF!-#REF!</f>
        <v>#REF!</v>
      </c>
      <c r="AD555" s="136" t="e">
        <f>#REF!-#REF!</f>
        <v>#REF!</v>
      </c>
      <c r="AE555" s="136" t="e">
        <f>#REF!-#REF!</f>
        <v>#REF!</v>
      </c>
      <c r="AF555" s="136" t="e">
        <f>#REF!-#REF!</f>
        <v>#REF!</v>
      </c>
      <c r="AG555" s="136" t="e">
        <f>#REF!-#REF!</f>
        <v>#REF!</v>
      </c>
      <c r="AH555" s="136" t="e">
        <f>#REF!-#REF!</f>
        <v>#REF!</v>
      </c>
      <c r="AI555" s="136" t="e">
        <f>#REF!-#REF!</f>
        <v>#REF!</v>
      </c>
      <c r="AJ555" s="136" t="e">
        <f>#REF!-#REF!</f>
        <v>#REF!</v>
      </c>
      <c r="AK555" s="136" t="e">
        <f>#REF!-#REF!</f>
        <v>#REF!</v>
      </c>
      <c r="AL555" s="136" t="e">
        <f>#REF!-#REF!</f>
        <v>#REF!</v>
      </c>
      <c r="AM555" s="136" t="e">
        <f>#REF!-#REF!</f>
        <v>#REF!</v>
      </c>
      <c r="AN555" s="136" t="e">
        <f>#REF!-#REF!</f>
        <v>#REF!</v>
      </c>
      <c r="AO555" s="136" t="e">
        <f>#REF!-#REF!</f>
        <v>#REF!</v>
      </c>
      <c r="AP555" s="136" t="e">
        <f>#REF!-#REF!</f>
        <v>#REF!</v>
      </c>
      <c r="AQ555" s="136" t="e">
        <f>#REF!-#REF!</f>
        <v>#REF!</v>
      </c>
      <c r="AR555" s="136" t="e">
        <f>#REF!-#REF!</f>
        <v>#REF!</v>
      </c>
      <c r="AS555" s="136" t="e">
        <f>#REF!-#REF!</f>
        <v>#REF!</v>
      </c>
      <c r="AT555" s="136" t="e">
        <f>#REF!-#REF!</f>
        <v>#REF!</v>
      </c>
      <c r="AU555" s="136" t="e">
        <f>#REF!-#REF!</f>
        <v>#REF!</v>
      </c>
      <c r="AV555" s="136" t="e">
        <f>#REF!-#REF!</f>
        <v>#REF!</v>
      </c>
      <c r="AW555" s="136" t="e">
        <f>#REF!-#REF!</f>
        <v>#REF!</v>
      </c>
      <c r="AX555" s="136" t="e">
        <f>#REF!-#REF!</f>
        <v>#REF!</v>
      </c>
      <c r="AY555" s="136" t="e">
        <f>#REF!-#REF!</f>
        <v>#REF!</v>
      </c>
      <c r="AZ555" s="136" t="e">
        <f>#REF!-#REF!</f>
        <v>#REF!</v>
      </c>
      <c r="BA555" s="136" t="e">
        <f>#REF!-#REF!</f>
        <v>#REF!</v>
      </c>
      <c r="BB555" s="136" t="e">
        <f>#REF!-#REF!</f>
        <v>#REF!</v>
      </c>
      <c r="BC555" s="136" t="e">
        <f>#REF!-#REF!</f>
        <v>#REF!</v>
      </c>
      <c r="BD555" s="136" t="e">
        <f>#REF!-#REF!</f>
        <v>#REF!</v>
      </c>
      <c r="BE555" s="136" t="e">
        <f>#REF!-#REF!</f>
        <v>#REF!</v>
      </c>
      <c r="BF555" s="136" t="e">
        <f>#REF!-#REF!</f>
        <v>#REF!</v>
      </c>
      <c r="BG555" s="136" t="e">
        <f>#REF!-#REF!</f>
        <v>#REF!</v>
      </c>
      <c r="BH555" s="136" t="e">
        <f>#REF!-#REF!</f>
        <v>#REF!</v>
      </c>
      <c r="BI555" s="136" t="e">
        <f>#REF!-#REF!</f>
        <v>#REF!</v>
      </c>
      <c r="BJ555" s="136" t="e">
        <f>#REF!-#REF!</f>
        <v>#REF!</v>
      </c>
      <c r="BK555" s="136" t="e">
        <f>#REF!-#REF!</f>
        <v>#REF!</v>
      </c>
      <c r="BL555" s="136" t="e">
        <f>#REF!-#REF!</f>
        <v>#REF!</v>
      </c>
      <c r="BM555" s="136" t="e">
        <f>#REF!-#REF!</f>
        <v>#REF!</v>
      </c>
      <c r="BN555" s="136" t="e">
        <f>#REF!-#REF!</f>
        <v>#REF!</v>
      </c>
      <c r="BO555" s="136" t="e">
        <f>#REF!-#REF!</f>
        <v>#REF!</v>
      </c>
      <c r="BP555" s="136" t="e">
        <f>#REF!-#REF!</f>
        <v>#REF!</v>
      </c>
      <c r="BQ555" s="136" t="e">
        <f>#REF!-#REF!</f>
        <v>#REF!</v>
      </c>
      <c r="BR555" s="136" t="e">
        <f>#REF!-#REF!</f>
        <v>#REF!</v>
      </c>
      <c r="BS555" s="136" t="e">
        <f>#REF!-#REF!</f>
        <v>#REF!</v>
      </c>
      <c r="BT555" s="136" t="e">
        <f>#REF!-#REF!</f>
        <v>#REF!</v>
      </c>
      <c r="BU555" s="136" t="e">
        <f>#REF!-#REF!</f>
        <v>#REF!</v>
      </c>
      <c r="BV555" s="136" t="e">
        <f>#REF!-#REF!</f>
        <v>#REF!</v>
      </c>
      <c r="BW555" s="136" t="e">
        <f>#REF!-#REF!</f>
        <v>#REF!</v>
      </c>
      <c r="BX555" s="136" t="e">
        <f>#REF!-#REF!</f>
        <v>#REF!</v>
      </c>
      <c r="BZ555" s="136" t="e">
        <f>#REF!-#REF!</f>
        <v>#REF!</v>
      </c>
      <c r="CA555" s="136" t="e">
        <f>#REF!-#REF!</f>
        <v>#REF!</v>
      </c>
    </row>
    <row r="556" spans="7:79" hidden="1" x14ac:dyDescent="0.3">
      <c r="G556" s="136" t="e">
        <f>#REF!-#REF!</f>
        <v>#REF!</v>
      </c>
      <c r="H556" s="136" t="e">
        <f>#REF!-#REF!</f>
        <v>#REF!</v>
      </c>
      <c r="I556" s="136" t="e">
        <f>#REF!-#REF!</f>
        <v>#REF!</v>
      </c>
      <c r="J556" s="136" t="e">
        <f>#REF!-#REF!</f>
        <v>#REF!</v>
      </c>
      <c r="K556" s="136" t="e">
        <f>#REF!-#REF!</f>
        <v>#REF!</v>
      </c>
      <c r="L556" s="136" t="e">
        <f>#REF!-#REF!</f>
        <v>#REF!</v>
      </c>
      <c r="M556" s="136" t="e">
        <f>#REF!-#REF!</f>
        <v>#REF!</v>
      </c>
      <c r="N556" s="136" t="e">
        <f>#REF!-#REF!</f>
        <v>#REF!</v>
      </c>
      <c r="O556" s="136" t="e">
        <f>#REF!-#REF!</f>
        <v>#REF!</v>
      </c>
      <c r="P556" s="136" t="e">
        <f>#REF!-#REF!</f>
        <v>#REF!</v>
      </c>
      <c r="Q556" s="136" t="e">
        <f>#REF!-#REF!</f>
        <v>#REF!</v>
      </c>
      <c r="R556" s="136" t="e">
        <f>#REF!-#REF!</f>
        <v>#REF!</v>
      </c>
      <c r="S556" s="136" t="e">
        <f>#REF!-#REF!</f>
        <v>#REF!</v>
      </c>
      <c r="T556" s="136" t="e">
        <f>#REF!-#REF!</f>
        <v>#REF!</v>
      </c>
      <c r="U556" s="136" t="e">
        <f>#REF!-#REF!</f>
        <v>#REF!</v>
      </c>
      <c r="V556" s="136" t="e">
        <f>#REF!-#REF!</f>
        <v>#REF!</v>
      </c>
      <c r="W556" s="136" t="e">
        <f>#REF!-#REF!</f>
        <v>#REF!</v>
      </c>
      <c r="X556" s="136" t="e">
        <f>#REF!-#REF!</f>
        <v>#REF!</v>
      </c>
      <c r="Y556" s="136" t="e">
        <f>#REF!-#REF!</f>
        <v>#REF!</v>
      </c>
      <c r="Z556" s="136" t="e">
        <f>#REF!-#REF!</f>
        <v>#REF!</v>
      </c>
      <c r="AA556" s="136" t="e">
        <f>#REF!-#REF!</f>
        <v>#REF!</v>
      </c>
      <c r="AB556" s="136" t="e">
        <f>#REF!-#REF!</f>
        <v>#REF!</v>
      </c>
      <c r="AC556" s="136" t="e">
        <f>#REF!-#REF!</f>
        <v>#REF!</v>
      </c>
      <c r="AD556" s="136" t="e">
        <f>#REF!-#REF!</f>
        <v>#REF!</v>
      </c>
      <c r="AE556" s="136" t="e">
        <f>#REF!-#REF!</f>
        <v>#REF!</v>
      </c>
      <c r="AF556" s="136" t="e">
        <f>#REF!-#REF!</f>
        <v>#REF!</v>
      </c>
      <c r="AG556" s="136" t="e">
        <f>#REF!-#REF!</f>
        <v>#REF!</v>
      </c>
      <c r="AH556" s="136" t="e">
        <f>#REF!-#REF!</f>
        <v>#REF!</v>
      </c>
      <c r="AI556" s="136" t="e">
        <f>#REF!-#REF!</f>
        <v>#REF!</v>
      </c>
      <c r="AJ556" s="136" t="e">
        <f>#REF!-#REF!</f>
        <v>#REF!</v>
      </c>
      <c r="AK556" s="136" t="e">
        <f>#REF!-#REF!</f>
        <v>#REF!</v>
      </c>
      <c r="AL556" s="136" t="e">
        <f>#REF!-#REF!</f>
        <v>#REF!</v>
      </c>
      <c r="AM556" s="136" t="e">
        <f>#REF!-#REF!</f>
        <v>#REF!</v>
      </c>
      <c r="AN556" s="136" t="e">
        <f>#REF!-#REF!</f>
        <v>#REF!</v>
      </c>
      <c r="AO556" s="136" t="e">
        <f>#REF!-#REF!</f>
        <v>#REF!</v>
      </c>
      <c r="AP556" s="136" t="e">
        <f>#REF!-#REF!</f>
        <v>#REF!</v>
      </c>
      <c r="AQ556" s="136" t="e">
        <f>#REF!-#REF!</f>
        <v>#REF!</v>
      </c>
      <c r="AR556" s="136" t="e">
        <f>#REF!-#REF!</f>
        <v>#REF!</v>
      </c>
      <c r="AS556" s="136" t="e">
        <f>#REF!-#REF!</f>
        <v>#REF!</v>
      </c>
      <c r="AT556" s="136" t="e">
        <f>#REF!-#REF!</f>
        <v>#REF!</v>
      </c>
      <c r="AU556" s="136" t="e">
        <f>#REF!-#REF!</f>
        <v>#REF!</v>
      </c>
      <c r="AV556" s="136" t="e">
        <f>#REF!-#REF!</f>
        <v>#REF!</v>
      </c>
      <c r="AW556" s="136" t="e">
        <f>#REF!-#REF!</f>
        <v>#REF!</v>
      </c>
      <c r="AX556" s="136" t="e">
        <f>#REF!-#REF!</f>
        <v>#REF!</v>
      </c>
      <c r="AY556" s="136" t="e">
        <f>#REF!-#REF!</f>
        <v>#REF!</v>
      </c>
      <c r="AZ556" s="136" t="e">
        <f>#REF!-#REF!</f>
        <v>#REF!</v>
      </c>
      <c r="BA556" s="136" t="e">
        <f>#REF!-#REF!</f>
        <v>#REF!</v>
      </c>
      <c r="BB556" s="136" t="e">
        <f>#REF!-#REF!</f>
        <v>#REF!</v>
      </c>
      <c r="BC556" s="136" t="e">
        <f>#REF!-#REF!</f>
        <v>#REF!</v>
      </c>
      <c r="BD556" s="136" t="e">
        <f>#REF!-#REF!</f>
        <v>#REF!</v>
      </c>
      <c r="BE556" s="136" t="e">
        <f>#REF!-#REF!</f>
        <v>#REF!</v>
      </c>
      <c r="BF556" s="136" t="e">
        <f>#REF!-#REF!</f>
        <v>#REF!</v>
      </c>
      <c r="BG556" s="136" t="e">
        <f>#REF!-#REF!</f>
        <v>#REF!</v>
      </c>
      <c r="BH556" s="136" t="e">
        <f>#REF!-#REF!</f>
        <v>#REF!</v>
      </c>
      <c r="BI556" s="136" t="e">
        <f>#REF!-#REF!</f>
        <v>#REF!</v>
      </c>
      <c r="BJ556" s="136" t="e">
        <f>#REF!-#REF!</f>
        <v>#REF!</v>
      </c>
      <c r="BK556" s="136" t="e">
        <f>#REF!-#REF!</f>
        <v>#REF!</v>
      </c>
      <c r="BL556" s="136" t="e">
        <f>#REF!-#REF!</f>
        <v>#REF!</v>
      </c>
      <c r="BM556" s="136" t="e">
        <f>#REF!-#REF!</f>
        <v>#REF!</v>
      </c>
      <c r="BN556" s="136" t="e">
        <f>#REF!-#REF!</f>
        <v>#REF!</v>
      </c>
      <c r="BO556" s="136" t="e">
        <f>#REF!-#REF!</f>
        <v>#REF!</v>
      </c>
      <c r="BP556" s="136" t="e">
        <f>#REF!-#REF!</f>
        <v>#REF!</v>
      </c>
      <c r="BQ556" s="136" t="e">
        <f>#REF!-#REF!</f>
        <v>#REF!</v>
      </c>
      <c r="BR556" s="136" t="e">
        <f>#REF!-#REF!</f>
        <v>#REF!</v>
      </c>
      <c r="BS556" s="136" t="e">
        <f>#REF!-#REF!</f>
        <v>#REF!</v>
      </c>
      <c r="BT556" s="136" t="e">
        <f>#REF!-#REF!</f>
        <v>#REF!</v>
      </c>
      <c r="BU556" s="136" t="e">
        <f>#REF!-#REF!</f>
        <v>#REF!</v>
      </c>
      <c r="BV556" s="136" t="e">
        <f>#REF!-#REF!</f>
        <v>#REF!</v>
      </c>
      <c r="BW556" s="136" t="e">
        <f>#REF!-#REF!</f>
        <v>#REF!</v>
      </c>
      <c r="BX556" s="136" t="e">
        <f>#REF!-#REF!</f>
        <v>#REF!</v>
      </c>
      <c r="BZ556" s="136" t="e">
        <f>#REF!-#REF!</f>
        <v>#REF!</v>
      </c>
      <c r="CA556" s="136" t="e">
        <f>#REF!-#REF!</f>
        <v>#REF!</v>
      </c>
    </row>
    <row r="557" spans="7:79" hidden="1" x14ac:dyDescent="0.3">
      <c r="G557" s="136" t="e">
        <f>#REF!-#REF!</f>
        <v>#REF!</v>
      </c>
      <c r="H557" s="136" t="e">
        <f>#REF!-#REF!</f>
        <v>#REF!</v>
      </c>
      <c r="I557" s="136" t="e">
        <f>#REF!-#REF!</f>
        <v>#REF!</v>
      </c>
      <c r="J557" s="136" t="e">
        <f>#REF!-#REF!</f>
        <v>#REF!</v>
      </c>
      <c r="K557" s="136" t="e">
        <f>#REF!-#REF!</f>
        <v>#REF!</v>
      </c>
      <c r="L557" s="136" t="e">
        <f>#REF!-#REF!</f>
        <v>#REF!</v>
      </c>
      <c r="M557" s="136" t="e">
        <f>#REF!-#REF!</f>
        <v>#REF!</v>
      </c>
      <c r="N557" s="136" t="e">
        <f>#REF!-#REF!</f>
        <v>#REF!</v>
      </c>
      <c r="O557" s="136" t="e">
        <f>#REF!-#REF!</f>
        <v>#REF!</v>
      </c>
      <c r="P557" s="136" t="e">
        <f>#REF!-#REF!</f>
        <v>#REF!</v>
      </c>
      <c r="Q557" s="136" t="e">
        <f>#REF!-#REF!</f>
        <v>#REF!</v>
      </c>
      <c r="R557" s="136" t="e">
        <f>#REF!-#REF!</f>
        <v>#REF!</v>
      </c>
      <c r="S557" s="136" t="e">
        <f>#REF!-#REF!</f>
        <v>#REF!</v>
      </c>
      <c r="T557" s="136" t="e">
        <f>#REF!-#REF!</f>
        <v>#REF!</v>
      </c>
      <c r="U557" s="136" t="e">
        <f>#REF!-#REF!</f>
        <v>#REF!</v>
      </c>
      <c r="V557" s="136" t="e">
        <f>#REF!-#REF!</f>
        <v>#REF!</v>
      </c>
      <c r="W557" s="136" t="e">
        <f>#REF!-#REF!</f>
        <v>#REF!</v>
      </c>
      <c r="X557" s="136" t="e">
        <f>#REF!-#REF!</f>
        <v>#REF!</v>
      </c>
      <c r="Y557" s="136" t="e">
        <f>#REF!-#REF!</f>
        <v>#REF!</v>
      </c>
      <c r="Z557" s="136" t="e">
        <f>#REF!-#REF!</f>
        <v>#REF!</v>
      </c>
      <c r="AA557" s="136" t="e">
        <f>#REF!-#REF!</f>
        <v>#REF!</v>
      </c>
      <c r="AB557" s="136" t="e">
        <f>#REF!-#REF!</f>
        <v>#REF!</v>
      </c>
      <c r="AC557" s="136" t="e">
        <f>#REF!-#REF!</f>
        <v>#REF!</v>
      </c>
      <c r="AD557" s="136" t="e">
        <f>#REF!-#REF!</f>
        <v>#REF!</v>
      </c>
      <c r="AE557" s="136" t="e">
        <f>#REF!-#REF!</f>
        <v>#REF!</v>
      </c>
      <c r="AF557" s="136" t="e">
        <f>#REF!-#REF!</f>
        <v>#REF!</v>
      </c>
      <c r="AG557" s="136" t="e">
        <f>#REF!-#REF!</f>
        <v>#REF!</v>
      </c>
      <c r="AH557" s="136" t="e">
        <f>#REF!-#REF!</f>
        <v>#REF!</v>
      </c>
      <c r="AI557" s="136" t="e">
        <f>#REF!-#REF!</f>
        <v>#REF!</v>
      </c>
      <c r="AJ557" s="136" t="e">
        <f>#REF!-#REF!</f>
        <v>#REF!</v>
      </c>
      <c r="AK557" s="136" t="e">
        <f>#REF!-#REF!</f>
        <v>#REF!</v>
      </c>
      <c r="AL557" s="136" t="e">
        <f>#REF!-#REF!</f>
        <v>#REF!</v>
      </c>
      <c r="AM557" s="136" t="e">
        <f>#REF!-#REF!</f>
        <v>#REF!</v>
      </c>
      <c r="AN557" s="136" t="e">
        <f>#REF!-#REF!</f>
        <v>#REF!</v>
      </c>
      <c r="AO557" s="136" t="e">
        <f>#REF!-#REF!</f>
        <v>#REF!</v>
      </c>
      <c r="AP557" s="136" t="e">
        <f>#REF!-#REF!</f>
        <v>#REF!</v>
      </c>
      <c r="AQ557" s="136" t="e">
        <f>#REF!-#REF!</f>
        <v>#REF!</v>
      </c>
      <c r="AR557" s="136" t="e">
        <f>#REF!-#REF!</f>
        <v>#REF!</v>
      </c>
      <c r="AS557" s="136" t="e">
        <f>#REF!-#REF!</f>
        <v>#REF!</v>
      </c>
      <c r="AT557" s="136" t="e">
        <f>#REF!-#REF!</f>
        <v>#REF!</v>
      </c>
      <c r="AU557" s="136" t="e">
        <f>#REF!-#REF!</f>
        <v>#REF!</v>
      </c>
      <c r="AV557" s="136" t="e">
        <f>#REF!-#REF!</f>
        <v>#REF!</v>
      </c>
      <c r="AW557" s="136" t="e">
        <f>#REF!-#REF!</f>
        <v>#REF!</v>
      </c>
      <c r="AX557" s="136" t="e">
        <f>#REF!-#REF!</f>
        <v>#REF!</v>
      </c>
      <c r="AY557" s="136" t="e">
        <f>#REF!-#REF!</f>
        <v>#REF!</v>
      </c>
      <c r="AZ557" s="136" t="e">
        <f>#REF!-#REF!</f>
        <v>#REF!</v>
      </c>
      <c r="BA557" s="136" t="e">
        <f>#REF!-#REF!</f>
        <v>#REF!</v>
      </c>
      <c r="BB557" s="136" t="e">
        <f>#REF!-#REF!</f>
        <v>#REF!</v>
      </c>
      <c r="BC557" s="136" t="e">
        <f>#REF!-#REF!</f>
        <v>#REF!</v>
      </c>
      <c r="BD557" s="136" t="e">
        <f>#REF!-#REF!</f>
        <v>#REF!</v>
      </c>
      <c r="BE557" s="136" t="e">
        <f>#REF!-#REF!</f>
        <v>#REF!</v>
      </c>
      <c r="BF557" s="136" t="e">
        <f>#REF!-#REF!</f>
        <v>#REF!</v>
      </c>
      <c r="BG557" s="136" t="e">
        <f>#REF!-#REF!</f>
        <v>#REF!</v>
      </c>
      <c r="BH557" s="136" t="e">
        <f>#REF!-#REF!</f>
        <v>#REF!</v>
      </c>
      <c r="BI557" s="136" t="e">
        <f>#REF!-#REF!</f>
        <v>#REF!</v>
      </c>
      <c r="BJ557" s="136" t="e">
        <f>#REF!-#REF!</f>
        <v>#REF!</v>
      </c>
      <c r="BK557" s="136" t="e">
        <f>#REF!-#REF!</f>
        <v>#REF!</v>
      </c>
      <c r="BL557" s="136" t="e">
        <f>#REF!-#REF!</f>
        <v>#REF!</v>
      </c>
      <c r="BM557" s="136" t="e">
        <f>#REF!-#REF!</f>
        <v>#REF!</v>
      </c>
      <c r="BN557" s="136" t="e">
        <f>#REF!-#REF!</f>
        <v>#REF!</v>
      </c>
      <c r="BO557" s="136" t="e">
        <f>#REF!-#REF!</f>
        <v>#REF!</v>
      </c>
      <c r="BP557" s="136" t="e">
        <f>#REF!-#REF!</f>
        <v>#REF!</v>
      </c>
      <c r="BQ557" s="136" t="e">
        <f>#REF!-#REF!</f>
        <v>#REF!</v>
      </c>
      <c r="BR557" s="136" t="e">
        <f>#REF!-#REF!</f>
        <v>#REF!</v>
      </c>
      <c r="BS557" s="136" t="e">
        <f>#REF!-#REF!</f>
        <v>#REF!</v>
      </c>
      <c r="BT557" s="136" t="e">
        <f>#REF!-#REF!</f>
        <v>#REF!</v>
      </c>
      <c r="BU557" s="136" t="e">
        <f>#REF!-#REF!</f>
        <v>#REF!</v>
      </c>
      <c r="BV557" s="136" t="e">
        <f>#REF!-#REF!</f>
        <v>#REF!</v>
      </c>
      <c r="BW557" s="136" t="e">
        <f>#REF!-#REF!</f>
        <v>#REF!</v>
      </c>
      <c r="BX557" s="136" t="e">
        <f>#REF!-#REF!</f>
        <v>#REF!</v>
      </c>
      <c r="BZ557" s="136" t="e">
        <f>#REF!-#REF!</f>
        <v>#REF!</v>
      </c>
      <c r="CA557" s="136" t="e">
        <f>#REF!-#REF!</f>
        <v>#REF!</v>
      </c>
    </row>
    <row r="558" spans="7:79" hidden="1" x14ac:dyDescent="0.3">
      <c r="G558" s="136" t="e">
        <f>#REF!-#REF!</f>
        <v>#REF!</v>
      </c>
      <c r="H558" s="136" t="e">
        <f>#REF!-#REF!</f>
        <v>#REF!</v>
      </c>
      <c r="I558" s="136" t="e">
        <f>#REF!-#REF!</f>
        <v>#REF!</v>
      </c>
      <c r="J558" s="136" t="e">
        <f>#REF!-#REF!</f>
        <v>#REF!</v>
      </c>
      <c r="K558" s="136" t="e">
        <f>#REF!-#REF!</f>
        <v>#REF!</v>
      </c>
      <c r="L558" s="136" t="e">
        <f>#REF!-#REF!</f>
        <v>#REF!</v>
      </c>
      <c r="M558" s="136" t="e">
        <f>#REF!-#REF!</f>
        <v>#REF!</v>
      </c>
      <c r="N558" s="136" t="e">
        <f>#REF!-#REF!</f>
        <v>#REF!</v>
      </c>
      <c r="O558" s="136" t="e">
        <f>#REF!-#REF!</f>
        <v>#REF!</v>
      </c>
      <c r="P558" s="136" t="e">
        <f>#REF!-#REF!</f>
        <v>#REF!</v>
      </c>
      <c r="Q558" s="136" t="e">
        <f>#REF!-#REF!</f>
        <v>#REF!</v>
      </c>
      <c r="R558" s="136" t="e">
        <f>#REF!-#REF!</f>
        <v>#REF!</v>
      </c>
      <c r="S558" s="136" t="e">
        <f>#REF!-#REF!</f>
        <v>#REF!</v>
      </c>
      <c r="T558" s="136" t="e">
        <f>#REF!-#REF!</f>
        <v>#REF!</v>
      </c>
      <c r="U558" s="136" t="e">
        <f>#REF!-#REF!</f>
        <v>#REF!</v>
      </c>
      <c r="V558" s="136" t="e">
        <f>#REF!-#REF!</f>
        <v>#REF!</v>
      </c>
      <c r="W558" s="136" t="e">
        <f>#REF!-#REF!</f>
        <v>#REF!</v>
      </c>
      <c r="X558" s="136" t="e">
        <f>#REF!-#REF!</f>
        <v>#REF!</v>
      </c>
      <c r="Y558" s="136" t="e">
        <f>#REF!-#REF!</f>
        <v>#REF!</v>
      </c>
      <c r="Z558" s="136" t="e">
        <f>#REF!-#REF!</f>
        <v>#REF!</v>
      </c>
      <c r="AA558" s="136" t="e">
        <f>#REF!-#REF!</f>
        <v>#REF!</v>
      </c>
      <c r="AB558" s="136" t="e">
        <f>#REF!-#REF!</f>
        <v>#REF!</v>
      </c>
      <c r="AC558" s="136" t="e">
        <f>#REF!-#REF!</f>
        <v>#REF!</v>
      </c>
      <c r="AD558" s="136" t="e">
        <f>#REF!-#REF!</f>
        <v>#REF!</v>
      </c>
      <c r="AE558" s="136" t="e">
        <f>#REF!-#REF!</f>
        <v>#REF!</v>
      </c>
      <c r="AF558" s="136" t="e">
        <f>#REF!-#REF!</f>
        <v>#REF!</v>
      </c>
      <c r="AG558" s="136" t="e">
        <f>#REF!-#REF!</f>
        <v>#REF!</v>
      </c>
      <c r="AH558" s="136" t="e">
        <f>#REF!-#REF!</f>
        <v>#REF!</v>
      </c>
      <c r="AI558" s="136" t="e">
        <f>#REF!-#REF!</f>
        <v>#REF!</v>
      </c>
      <c r="AJ558" s="136" t="e">
        <f>#REF!-#REF!</f>
        <v>#REF!</v>
      </c>
      <c r="AK558" s="136" t="e">
        <f>#REF!-#REF!</f>
        <v>#REF!</v>
      </c>
      <c r="AL558" s="136" t="e">
        <f>#REF!-#REF!</f>
        <v>#REF!</v>
      </c>
      <c r="AM558" s="136" t="e">
        <f>#REF!-#REF!</f>
        <v>#REF!</v>
      </c>
      <c r="AN558" s="136" t="e">
        <f>#REF!-#REF!</f>
        <v>#REF!</v>
      </c>
      <c r="AO558" s="136" t="e">
        <f>#REF!-#REF!</f>
        <v>#REF!</v>
      </c>
      <c r="AP558" s="136" t="e">
        <f>#REF!-#REF!</f>
        <v>#REF!</v>
      </c>
      <c r="AQ558" s="136" t="e">
        <f>#REF!-#REF!</f>
        <v>#REF!</v>
      </c>
      <c r="AR558" s="136" t="e">
        <f>#REF!-#REF!</f>
        <v>#REF!</v>
      </c>
      <c r="AS558" s="136" t="e">
        <f>#REF!-#REF!</f>
        <v>#REF!</v>
      </c>
      <c r="AT558" s="136" t="e">
        <f>#REF!-#REF!</f>
        <v>#REF!</v>
      </c>
      <c r="AU558" s="136" t="e">
        <f>#REF!-#REF!</f>
        <v>#REF!</v>
      </c>
      <c r="AV558" s="136" t="e">
        <f>#REF!-#REF!</f>
        <v>#REF!</v>
      </c>
      <c r="AW558" s="136" t="e">
        <f>#REF!-#REF!</f>
        <v>#REF!</v>
      </c>
      <c r="AX558" s="136" t="e">
        <f>#REF!-#REF!</f>
        <v>#REF!</v>
      </c>
      <c r="AY558" s="136" t="e">
        <f>#REF!-#REF!</f>
        <v>#REF!</v>
      </c>
      <c r="AZ558" s="136" t="e">
        <f>#REF!-#REF!</f>
        <v>#REF!</v>
      </c>
      <c r="BA558" s="136" t="e">
        <f>#REF!-#REF!</f>
        <v>#REF!</v>
      </c>
      <c r="BB558" s="136" t="e">
        <f>#REF!-#REF!</f>
        <v>#REF!</v>
      </c>
      <c r="BC558" s="136" t="e">
        <f>#REF!-#REF!</f>
        <v>#REF!</v>
      </c>
      <c r="BD558" s="136" t="e">
        <f>#REF!-#REF!</f>
        <v>#REF!</v>
      </c>
      <c r="BE558" s="136" t="e">
        <f>#REF!-#REF!</f>
        <v>#REF!</v>
      </c>
      <c r="BF558" s="136" t="e">
        <f>#REF!-#REF!</f>
        <v>#REF!</v>
      </c>
      <c r="BG558" s="136" t="e">
        <f>#REF!-#REF!</f>
        <v>#REF!</v>
      </c>
      <c r="BH558" s="136" t="e">
        <f>#REF!-#REF!</f>
        <v>#REF!</v>
      </c>
      <c r="BI558" s="136" t="e">
        <f>#REF!-#REF!</f>
        <v>#REF!</v>
      </c>
      <c r="BJ558" s="136" t="e">
        <f>#REF!-#REF!</f>
        <v>#REF!</v>
      </c>
      <c r="BK558" s="136" t="e">
        <f>#REF!-#REF!</f>
        <v>#REF!</v>
      </c>
      <c r="BL558" s="136" t="e">
        <f>#REF!-#REF!</f>
        <v>#REF!</v>
      </c>
      <c r="BM558" s="136" t="e">
        <f>#REF!-#REF!</f>
        <v>#REF!</v>
      </c>
      <c r="BN558" s="136" t="e">
        <f>#REF!-#REF!</f>
        <v>#REF!</v>
      </c>
      <c r="BO558" s="136" t="e">
        <f>#REF!-#REF!</f>
        <v>#REF!</v>
      </c>
      <c r="BP558" s="136" t="e">
        <f>#REF!-#REF!</f>
        <v>#REF!</v>
      </c>
      <c r="BQ558" s="136" t="e">
        <f>#REF!-#REF!</f>
        <v>#REF!</v>
      </c>
      <c r="BR558" s="136" t="e">
        <f>#REF!-#REF!</f>
        <v>#REF!</v>
      </c>
      <c r="BS558" s="136" t="e">
        <f>#REF!-#REF!</f>
        <v>#REF!</v>
      </c>
      <c r="BT558" s="136" t="e">
        <f>#REF!-#REF!</f>
        <v>#REF!</v>
      </c>
      <c r="BU558" s="136" t="e">
        <f>#REF!-#REF!</f>
        <v>#REF!</v>
      </c>
      <c r="BV558" s="136" t="e">
        <f>#REF!-#REF!</f>
        <v>#REF!</v>
      </c>
      <c r="BW558" s="136" t="e">
        <f>#REF!-#REF!</f>
        <v>#REF!</v>
      </c>
      <c r="BX558" s="136" t="e">
        <f>#REF!-#REF!</f>
        <v>#REF!</v>
      </c>
      <c r="BZ558" s="136" t="e">
        <f>#REF!-#REF!</f>
        <v>#REF!</v>
      </c>
      <c r="CA558" s="136" t="e">
        <f>#REF!-#REF!</f>
        <v>#REF!</v>
      </c>
    </row>
    <row r="559" spans="7:79" hidden="1" x14ac:dyDescent="0.3">
      <c r="G559" s="136" t="e">
        <f>#REF!-#REF!</f>
        <v>#REF!</v>
      </c>
      <c r="H559" s="136" t="e">
        <f>#REF!-#REF!</f>
        <v>#REF!</v>
      </c>
      <c r="I559" s="136" t="e">
        <f>#REF!-#REF!</f>
        <v>#REF!</v>
      </c>
      <c r="J559" s="136" t="e">
        <f>#REF!-#REF!</f>
        <v>#REF!</v>
      </c>
      <c r="K559" s="136" t="e">
        <f>#REF!-#REF!</f>
        <v>#REF!</v>
      </c>
      <c r="L559" s="136" t="e">
        <f>#REF!-#REF!</f>
        <v>#REF!</v>
      </c>
      <c r="M559" s="136" t="e">
        <f>#REF!-#REF!</f>
        <v>#REF!</v>
      </c>
      <c r="N559" s="136" t="e">
        <f>#REF!-#REF!</f>
        <v>#REF!</v>
      </c>
      <c r="O559" s="136" t="e">
        <f>#REF!-#REF!</f>
        <v>#REF!</v>
      </c>
      <c r="P559" s="136" t="e">
        <f>#REF!-#REF!</f>
        <v>#REF!</v>
      </c>
      <c r="Q559" s="136" t="e">
        <f>#REF!-#REF!</f>
        <v>#REF!</v>
      </c>
      <c r="R559" s="136" t="e">
        <f>#REF!-#REF!</f>
        <v>#REF!</v>
      </c>
      <c r="S559" s="136" t="e">
        <f>#REF!-#REF!</f>
        <v>#REF!</v>
      </c>
      <c r="T559" s="136" t="e">
        <f>#REF!-#REF!</f>
        <v>#REF!</v>
      </c>
      <c r="U559" s="136" t="e">
        <f>#REF!-#REF!</f>
        <v>#REF!</v>
      </c>
      <c r="V559" s="136" t="e">
        <f>#REF!-#REF!</f>
        <v>#REF!</v>
      </c>
      <c r="W559" s="136" t="e">
        <f>#REF!-#REF!</f>
        <v>#REF!</v>
      </c>
      <c r="X559" s="136" t="e">
        <f>#REF!-#REF!</f>
        <v>#REF!</v>
      </c>
      <c r="Y559" s="136" t="e">
        <f>#REF!-#REF!</f>
        <v>#REF!</v>
      </c>
      <c r="Z559" s="136" t="e">
        <f>#REF!-#REF!</f>
        <v>#REF!</v>
      </c>
      <c r="AA559" s="136" t="e">
        <f>#REF!-#REF!</f>
        <v>#REF!</v>
      </c>
      <c r="AB559" s="136" t="e">
        <f>#REF!-#REF!</f>
        <v>#REF!</v>
      </c>
      <c r="AC559" s="136" t="e">
        <f>#REF!-#REF!</f>
        <v>#REF!</v>
      </c>
      <c r="AD559" s="136" t="e">
        <f>#REF!-#REF!</f>
        <v>#REF!</v>
      </c>
      <c r="AE559" s="136" t="e">
        <f>#REF!-#REF!</f>
        <v>#REF!</v>
      </c>
      <c r="AF559" s="136" t="e">
        <f>#REF!-#REF!</f>
        <v>#REF!</v>
      </c>
      <c r="AG559" s="136" t="e">
        <f>#REF!-#REF!</f>
        <v>#REF!</v>
      </c>
      <c r="AH559" s="136" t="e">
        <f>#REF!-#REF!</f>
        <v>#REF!</v>
      </c>
      <c r="AI559" s="136" t="e">
        <f>#REF!-#REF!</f>
        <v>#REF!</v>
      </c>
      <c r="AJ559" s="136" t="e">
        <f>#REF!-#REF!</f>
        <v>#REF!</v>
      </c>
      <c r="AK559" s="136" t="e">
        <f>#REF!-#REF!</f>
        <v>#REF!</v>
      </c>
      <c r="AL559" s="136" t="e">
        <f>#REF!-#REF!</f>
        <v>#REF!</v>
      </c>
      <c r="AM559" s="136" t="e">
        <f>#REF!-#REF!</f>
        <v>#REF!</v>
      </c>
      <c r="AN559" s="136" t="e">
        <f>#REF!-#REF!</f>
        <v>#REF!</v>
      </c>
      <c r="AO559" s="136" t="e">
        <f>#REF!-#REF!</f>
        <v>#REF!</v>
      </c>
      <c r="AP559" s="136" t="e">
        <f>#REF!-#REF!</f>
        <v>#REF!</v>
      </c>
      <c r="AQ559" s="136" t="e">
        <f>#REF!-#REF!</f>
        <v>#REF!</v>
      </c>
      <c r="AR559" s="136" t="e">
        <f>#REF!-#REF!</f>
        <v>#REF!</v>
      </c>
      <c r="AS559" s="136" t="e">
        <f>#REF!-#REF!</f>
        <v>#REF!</v>
      </c>
      <c r="AT559" s="136" t="e">
        <f>#REF!-#REF!</f>
        <v>#REF!</v>
      </c>
      <c r="AU559" s="136" t="e">
        <f>#REF!-#REF!</f>
        <v>#REF!</v>
      </c>
      <c r="AV559" s="136" t="e">
        <f>#REF!-#REF!</f>
        <v>#REF!</v>
      </c>
      <c r="AW559" s="136" t="e">
        <f>#REF!-#REF!</f>
        <v>#REF!</v>
      </c>
      <c r="AX559" s="136" t="e">
        <f>#REF!-#REF!</f>
        <v>#REF!</v>
      </c>
      <c r="AY559" s="136" t="e">
        <f>#REF!-#REF!</f>
        <v>#REF!</v>
      </c>
      <c r="AZ559" s="136" t="e">
        <f>#REF!-#REF!</f>
        <v>#REF!</v>
      </c>
      <c r="BA559" s="136" t="e">
        <f>#REF!-#REF!</f>
        <v>#REF!</v>
      </c>
      <c r="BB559" s="136" t="e">
        <f>#REF!-#REF!</f>
        <v>#REF!</v>
      </c>
      <c r="BC559" s="136" t="e">
        <f>#REF!-#REF!</f>
        <v>#REF!</v>
      </c>
      <c r="BD559" s="136" t="e">
        <f>#REF!-#REF!</f>
        <v>#REF!</v>
      </c>
      <c r="BE559" s="136" t="e">
        <f>#REF!-#REF!</f>
        <v>#REF!</v>
      </c>
      <c r="BF559" s="136" t="e">
        <f>#REF!-#REF!</f>
        <v>#REF!</v>
      </c>
      <c r="BG559" s="136" t="e">
        <f>#REF!-#REF!</f>
        <v>#REF!</v>
      </c>
      <c r="BH559" s="136" t="e">
        <f>#REF!-#REF!</f>
        <v>#REF!</v>
      </c>
      <c r="BI559" s="136" t="e">
        <f>#REF!-#REF!</f>
        <v>#REF!</v>
      </c>
      <c r="BJ559" s="136" t="e">
        <f>#REF!-#REF!</f>
        <v>#REF!</v>
      </c>
      <c r="BK559" s="136" t="e">
        <f>#REF!-#REF!</f>
        <v>#REF!</v>
      </c>
      <c r="BL559" s="136" t="e">
        <f>#REF!-#REF!</f>
        <v>#REF!</v>
      </c>
      <c r="BM559" s="136" t="e">
        <f>#REF!-#REF!</f>
        <v>#REF!</v>
      </c>
      <c r="BN559" s="136" t="e">
        <f>#REF!-#REF!</f>
        <v>#REF!</v>
      </c>
      <c r="BO559" s="136" t="e">
        <f>#REF!-#REF!</f>
        <v>#REF!</v>
      </c>
      <c r="BP559" s="136" t="e">
        <f>#REF!-#REF!</f>
        <v>#REF!</v>
      </c>
      <c r="BQ559" s="136" t="e">
        <f>#REF!-#REF!</f>
        <v>#REF!</v>
      </c>
      <c r="BR559" s="136" t="e">
        <f>#REF!-#REF!</f>
        <v>#REF!</v>
      </c>
      <c r="BS559" s="136" t="e">
        <f>#REF!-#REF!</f>
        <v>#REF!</v>
      </c>
      <c r="BT559" s="136" t="e">
        <f>#REF!-#REF!</f>
        <v>#REF!</v>
      </c>
      <c r="BU559" s="136" t="e">
        <f>#REF!-#REF!</f>
        <v>#REF!</v>
      </c>
      <c r="BV559" s="136" t="e">
        <f>#REF!-#REF!</f>
        <v>#REF!</v>
      </c>
      <c r="BW559" s="136" t="e">
        <f>#REF!-#REF!</f>
        <v>#REF!</v>
      </c>
      <c r="BX559" s="136" t="e">
        <f>#REF!-#REF!</f>
        <v>#REF!</v>
      </c>
      <c r="BZ559" s="136" t="e">
        <f>#REF!-#REF!</f>
        <v>#REF!</v>
      </c>
      <c r="CA559" s="136" t="e">
        <f>#REF!-#REF!</f>
        <v>#REF!</v>
      </c>
    </row>
    <row r="560" spans="7:79" hidden="1" x14ac:dyDescent="0.3">
      <c r="G560" s="136" t="e">
        <f>#REF!-#REF!</f>
        <v>#REF!</v>
      </c>
      <c r="H560" s="136" t="e">
        <f>#REF!-#REF!</f>
        <v>#REF!</v>
      </c>
      <c r="I560" s="136" t="e">
        <f>#REF!-#REF!</f>
        <v>#REF!</v>
      </c>
      <c r="J560" s="136" t="e">
        <f>#REF!-#REF!</f>
        <v>#REF!</v>
      </c>
      <c r="K560" s="136" t="e">
        <f>#REF!-#REF!</f>
        <v>#REF!</v>
      </c>
      <c r="L560" s="136" t="e">
        <f>#REF!-#REF!</f>
        <v>#REF!</v>
      </c>
      <c r="M560" s="136" t="e">
        <f>#REF!-#REF!</f>
        <v>#REF!</v>
      </c>
      <c r="N560" s="136" t="e">
        <f>#REF!-#REF!</f>
        <v>#REF!</v>
      </c>
      <c r="O560" s="136" t="e">
        <f>#REF!-#REF!</f>
        <v>#REF!</v>
      </c>
      <c r="P560" s="136" t="e">
        <f>#REF!-#REF!</f>
        <v>#REF!</v>
      </c>
      <c r="Q560" s="136" t="e">
        <f>#REF!-#REF!</f>
        <v>#REF!</v>
      </c>
      <c r="R560" s="136" t="e">
        <f>#REF!-#REF!</f>
        <v>#REF!</v>
      </c>
      <c r="S560" s="136" t="e">
        <f>#REF!-#REF!</f>
        <v>#REF!</v>
      </c>
      <c r="T560" s="136" t="e">
        <f>#REF!-#REF!</f>
        <v>#REF!</v>
      </c>
      <c r="U560" s="136" t="e">
        <f>#REF!-#REF!</f>
        <v>#REF!</v>
      </c>
      <c r="V560" s="136" t="e">
        <f>#REF!-#REF!</f>
        <v>#REF!</v>
      </c>
      <c r="W560" s="136" t="e">
        <f>#REF!-#REF!</f>
        <v>#REF!</v>
      </c>
      <c r="X560" s="136" t="e">
        <f>#REF!-#REF!</f>
        <v>#REF!</v>
      </c>
      <c r="Y560" s="136" t="e">
        <f>#REF!-#REF!</f>
        <v>#REF!</v>
      </c>
      <c r="Z560" s="136" t="e">
        <f>#REF!-#REF!</f>
        <v>#REF!</v>
      </c>
      <c r="AA560" s="136" t="e">
        <f>#REF!-#REF!</f>
        <v>#REF!</v>
      </c>
      <c r="AB560" s="136" t="e">
        <f>#REF!-#REF!</f>
        <v>#REF!</v>
      </c>
      <c r="AC560" s="136" t="e">
        <f>#REF!-#REF!</f>
        <v>#REF!</v>
      </c>
      <c r="AD560" s="136" t="e">
        <f>#REF!-#REF!</f>
        <v>#REF!</v>
      </c>
      <c r="AE560" s="136" t="e">
        <f>#REF!-#REF!</f>
        <v>#REF!</v>
      </c>
      <c r="AF560" s="136" t="e">
        <f>#REF!-#REF!</f>
        <v>#REF!</v>
      </c>
      <c r="AG560" s="136" t="e">
        <f>#REF!-#REF!</f>
        <v>#REF!</v>
      </c>
      <c r="AH560" s="136" t="e">
        <f>#REF!-#REF!</f>
        <v>#REF!</v>
      </c>
      <c r="AI560" s="136" t="e">
        <f>#REF!-#REF!</f>
        <v>#REF!</v>
      </c>
      <c r="AJ560" s="136" t="e">
        <f>#REF!-#REF!</f>
        <v>#REF!</v>
      </c>
      <c r="AK560" s="136" t="e">
        <f>#REF!-#REF!</f>
        <v>#REF!</v>
      </c>
      <c r="AL560" s="136" t="e">
        <f>#REF!-#REF!</f>
        <v>#REF!</v>
      </c>
      <c r="AM560" s="136" t="e">
        <f>#REF!-#REF!</f>
        <v>#REF!</v>
      </c>
      <c r="AN560" s="136" t="e">
        <f>#REF!-#REF!</f>
        <v>#REF!</v>
      </c>
      <c r="AO560" s="136" t="e">
        <f>#REF!-#REF!</f>
        <v>#REF!</v>
      </c>
      <c r="AP560" s="136" t="e">
        <f>#REF!-#REF!</f>
        <v>#REF!</v>
      </c>
      <c r="AQ560" s="136" t="e">
        <f>#REF!-#REF!</f>
        <v>#REF!</v>
      </c>
      <c r="AR560" s="136" t="e">
        <f>#REF!-#REF!</f>
        <v>#REF!</v>
      </c>
      <c r="AS560" s="136" t="e">
        <f>#REF!-#REF!</f>
        <v>#REF!</v>
      </c>
      <c r="AT560" s="136" t="e">
        <f>#REF!-#REF!</f>
        <v>#REF!</v>
      </c>
      <c r="AU560" s="136" t="e">
        <f>#REF!-#REF!</f>
        <v>#REF!</v>
      </c>
      <c r="AV560" s="136" t="e">
        <f>#REF!-#REF!</f>
        <v>#REF!</v>
      </c>
      <c r="AW560" s="136" t="e">
        <f>#REF!-#REF!</f>
        <v>#REF!</v>
      </c>
      <c r="AX560" s="136" t="e">
        <f>#REF!-#REF!</f>
        <v>#REF!</v>
      </c>
      <c r="AY560" s="136" t="e">
        <f>#REF!-#REF!</f>
        <v>#REF!</v>
      </c>
      <c r="AZ560" s="136" t="e">
        <f>#REF!-#REF!</f>
        <v>#REF!</v>
      </c>
      <c r="BA560" s="136" t="e">
        <f>#REF!-#REF!</f>
        <v>#REF!</v>
      </c>
      <c r="BB560" s="136" t="e">
        <f>#REF!-#REF!</f>
        <v>#REF!</v>
      </c>
      <c r="BC560" s="136" t="e">
        <f>#REF!-#REF!</f>
        <v>#REF!</v>
      </c>
      <c r="BD560" s="136" t="e">
        <f>#REF!-#REF!</f>
        <v>#REF!</v>
      </c>
      <c r="BE560" s="136" t="e">
        <f>#REF!-#REF!</f>
        <v>#REF!</v>
      </c>
      <c r="BF560" s="136" t="e">
        <f>#REF!-#REF!</f>
        <v>#REF!</v>
      </c>
      <c r="BG560" s="136" t="e">
        <f>#REF!-#REF!</f>
        <v>#REF!</v>
      </c>
      <c r="BH560" s="136" t="e">
        <f>#REF!-#REF!</f>
        <v>#REF!</v>
      </c>
      <c r="BI560" s="136" t="e">
        <f>#REF!-#REF!</f>
        <v>#REF!</v>
      </c>
      <c r="BJ560" s="136" t="e">
        <f>#REF!-#REF!</f>
        <v>#REF!</v>
      </c>
      <c r="BK560" s="136" t="e">
        <f>#REF!-#REF!</f>
        <v>#REF!</v>
      </c>
      <c r="BL560" s="136" t="e">
        <f>#REF!-#REF!</f>
        <v>#REF!</v>
      </c>
      <c r="BM560" s="136" t="e">
        <f>#REF!-#REF!</f>
        <v>#REF!</v>
      </c>
      <c r="BN560" s="136" t="e">
        <f>#REF!-#REF!</f>
        <v>#REF!</v>
      </c>
      <c r="BO560" s="136" t="e">
        <f>#REF!-#REF!</f>
        <v>#REF!</v>
      </c>
      <c r="BP560" s="136" t="e">
        <f>#REF!-#REF!</f>
        <v>#REF!</v>
      </c>
      <c r="BQ560" s="136" t="e">
        <f>#REF!-#REF!</f>
        <v>#REF!</v>
      </c>
      <c r="BR560" s="136" t="e">
        <f>#REF!-#REF!</f>
        <v>#REF!</v>
      </c>
      <c r="BS560" s="136" t="e">
        <f>#REF!-#REF!</f>
        <v>#REF!</v>
      </c>
      <c r="BT560" s="136" t="e">
        <f>#REF!-#REF!</f>
        <v>#REF!</v>
      </c>
      <c r="BU560" s="136" t="e">
        <f>#REF!-#REF!</f>
        <v>#REF!</v>
      </c>
      <c r="BV560" s="136" t="e">
        <f>#REF!-#REF!</f>
        <v>#REF!</v>
      </c>
      <c r="BW560" s="136" t="e">
        <f>#REF!-#REF!</f>
        <v>#REF!</v>
      </c>
      <c r="BX560" s="136" t="e">
        <f>#REF!-#REF!</f>
        <v>#REF!</v>
      </c>
      <c r="BZ560" s="136" t="e">
        <f>#REF!-#REF!</f>
        <v>#REF!</v>
      </c>
      <c r="CA560" s="136" t="e">
        <f>#REF!-#REF!</f>
        <v>#REF!</v>
      </c>
    </row>
    <row r="561" spans="7:79" hidden="1" x14ac:dyDescent="0.3">
      <c r="G561" s="136" t="e">
        <f>#REF!-#REF!</f>
        <v>#REF!</v>
      </c>
      <c r="H561" s="136" t="e">
        <f>#REF!-#REF!</f>
        <v>#REF!</v>
      </c>
      <c r="I561" s="136" t="e">
        <f>#REF!-#REF!</f>
        <v>#REF!</v>
      </c>
      <c r="J561" s="136" t="e">
        <f>#REF!-#REF!</f>
        <v>#REF!</v>
      </c>
      <c r="K561" s="136" t="e">
        <f>#REF!-#REF!</f>
        <v>#REF!</v>
      </c>
      <c r="L561" s="136" t="e">
        <f>#REF!-#REF!</f>
        <v>#REF!</v>
      </c>
      <c r="M561" s="136" t="e">
        <f>#REF!-#REF!</f>
        <v>#REF!</v>
      </c>
      <c r="N561" s="136" t="e">
        <f>#REF!-#REF!</f>
        <v>#REF!</v>
      </c>
      <c r="O561" s="136" t="e">
        <f>#REF!-#REF!</f>
        <v>#REF!</v>
      </c>
      <c r="P561" s="136" t="e">
        <f>#REF!-#REF!</f>
        <v>#REF!</v>
      </c>
      <c r="Q561" s="136" t="e">
        <f>#REF!-#REF!</f>
        <v>#REF!</v>
      </c>
      <c r="R561" s="136" t="e">
        <f>#REF!-#REF!</f>
        <v>#REF!</v>
      </c>
      <c r="S561" s="136" t="e">
        <f>#REF!-#REF!</f>
        <v>#REF!</v>
      </c>
      <c r="T561" s="136" t="e">
        <f>#REF!-#REF!</f>
        <v>#REF!</v>
      </c>
      <c r="U561" s="136" t="e">
        <f>#REF!-#REF!</f>
        <v>#REF!</v>
      </c>
      <c r="V561" s="136" t="e">
        <f>#REF!-#REF!</f>
        <v>#REF!</v>
      </c>
      <c r="W561" s="136" t="e">
        <f>#REF!-#REF!</f>
        <v>#REF!</v>
      </c>
      <c r="X561" s="136" t="e">
        <f>#REF!-#REF!</f>
        <v>#REF!</v>
      </c>
      <c r="Y561" s="136" t="e">
        <f>#REF!-#REF!</f>
        <v>#REF!</v>
      </c>
      <c r="Z561" s="136" t="e">
        <f>#REF!-#REF!</f>
        <v>#REF!</v>
      </c>
      <c r="AA561" s="136" t="e">
        <f>#REF!-#REF!</f>
        <v>#REF!</v>
      </c>
      <c r="AB561" s="136" t="e">
        <f>#REF!-#REF!</f>
        <v>#REF!</v>
      </c>
      <c r="AC561" s="136" t="e">
        <f>#REF!-#REF!</f>
        <v>#REF!</v>
      </c>
      <c r="AD561" s="136" t="e">
        <f>#REF!-#REF!</f>
        <v>#REF!</v>
      </c>
      <c r="AE561" s="136" t="e">
        <f>#REF!-#REF!</f>
        <v>#REF!</v>
      </c>
      <c r="AF561" s="136" t="e">
        <f>#REF!-#REF!</f>
        <v>#REF!</v>
      </c>
      <c r="AG561" s="136" t="e">
        <f>#REF!-#REF!</f>
        <v>#REF!</v>
      </c>
      <c r="AH561" s="136" t="e">
        <f>#REF!-#REF!</f>
        <v>#REF!</v>
      </c>
      <c r="AI561" s="136" t="e">
        <f>#REF!-#REF!</f>
        <v>#REF!</v>
      </c>
      <c r="AJ561" s="136" t="e">
        <f>#REF!-#REF!</f>
        <v>#REF!</v>
      </c>
      <c r="AK561" s="136" t="e">
        <f>#REF!-#REF!</f>
        <v>#REF!</v>
      </c>
      <c r="AL561" s="136" t="e">
        <f>#REF!-#REF!</f>
        <v>#REF!</v>
      </c>
      <c r="AM561" s="136" t="e">
        <f>#REF!-#REF!</f>
        <v>#REF!</v>
      </c>
      <c r="AN561" s="136" t="e">
        <f>#REF!-#REF!</f>
        <v>#REF!</v>
      </c>
      <c r="AO561" s="136" t="e">
        <f>#REF!-#REF!</f>
        <v>#REF!</v>
      </c>
      <c r="AP561" s="136" t="e">
        <f>#REF!-#REF!</f>
        <v>#REF!</v>
      </c>
      <c r="AQ561" s="136" t="e">
        <f>#REF!-#REF!</f>
        <v>#REF!</v>
      </c>
      <c r="AR561" s="136" t="e">
        <f>#REF!-#REF!</f>
        <v>#REF!</v>
      </c>
      <c r="AS561" s="136" t="e">
        <f>#REF!-#REF!</f>
        <v>#REF!</v>
      </c>
      <c r="AT561" s="136" t="e">
        <f>#REF!-#REF!</f>
        <v>#REF!</v>
      </c>
      <c r="AU561" s="136" t="e">
        <f>#REF!-#REF!</f>
        <v>#REF!</v>
      </c>
      <c r="AV561" s="136" t="e">
        <f>#REF!-#REF!</f>
        <v>#REF!</v>
      </c>
      <c r="AW561" s="136" t="e">
        <f>#REF!-#REF!</f>
        <v>#REF!</v>
      </c>
      <c r="AX561" s="136" t="e">
        <f>#REF!-#REF!</f>
        <v>#REF!</v>
      </c>
      <c r="AY561" s="136" t="e">
        <f>#REF!-#REF!</f>
        <v>#REF!</v>
      </c>
      <c r="AZ561" s="136" t="e">
        <f>#REF!-#REF!</f>
        <v>#REF!</v>
      </c>
      <c r="BA561" s="136" t="e">
        <f>#REF!-#REF!</f>
        <v>#REF!</v>
      </c>
      <c r="BB561" s="136" t="e">
        <f>#REF!-#REF!</f>
        <v>#REF!</v>
      </c>
      <c r="BC561" s="136" t="e">
        <f>#REF!-#REF!</f>
        <v>#REF!</v>
      </c>
      <c r="BD561" s="136" t="e">
        <f>#REF!-#REF!</f>
        <v>#REF!</v>
      </c>
      <c r="BE561" s="136" t="e">
        <f>#REF!-#REF!</f>
        <v>#REF!</v>
      </c>
      <c r="BF561" s="136" t="e">
        <f>#REF!-#REF!</f>
        <v>#REF!</v>
      </c>
      <c r="BG561" s="136" t="e">
        <f>#REF!-#REF!</f>
        <v>#REF!</v>
      </c>
      <c r="BH561" s="136" t="e">
        <f>#REF!-#REF!</f>
        <v>#REF!</v>
      </c>
      <c r="BI561" s="136" t="e">
        <f>#REF!-#REF!</f>
        <v>#REF!</v>
      </c>
      <c r="BJ561" s="136" t="e">
        <f>#REF!-#REF!</f>
        <v>#REF!</v>
      </c>
      <c r="BK561" s="136" t="e">
        <f>#REF!-#REF!</f>
        <v>#REF!</v>
      </c>
      <c r="BL561" s="136" t="e">
        <f>#REF!-#REF!</f>
        <v>#REF!</v>
      </c>
      <c r="BM561" s="136" t="e">
        <f>#REF!-#REF!</f>
        <v>#REF!</v>
      </c>
      <c r="BN561" s="136" t="e">
        <f>#REF!-#REF!</f>
        <v>#REF!</v>
      </c>
      <c r="BO561" s="136" t="e">
        <f>#REF!-#REF!</f>
        <v>#REF!</v>
      </c>
      <c r="BP561" s="136" t="e">
        <f>#REF!-#REF!</f>
        <v>#REF!</v>
      </c>
      <c r="BQ561" s="136" t="e">
        <f>#REF!-#REF!</f>
        <v>#REF!</v>
      </c>
      <c r="BR561" s="136" t="e">
        <f>#REF!-#REF!</f>
        <v>#REF!</v>
      </c>
      <c r="BS561" s="136" t="e">
        <f>#REF!-#REF!</f>
        <v>#REF!</v>
      </c>
      <c r="BT561" s="136" t="e">
        <f>#REF!-#REF!</f>
        <v>#REF!</v>
      </c>
      <c r="BU561" s="136" t="e">
        <f>#REF!-#REF!</f>
        <v>#REF!</v>
      </c>
      <c r="BV561" s="136" t="e">
        <f>#REF!-#REF!</f>
        <v>#REF!</v>
      </c>
      <c r="BW561" s="136" t="e">
        <f>#REF!-#REF!</f>
        <v>#REF!</v>
      </c>
      <c r="BX561" s="136" t="e">
        <f>#REF!-#REF!</f>
        <v>#REF!</v>
      </c>
      <c r="BZ561" s="136" t="e">
        <f>#REF!-#REF!</f>
        <v>#REF!</v>
      </c>
      <c r="CA561" s="136" t="e">
        <f>#REF!-#REF!</f>
        <v>#REF!</v>
      </c>
    </row>
    <row r="562" spans="7:79" hidden="1" x14ac:dyDescent="0.3">
      <c r="G562" s="136" t="e">
        <f>#REF!-#REF!</f>
        <v>#REF!</v>
      </c>
      <c r="H562" s="136" t="e">
        <f>#REF!-#REF!</f>
        <v>#REF!</v>
      </c>
      <c r="I562" s="136" t="e">
        <f>#REF!-#REF!</f>
        <v>#REF!</v>
      </c>
      <c r="J562" s="136" t="e">
        <f>#REF!-#REF!</f>
        <v>#REF!</v>
      </c>
      <c r="K562" s="136" t="e">
        <f>#REF!-#REF!</f>
        <v>#REF!</v>
      </c>
      <c r="L562" s="136" t="e">
        <f>#REF!-#REF!</f>
        <v>#REF!</v>
      </c>
      <c r="M562" s="136" t="e">
        <f>#REF!-#REF!</f>
        <v>#REF!</v>
      </c>
      <c r="N562" s="136" t="e">
        <f>#REF!-#REF!</f>
        <v>#REF!</v>
      </c>
      <c r="O562" s="136" t="e">
        <f>#REF!-#REF!</f>
        <v>#REF!</v>
      </c>
      <c r="P562" s="136" t="e">
        <f>#REF!-#REF!</f>
        <v>#REF!</v>
      </c>
      <c r="Q562" s="136" t="e">
        <f>#REF!-#REF!</f>
        <v>#REF!</v>
      </c>
      <c r="R562" s="136" t="e">
        <f>#REF!-#REF!</f>
        <v>#REF!</v>
      </c>
      <c r="S562" s="136" t="e">
        <f>#REF!-#REF!</f>
        <v>#REF!</v>
      </c>
      <c r="T562" s="136" t="e">
        <f>#REF!-#REF!</f>
        <v>#REF!</v>
      </c>
      <c r="U562" s="136" t="e">
        <f>#REF!-#REF!</f>
        <v>#REF!</v>
      </c>
      <c r="V562" s="136" t="e">
        <f>#REF!-#REF!</f>
        <v>#REF!</v>
      </c>
      <c r="W562" s="136" t="e">
        <f>#REF!-#REF!</f>
        <v>#REF!</v>
      </c>
      <c r="X562" s="136" t="e">
        <f>#REF!-#REF!</f>
        <v>#REF!</v>
      </c>
      <c r="Y562" s="136" t="e">
        <f>#REF!-#REF!</f>
        <v>#REF!</v>
      </c>
      <c r="Z562" s="136" t="e">
        <f>#REF!-#REF!</f>
        <v>#REF!</v>
      </c>
      <c r="AA562" s="136" t="e">
        <f>#REF!-#REF!</f>
        <v>#REF!</v>
      </c>
      <c r="AB562" s="136" t="e">
        <f>#REF!-#REF!</f>
        <v>#REF!</v>
      </c>
      <c r="AC562" s="136" t="e">
        <f>#REF!-#REF!</f>
        <v>#REF!</v>
      </c>
      <c r="AD562" s="136" t="e">
        <f>#REF!-#REF!</f>
        <v>#REF!</v>
      </c>
      <c r="AE562" s="136" t="e">
        <f>#REF!-#REF!</f>
        <v>#REF!</v>
      </c>
      <c r="AF562" s="136" t="e">
        <f>#REF!-#REF!</f>
        <v>#REF!</v>
      </c>
      <c r="AG562" s="136" t="e">
        <f>#REF!-#REF!</f>
        <v>#REF!</v>
      </c>
      <c r="AH562" s="136" t="e">
        <f>#REF!-#REF!</f>
        <v>#REF!</v>
      </c>
      <c r="AI562" s="136" t="e">
        <f>#REF!-#REF!</f>
        <v>#REF!</v>
      </c>
      <c r="AJ562" s="136" t="e">
        <f>#REF!-#REF!</f>
        <v>#REF!</v>
      </c>
      <c r="AK562" s="136" t="e">
        <f>#REF!-#REF!</f>
        <v>#REF!</v>
      </c>
      <c r="AL562" s="136" t="e">
        <f>#REF!-#REF!</f>
        <v>#REF!</v>
      </c>
      <c r="AM562" s="136" t="e">
        <f>#REF!-#REF!</f>
        <v>#REF!</v>
      </c>
      <c r="AN562" s="136" t="e">
        <f>#REF!-#REF!</f>
        <v>#REF!</v>
      </c>
      <c r="AO562" s="136" t="e">
        <f>#REF!-#REF!</f>
        <v>#REF!</v>
      </c>
      <c r="AP562" s="136" t="e">
        <f>#REF!-#REF!</f>
        <v>#REF!</v>
      </c>
      <c r="AQ562" s="136" t="e">
        <f>#REF!-#REF!</f>
        <v>#REF!</v>
      </c>
      <c r="AR562" s="136" t="e">
        <f>#REF!-#REF!</f>
        <v>#REF!</v>
      </c>
      <c r="AS562" s="136" t="e">
        <f>#REF!-#REF!</f>
        <v>#REF!</v>
      </c>
      <c r="AT562" s="136" t="e">
        <f>#REF!-#REF!</f>
        <v>#REF!</v>
      </c>
      <c r="AU562" s="136" t="e">
        <f>#REF!-#REF!</f>
        <v>#REF!</v>
      </c>
      <c r="AV562" s="136" t="e">
        <f>#REF!-#REF!</f>
        <v>#REF!</v>
      </c>
      <c r="AW562" s="136" t="e">
        <f>#REF!-#REF!</f>
        <v>#REF!</v>
      </c>
      <c r="AX562" s="136" t="e">
        <f>#REF!-#REF!</f>
        <v>#REF!</v>
      </c>
      <c r="AY562" s="136" t="e">
        <f>#REF!-#REF!</f>
        <v>#REF!</v>
      </c>
      <c r="AZ562" s="136" t="e">
        <f>#REF!-#REF!</f>
        <v>#REF!</v>
      </c>
      <c r="BA562" s="136" t="e">
        <f>#REF!-#REF!</f>
        <v>#REF!</v>
      </c>
      <c r="BB562" s="136" t="e">
        <f>#REF!-#REF!</f>
        <v>#REF!</v>
      </c>
      <c r="BC562" s="136" t="e">
        <f>#REF!-#REF!</f>
        <v>#REF!</v>
      </c>
      <c r="BD562" s="136" t="e">
        <f>#REF!-#REF!</f>
        <v>#REF!</v>
      </c>
      <c r="BE562" s="136" t="e">
        <f>#REF!-#REF!</f>
        <v>#REF!</v>
      </c>
      <c r="BF562" s="136" t="e">
        <f>#REF!-#REF!</f>
        <v>#REF!</v>
      </c>
      <c r="BG562" s="136" t="e">
        <f>#REF!-#REF!</f>
        <v>#REF!</v>
      </c>
      <c r="BH562" s="136" t="e">
        <f>#REF!-#REF!</f>
        <v>#REF!</v>
      </c>
      <c r="BI562" s="136" t="e">
        <f>#REF!-#REF!</f>
        <v>#REF!</v>
      </c>
      <c r="BJ562" s="136" t="e">
        <f>#REF!-#REF!</f>
        <v>#REF!</v>
      </c>
      <c r="BK562" s="136" t="e">
        <f>#REF!-#REF!</f>
        <v>#REF!</v>
      </c>
      <c r="BL562" s="136" t="e">
        <f>#REF!-#REF!</f>
        <v>#REF!</v>
      </c>
      <c r="BM562" s="136" t="e">
        <f>#REF!-#REF!</f>
        <v>#REF!</v>
      </c>
      <c r="BN562" s="136" t="e">
        <f>#REF!-#REF!</f>
        <v>#REF!</v>
      </c>
      <c r="BO562" s="136" t="e">
        <f>#REF!-#REF!</f>
        <v>#REF!</v>
      </c>
      <c r="BP562" s="136" t="e">
        <f>#REF!-#REF!</f>
        <v>#REF!</v>
      </c>
      <c r="BQ562" s="136" t="e">
        <f>#REF!-#REF!</f>
        <v>#REF!</v>
      </c>
      <c r="BR562" s="136" t="e">
        <f>#REF!-#REF!</f>
        <v>#REF!</v>
      </c>
      <c r="BS562" s="136" t="e">
        <f>#REF!-#REF!</f>
        <v>#REF!</v>
      </c>
      <c r="BT562" s="136" t="e">
        <f>#REF!-#REF!</f>
        <v>#REF!</v>
      </c>
      <c r="BU562" s="136" t="e">
        <f>#REF!-#REF!</f>
        <v>#REF!</v>
      </c>
      <c r="BV562" s="136" t="e">
        <f>#REF!-#REF!</f>
        <v>#REF!</v>
      </c>
      <c r="BW562" s="136" t="e">
        <f>#REF!-#REF!</f>
        <v>#REF!</v>
      </c>
      <c r="BX562" s="136" t="e">
        <f>#REF!-#REF!</f>
        <v>#REF!</v>
      </c>
      <c r="BZ562" s="136" t="e">
        <f>#REF!-#REF!</f>
        <v>#REF!</v>
      </c>
      <c r="CA562" s="136" t="e">
        <f>#REF!-#REF!</f>
        <v>#REF!</v>
      </c>
    </row>
    <row r="563" spans="7:79" hidden="1" x14ac:dyDescent="0.3">
      <c r="G563" s="136" t="e">
        <f>#REF!-#REF!</f>
        <v>#REF!</v>
      </c>
      <c r="H563" s="136" t="e">
        <f>#REF!-#REF!</f>
        <v>#REF!</v>
      </c>
      <c r="I563" s="136" t="e">
        <f>#REF!-#REF!</f>
        <v>#REF!</v>
      </c>
      <c r="J563" s="136" t="e">
        <f>#REF!-#REF!</f>
        <v>#REF!</v>
      </c>
      <c r="K563" s="136" t="e">
        <f>#REF!-#REF!</f>
        <v>#REF!</v>
      </c>
      <c r="L563" s="136" t="e">
        <f>#REF!-#REF!</f>
        <v>#REF!</v>
      </c>
      <c r="M563" s="136" t="e">
        <f>#REF!-#REF!</f>
        <v>#REF!</v>
      </c>
      <c r="N563" s="136" t="e">
        <f>#REF!-#REF!</f>
        <v>#REF!</v>
      </c>
      <c r="O563" s="136" t="e">
        <f>#REF!-#REF!</f>
        <v>#REF!</v>
      </c>
      <c r="P563" s="136" t="e">
        <f>#REF!-#REF!</f>
        <v>#REF!</v>
      </c>
      <c r="Q563" s="136" t="e">
        <f>#REF!-#REF!</f>
        <v>#REF!</v>
      </c>
      <c r="R563" s="136" t="e">
        <f>#REF!-#REF!</f>
        <v>#REF!</v>
      </c>
      <c r="S563" s="136" t="e">
        <f>#REF!-#REF!</f>
        <v>#REF!</v>
      </c>
      <c r="T563" s="136" t="e">
        <f>#REF!-#REF!</f>
        <v>#REF!</v>
      </c>
      <c r="U563" s="136" t="e">
        <f>#REF!-#REF!</f>
        <v>#REF!</v>
      </c>
      <c r="V563" s="136" t="e">
        <f>#REF!-#REF!</f>
        <v>#REF!</v>
      </c>
      <c r="W563" s="136" t="e">
        <f>#REF!-#REF!</f>
        <v>#REF!</v>
      </c>
      <c r="X563" s="136" t="e">
        <f>#REF!-#REF!</f>
        <v>#REF!</v>
      </c>
      <c r="Y563" s="136" t="e">
        <f>#REF!-#REF!</f>
        <v>#REF!</v>
      </c>
      <c r="Z563" s="136" t="e">
        <f>#REF!-#REF!</f>
        <v>#REF!</v>
      </c>
      <c r="AA563" s="136" t="e">
        <f>#REF!-#REF!</f>
        <v>#REF!</v>
      </c>
      <c r="AB563" s="136" t="e">
        <f>#REF!-#REF!</f>
        <v>#REF!</v>
      </c>
      <c r="AC563" s="136" t="e">
        <f>#REF!-#REF!</f>
        <v>#REF!</v>
      </c>
      <c r="AD563" s="136" t="e">
        <f>#REF!-#REF!</f>
        <v>#REF!</v>
      </c>
      <c r="AE563" s="136" t="e">
        <f>#REF!-#REF!</f>
        <v>#REF!</v>
      </c>
      <c r="AF563" s="136" t="e">
        <f>#REF!-#REF!</f>
        <v>#REF!</v>
      </c>
      <c r="AG563" s="136" t="e">
        <f>#REF!-#REF!</f>
        <v>#REF!</v>
      </c>
      <c r="AH563" s="136" t="e">
        <f>#REF!-#REF!</f>
        <v>#REF!</v>
      </c>
      <c r="AI563" s="136" t="e">
        <f>#REF!-#REF!</f>
        <v>#REF!</v>
      </c>
      <c r="AJ563" s="136" t="e">
        <f>#REF!-#REF!</f>
        <v>#REF!</v>
      </c>
      <c r="AK563" s="136" t="e">
        <f>#REF!-#REF!</f>
        <v>#REF!</v>
      </c>
      <c r="AL563" s="136" t="e">
        <f>#REF!-#REF!</f>
        <v>#REF!</v>
      </c>
      <c r="AM563" s="136" t="e">
        <f>#REF!-#REF!</f>
        <v>#REF!</v>
      </c>
      <c r="AN563" s="136" t="e">
        <f>#REF!-#REF!</f>
        <v>#REF!</v>
      </c>
      <c r="AO563" s="136" t="e">
        <f>#REF!-#REF!</f>
        <v>#REF!</v>
      </c>
      <c r="AP563" s="136" t="e">
        <f>#REF!-#REF!</f>
        <v>#REF!</v>
      </c>
      <c r="AQ563" s="136" t="e">
        <f>#REF!-#REF!</f>
        <v>#REF!</v>
      </c>
      <c r="AR563" s="136" t="e">
        <f>#REF!-#REF!</f>
        <v>#REF!</v>
      </c>
      <c r="AS563" s="136" t="e">
        <f>#REF!-#REF!</f>
        <v>#REF!</v>
      </c>
      <c r="AT563" s="136" t="e">
        <f>#REF!-#REF!</f>
        <v>#REF!</v>
      </c>
      <c r="AU563" s="136" t="e">
        <f>#REF!-#REF!</f>
        <v>#REF!</v>
      </c>
      <c r="AV563" s="136" t="e">
        <f>#REF!-#REF!</f>
        <v>#REF!</v>
      </c>
      <c r="AW563" s="136" t="e">
        <f>#REF!-#REF!</f>
        <v>#REF!</v>
      </c>
      <c r="AX563" s="136" t="e">
        <f>#REF!-#REF!</f>
        <v>#REF!</v>
      </c>
      <c r="AY563" s="136" t="e">
        <f>#REF!-#REF!</f>
        <v>#REF!</v>
      </c>
      <c r="AZ563" s="136" t="e">
        <f>#REF!-#REF!</f>
        <v>#REF!</v>
      </c>
      <c r="BA563" s="136" t="e">
        <f>#REF!-#REF!</f>
        <v>#REF!</v>
      </c>
      <c r="BB563" s="136" t="e">
        <f>#REF!-#REF!</f>
        <v>#REF!</v>
      </c>
      <c r="BC563" s="136" t="e">
        <f>#REF!-#REF!</f>
        <v>#REF!</v>
      </c>
      <c r="BD563" s="136" t="e">
        <f>#REF!-#REF!</f>
        <v>#REF!</v>
      </c>
      <c r="BE563" s="136" t="e">
        <f>#REF!-#REF!</f>
        <v>#REF!</v>
      </c>
      <c r="BF563" s="136" t="e">
        <f>#REF!-#REF!</f>
        <v>#REF!</v>
      </c>
      <c r="BG563" s="136" t="e">
        <f>#REF!-#REF!</f>
        <v>#REF!</v>
      </c>
      <c r="BH563" s="136" t="e">
        <f>#REF!-#REF!</f>
        <v>#REF!</v>
      </c>
      <c r="BI563" s="136" t="e">
        <f>#REF!-#REF!</f>
        <v>#REF!</v>
      </c>
      <c r="BJ563" s="136" t="e">
        <f>#REF!-#REF!</f>
        <v>#REF!</v>
      </c>
      <c r="BK563" s="136" t="e">
        <f>#REF!-#REF!</f>
        <v>#REF!</v>
      </c>
      <c r="BL563" s="136" t="e">
        <f>#REF!-#REF!</f>
        <v>#REF!</v>
      </c>
      <c r="BM563" s="136" t="e">
        <f>#REF!-#REF!</f>
        <v>#REF!</v>
      </c>
      <c r="BN563" s="136" t="e">
        <f>#REF!-#REF!</f>
        <v>#REF!</v>
      </c>
      <c r="BO563" s="136" t="e">
        <f>#REF!-#REF!</f>
        <v>#REF!</v>
      </c>
      <c r="BP563" s="136" t="e">
        <f>#REF!-#REF!</f>
        <v>#REF!</v>
      </c>
      <c r="BQ563" s="136" t="e">
        <f>#REF!-#REF!</f>
        <v>#REF!</v>
      </c>
      <c r="BR563" s="136" t="e">
        <f>#REF!-#REF!</f>
        <v>#REF!</v>
      </c>
      <c r="BS563" s="136" t="e">
        <f>#REF!-#REF!</f>
        <v>#REF!</v>
      </c>
      <c r="BT563" s="136" t="e">
        <f>#REF!-#REF!</f>
        <v>#REF!</v>
      </c>
      <c r="BU563" s="136" t="e">
        <f>#REF!-#REF!</f>
        <v>#REF!</v>
      </c>
      <c r="BV563" s="136" t="e">
        <f>#REF!-#REF!</f>
        <v>#REF!</v>
      </c>
      <c r="BW563" s="136" t="e">
        <f>#REF!-#REF!</f>
        <v>#REF!</v>
      </c>
      <c r="BX563" s="136" t="e">
        <f>#REF!-#REF!</f>
        <v>#REF!</v>
      </c>
      <c r="BZ563" s="136" t="e">
        <f>#REF!-#REF!</f>
        <v>#REF!</v>
      </c>
      <c r="CA563" s="136" t="e">
        <f>#REF!-#REF!</f>
        <v>#REF!</v>
      </c>
    </row>
    <row r="564" spans="7:79" hidden="1" x14ac:dyDescent="0.3">
      <c r="G564" s="136" t="e">
        <f>#REF!-#REF!</f>
        <v>#REF!</v>
      </c>
      <c r="H564" s="136" t="e">
        <f>#REF!-#REF!</f>
        <v>#REF!</v>
      </c>
      <c r="I564" s="136" t="e">
        <f>#REF!-#REF!</f>
        <v>#REF!</v>
      </c>
      <c r="J564" s="136" t="e">
        <f>#REF!-#REF!</f>
        <v>#REF!</v>
      </c>
      <c r="K564" s="136" t="e">
        <f>#REF!-#REF!</f>
        <v>#REF!</v>
      </c>
      <c r="L564" s="136" t="e">
        <f>#REF!-#REF!</f>
        <v>#REF!</v>
      </c>
      <c r="M564" s="136" t="e">
        <f>#REF!-#REF!</f>
        <v>#REF!</v>
      </c>
      <c r="N564" s="136" t="e">
        <f>#REF!-#REF!</f>
        <v>#REF!</v>
      </c>
      <c r="O564" s="136" t="e">
        <f>#REF!-#REF!</f>
        <v>#REF!</v>
      </c>
      <c r="P564" s="136" t="e">
        <f>#REF!-#REF!</f>
        <v>#REF!</v>
      </c>
      <c r="Q564" s="136" t="e">
        <f>#REF!-#REF!</f>
        <v>#REF!</v>
      </c>
      <c r="R564" s="136" t="e">
        <f>#REF!-#REF!</f>
        <v>#REF!</v>
      </c>
      <c r="S564" s="136" t="e">
        <f>#REF!-#REF!</f>
        <v>#REF!</v>
      </c>
      <c r="T564" s="136" t="e">
        <f>#REF!-#REF!</f>
        <v>#REF!</v>
      </c>
      <c r="U564" s="136" t="e">
        <f>#REF!-#REF!</f>
        <v>#REF!</v>
      </c>
      <c r="V564" s="136" t="e">
        <f>#REF!-#REF!</f>
        <v>#REF!</v>
      </c>
      <c r="W564" s="136" t="e">
        <f>#REF!-#REF!</f>
        <v>#REF!</v>
      </c>
      <c r="X564" s="136" t="e">
        <f>#REF!-#REF!</f>
        <v>#REF!</v>
      </c>
      <c r="Y564" s="136" t="e">
        <f>#REF!-#REF!</f>
        <v>#REF!</v>
      </c>
      <c r="Z564" s="136" t="e">
        <f>#REF!-#REF!</f>
        <v>#REF!</v>
      </c>
      <c r="AA564" s="136" t="e">
        <f>#REF!-#REF!</f>
        <v>#REF!</v>
      </c>
      <c r="AB564" s="136" t="e">
        <f>#REF!-#REF!</f>
        <v>#REF!</v>
      </c>
      <c r="AC564" s="136" t="e">
        <f>#REF!-#REF!</f>
        <v>#REF!</v>
      </c>
      <c r="AD564" s="136" t="e">
        <f>#REF!-#REF!</f>
        <v>#REF!</v>
      </c>
      <c r="AE564" s="136" t="e">
        <f>#REF!-#REF!</f>
        <v>#REF!</v>
      </c>
      <c r="AF564" s="136" t="e">
        <f>#REF!-#REF!</f>
        <v>#REF!</v>
      </c>
      <c r="AG564" s="136" t="e">
        <f>#REF!-#REF!</f>
        <v>#REF!</v>
      </c>
      <c r="AH564" s="136" t="e">
        <f>#REF!-#REF!</f>
        <v>#REF!</v>
      </c>
      <c r="AI564" s="136" t="e">
        <f>#REF!-#REF!</f>
        <v>#REF!</v>
      </c>
      <c r="AJ564" s="136" t="e">
        <f>#REF!-#REF!</f>
        <v>#REF!</v>
      </c>
      <c r="AK564" s="136" t="e">
        <f>#REF!-#REF!</f>
        <v>#REF!</v>
      </c>
      <c r="AL564" s="136" t="e">
        <f>#REF!-#REF!</f>
        <v>#REF!</v>
      </c>
      <c r="AM564" s="136" t="e">
        <f>#REF!-#REF!</f>
        <v>#REF!</v>
      </c>
      <c r="AN564" s="136" t="e">
        <f>#REF!-#REF!</f>
        <v>#REF!</v>
      </c>
      <c r="AO564" s="136" t="e">
        <f>#REF!-#REF!</f>
        <v>#REF!</v>
      </c>
      <c r="AP564" s="136" t="e">
        <f>#REF!-#REF!</f>
        <v>#REF!</v>
      </c>
      <c r="AQ564" s="136" t="e">
        <f>#REF!-#REF!</f>
        <v>#REF!</v>
      </c>
      <c r="AR564" s="136" t="e">
        <f>#REF!-#REF!</f>
        <v>#REF!</v>
      </c>
      <c r="AS564" s="136" t="e">
        <f>#REF!-#REF!</f>
        <v>#REF!</v>
      </c>
      <c r="AT564" s="136" t="e">
        <f>#REF!-#REF!</f>
        <v>#REF!</v>
      </c>
      <c r="AU564" s="136" t="e">
        <f>#REF!-#REF!</f>
        <v>#REF!</v>
      </c>
      <c r="AV564" s="136" t="e">
        <f>#REF!-#REF!</f>
        <v>#REF!</v>
      </c>
      <c r="AW564" s="136" t="e">
        <f>#REF!-#REF!</f>
        <v>#REF!</v>
      </c>
      <c r="AX564" s="136" t="e">
        <f>#REF!-#REF!</f>
        <v>#REF!</v>
      </c>
      <c r="AY564" s="136" t="e">
        <f>#REF!-#REF!</f>
        <v>#REF!</v>
      </c>
      <c r="AZ564" s="136" t="e">
        <f>#REF!-#REF!</f>
        <v>#REF!</v>
      </c>
      <c r="BA564" s="136" t="e">
        <f>#REF!-#REF!</f>
        <v>#REF!</v>
      </c>
      <c r="BB564" s="136" t="e">
        <f>#REF!-#REF!</f>
        <v>#REF!</v>
      </c>
      <c r="BC564" s="136" t="e">
        <f>#REF!-#REF!</f>
        <v>#REF!</v>
      </c>
      <c r="BD564" s="136" t="e">
        <f>#REF!-#REF!</f>
        <v>#REF!</v>
      </c>
      <c r="BE564" s="136" t="e">
        <f>#REF!-#REF!</f>
        <v>#REF!</v>
      </c>
      <c r="BF564" s="136" t="e">
        <f>#REF!-#REF!</f>
        <v>#REF!</v>
      </c>
      <c r="BG564" s="136" t="e">
        <f>#REF!-#REF!</f>
        <v>#REF!</v>
      </c>
      <c r="BH564" s="136" t="e">
        <f>#REF!-#REF!</f>
        <v>#REF!</v>
      </c>
      <c r="BI564" s="136" t="e">
        <f>#REF!-#REF!</f>
        <v>#REF!</v>
      </c>
      <c r="BJ564" s="136" t="e">
        <f>#REF!-#REF!</f>
        <v>#REF!</v>
      </c>
      <c r="BK564" s="136" t="e">
        <f>#REF!-#REF!</f>
        <v>#REF!</v>
      </c>
      <c r="BL564" s="136" t="e">
        <f>#REF!-#REF!</f>
        <v>#REF!</v>
      </c>
      <c r="BM564" s="136" t="e">
        <f>#REF!-#REF!</f>
        <v>#REF!</v>
      </c>
      <c r="BN564" s="136" t="e">
        <f>#REF!-#REF!</f>
        <v>#REF!</v>
      </c>
      <c r="BO564" s="136" t="e">
        <f>#REF!-#REF!</f>
        <v>#REF!</v>
      </c>
      <c r="BP564" s="136" t="e">
        <f>#REF!-#REF!</f>
        <v>#REF!</v>
      </c>
      <c r="BQ564" s="136" t="e">
        <f>#REF!-#REF!</f>
        <v>#REF!</v>
      </c>
      <c r="BR564" s="136" t="e">
        <f>#REF!-#REF!</f>
        <v>#REF!</v>
      </c>
      <c r="BS564" s="136" t="e">
        <f>#REF!-#REF!</f>
        <v>#REF!</v>
      </c>
      <c r="BT564" s="136" t="e">
        <f>#REF!-#REF!</f>
        <v>#REF!</v>
      </c>
      <c r="BU564" s="136" t="e">
        <f>#REF!-#REF!</f>
        <v>#REF!</v>
      </c>
      <c r="BV564" s="136" t="e">
        <f>#REF!-#REF!</f>
        <v>#REF!</v>
      </c>
      <c r="BW564" s="136" t="e">
        <f>#REF!-#REF!</f>
        <v>#REF!</v>
      </c>
      <c r="BX564" s="136" t="e">
        <f>#REF!-#REF!</f>
        <v>#REF!</v>
      </c>
      <c r="BZ564" s="136" t="e">
        <f>#REF!-#REF!</f>
        <v>#REF!</v>
      </c>
      <c r="CA564" s="136" t="e">
        <f>#REF!-#REF!</f>
        <v>#REF!</v>
      </c>
    </row>
    <row r="565" spans="7:79" hidden="1" x14ac:dyDescent="0.3">
      <c r="G565" s="136" t="e">
        <f>#REF!-#REF!</f>
        <v>#REF!</v>
      </c>
      <c r="H565" s="136" t="e">
        <f>#REF!-#REF!</f>
        <v>#REF!</v>
      </c>
      <c r="I565" s="136" t="e">
        <f>#REF!-#REF!</f>
        <v>#REF!</v>
      </c>
      <c r="J565" s="136" t="e">
        <f>#REF!-#REF!</f>
        <v>#REF!</v>
      </c>
      <c r="K565" s="136" t="e">
        <f>#REF!-#REF!</f>
        <v>#REF!</v>
      </c>
      <c r="L565" s="136" t="e">
        <f>#REF!-#REF!</f>
        <v>#REF!</v>
      </c>
      <c r="M565" s="136" t="e">
        <f>#REF!-#REF!</f>
        <v>#REF!</v>
      </c>
      <c r="N565" s="136" t="e">
        <f>#REF!-#REF!</f>
        <v>#REF!</v>
      </c>
      <c r="O565" s="136" t="e">
        <f>#REF!-#REF!</f>
        <v>#REF!</v>
      </c>
      <c r="P565" s="136" t="e">
        <f>#REF!-#REF!</f>
        <v>#REF!</v>
      </c>
      <c r="Q565" s="136" t="e">
        <f>#REF!-#REF!</f>
        <v>#REF!</v>
      </c>
      <c r="R565" s="136" t="e">
        <f>#REF!-#REF!</f>
        <v>#REF!</v>
      </c>
      <c r="S565" s="136" t="e">
        <f>#REF!-#REF!</f>
        <v>#REF!</v>
      </c>
      <c r="T565" s="136" t="e">
        <f>#REF!-#REF!</f>
        <v>#REF!</v>
      </c>
      <c r="U565" s="136" t="e">
        <f>#REF!-#REF!</f>
        <v>#REF!</v>
      </c>
      <c r="V565" s="136" t="e">
        <f>#REF!-#REF!</f>
        <v>#REF!</v>
      </c>
      <c r="W565" s="136" t="e">
        <f>#REF!-#REF!</f>
        <v>#REF!</v>
      </c>
      <c r="X565" s="136" t="e">
        <f>#REF!-#REF!</f>
        <v>#REF!</v>
      </c>
      <c r="Y565" s="136" t="e">
        <f>#REF!-#REF!</f>
        <v>#REF!</v>
      </c>
      <c r="Z565" s="136" t="e">
        <f>#REF!-#REF!</f>
        <v>#REF!</v>
      </c>
      <c r="AA565" s="136" t="e">
        <f>#REF!-#REF!</f>
        <v>#REF!</v>
      </c>
      <c r="AB565" s="136" t="e">
        <f>#REF!-#REF!</f>
        <v>#REF!</v>
      </c>
      <c r="AC565" s="136" t="e">
        <f>#REF!-#REF!</f>
        <v>#REF!</v>
      </c>
      <c r="AD565" s="136" t="e">
        <f>#REF!-#REF!</f>
        <v>#REF!</v>
      </c>
      <c r="AE565" s="136" t="e">
        <f>#REF!-#REF!</f>
        <v>#REF!</v>
      </c>
      <c r="AF565" s="136" t="e">
        <f>#REF!-#REF!</f>
        <v>#REF!</v>
      </c>
      <c r="AG565" s="136" t="e">
        <f>#REF!-#REF!</f>
        <v>#REF!</v>
      </c>
      <c r="AH565" s="136" t="e">
        <f>#REF!-#REF!</f>
        <v>#REF!</v>
      </c>
      <c r="AI565" s="136" t="e">
        <f>#REF!-#REF!</f>
        <v>#REF!</v>
      </c>
      <c r="AJ565" s="136" t="e">
        <f>#REF!-#REF!</f>
        <v>#REF!</v>
      </c>
      <c r="AK565" s="136" t="e">
        <f>#REF!-#REF!</f>
        <v>#REF!</v>
      </c>
      <c r="AL565" s="136" t="e">
        <f>#REF!-#REF!</f>
        <v>#REF!</v>
      </c>
      <c r="AM565" s="136" t="e">
        <f>#REF!-#REF!</f>
        <v>#REF!</v>
      </c>
      <c r="AN565" s="136" t="e">
        <f>#REF!-#REF!</f>
        <v>#REF!</v>
      </c>
      <c r="AO565" s="136" t="e">
        <f>#REF!-#REF!</f>
        <v>#REF!</v>
      </c>
      <c r="AP565" s="136" t="e">
        <f>#REF!-#REF!</f>
        <v>#REF!</v>
      </c>
      <c r="AQ565" s="136" t="e">
        <f>#REF!-#REF!</f>
        <v>#REF!</v>
      </c>
      <c r="AR565" s="136" t="e">
        <f>#REF!-#REF!</f>
        <v>#REF!</v>
      </c>
      <c r="AS565" s="136" t="e">
        <f>#REF!-#REF!</f>
        <v>#REF!</v>
      </c>
      <c r="AT565" s="136" t="e">
        <f>#REF!-#REF!</f>
        <v>#REF!</v>
      </c>
      <c r="AU565" s="136" t="e">
        <f>#REF!-#REF!</f>
        <v>#REF!</v>
      </c>
      <c r="AV565" s="136" t="e">
        <f>#REF!-#REF!</f>
        <v>#REF!</v>
      </c>
      <c r="AW565" s="136" t="e">
        <f>#REF!-#REF!</f>
        <v>#REF!</v>
      </c>
      <c r="AX565" s="136" t="e">
        <f>#REF!-#REF!</f>
        <v>#REF!</v>
      </c>
      <c r="AY565" s="136" t="e">
        <f>#REF!-#REF!</f>
        <v>#REF!</v>
      </c>
      <c r="AZ565" s="136" t="e">
        <f>#REF!-#REF!</f>
        <v>#REF!</v>
      </c>
      <c r="BA565" s="136" t="e">
        <f>#REF!-#REF!</f>
        <v>#REF!</v>
      </c>
      <c r="BB565" s="136" t="e">
        <f>#REF!-#REF!</f>
        <v>#REF!</v>
      </c>
      <c r="BC565" s="136" t="e">
        <f>#REF!-#REF!</f>
        <v>#REF!</v>
      </c>
      <c r="BD565" s="136" t="e">
        <f>#REF!-#REF!</f>
        <v>#REF!</v>
      </c>
      <c r="BE565" s="136" t="e">
        <f>#REF!-#REF!</f>
        <v>#REF!</v>
      </c>
      <c r="BF565" s="136" t="e">
        <f>#REF!-#REF!</f>
        <v>#REF!</v>
      </c>
      <c r="BG565" s="136" t="e">
        <f>#REF!-#REF!</f>
        <v>#REF!</v>
      </c>
      <c r="BH565" s="136" t="e">
        <f>#REF!-#REF!</f>
        <v>#REF!</v>
      </c>
      <c r="BI565" s="136" t="e">
        <f>#REF!-#REF!</f>
        <v>#REF!</v>
      </c>
      <c r="BJ565" s="136" t="e">
        <f>#REF!-#REF!</f>
        <v>#REF!</v>
      </c>
      <c r="BK565" s="136" t="e">
        <f>#REF!-#REF!</f>
        <v>#REF!</v>
      </c>
      <c r="BL565" s="136" t="e">
        <f>#REF!-#REF!</f>
        <v>#REF!</v>
      </c>
      <c r="BM565" s="136" t="e">
        <f>#REF!-#REF!</f>
        <v>#REF!</v>
      </c>
      <c r="BN565" s="136" t="e">
        <f>#REF!-#REF!</f>
        <v>#REF!</v>
      </c>
      <c r="BO565" s="136" t="e">
        <f>#REF!-#REF!</f>
        <v>#REF!</v>
      </c>
      <c r="BP565" s="136" t="e">
        <f>#REF!-#REF!</f>
        <v>#REF!</v>
      </c>
      <c r="BQ565" s="136" t="e">
        <f>#REF!-#REF!</f>
        <v>#REF!</v>
      </c>
      <c r="BR565" s="136" t="e">
        <f>#REF!-#REF!</f>
        <v>#REF!</v>
      </c>
      <c r="BS565" s="136" t="e">
        <f>#REF!-#REF!</f>
        <v>#REF!</v>
      </c>
      <c r="BT565" s="136" t="e">
        <f>#REF!-#REF!</f>
        <v>#REF!</v>
      </c>
      <c r="BU565" s="136" t="e">
        <f>#REF!-#REF!</f>
        <v>#REF!</v>
      </c>
      <c r="BV565" s="136" t="e">
        <f>#REF!-#REF!</f>
        <v>#REF!</v>
      </c>
      <c r="BW565" s="136" t="e">
        <f>#REF!-#REF!</f>
        <v>#REF!</v>
      </c>
      <c r="BX565" s="136" t="e">
        <f>#REF!-#REF!</f>
        <v>#REF!</v>
      </c>
      <c r="BZ565" s="136" t="e">
        <f>#REF!-#REF!</f>
        <v>#REF!</v>
      </c>
      <c r="CA565" s="136" t="e">
        <f>#REF!-#REF!</f>
        <v>#REF!</v>
      </c>
    </row>
    <row r="566" spans="7:79" hidden="1" x14ac:dyDescent="0.3">
      <c r="G566" s="136" t="e">
        <f>#REF!-#REF!</f>
        <v>#REF!</v>
      </c>
      <c r="H566" s="136" t="e">
        <f>#REF!-#REF!</f>
        <v>#REF!</v>
      </c>
      <c r="I566" s="136" t="e">
        <f>#REF!-#REF!</f>
        <v>#REF!</v>
      </c>
      <c r="J566" s="136" t="e">
        <f>#REF!-#REF!</f>
        <v>#REF!</v>
      </c>
      <c r="K566" s="136" t="e">
        <f>#REF!-#REF!</f>
        <v>#REF!</v>
      </c>
      <c r="L566" s="136" t="e">
        <f>#REF!-#REF!</f>
        <v>#REF!</v>
      </c>
      <c r="M566" s="136" t="e">
        <f>#REF!-#REF!</f>
        <v>#REF!</v>
      </c>
      <c r="N566" s="136" t="e">
        <f>#REF!-#REF!</f>
        <v>#REF!</v>
      </c>
      <c r="O566" s="136" t="e">
        <f>#REF!-#REF!</f>
        <v>#REF!</v>
      </c>
      <c r="P566" s="136" t="e">
        <f>#REF!-#REF!</f>
        <v>#REF!</v>
      </c>
      <c r="Q566" s="136" t="e">
        <f>#REF!-#REF!</f>
        <v>#REF!</v>
      </c>
      <c r="R566" s="136" t="e">
        <f>#REF!-#REF!</f>
        <v>#REF!</v>
      </c>
      <c r="S566" s="136" t="e">
        <f>#REF!-#REF!</f>
        <v>#REF!</v>
      </c>
      <c r="T566" s="136" t="e">
        <f>#REF!-#REF!</f>
        <v>#REF!</v>
      </c>
      <c r="U566" s="136" t="e">
        <f>#REF!-#REF!</f>
        <v>#REF!</v>
      </c>
      <c r="V566" s="136" t="e">
        <f>#REF!-#REF!</f>
        <v>#REF!</v>
      </c>
      <c r="W566" s="136" t="e">
        <f>#REF!-#REF!</f>
        <v>#REF!</v>
      </c>
      <c r="X566" s="136" t="e">
        <f>#REF!-#REF!</f>
        <v>#REF!</v>
      </c>
      <c r="Y566" s="136" t="e">
        <f>#REF!-#REF!</f>
        <v>#REF!</v>
      </c>
      <c r="Z566" s="136" t="e">
        <f>#REF!-#REF!</f>
        <v>#REF!</v>
      </c>
      <c r="AA566" s="136" t="e">
        <f>#REF!-#REF!</f>
        <v>#REF!</v>
      </c>
      <c r="AB566" s="136" t="e">
        <f>#REF!-#REF!</f>
        <v>#REF!</v>
      </c>
      <c r="AC566" s="136" t="e">
        <f>#REF!-#REF!</f>
        <v>#REF!</v>
      </c>
      <c r="AD566" s="136" t="e">
        <f>#REF!-#REF!</f>
        <v>#REF!</v>
      </c>
      <c r="AE566" s="136" t="e">
        <f>#REF!-#REF!</f>
        <v>#REF!</v>
      </c>
      <c r="AF566" s="136" t="e">
        <f>#REF!-#REF!</f>
        <v>#REF!</v>
      </c>
      <c r="AG566" s="136" t="e">
        <f>#REF!-#REF!</f>
        <v>#REF!</v>
      </c>
      <c r="AH566" s="136" t="e">
        <f>#REF!-#REF!</f>
        <v>#REF!</v>
      </c>
      <c r="AI566" s="136" t="e">
        <f>#REF!-#REF!</f>
        <v>#REF!</v>
      </c>
      <c r="AJ566" s="136" t="e">
        <f>#REF!-#REF!</f>
        <v>#REF!</v>
      </c>
      <c r="AK566" s="136" t="e">
        <f>#REF!-#REF!</f>
        <v>#REF!</v>
      </c>
      <c r="AL566" s="136" t="e">
        <f>#REF!-#REF!</f>
        <v>#REF!</v>
      </c>
      <c r="AM566" s="136" t="e">
        <f>#REF!-#REF!</f>
        <v>#REF!</v>
      </c>
      <c r="AN566" s="136" t="e">
        <f>#REF!-#REF!</f>
        <v>#REF!</v>
      </c>
      <c r="AO566" s="136" t="e">
        <f>#REF!-#REF!</f>
        <v>#REF!</v>
      </c>
      <c r="AP566" s="136" t="e">
        <f>#REF!-#REF!</f>
        <v>#REF!</v>
      </c>
      <c r="AQ566" s="136" t="e">
        <f>#REF!-#REF!</f>
        <v>#REF!</v>
      </c>
      <c r="AR566" s="136" t="e">
        <f>#REF!-#REF!</f>
        <v>#REF!</v>
      </c>
      <c r="AS566" s="136" t="e">
        <f>#REF!-#REF!</f>
        <v>#REF!</v>
      </c>
      <c r="AT566" s="136" t="e">
        <f>#REF!-#REF!</f>
        <v>#REF!</v>
      </c>
      <c r="AU566" s="136" t="e">
        <f>#REF!-#REF!</f>
        <v>#REF!</v>
      </c>
      <c r="AV566" s="136" t="e">
        <f>#REF!-#REF!</f>
        <v>#REF!</v>
      </c>
      <c r="AW566" s="136" t="e">
        <f>#REF!-#REF!</f>
        <v>#REF!</v>
      </c>
      <c r="AX566" s="136" t="e">
        <f>#REF!-#REF!</f>
        <v>#REF!</v>
      </c>
      <c r="AY566" s="136" t="e">
        <f>#REF!-#REF!</f>
        <v>#REF!</v>
      </c>
      <c r="AZ566" s="136" t="e">
        <f>#REF!-#REF!</f>
        <v>#REF!</v>
      </c>
      <c r="BA566" s="136" t="e">
        <f>#REF!-#REF!</f>
        <v>#REF!</v>
      </c>
      <c r="BB566" s="136" t="e">
        <f>#REF!-#REF!</f>
        <v>#REF!</v>
      </c>
      <c r="BC566" s="136" t="e">
        <f>#REF!-#REF!</f>
        <v>#REF!</v>
      </c>
      <c r="BD566" s="136" t="e">
        <f>#REF!-#REF!</f>
        <v>#REF!</v>
      </c>
      <c r="BE566" s="136" t="e">
        <f>#REF!-#REF!</f>
        <v>#REF!</v>
      </c>
      <c r="BF566" s="136" t="e">
        <f>#REF!-#REF!</f>
        <v>#REF!</v>
      </c>
      <c r="BG566" s="136" t="e">
        <f>#REF!-#REF!</f>
        <v>#REF!</v>
      </c>
      <c r="BH566" s="136" t="e">
        <f>#REF!-#REF!</f>
        <v>#REF!</v>
      </c>
      <c r="BI566" s="136" t="e">
        <f>#REF!-#REF!</f>
        <v>#REF!</v>
      </c>
      <c r="BJ566" s="136" t="e">
        <f>#REF!-#REF!</f>
        <v>#REF!</v>
      </c>
      <c r="BK566" s="136" t="e">
        <f>#REF!-#REF!</f>
        <v>#REF!</v>
      </c>
      <c r="BL566" s="136" t="e">
        <f>#REF!-#REF!</f>
        <v>#REF!</v>
      </c>
      <c r="BM566" s="136" t="e">
        <f>#REF!-#REF!</f>
        <v>#REF!</v>
      </c>
      <c r="BN566" s="136" t="e">
        <f>#REF!-#REF!</f>
        <v>#REF!</v>
      </c>
      <c r="BO566" s="136" t="e">
        <f>#REF!-#REF!</f>
        <v>#REF!</v>
      </c>
      <c r="BP566" s="136" t="e">
        <f>#REF!-#REF!</f>
        <v>#REF!</v>
      </c>
      <c r="BQ566" s="136" t="e">
        <f>#REF!-#REF!</f>
        <v>#REF!</v>
      </c>
      <c r="BR566" s="136" t="e">
        <f>#REF!-#REF!</f>
        <v>#REF!</v>
      </c>
      <c r="BS566" s="136" t="e">
        <f>#REF!-#REF!</f>
        <v>#REF!</v>
      </c>
      <c r="BT566" s="136" t="e">
        <f>#REF!-#REF!</f>
        <v>#REF!</v>
      </c>
      <c r="BU566" s="136" t="e">
        <f>#REF!-#REF!</f>
        <v>#REF!</v>
      </c>
      <c r="BV566" s="136" t="e">
        <f>#REF!-#REF!</f>
        <v>#REF!</v>
      </c>
      <c r="BW566" s="136" t="e">
        <f>#REF!-#REF!</f>
        <v>#REF!</v>
      </c>
      <c r="BX566" s="136" t="e">
        <f>#REF!-#REF!</f>
        <v>#REF!</v>
      </c>
      <c r="BZ566" s="136" t="e">
        <f>#REF!-#REF!</f>
        <v>#REF!</v>
      </c>
      <c r="CA566" s="136" t="e">
        <f>#REF!-#REF!</f>
        <v>#REF!</v>
      </c>
    </row>
    <row r="567" spans="7:79" hidden="1" x14ac:dyDescent="0.3">
      <c r="G567" s="136" t="e">
        <f>#REF!-#REF!</f>
        <v>#REF!</v>
      </c>
      <c r="H567" s="136" t="e">
        <f>#REF!-#REF!</f>
        <v>#REF!</v>
      </c>
      <c r="I567" s="136" t="e">
        <f>#REF!-#REF!</f>
        <v>#REF!</v>
      </c>
      <c r="J567" s="136" t="e">
        <f>#REF!-#REF!</f>
        <v>#REF!</v>
      </c>
      <c r="K567" s="136" t="e">
        <f>#REF!-#REF!</f>
        <v>#REF!</v>
      </c>
      <c r="L567" s="136" t="e">
        <f>#REF!-#REF!</f>
        <v>#REF!</v>
      </c>
      <c r="M567" s="136" t="e">
        <f>#REF!-#REF!</f>
        <v>#REF!</v>
      </c>
      <c r="N567" s="136" t="e">
        <f>#REF!-#REF!</f>
        <v>#REF!</v>
      </c>
      <c r="O567" s="136" t="e">
        <f>#REF!-#REF!</f>
        <v>#REF!</v>
      </c>
      <c r="P567" s="136" t="e">
        <f>#REF!-#REF!</f>
        <v>#REF!</v>
      </c>
      <c r="Q567" s="136" t="e">
        <f>#REF!-#REF!</f>
        <v>#REF!</v>
      </c>
      <c r="R567" s="136" t="e">
        <f>#REF!-#REF!</f>
        <v>#REF!</v>
      </c>
      <c r="S567" s="136" t="e">
        <f>#REF!-#REF!</f>
        <v>#REF!</v>
      </c>
      <c r="T567" s="136" t="e">
        <f>#REF!-#REF!</f>
        <v>#REF!</v>
      </c>
      <c r="U567" s="136" t="e">
        <f>#REF!-#REF!</f>
        <v>#REF!</v>
      </c>
      <c r="V567" s="136" t="e">
        <f>#REF!-#REF!</f>
        <v>#REF!</v>
      </c>
      <c r="W567" s="136" t="e">
        <f>#REF!-#REF!</f>
        <v>#REF!</v>
      </c>
      <c r="X567" s="136" t="e">
        <f>#REF!-#REF!</f>
        <v>#REF!</v>
      </c>
      <c r="Y567" s="136" t="e">
        <f>#REF!-#REF!</f>
        <v>#REF!</v>
      </c>
      <c r="Z567" s="136" t="e">
        <f>#REF!-#REF!</f>
        <v>#REF!</v>
      </c>
      <c r="AA567" s="136" t="e">
        <f>#REF!-#REF!</f>
        <v>#REF!</v>
      </c>
      <c r="AB567" s="136" t="e">
        <f>#REF!-#REF!</f>
        <v>#REF!</v>
      </c>
      <c r="AC567" s="136" t="e">
        <f>#REF!-#REF!</f>
        <v>#REF!</v>
      </c>
      <c r="AD567" s="136" t="e">
        <f>#REF!-#REF!</f>
        <v>#REF!</v>
      </c>
      <c r="AE567" s="136" t="e">
        <f>#REF!-#REF!</f>
        <v>#REF!</v>
      </c>
      <c r="AF567" s="136" t="e">
        <f>#REF!-#REF!</f>
        <v>#REF!</v>
      </c>
      <c r="AG567" s="136" t="e">
        <f>#REF!-#REF!</f>
        <v>#REF!</v>
      </c>
      <c r="AH567" s="136" t="e">
        <f>#REF!-#REF!</f>
        <v>#REF!</v>
      </c>
      <c r="AI567" s="136" t="e">
        <f>#REF!-#REF!</f>
        <v>#REF!</v>
      </c>
      <c r="AJ567" s="136" t="e">
        <f>#REF!-#REF!</f>
        <v>#REF!</v>
      </c>
      <c r="AK567" s="136" t="e">
        <f>#REF!-#REF!</f>
        <v>#REF!</v>
      </c>
      <c r="AL567" s="136" t="e">
        <f>#REF!-#REF!</f>
        <v>#REF!</v>
      </c>
      <c r="AM567" s="136" t="e">
        <f>#REF!-#REF!</f>
        <v>#REF!</v>
      </c>
      <c r="AN567" s="136" t="e">
        <f>#REF!-#REF!</f>
        <v>#REF!</v>
      </c>
      <c r="AO567" s="136" t="e">
        <f>#REF!-#REF!</f>
        <v>#REF!</v>
      </c>
      <c r="AP567" s="136" t="e">
        <f>#REF!-#REF!</f>
        <v>#REF!</v>
      </c>
      <c r="AQ567" s="136" t="e">
        <f>#REF!-#REF!</f>
        <v>#REF!</v>
      </c>
      <c r="AR567" s="136" t="e">
        <f>#REF!-#REF!</f>
        <v>#REF!</v>
      </c>
      <c r="AS567" s="136" t="e">
        <f>#REF!-#REF!</f>
        <v>#REF!</v>
      </c>
      <c r="AT567" s="136" t="e">
        <f>#REF!-#REF!</f>
        <v>#REF!</v>
      </c>
      <c r="AU567" s="136" t="e">
        <f>#REF!-#REF!</f>
        <v>#REF!</v>
      </c>
      <c r="AV567" s="136" t="e">
        <f>#REF!-#REF!</f>
        <v>#REF!</v>
      </c>
      <c r="AW567" s="136" t="e">
        <f>#REF!-#REF!</f>
        <v>#REF!</v>
      </c>
      <c r="AX567" s="136" t="e">
        <f>#REF!-#REF!</f>
        <v>#REF!</v>
      </c>
      <c r="AY567" s="136" t="e">
        <f>#REF!-#REF!</f>
        <v>#REF!</v>
      </c>
      <c r="AZ567" s="136" t="e">
        <f>#REF!-#REF!</f>
        <v>#REF!</v>
      </c>
      <c r="BA567" s="136" t="e">
        <f>#REF!-#REF!</f>
        <v>#REF!</v>
      </c>
      <c r="BB567" s="136" t="e">
        <f>#REF!-#REF!</f>
        <v>#REF!</v>
      </c>
      <c r="BC567" s="136" t="e">
        <f>#REF!-#REF!</f>
        <v>#REF!</v>
      </c>
      <c r="BD567" s="136" t="e">
        <f>#REF!-#REF!</f>
        <v>#REF!</v>
      </c>
      <c r="BE567" s="136" t="e">
        <f>#REF!-#REF!</f>
        <v>#REF!</v>
      </c>
      <c r="BF567" s="136" t="e">
        <f>#REF!-#REF!</f>
        <v>#REF!</v>
      </c>
      <c r="BG567" s="136" t="e">
        <f>#REF!-#REF!</f>
        <v>#REF!</v>
      </c>
      <c r="BH567" s="136" t="e">
        <f>#REF!-#REF!</f>
        <v>#REF!</v>
      </c>
      <c r="BI567" s="136" t="e">
        <f>#REF!-#REF!</f>
        <v>#REF!</v>
      </c>
      <c r="BJ567" s="136" t="e">
        <f>#REF!-#REF!</f>
        <v>#REF!</v>
      </c>
      <c r="BK567" s="136" t="e">
        <f>#REF!-#REF!</f>
        <v>#REF!</v>
      </c>
      <c r="BL567" s="136" t="e">
        <f>#REF!-#REF!</f>
        <v>#REF!</v>
      </c>
      <c r="BM567" s="136" t="e">
        <f>#REF!-#REF!</f>
        <v>#REF!</v>
      </c>
      <c r="BN567" s="136" t="e">
        <f>#REF!-#REF!</f>
        <v>#REF!</v>
      </c>
      <c r="BO567" s="136" t="e">
        <f>#REF!-#REF!</f>
        <v>#REF!</v>
      </c>
      <c r="BP567" s="136" t="e">
        <f>#REF!-#REF!</f>
        <v>#REF!</v>
      </c>
      <c r="BQ567" s="136" t="e">
        <f>#REF!-#REF!</f>
        <v>#REF!</v>
      </c>
      <c r="BR567" s="136" t="e">
        <f>#REF!-#REF!</f>
        <v>#REF!</v>
      </c>
      <c r="BS567" s="136" t="e">
        <f>#REF!-#REF!</f>
        <v>#REF!</v>
      </c>
      <c r="BT567" s="136" t="e">
        <f>#REF!-#REF!</f>
        <v>#REF!</v>
      </c>
      <c r="BU567" s="136" t="e">
        <f>#REF!-#REF!</f>
        <v>#REF!</v>
      </c>
      <c r="BV567" s="136" t="e">
        <f>#REF!-#REF!</f>
        <v>#REF!</v>
      </c>
      <c r="BW567" s="136" t="e">
        <f>#REF!-#REF!</f>
        <v>#REF!</v>
      </c>
      <c r="BX567" s="136" t="e">
        <f>#REF!-#REF!</f>
        <v>#REF!</v>
      </c>
      <c r="BZ567" s="136" t="e">
        <f>#REF!-#REF!</f>
        <v>#REF!</v>
      </c>
      <c r="CA567" s="136" t="e">
        <f>#REF!-#REF!</f>
        <v>#REF!</v>
      </c>
    </row>
    <row r="568" spans="7:79" hidden="1" x14ac:dyDescent="0.3">
      <c r="G568" s="136" t="e">
        <f>#REF!-#REF!</f>
        <v>#REF!</v>
      </c>
      <c r="H568" s="136" t="e">
        <f>#REF!-#REF!</f>
        <v>#REF!</v>
      </c>
      <c r="I568" s="136" t="e">
        <f>#REF!-#REF!</f>
        <v>#REF!</v>
      </c>
      <c r="J568" s="136" t="e">
        <f>#REF!-#REF!</f>
        <v>#REF!</v>
      </c>
      <c r="K568" s="136" t="e">
        <f>#REF!-#REF!</f>
        <v>#REF!</v>
      </c>
      <c r="L568" s="136" t="e">
        <f>#REF!-#REF!</f>
        <v>#REF!</v>
      </c>
      <c r="M568" s="136" t="e">
        <f>#REF!-#REF!</f>
        <v>#REF!</v>
      </c>
      <c r="N568" s="136" t="e">
        <f>#REF!-#REF!</f>
        <v>#REF!</v>
      </c>
      <c r="O568" s="136" t="e">
        <f>#REF!-#REF!</f>
        <v>#REF!</v>
      </c>
      <c r="P568" s="136" t="e">
        <f>#REF!-#REF!</f>
        <v>#REF!</v>
      </c>
      <c r="Q568" s="136" t="e">
        <f>#REF!-#REF!</f>
        <v>#REF!</v>
      </c>
      <c r="R568" s="136" t="e">
        <f>#REF!-#REF!</f>
        <v>#REF!</v>
      </c>
      <c r="S568" s="136" t="e">
        <f>#REF!-#REF!</f>
        <v>#REF!</v>
      </c>
      <c r="T568" s="136" t="e">
        <f>#REF!-#REF!</f>
        <v>#REF!</v>
      </c>
      <c r="U568" s="136" t="e">
        <f>#REF!-#REF!</f>
        <v>#REF!</v>
      </c>
      <c r="V568" s="136" t="e">
        <f>#REF!-#REF!</f>
        <v>#REF!</v>
      </c>
      <c r="W568" s="136" t="e">
        <f>#REF!-#REF!</f>
        <v>#REF!</v>
      </c>
      <c r="X568" s="136" t="e">
        <f>#REF!-#REF!</f>
        <v>#REF!</v>
      </c>
      <c r="Y568" s="136" t="e">
        <f>#REF!-#REF!</f>
        <v>#REF!</v>
      </c>
      <c r="Z568" s="136" t="e">
        <f>#REF!-#REF!</f>
        <v>#REF!</v>
      </c>
      <c r="AA568" s="136" t="e">
        <f>#REF!-#REF!</f>
        <v>#REF!</v>
      </c>
      <c r="AB568" s="136" t="e">
        <f>#REF!-#REF!</f>
        <v>#REF!</v>
      </c>
      <c r="AC568" s="136" t="e">
        <f>#REF!-#REF!</f>
        <v>#REF!</v>
      </c>
      <c r="AD568" s="136" t="e">
        <f>#REF!-#REF!</f>
        <v>#REF!</v>
      </c>
      <c r="AE568" s="136" t="e">
        <f>#REF!-#REF!</f>
        <v>#REF!</v>
      </c>
      <c r="AF568" s="136" t="e">
        <f>#REF!-#REF!</f>
        <v>#REF!</v>
      </c>
      <c r="AG568" s="136" t="e">
        <f>#REF!-#REF!</f>
        <v>#REF!</v>
      </c>
      <c r="AH568" s="136" t="e">
        <f>#REF!-#REF!</f>
        <v>#REF!</v>
      </c>
      <c r="AI568" s="136" t="e">
        <f>#REF!-#REF!</f>
        <v>#REF!</v>
      </c>
      <c r="AJ568" s="136" t="e">
        <f>#REF!-#REF!</f>
        <v>#REF!</v>
      </c>
      <c r="AK568" s="136" t="e">
        <f>#REF!-#REF!</f>
        <v>#REF!</v>
      </c>
      <c r="AL568" s="136" t="e">
        <f>#REF!-#REF!</f>
        <v>#REF!</v>
      </c>
      <c r="AM568" s="136" t="e">
        <f>#REF!-#REF!</f>
        <v>#REF!</v>
      </c>
      <c r="AN568" s="136" t="e">
        <f>#REF!-#REF!</f>
        <v>#REF!</v>
      </c>
      <c r="AO568" s="136" t="e">
        <f>#REF!-#REF!</f>
        <v>#REF!</v>
      </c>
      <c r="AP568" s="136" t="e">
        <f>#REF!-#REF!</f>
        <v>#REF!</v>
      </c>
      <c r="AQ568" s="136" t="e">
        <f>#REF!-#REF!</f>
        <v>#REF!</v>
      </c>
      <c r="AR568" s="136" t="e">
        <f>#REF!-#REF!</f>
        <v>#REF!</v>
      </c>
      <c r="AS568" s="136" t="e">
        <f>#REF!-#REF!</f>
        <v>#REF!</v>
      </c>
      <c r="AT568" s="136" t="e">
        <f>#REF!-#REF!</f>
        <v>#REF!</v>
      </c>
      <c r="AU568" s="136" t="e">
        <f>#REF!-#REF!</f>
        <v>#REF!</v>
      </c>
      <c r="AV568" s="136" t="e">
        <f>#REF!-#REF!</f>
        <v>#REF!</v>
      </c>
      <c r="AW568" s="136" t="e">
        <f>#REF!-#REF!</f>
        <v>#REF!</v>
      </c>
      <c r="AX568" s="136" t="e">
        <f>#REF!-#REF!</f>
        <v>#REF!</v>
      </c>
      <c r="AY568" s="136" t="e">
        <f>#REF!-#REF!</f>
        <v>#REF!</v>
      </c>
      <c r="AZ568" s="136" t="e">
        <f>#REF!-#REF!</f>
        <v>#REF!</v>
      </c>
      <c r="BA568" s="136" t="e">
        <f>#REF!-#REF!</f>
        <v>#REF!</v>
      </c>
      <c r="BB568" s="136" t="e">
        <f>#REF!-#REF!</f>
        <v>#REF!</v>
      </c>
      <c r="BC568" s="136" t="e">
        <f>#REF!-#REF!</f>
        <v>#REF!</v>
      </c>
      <c r="BD568" s="136" t="e">
        <f>#REF!-#REF!</f>
        <v>#REF!</v>
      </c>
      <c r="BE568" s="136" t="e">
        <f>#REF!-#REF!</f>
        <v>#REF!</v>
      </c>
      <c r="BF568" s="136" t="e">
        <f>#REF!-#REF!</f>
        <v>#REF!</v>
      </c>
      <c r="BG568" s="136" t="e">
        <f>#REF!-#REF!</f>
        <v>#REF!</v>
      </c>
      <c r="BH568" s="136" t="e">
        <f>#REF!-#REF!</f>
        <v>#REF!</v>
      </c>
      <c r="BI568" s="136" t="e">
        <f>#REF!-#REF!</f>
        <v>#REF!</v>
      </c>
      <c r="BJ568" s="136" t="e">
        <f>#REF!-#REF!</f>
        <v>#REF!</v>
      </c>
      <c r="BK568" s="136" t="e">
        <f>#REF!-#REF!</f>
        <v>#REF!</v>
      </c>
      <c r="BL568" s="136" t="e">
        <f>#REF!-#REF!</f>
        <v>#REF!</v>
      </c>
      <c r="BM568" s="136" t="e">
        <f>#REF!-#REF!</f>
        <v>#REF!</v>
      </c>
      <c r="BN568" s="136" t="e">
        <f>#REF!-#REF!</f>
        <v>#REF!</v>
      </c>
      <c r="BO568" s="136" t="e">
        <f>#REF!-#REF!</f>
        <v>#REF!</v>
      </c>
      <c r="BP568" s="136" t="e">
        <f>#REF!-#REF!</f>
        <v>#REF!</v>
      </c>
      <c r="BQ568" s="136" t="e">
        <f>#REF!-#REF!</f>
        <v>#REF!</v>
      </c>
      <c r="BR568" s="136" t="e">
        <f>#REF!-#REF!</f>
        <v>#REF!</v>
      </c>
      <c r="BS568" s="136" t="e">
        <f>#REF!-#REF!</f>
        <v>#REF!</v>
      </c>
      <c r="BT568" s="136" t="e">
        <f>#REF!-#REF!</f>
        <v>#REF!</v>
      </c>
      <c r="BU568" s="136" t="e">
        <f>#REF!-#REF!</f>
        <v>#REF!</v>
      </c>
      <c r="BV568" s="136" t="e">
        <f>#REF!-#REF!</f>
        <v>#REF!</v>
      </c>
      <c r="BW568" s="136" t="e">
        <f>#REF!-#REF!</f>
        <v>#REF!</v>
      </c>
      <c r="BX568" s="136" t="e">
        <f>#REF!-#REF!</f>
        <v>#REF!</v>
      </c>
      <c r="BZ568" s="136" t="e">
        <f>#REF!-#REF!</f>
        <v>#REF!</v>
      </c>
      <c r="CA568" s="136" t="e">
        <f>#REF!-#REF!</f>
        <v>#REF!</v>
      </c>
    </row>
    <row r="569" spans="7:79" hidden="1" x14ac:dyDescent="0.3">
      <c r="G569" s="136" t="e">
        <f>#REF!-#REF!</f>
        <v>#REF!</v>
      </c>
      <c r="H569" s="136" t="e">
        <f>#REF!-#REF!</f>
        <v>#REF!</v>
      </c>
      <c r="I569" s="136" t="e">
        <f>#REF!-#REF!</f>
        <v>#REF!</v>
      </c>
      <c r="J569" s="136" t="e">
        <f>#REF!-#REF!</f>
        <v>#REF!</v>
      </c>
      <c r="K569" s="136" t="e">
        <f>#REF!-#REF!</f>
        <v>#REF!</v>
      </c>
      <c r="L569" s="136" t="e">
        <f>#REF!-#REF!</f>
        <v>#REF!</v>
      </c>
      <c r="M569" s="136" t="e">
        <f>#REF!-#REF!</f>
        <v>#REF!</v>
      </c>
      <c r="N569" s="136" t="e">
        <f>#REF!-#REF!</f>
        <v>#REF!</v>
      </c>
      <c r="O569" s="136" t="e">
        <f>#REF!-#REF!</f>
        <v>#REF!</v>
      </c>
      <c r="P569" s="136" t="e">
        <f>#REF!-#REF!</f>
        <v>#REF!</v>
      </c>
      <c r="Q569" s="136" t="e">
        <f>#REF!-#REF!</f>
        <v>#REF!</v>
      </c>
      <c r="R569" s="136" t="e">
        <f>#REF!-#REF!</f>
        <v>#REF!</v>
      </c>
      <c r="S569" s="136" t="e">
        <f>#REF!-#REF!</f>
        <v>#REF!</v>
      </c>
      <c r="T569" s="136" t="e">
        <f>#REF!-#REF!</f>
        <v>#REF!</v>
      </c>
      <c r="U569" s="136" t="e">
        <f>#REF!-#REF!</f>
        <v>#REF!</v>
      </c>
      <c r="V569" s="136" t="e">
        <f>#REF!-#REF!</f>
        <v>#REF!</v>
      </c>
      <c r="W569" s="136" t="e">
        <f>#REF!-#REF!</f>
        <v>#REF!</v>
      </c>
      <c r="X569" s="136" t="e">
        <f>#REF!-#REF!</f>
        <v>#REF!</v>
      </c>
      <c r="Y569" s="136" t="e">
        <f>#REF!-#REF!</f>
        <v>#REF!</v>
      </c>
      <c r="Z569" s="136" t="e">
        <f>#REF!-#REF!</f>
        <v>#REF!</v>
      </c>
      <c r="AA569" s="136" t="e">
        <f>#REF!-#REF!</f>
        <v>#REF!</v>
      </c>
      <c r="AB569" s="136" t="e">
        <f>#REF!-#REF!</f>
        <v>#REF!</v>
      </c>
      <c r="AC569" s="136" t="e">
        <f>#REF!-#REF!</f>
        <v>#REF!</v>
      </c>
      <c r="AD569" s="136" t="e">
        <f>#REF!-#REF!</f>
        <v>#REF!</v>
      </c>
      <c r="AE569" s="136" t="e">
        <f>#REF!-#REF!</f>
        <v>#REF!</v>
      </c>
      <c r="AF569" s="136" t="e">
        <f>#REF!-#REF!</f>
        <v>#REF!</v>
      </c>
      <c r="AG569" s="136" t="e">
        <f>#REF!-#REF!</f>
        <v>#REF!</v>
      </c>
      <c r="AH569" s="136" t="e">
        <f>#REF!-#REF!</f>
        <v>#REF!</v>
      </c>
      <c r="AI569" s="136" t="e">
        <f>#REF!-#REF!</f>
        <v>#REF!</v>
      </c>
      <c r="AJ569" s="136" t="e">
        <f>#REF!-#REF!</f>
        <v>#REF!</v>
      </c>
      <c r="AK569" s="136" t="e">
        <f>#REF!-#REF!</f>
        <v>#REF!</v>
      </c>
      <c r="AL569" s="136" t="e">
        <f>#REF!-#REF!</f>
        <v>#REF!</v>
      </c>
      <c r="AM569" s="136" t="e">
        <f>#REF!-#REF!</f>
        <v>#REF!</v>
      </c>
      <c r="AN569" s="136" t="e">
        <f>#REF!-#REF!</f>
        <v>#REF!</v>
      </c>
      <c r="AO569" s="136" t="e">
        <f>#REF!-#REF!</f>
        <v>#REF!</v>
      </c>
      <c r="AP569" s="136" t="e">
        <f>#REF!-#REF!</f>
        <v>#REF!</v>
      </c>
      <c r="AQ569" s="136" t="e">
        <f>#REF!-#REF!</f>
        <v>#REF!</v>
      </c>
      <c r="AR569" s="136" t="e">
        <f>#REF!-#REF!</f>
        <v>#REF!</v>
      </c>
      <c r="AS569" s="136" t="e">
        <f>#REF!-#REF!</f>
        <v>#REF!</v>
      </c>
      <c r="AT569" s="136" t="e">
        <f>#REF!-#REF!</f>
        <v>#REF!</v>
      </c>
      <c r="AU569" s="136" t="e">
        <f>#REF!-#REF!</f>
        <v>#REF!</v>
      </c>
      <c r="AV569" s="136" t="e">
        <f>#REF!-#REF!</f>
        <v>#REF!</v>
      </c>
      <c r="AW569" s="136" t="e">
        <f>#REF!-#REF!</f>
        <v>#REF!</v>
      </c>
      <c r="AX569" s="136" t="e">
        <f>#REF!-#REF!</f>
        <v>#REF!</v>
      </c>
      <c r="AY569" s="136" t="e">
        <f>#REF!-#REF!</f>
        <v>#REF!</v>
      </c>
      <c r="AZ569" s="136" t="e">
        <f>#REF!-#REF!</f>
        <v>#REF!</v>
      </c>
      <c r="BA569" s="136" t="e">
        <f>#REF!-#REF!</f>
        <v>#REF!</v>
      </c>
      <c r="BB569" s="136" t="e">
        <f>#REF!-#REF!</f>
        <v>#REF!</v>
      </c>
      <c r="BC569" s="136" t="e">
        <f>#REF!-#REF!</f>
        <v>#REF!</v>
      </c>
      <c r="BD569" s="136" t="e">
        <f>#REF!-#REF!</f>
        <v>#REF!</v>
      </c>
      <c r="BE569" s="136" t="e">
        <f>#REF!-#REF!</f>
        <v>#REF!</v>
      </c>
      <c r="BF569" s="136" t="e">
        <f>#REF!-#REF!</f>
        <v>#REF!</v>
      </c>
      <c r="BG569" s="136" t="e">
        <f>#REF!-#REF!</f>
        <v>#REF!</v>
      </c>
      <c r="BH569" s="136" t="e">
        <f>#REF!-#REF!</f>
        <v>#REF!</v>
      </c>
      <c r="BI569" s="136" t="e">
        <f>#REF!-#REF!</f>
        <v>#REF!</v>
      </c>
      <c r="BJ569" s="136" t="e">
        <f>#REF!-#REF!</f>
        <v>#REF!</v>
      </c>
      <c r="BK569" s="136" t="e">
        <f>#REF!-#REF!</f>
        <v>#REF!</v>
      </c>
      <c r="BL569" s="136" t="e">
        <f>#REF!-#REF!</f>
        <v>#REF!</v>
      </c>
      <c r="BM569" s="136" t="e">
        <f>#REF!-#REF!</f>
        <v>#REF!</v>
      </c>
      <c r="BN569" s="136" t="e">
        <f>#REF!-#REF!</f>
        <v>#REF!</v>
      </c>
      <c r="BO569" s="136" t="e">
        <f>#REF!-#REF!</f>
        <v>#REF!</v>
      </c>
      <c r="BP569" s="136" t="e">
        <f>#REF!-#REF!</f>
        <v>#REF!</v>
      </c>
      <c r="BQ569" s="136" t="e">
        <f>#REF!-#REF!</f>
        <v>#REF!</v>
      </c>
      <c r="BR569" s="136" t="e">
        <f>#REF!-#REF!</f>
        <v>#REF!</v>
      </c>
      <c r="BS569" s="136" t="e">
        <f>#REF!-#REF!</f>
        <v>#REF!</v>
      </c>
      <c r="BT569" s="136" t="e">
        <f>#REF!-#REF!</f>
        <v>#REF!</v>
      </c>
      <c r="BU569" s="136" t="e">
        <f>#REF!-#REF!</f>
        <v>#REF!</v>
      </c>
      <c r="BV569" s="136" t="e">
        <f>#REF!-#REF!</f>
        <v>#REF!</v>
      </c>
      <c r="BW569" s="136" t="e">
        <f>#REF!-#REF!</f>
        <v>#REF!</v>
      </c>
      <c r="BX569" s="136" t="e">
        <f>#REF!-#REF!</f>
        <v>#REF!</v>
      </c>
      <c r="BZ569" s="136" t="e">
        <f>#REF!-#REF!</f>
        <v>#REF!</v>
      </c>
      <c r="CA569" s="136" t="e">
        <f>#REF!-#REF!</f>
        <v>#REF!</v>
      </c>
    </row>
    <row r="570" spans="7:79" hidden="1" x14ac:dyDescent="0.3">
      <c r="G570" s="136">
        <f t="shared" ref="G570:BR574" si="127">G153-BY153</f>
        <v>0</v>
      </c>
      <c r="H570" s="136">
        <f t="shared" si="127"/>
        <v>0</v>
      </c>
      <c r="I570" s="136">
        <f t="shared" si="127"/>
        <v>0</v>
      </c>
      <c r="J570" s="136">
        <f t="shared" si="127"/>
        <v>0</v>
      </c>
      <c r="K570" s="136">
        <f t="shared" si="127"/>
        <v>0</v>
      </c>
      <c r="L570" s="136">
        <f t="shared" si="127"/>
        <v>0</v>
      </c>
      <c r="M570" s="136">
        <f t="shared" si="127"/>
        <v>0</v>
      </c>
      <c r="N570" s="136">
        <f t="shared" si="127"/>
        <v>0</v>
      </c>
      <c r="O570" s="136">
        <f t="shared" si="127"/>
        <v>0</v>
      </c>
      <c r="P570" s="136">
        <f t="shared" si="127"/>
        <v>0</v>
      </c>
      <c r="Q570" s="136">
        <f t="shared" si="127"/>
        <v>0</v>
      </c>
      <c r="R570" s="136">
        <f t="shared" si="127"/>
        <v>0</v>
      </c>
      <c r="S570" s="136">
        <f t="shared" si="127"/>
        <v>0</v>
      </c>
      <c r="T570" s="136">
        <f t="shared" si="127"/>
        <v>0</v>
      </c>
      <c r="U570" s="136">
        <f t="shared" si="127"/>
        <v>0</v>
      </c>
      <c r="V570" s="136">
        <f t="shared" si="127"/>
        <v>0</v>
      </c>
      <c r="W570" s="136">
        <f t="shared" si="127"/>
        <v>0</v>
      </c>
      <c r="X570" s="136">
        <f t="shared" si="127"/>
        <v>0</v>
      </c>
      <c r="Y570" s="136">
        <f t="shared" si="127"/>
        <v>0</v>
      </c>
      <c r="Z570" s="136">
        <f t="shared" si="127"/>
        <v>0</v>
      </c>
      <c r="AA570" s="136">
        <f t="shared" si="127"/>
        <v>0</v>
      </c>
      <c r="AB570" s="136">
        <f t="shared" si="127"/>
        <v>0</v>
      </c>
      <c r="AC570" s="136">
        <f t="shared" si="127"/>
        <v>0</v>
      </c>
      <c r="AD570" s="136">
        <f t="shared" si="127"/>
        <v>0</v>
      </c>
      <c r="AE570" s="136">
        <f t="shared" si="127"/>
        <v>0</v>
      </c>
      <c r="AF570" s="136">
        <f t="shared" si="127"/>
        <v>0</v>
      </c>
      <c r="AG570" s="136">
        <f t="shared" si="127"/>
        <v>0</v>
      </c>
      <c r="AH570" s="136">
        <f t="shared" si="127"/>
        <v>0</v>
      </c>
      <c r="AI570" s="136">
        <f t="shared" si="127"/>
        <v>0</v>
      </c>
      <c r="AJ570" s="136">
        <f t="shared" si="127"/>
        <v>0</v>
      </c>
      <c r="AK570" s="136">
        <f t="shared" si="127"/>
        <v>0</v>
      </c>
      <c r="AL570" s="136">
        <f t="shared" si="127"/>
        <v>0</v>
      </c>
      <c r="AM570" s="136">
        <f t="shared" si="127"/>
        <v>0</v>
      </c>
      <c r="AN570" s="136">
        <f t="shared" si="127"/>
        <v>0</v>
      </c>
      <c r="AO570" s="136">
        <f t="shared" si="127"/>
        <v>0</v>
      </c>
      <c r="AP570" s="136">
        <f t="shared" si="127"/>
        <v>0</v>
      </c>
      <c r="AQ570" s="136">
        <f t="shared" si="127"/>
        <v>0</v>
      </c>
      <c r="AR570" s="136">
        <f t="shared" si="127"/>
        <v>0</v>
      </c>
      <c r="AS570" s="136">
        <f t="shared" si="127"/>
        <v>0</v>
      </c>
      <c r="AT570" s="136">
        <f t="shared" si="127"/>
        <v>0</v>
      </c>
      <c r="AU570" s="136">
        <f t="shared" si="127"/>
        <v>0</v>
      </c>
      <c r="AV570" s="136">
        <f t="shared" si="127"/>
        <v>0</v>
      </c>
      <c r="AW570" s="136">
        <f t="shared" si="127"/>
        <v>0</v>
      </c>
      <c r="AX570" s="136">
        <f t="shared" si="127"/>
        <v>0</v>
      </c>
      <c r="AY570" s="136">
        <f t="shared" si="127"/>
        <v>0</v>
      </c>
      <c r="AZ570" s="136">
        <f t="shared" si="127"/>
        <v>0</v>
      </c>
      <c r="BA570" s="136">
        <f t="shared" si="127"/>
        <v>0</v>
      </c>
      <c r="BB570" s="136">
        <f t="shared" si="127"/>
        <v>0</v>
      </c>
      <c r="BC570" s="136">
        <f t="shared" si="127"/>
        <v>0</v>
      </c>
      <c r="BD570" s="136">
        <f t="shared" si="127"/>
        <v>0</v>
      </c>
      <c r="BE570" s="136">
        <f t="shared" si="127"/>
        <v>0</v>
      </c>
      <c r="BF570" s="136">
        <f t="shared" si="127"/>
        <v>0</v>
      </c>
      <c r="BG570" s="136">
        <f t="shared" si="127"/>
        <v>0</v>
      </c>
      <c r="BH570" s="136">
        <f t="shared" si="127"/>
        <v>0</v>
      </c>
      <c r="BI570" s="136">
        <f t="shared" si="127"/>
        <v>0</v>
      </c>
      <c r="BJ570" s="136">
        <f t="shared" si="127"/>
        <v>0</v>
      </c>
      <c r="BK570" s="136">
        <f t="shared" si="127"/>
        <v>0</v>
      </c>
      <c r="BL570" s="136">
        <f t="shared" si="127"/>
        <v>0</v>
      </c>
      <c r="BM570" s="136">
        <f t="shared" si="127"/>
        <v>0</v>
      </c>
      <c r="BN570" s="136">
        <f t="shared" si="127"/>
        <v>0</v>
      </c>
      <c r="BO570" s="136">
        <f t="shared" si="127"/>
        <v>0</v>
      </c>
      <c r="BP570" s="136">
        <f t="shared" si="127"/>
        <v>0</v>
      </c>
      <c r="BQ570" s="136">
        <f t="shared" si="127"/>
        <v>0</v>
      </c>
      <c r="BR570" s="136">
        <f t="shared" si="127"/>
        <v>0</v>
      </c>
      <c r="BS570" s="136">
        <f t="shared" ref="BO570:BX575" si="128">BS153-EK153</f>
        <v>0</v>
      </c>
      <c r="BT570" s="136">
        <f t="shared" si="128"/>
        <v>0</v>
      </c>
      <c r="BU570" s="136">
        <f t="shared" si="128"/>
        <v>0</v>
      </c>
      <c r="BV570" s="136">
        <f t="shared" si="128"/>
        <v>0</v>
      </c>
      <c r="BW570" s="136">
        <f t="shared" si="128"/>
        <v>0</v>
      </c>
      <c r="BX570" s="136">
        <f t="shared" si="128"/>
        <v>0</v>
      </c>
      <c r="BZ570" s="136">
        <f t="shared" ref="BZ570:CA575" si="129">BZ153-ER153</f>
        <v>0</v>
      </c>
      <c r="CA570" s="136">
        <f t="shared" si="129"/>
        <v>0</v>
      </c>
    </row>
    <row r="571" spans="7:79" hidden="1" x14ac:dyDescent="0.3">
      <c r="G571" s="136">
        <f t="shared" si="127"/>
        <v>0</v>
      </c>
      <c r="H571" s="136">
        <f t="shared" si="127"/>
        <v>0</v>
      </c>
      <c r="I571" s="136">
        <f t="shared" si="127"/>
        <v>0</v>
      </c>
      <c r="J571" s="136">
        <f t="shared" si="127"/>
        <v>0</v>
      </c>
      <c r="K571" s="136">
        <f t="shared" si="127"/>
        <v>0</v>
      </c>
      <c r="L571" s="136">
        <f t="shared" si="127"/>
        <v>0</v>
      </c>
      <c r="M571" s="136">
        <f t="shared" si="127"/>
        <v>0</v>
      </c>
      <c r="N571" s="136">
        <f t="shared" si="127"/>
        <v>0</v>
      </c>
      <c r="O571" s="136">
        <f t="shared" si="127"/>
        <v>0</v>
      </c>
      <c r="P571" s="136">
        <f t="shared" si="127"/>
        <v>0</v>
      </c>
      <c r="Q571" s="136">
        <f t="shared" si="127"/>
        <v>0</v>
      </c>
      <c r="R571" s="136">
        <f t="shared" si="127"/>
        <v>0</v>
      </c>
      <c r="S571" s="136">
        <f t="shared" si="127"/>
        <v>0</v>
      </c>
      <c r="T571" s="136">
        <f t="shared" si="127"/>
        <v>0</v>
      </c>
      <c r="U571" s="136">
        <f t="shared" si="127"/>
        <v>0</v>
      </c>
      <c r="V571" s="136">
        <f t="shared" si="127"/>
        <v>0</v>
      </c>
      <c r="W571" s="136">
        <f t="shared" si="127"/>
        <v>0</v>
      </c>
      <c r="X571" s="136">
        <f t="shared" si="127"/>
        <v>0</v>
      </c>
      <c r="Y571" s="136">
        <f t="shared" si="127"/>
        <v>0</v>
      </c>
      <c r="Z571" s="136">
        <f t="shared" si="127"/>
        <v>0</v>
      </c>
      <c r="AA571" s="136">
        <f t="shared" si="127"/>
        <v>0</v>
      </c>
      <c r="AB571" s="136">
        <f t="shared" si="127"/>
        <v>0</v>
      </c>
      <c r="AC571" s="136">
        <f t="shared" si="127"/>
        <v>0</v>
      </c>
      <c r="AD571" s="136">
        <f t="shared" si="127"/>
        <v>0</v>
      </c>
      <c r="AE571" s="136">
        <f t="shared" si="127"/>
        <v>0</v>
      </c>
      <c r="AF571" s="136">
        <f t="shared" si="127"/>
        <v>0</v>
      </c>
      <c r="AG571" s="136">
        <f t="shared" si="127"/>
        <v>0</v>
      </c>
      <c r="AH571" s="136">
        <f t="shared" si="127"/>
        <v>0</v>
      </c>
      <c r="AI571" s="136">
        <f t="shared" si="127"/>
        <v>0</v>
      </c>
      <c r="AJ571" s="136">
        <f t="shared" si="127"/>
        <v>0</v>
      </c>
      <c r="AK571" s="136">
        <f t="shared" si="127"/>
        <v>0</v>
      </c>
      <c r="AL571" s="136">
        <f t="shared" si="127"/>
        <v>0</v>
      </c>
      <c r="AM571" s="136">
        <f t="shared" si="127"/>
        <v>0</v>
      </c>
      <c r="AN571" s="136">
        <f t="shared" si="127"/>
        <v>0</v>
      </c>
      <c r="AO571" s="136">
        <f t="shared" si="127"/>
        <v>0</v>
      </c>
      <c r="AP571" s="136">
        <f t="shared" si="127"/>
        <v>0</v>
      </c>
      <c r="AQ571" s="136">
        <f t="shared" si="127"/>
        <v>0</v>
      </c>
      <c r="AR571" s="136">
        <f t="shared" si="127"/>
        <v>0</v>
      </c>
      <c r="AS571" s="136">
        <f t="shared" si="127"/>
        <v>0</v>
      </c>
      <c r="AT571" s="136">
        <f t="shared" si="127"/>
        <v>0</v>
      </c>
      <c r="AU571" s="136">
        <f t="shared" si="127"/>
        <v>0</v>
      </c>
      <c r="AV571" s="136">
        <f t="shared" si="127"/>
        <v>0</v>
      </c>
      <c r="AW571" s="136">
        <f t="shared" si="127"/>
        <v>0</v>
      </c>
      <c r="AX571" s="136">
        <f t="shared" si="127"/>
        <v>0</v>
      </c>
      <c r="AY571" s="136">
        <f t="shared" si="127"/>
        <v>0</v>
      </c>
      <c r="AZ571" s="136">
        <f t="shared" si="127"/>
        <v>0</v>
      </c>
      <c r="BA571" s="136">
        <f t="shared" si="127"/>
        <v>0</v>
      </c>
      <c r="BB571" s="136">
        <f t="shared" si="127"/>
        <v>0</v>
      </c>
      <c r="BC571" s="136">
        <f t="shared" si="127"/>
        <v>0</v>
      </c>
      <c r="BD571" s="136">
        <f t="shared" si="127"/>
        <v>0</v>
      </c>
      <c r="BE571" s="136">
        <f t="shared" si="127"/>
        <v>0</v>
      </c>
      <c r="BF571" s="136">
        <f t="shared" si="127"/>
        <v>0</v>
      </c>
      <c r="BG571" s="136">
        <f t="shared" si="127"/>
        <v>0</v>
      </c>
      <c r="BH571" s="136">
        <f t="shared" si="127"/>
        <v>0</v>
      </c>
      <c r="BI571" s="136">
        <f t="shared" si="127"/>
        <v>0</v>
      </c>
      <c r="BJ571" s="136">
        <f t="shared" si="127"/>
        <v>0</v>
      </c>
      <c r="BK571" s="136">
        <f t="shared" si="127"/>
        <v>0</v>
      </c>
      <c r="BL571" s="136">
        <f t="shared" si="127"/>
        <v>0</v>
      </c>
      <c r="BM571" s="136">
        <f t="shared" si="127"/>
        <v>0</v>
      </c>
      <c r="BN571" s="136">
        <f t="shared" si="127"/>
        <v>0</v>
      </c>
      <c r="BO571" s="136">
        <f t="shared" si="128"/>
        <v>0</v>
      </c>
      <c r="BP571" s="136">
        <f t="shared" si="128"/>
        <v>0</v>
      </c>
      <c r="BQ571" s="136">
        <f t="shared" si="128"/>
        <v>0</v>
      </c>
      <c r="BR571" s="136">
        <f t="shared" si="128"/>
        <v>0</v>
      </c>
      <c r="BS571" s="136">
        <f t="shared" si="128"/>
        <v>0</v>
      </c>
      <c r="BT571" s="136">
        <f t="shared" si="128"/>
        <v>0</v>
      </c>
      <c r="BU571" s="136">
        <f t="shared" si="128"/>
        <v>0</v>
      </c>
      <c r="BV571" s="136">
        <f t="shared" si="128"/>
        <v>0</v>
      </c>
      <c r="BW571" s="136">
        <f t="shared" si="128"/>
        <v>0</v>
      </c>
      <c r="BX571" s="136">
        <f t="shared" si="128"/>
        <v>0</v>
      </c>
      <c r="BZ571" s="136">
        <f t="shared" si="129"/>
        <v>0</v>
      </c>
      <c r="CA571" s="136">
        <f t="shared" si="129"/>
        <v>0</v>
      </c>
    </row>
    <row r="572" spans="7:79" hidden="1" x14ac:dyDescent="0.3">
      <c r="G572" s="136">
        <f t="shared" si="127"/>
        <v>0</v>
      </c>
      <c r="H572" s="136">
        <f t="shared" si="127"/>
        <v>0</v>
      </c>
      <c r="I572" s="136">
        <f t="shared" si="127"/>
        <v>0</v>
      </c>
      <c r="J572" s="136">
        <f t="shared" si="127"/>
        <v>0</v>
      </c>
      <c r="K572" s="136">
        <f t="shared" si="127"/>
        <v>0</v>
      </c>
      <c r="L572" s="136">
        <f t="shared" si="127"/>
        <v>0</v>
      </c>
      <c r="M572" s="136">
        <f t="shared" si="127"/>
        <v>0</v>
      </c>
      <c r="N572" s="136">
        <f t="shared" si="127"/>
        <v>0</v>
      </c>
      <c r="O572" s="136">
        <f t="shared" si="127"/>
        <v>0</v>
      </c>
      <c r="P572" s="136">
        <f t="shared" si="127"/>
        <v>0</v>
      </c>
      <c r="Q572" s="136">
        <f t="shared" si="127"/>
        <v>0</v>
      </c>
      <c r="R572" s="136">
        <f t="shared" si="127"/>
        <v>0</v>
      </c>
      <c r="S572" s="136">
        <f t="shared" si="127"/>
        <v>0</v>
      </c>
      <c r="T572" s="136">
        <f t="shared" si="127"/>
        <v>0</v>
      </c>
      <c r="U572" s="136">
        <f t="shared" si="127"/>
        <v>0</v>
      </c>
      <c r="V572" s="136">
        <f t="shared" si="127"/>
        <v>0</v>
      </c>
      <c r="W572" s="136">
        <f t="shared" si="127"/>
        <v>0</v>
      </c>
      <c r="X572" s="136">
        <f t="shared" si="127"/>
        <v>0</v>
      </c>
      <c r="Y572" s="136">
        <f t="shared" si="127"/>
        <v>0</v>
      </c>
      <c r="Z572" s="136">
        <f t="shared" si="127"/>
        <v>0</v>
      </c>
      <c r="AA572" s="136">
        <f t="shared" si="127"/>
        <v>0</v>
      </c>
      <c r="AB572" s="136">
        <f t="shared" si="127"/>
        <v>0</v>
      </c>
      <c r="AC572" s="136">
        <f t="shared" si="127"/>
        <v>0</v>
      </c>
      <c r="AD572" s="136">
        <f t="shared" si="127"/>
        <v>0</v>
      </c>
      <c r="AE572" s="136">
        <f t="shared" si="127"/>
        <v>0</v>
      </c>
      <c r="AF572" s="136">
        <f t="shared" si="127"/>
        <v>0</v>
      </c>
      <c r="AG572" s="136">
        <f t="shared" si="127"/>
        <v>0</v>
      </c>
      <c r="AH572" s="136">
        <f t="shared" si="127"/>
        <v>0</v>
      </c>
      <c r="AI572" s="136">
        <f t="shared" si="127"/>
        <v>0</v>
      </c>
      <c r="AJ572" s="136">
        <f t="shared" si="127"/>
        <v>0</v>
      </c>
      <c r="AK572" s="136">
        <f t="shared" si="127"/>
        <v>0</v>
      </c>
      <c r="AL572" s="136">
        <f t="shared" si="127"/>
        <v>0</v>
      </c>
      <c r="AM572" s="136">
        <f t="shared" si="127"/>
        <v>0</v>
      </c>
      <c r="AN572" s="136">
        <f t="shared" si="127"/>
        <v>0</v>
      </c>
      <c r="AO572" s="136">
        <f t="shared" si="127"/>
        <v>0</v>
      </c>
      <c r="AP572" s="136">
        <f t="shared" si="127"/>
        <v>0</v>
      </c>
      <c r="AQ572" s="136">
        <f t="shared" si="127"/>
        <v>0</v>
      </c>
      <c r="AR572" s="136">
        <f t="shared" si="127"/>
        <v>0</v>
      </c>
      <c r="AS572" s="136">
        <f t="shared" si="127"/>
        <v>0</v>
      </c>
      <c r="AT572" s="136">
        <f t="shared" si="127"/>
        <v>0</v>
      </c>
      <c r="AU572" s="136">
        <f t="shared" si="127"/>
        <v>0</v>
      </c>
      <c r="AV572" s="136">
        <f t="shared" si="127"/>
        <v>0</v>
      </c>
      <c r="AW572" s="136">
        <f t="shared" si="127"/>
        <v>0</v>
      </c>
      <c r="AX572" s="136">
        <f t="shared" si="127"/>
        <v>0</v>
      </c>
      <c r="AY572" s="136">
        <f t="shared" si="127"/>
        <v>0</v>
      </c>
      <c r="AZ572" s="136">
        <f t="shared" si="127"/>
        <v>0</v>
      </c>
      <c r="BA572" s="136">
        <f t="shared" si="127"/>
        <v>0</v>
      </c>
      <c r="BB572" s="136">
        <f t="shared" si="127"/>
        <v>0</v>
      </c>
      <c r="BC572" s="136">
        <f t="shared" si="127"/>
        <v>0</v>
      </c>
      <c r="BD572" s="136">
        <f t="shared" si="127"/>
        <v>0</v>
      </c>
      <c r="BE572" s="136">
        <f t="shared" si="127"/>
        <v>0</v>
      </c>
      <c r="BF572" s="136">
        <f t="shared" si="127"/>
        <v>0</v>
      </c>
      <c r="BG572" s="136">
        <f t="shared" si="127"/>
        <v>0</v>
      </c>
      <c r="BH572" s="136">
        <f t="shared" si="127"/>
        <v>0</v>
      </c>
      <c r="BI572" s="136">
        <f t="shared" si="127"/>
        <v>0</v>
      </c>
      <c r="BJ572" s="136">
        <f t="shared" si="127"/>
        <v>0</v>
      </c>
      <c r="BK572" s="136">
        <f t="shared" si="127"/>
        <v>0</v>
      </c>
      <c r="BL572" s="136">
        <f t="shared" si="127"/>
        <v>0</v>
      </c>
      <c r="BM572" s="136">
        <f t="shared" si="127"/>
        <v>0</v>
      </c>
      <c r="BN572" s="136">
        <f t="shared" si="127"/>
        <v>0</v>
      </c>
      <c r="BO572" s="136">
        <f t="shared" si="128"/>
        <v>0</v>
      </c>
      <c r="BP572" s="136">
        <f t="shared" si="128"/>
        <v>0</v>
      </c>
      <c r="BQ572" s="136">
        <f t="shared" si="128"/>
        <v>0</v>
      </c>
      <c r="BR572" s="136">
        <f t="shared" si="128"/>
        <v>0</v>
      </c>
      <c r="BS572" s="136">
        <f t="shared" si="128"/>
        <v>0</v>
      </c>
      <c r="BT572" s="136">
        <f t="shared" si="128"/>
        <v>0</v>
      </c>
      <c r="BU572" s="136">
        <f t="shared" si="128"/>
        <v>0</v>
      </c>
      <c r="BV572" s="136">
        <f t="shared" si="128"/>
        <v>0</v>
      </c>
      <c r="BW572" s="136">
        <f t="shared" si="128"/>
        <v>0</v>
      </c>
      <c r="BX572" s="136">
        <f t="shared" si="128"/>
        <v>0</v>
      </c>
      <c r="BZ572" s="136">
        <f t="shared" si="129"/>
        <v>0</v>
      </c>
      <c r="CA572" s="136">
        <f t="shared" si="129"/>
        <v>0</v>
      </c>
    </row>
    <row r="573" spans="7:79" hidden="1" x14ac:dyDescent="0.3">
      <c r="G573" s="136">
        <f t="shared" si="127"/>
        <v>0</v>
      </c>
      <c r="H573" s="136">
        <f t="shared" si="127"/>
        <v>0</v>
      </c>
      <c r="I573" s="136">
        <f t="shared" si="127"/>
        <v>0</v>
      </c>
      <c r="J573" s="136">
        <f t="shared" si="127"/>
        <v>0</v>
      </c>
      <c r="K573" s="136">
        <f t="shared" si="127"/>
        <v>0</v>
      </c>
      <c r="L573" s="136">
        <f t="shared" si="127"/>
        <v>0</v>
      </c>
      <c r="M573" s="136">
        <f t="shared" si="127"/>
        <v>0</v>
      </c>
      <c r="N573" s="136">
        <f t="shared" si="127"/>
        <v>0</v>
      </c>
      <c r="O573" s="136">
        <f t="shared" si="127"/>
        <v>0</v>
      </c>
      <c r="P573" s="136">
        <f t="shared" si="127"/>
        <v>0</v>
      </c>
      <c r="Q573" s="136">
        <f t="shared" si="127"/>
        <v>0</v>
      </c>
      <c r="R573" s="136">
        <f t="shared" si="127"/>
        <v>0</v>
      </c>
      <c r="S573" s="136">
        <f t="shared" si="127"/>
        <v>0</v>
      </c>
      <c r="T573" s="136">
        <f t="shared" si="127"/>
        <v>0</v>
      </c>
      <c r="U573" s="136">
        <f t="shared" si="127"/>
        <v>0</v>
      </c>
      <c r="V573" s="136">
        <f t="shared" si="127"/>
        <v>0</v>
      </c>
      <c r="W573" s="136">
        <f t="shared" si="127"/>
        <v>0</v>
      </c>
      <c r="X573" s="136">
        <f t="shared" si="127"/>
        <v>0</v>
      </c>
      <c r="Y573" s="136">
        <f t="shared" si="127"/>
        <v>0</v>
      </c>
      <c r="Z573" s="136">
        <f t="shared" si="127"/>
        <v>0</v>
      </c>
      <c r="AA573" s="136">
        <f t="shared" si="127"/>
        <v>0</v>
      </c>
      <c r="AB573" s="136">
        <f t="shared" si="127"/>
        <v>0</v>
      </c>
      <c r="AC573" s="136">
        <f t="shared" si="127"/>
        <v>0</v>
      </c>
      <c r="AD573" s="136">
        <f t="shared" si="127"/>
        <v>0</v>
      </c>
      <c r="AE573" s="136">
        <f t="shared" si="127"/>
        <v>0</v>
      </c>
      <c r="AF573" s="136">
        <f t="shared" si="127"/>
        <v>0</v>
      </c>
      <c r="AG573" s="136">
        <f t="shared" si="127"/>
        <v>0</v>
      </c>
      <c r="AH573" s="136">
        <f t="shared" si="127"/>
        <v>0</v>
      </c>
      <c r="AI573" s="136">
        <f t="shared" si="127"/>
        <v>0</v>
      </c>
      <c r="AJ573" s="136">
        <f t="shared" si="127"/>
        <v>0</v>
      </c>
      <c r="AK573" s="136">
        <f t="shared" si="127"/>
        <v>0</v>
      </c>
      <c r="AL573" s="136">
        <f t="shared" si="127"/>
        <v>0</v>
      </c>
      <c r="AM573" s="136">
        <f t="shared" si="127"/>
        <v>0</v>
      </c>
      <c r="AN573" s="136">
        <f t="shared" si="127"/>
        <v>0</v>
      </c>
      <c r="AO573" s="136">
        <f t="shared" si="127"/>
        <v>0</v>
      </c>
      <c r="AP573" s="136">
        <f t="shared" si="127"/>
        <v>0</v>
      </c>
      <c r="AQ573" s="136">
        <f t="shared" si="127"/>
        <v>0</v>
      </c>
      <c r="AR573" s="136">
        <f t="shared" si="127"/>
        <v>0</v>
      </c>
      <c r="AS573" s="136">
        <f t="shared" si="127"/>
        <v>0</v>
      </c>
      <c r="AT573" s="136">
        <f t="shared" si="127"/>
        <v>0</v>
      </c>
      <c r="AU573" s="136">
        <f t="shared" si="127"/>
        <v>0</v>
      </c>
      <c r="AV573" s="136">
        <f t="shared" si="127"/>
        <v>0</v>
      </c>
      <c r="AW573" s="136">
        <f t="shared" si="127"/>
        <v>0</v>
      </c>
      <c r="AX573" s="136">
        <f t="shared" si="127"/>
        <v>0</v>
      </c>
      <c r="AY573" s="136">
        <f t="shared" si="127"/>
        <v>0</v>
      </c>
      <c r="AZ573" s="136">
        <f t="shared" si="127"/>
        <v>0</v>
      </c>
      <c r="BA573" s="136">
        <f t="shared" si="127"/>
        <v>0</v>
      </c>
      <c r="BB573" s="136">
        <f t="shared" si="127"/>
        <v>0</v>
      </c>
      <c r="BC573" s="136">
        <f t="shared" si="127"/>
        <v>0</v>
      </c>
      <c r="BD573" s="136">
        <f t="shared" si="127"/>
        <v>0</v>
      </c>
      <c r="BE573" s="136">
        <f t="shared" si="127"/>
        <v>0</v>
      </c>
      <c r="BF573" s="136">
        <f t="shared" si="127"/>
        <v>0</v>
      </c>
      <c r="BG573" s="136">
        <f t="shared" si="127"/>
        <v>0</v>
      </c>
      <c r="BH573" s="136">
        <f t="shared" si="127"/>
        <v>0</v>
      </c>
      <c r="BI573" s="136">
        <f t="shared" si="127"/>
        <v>0</v>
      </c>
      <c r="BJ573" s="136">
        <f t="shared" si="127"/>
        <v>0</v>
      </c>
      <c r="BK573" s="136">
        <f t="shared" si="127"/>
        <v>0</v>
      </c>
      <c r="BL573" s="136">
        <f t="shared" si="127"/>
        <v>0</v>
      </c>
      <c r="BM573" s="136">
        <f t="shared" si="127"/>
        <v>0</v>
      </c>
      <c r="BN573" s="136">
        <f t="shared" si="127"/>
        <v>0</v>
      </c>
      <c r="BO573" s="136">
        <f t="shared" si="128"/>
        <v>0</v>
      </c>
      <c r="BP573" s="136">
        <f t="shared" si="128"/>
        <v>0</v>
      </c>
      <c r="BQ573" s="136">
        <f t="shared" si="128"/>
        <v>0</v>
      </c>
      <c r="BR573" s="136">
        <f t="shared" si="128"/>
        <v>0</v>
      </c>
      <c r="BS573" s="136">
        <f t="shared" si="128"/>
        <v>0</v>
      </c>
      <c r="BT573" s="136">
        <f t="shared" si="128"/>
        <v>0</v>
      </c>
      <c r="BU573" s="136">
        <f t="shared" si="128"/>
        <v>0</v>
      </c>
      <c r="BV573" s="136">
        <f t="shared" si="128"/>
        <v>0</v>
      </c>
      <c r="BW573" s="136">
        <f t="shared" si="128"/>
        <v>0</v>
      </c>
      <c r="BX573" s="136">
        <f t="shared" si="128"/>
        <v>0</v>
      </c>
      <c r="BZ573" s="136">
        <f t="shared" si="129"/>
        <v>0</v>
      </c>
      <c r="CA573" s="136">
        <f t="shared" si="129"/>
        <v>0</v>
      </c>
    </row>
    <row r="574" spans="7:79" hidden="1" x14ac:dyDescent="0.3">
      <c r="G574" s="136">
        <f t="shared" si="127"/>
        <v>0</v>
      </c>
      <c r="H574" s="136">
        <f t="shared" si="127"/>
        <v>0</v>
      </c>
      <c r="I574" s="136">
        <f t="shared" si="127"/>
        <v>0</v>
      </c>
      <c r="J574" s="136">
        <f t="shared" si="127"/>
        <v>0</v>
      </c>
      <c r="K574" s="136">
        <f t="shared" si="127"/>
        <v>0</v>
      </c>
      <c r="L574" s="136">
        <f t="shared" si="127"/>
        <v>0</v>
      </c>
      <c r="M574" s="136">
        <f t="shared" si="127"/>
        <v>0</v>
      </c>
      <c r="N574" s="136">
        <f t="shared" si="127"/>
        <v>0</v>
      </c>
      <c r="O574" s="136">
        <f t="shared" si="127"/>
        <v>0</v>
      </c>
      <c r="P574" s="136">
        <f t="shared" si="127"/>
        <v>0</v>
      </c>
      <c r="Q574" s="136">
        <f t="shared" si="127"/>
        <v>0</v>
      </c>
      <c r="R574" s="136">
        <f t="shared" ref="Q574:BN575" si="130">R157-CJ157</f>
        <v>0</v>
      </c>
      <c r="S574" s="136">
        <f t="shared" si="130"/>
        <v>0</v>
      </c>
      <c r="T574" s="136">
        <f t="shared" si="130"/>
        <v>0</v>
      </c>
      <c r="U574" s="136">
        <f t="shared" si="130"/>
        <v>0</v>
      </c>
      <c r="V574" s="136">
        <f t="shared" si="130"/>
        <v>0</v>
      </c>
      <c r="W574" s="136">
        <f t="shared" si="130"/>
        <v>0</v>
      </c>
      <c r="X574" s="136">
        <f t="shared" si="130"/>
        <v>0</v>
      </c>
      <c r="Y574" s="136">
        <f t="shared" si="130"/>
        <v>0</v>
      </c>
      <c r="Z574" s="136">
        <f t="shared" si="130"/>
        <v>0</v>
      </c>
      <c r="AA574" s="136">
        <f t="shared" si="130"/>
        <v>0</v>
      </c>
      <c r="AB574" s="136">
        <f t="shared" si="130"/>
        <v>0</v>
      </c>
      <c r="AC574" s="136">
        <f t="shared" si="130"/>
        <v>0</v>
      </c>
      <c r="AD574" s="136">
        <f t="shared" si="130"/>
        <v>0</v>
      </c>
      <c r="AE574" s="136">
        <f t="shared" si="130"/>
        <v>0</v>
      </c>
      <c r="AF574" s="136">
        <f t="shared" si="130"/>
        <v>0</v>
      </c>
      <c r="AG574" s="136">
        <f t="shared" si="130"/>
        <v>0</v>
      </c>
      <c r="AH574" s="136">
        <f t="shared" si="130"/>
        <v>0</v>
      </c>
      <c r="AI574" s="136">
        <f t="shared" si="130"/>
        <v>0</v>
      </c>
      <c r="AJ574" s="136">
        <f t="shared" si="130"/>
        <v>0</v>
      </c>
      <c r="AK574" s="136">
        <f t="shared" si="130"/>
        <v>0</v>
      </c>
      <c r="AL574" s="136">
        <f t="shared" si="130"/>
        <v>0</v>
      </c>
      <c r="AM574" s="136">
        <f t="shared" si="130"/>
        <v>0</v>
      </c>
      <c r="AN574" s="136">
        <f t="shared" si="130"/>
        <v>0</v>
      </c>
      <c r="AO574" s="136">
        <f t="shared" si="130"/>
        <v>0</v>
      </c>
      <c r="AP574" s="136">
        <f t="shared" si="130"/>
        <v>0</v>
      </c>
      <c r="AQ574" s="136">
        <f t="shared" si="130"/>
        <v>0</v>
      </c>
      <c r="AR574" s="136">
        <f t="shared" si="130"/>
        <v>0</v>
      </c>
      <c r="AS574" s="136">
        <f t="shared" si="130"/>
        <v>0</v>
      </c>
      <c r="AT574" s="136">
        <f t="shared" si="130"/>
        <v>0</v>
      </c>
      <c r="AU574" s="136">
        <f t="shared" si="130"/>
        <v>0</v>
      </c>
      <c r="AV574" s="136">
        <f t="shared" si="130"/>
        <v>0</v>
      </c>
      <c r="AW574" s="136">
        <f t="shared" si="130"/>
        <v>0</v>
      </c>
      <c r="AX574" s="136">
        <f t="shared" si="130"/>
        <v>0</v>
      </c>
      <c r="AY574" s="136">
        <f t="shared" si="130"/>
        <v>0</v>
      </c>
      <c r="AZ574" s="136">
        <f t="shared" si="130"/>
        <v>0</v>
      </c>
      <c r="BA574" s="136">
        <f t="shared" si="130"/>
        <v>0</v>
      </c>
      <c r="BB574" s="136">
        <f t="shared" si="130"/>
        <v>0</v>
      </c>
      <c r="BC574" s="136">
        <f t="shared" si="130"/>
        <v>0</v>
      </c>
      <c r="BD574" s="136">
        <f t="shared" si="130"/>
        <v>0</v>
      </c>
      <c r="BE574" s="136">
        <f t="shared" si="130"/>
        <v>0</v>
      </c>
      <c r="BF574" s="136">
        <f t="shared" si="130"/>
        <v>0</v>
      </c>
      <c r="BG574" s="136">
        <f t="shared" si="130"/>
        <v>0</v>
      </c>
      <c r="BH574" s="136">
        <f t="shared" si="130"/>
        <v>0</v>
      </c>
      <c r="BI574" s="136">
        <f t="shared" si="130"/>
        <v>0</v>
      </c>
      <c r="BJ574" s="136">
        <f t="shared" si="130"/>
        <v>0</v>
      </c>
      <c r="BK574" s="136">
        <f t="shared" si="130"/>
        <v>0</v>
      </c>
      <c r="BL574" s="136">
        <f t="shared" si="130"/>
        <v>0</v>
      </c>
      <c r="BM574" s="136">
        <f t="shared" si="130"/>
        <v>0</v>
      </c>
      <c r="BN574" s="136">
        <f t="shared" si="130"/>
        <v>0</v>
      </c>
      <c r="BO574" s="136">
        <f t="shared" si="128"/>
        <v>0</v>
      </c>
      <c r="BP574" s="136">
        <f t="shared" si="128"/>
        <v>0</v>
      </c>
      <c r="BQ574" s="136">
        <f t="shared" si="128"/>
        <v>0</v>
      </c>
      <c r="BR574" s="136">
        <f t="shared" si="128"/>
        <v>0</v>
      </c>
      <c r="BS574" s="136">
        <f t="shared" si="128"/>
        <v>0</v>
      </c>
      <c r="BT574" s="136">
        <f t="shared" si="128"/>
        <v>0</v>
      </c>
      <c r="BU574" s="136">
        <f t="shared" si="128"/>
        <v>0</v>
      </c>
      <c r="BV574" s="136">
        <f t="shared" si="128"/>
        <v>0</v>
      </c>
      <c r="BW574" s="136">
        <f t="shared" si="128"/>
        <v>0</v>
      </c>
      <c r="BX574" s="136">
        <f t="shared" si="128"/>
        <v>0</v>
      </c>
      <c r="BZ574" s="136">
        <f t="shared" si="129"/>
        <v>0</v>
      </c>
      <c r="CA574" s="136">
        <f t="shared" si="129"/>
        <v>0</v>
      </c>
    </row>
    <row r="575" spans="7:79" hidden="1" x14ac:dyDescent="0.3">
      <c r="G575" s="136">
        <f t="shared" ref="G575:P575" si="131">G158-BY158</f>
        <v>0</v>
      </c>
      <c r="H575" s="136">
        <f t="shared" si="131"/>
        <v>0</v>
      </c>
      <c r="I575" s="136">
        <f t="shared" si="131"/>
        <v>0</v>
      </c>
      <c r="J575" s="136">
        <f t="shared" si="131"/>
        <v>0</v>
      </c>
      <c r="K575" s="136">
        <f t="shared" si="131"/>
        <v>0</v>
      </c>
      <c r="L575" s="136">
        <f t="shared" si="131"/>
        <v>0</v>
      </c>
      <c r="M575" s="136">
        <f t="shared" si="131"/>
        <v>0</v>
      </c>
      <c r="N575" s="136">
        <f t="shared" si="131"/>
        <v>0</v>
      </c>
      <c r="O575" s="136">
        <f t="shared" si="131"/>
        <v>0</v>
      </c>
      <c r="P575" s="136">
        <f t="shared" si="131"/>
        <v>0</v>
      </c>
      <c r="Q575" s="136">
        <f t="shared" si="130"/>
        <v>0</v>
      </c>
      <c r="R575" s="136">
        <f t="shared" si="130"/>
        <v>0</v>
      </c>
      <c r="S575" s="136">
        <f t="shared" si="130"/>
        <v>0</v>
      </c>
      <c r="T575" s="136">
        <f t="shared" si="130"/>
        <v>0</v>
      </c>
      <c r="U575" s="136">
        <f t="shared" si="130"/>
        <v>0</v>
      </c>
      <c r="V575" s="136">
        <f t="shared" si="130"/>
        <v>0</v>
      </c>
      <c r="W575" s="136">
        <f t="shared" si="130"/>
        <v>0</v>
      </c>
      <c r="X575" s="136">
        <f t="shared" si="130"/>
        <v>0</v>
      </c>
      <c r="Y575" s="136">
        <f t="shared" si="130"/>
        <v>0</v>
      </c>
      <c r="Z575" s="136">
        <f t="shared" si="130"/>
        <v>0</v>
      </c>
      <c r="AA575" s="136">
        <f t="shared" si="130"/>
        <v>0</v>
      </c>
      <c r="AB575" s="136">
        <f t="shared" si="130"/>
        <v>0</v>
      </c>
      <c r="AC575" s="136">
        <f t="shared" si="130"/>
        <v>0</v>
      </c>
      <c r="AD575" s="136">
        <f t="shared" si="130"/>
        <v>0</v>
      </c>
      <c r="AE575" s="136">
        <f t="shared" si="130"/>
        <v>0</v>
      </c>
      <c r="AF575" s="136">
        <f t="shared" si="130"/>
        <v>0</v>
      </c>
      <c r="AG575" s="136">
        <f t="shared" si="130"/>
        <v>0</v>
      </c>
      <c r="AH575" s="136">
        <f t="shared" si="130"/>
        <v>0</v>
      </c>
      <c r="AI575" s="136">
        <f t="shared" si="130"/>
        <v>0</v>
      </c>
      <c r="AJ575" s="136">
        <f t="shared" si="130"/>
        <v>0</v>
      </c>
      <c r="AK575" s="136">
        <f t="shared" si="130"/>
        <v>0</v>
      </c>
      <c r="AL575" s="136">
        <f t="shared" si="130"/>
        <v>0</v>
      </c>
      <c r="AM575" s="136">
        <f t="shared" si="130"/>
        <v>0</v>
      </c>
      <c r="AN575" s="136">
        <f t="shared" si="130"/>
        <v>0</v>
      </c>
      <c r="AO575" s="136">
        <f t="shared" si="130"/>
        <v>0</v>
      </c>
      <c r="AP575" s="136">
        <f t="shared" si="130"/>
        <v>0</v>
      </c>
      <c r="AQ575" s="136">
        <f t="shared" si="130"/>
        <v>0</v>
      </c>
      <c r="AR575" s="136">
        <f t="shared" si="130"/>
        <v>0</v>
      </c>
      <c r="AS575" s="136">
        <f t="shared" si="130"/>
        <v>0</v>
      </c>
      <c r="AT575" s="136">
        <f t="shared" si="130"/>
        <v>0</v>
      </c>
      <c r="AU575" s="136">
        <f t="shared" si="130"/>
        <v>0</v>
      </c>
      <c r="AV575" s="136">
        <f t="shared" si="130"/>
        <v>0</v>
      </c>
      <c r="AW575" s="136">
        <f t="shared" si="130"/>
        <v>0</v>
      </c>
      <c r="AX575" s="136">
        <f t="shared" si="130"/>
        <v>0</v>
      </c>
      <c r="AY575" s="136">
        <f t="shared" si="130"/>
        <v>0</v>
      </c>
      <c r="AZ575" s="136">
        <f t="shared" si="130"/>
        <v>0</v>
      </c>
      <c r="BA575" s="136">
        <f t="shared" si="130"/>
        <v>0</v>
      </c>
      <c r="BB575" s="136">
        <f t="shared" si="130"/>
        <v>0</v>
      </c>
      <c r="BC575" s="136">
        <f t="shared" si="130"/>
        <v>0</v>
      </c>
      <c r="BD575" s="136">
        <f t="shared" si="130"/>
        <v>0</v>
      </c>
      <c r="BE575" s="136">
        <f t="shared" si="130"/>
        <v>0</v>
      </c>
      <c r="BF575" s="136">
        <f t="shared" si="130"/>
        <v>0</v>
      </c>
      <c r="BG575" s="136">
        <f t="shared" si="130"/>
        <v>0</v>
      </c>
      <c r="BH575" s="136">
        <f t="shared" si="130"/>
        <v>0</v>
      </c>
      <c r="BI575" s="136">
        <f t="shared" si="130"/>
        <v>0</v>
      </c>
      <c r="BJ575" s="136">
        <f t="shared" si="130"/>
        <v>0</v>
      </c>
      <c r="BK575" s="136">
        <f t="shared" si="130"/>
        <v>0</v>
      </c>
      <c r="BL575" s="136">
        <f t="shared" si="130"/>
        <v>0</v>
      </c>
      <c r="BM575" s="136">
        <f t="shared" si="130"/>
        <v>0</v>
      </c>
      <c r="BN575" s="136">
        <f t="shared" si="130"/>
        <v>0</v>
      </c>
      <c r="BO575" s="136">
        <f t="shared" si="128"/>
        <v>0</v>
      </c>
      <c r="BP575" s="136">
        <f t="shared" si="128"/>
        <v>0</v>
      </c>
      <c r="BQ575" s="136">
        <f t="shared" si="128"/>
        <v>0</v>
      </c>
      <c r="BR575" s="136">
        <f t="shared" si="128"/>
        <v>0</v>
      </c>
      <c r="BS575" s="136">
        <f t="shared" si="128"/>
        <v>0</v>
      </c>
      <c r="BT575" s="136">
        <f t="shared" si="128"/>
        <v>0</v>
      </c>
      <c r="BU575" s="136">
        <f t="shared" si="128"/>
        <v>0</v>
      </c>
      <c r="BV575" s="136">
        <f t="shared" si="128"/>
        <v>0</v>
      </c>
      <c r="BW575" s="136">
        <f t="shared" si="128"/>
        <v>0</v>
      </c>
      <c r="BX575" s="136">
        <f t="shared" si="128"/>
        <v>0</v>
      </c>
      <c r="BZ575" s="136">
        <f t="shared" si="129"/>
        <v>0</v>
      </c>
      <c r="CA575" s="136">
        <f t="shared" si="129"/>
        <v>0</v>
      </c>
    </row>
    <row r="576" spans="7:79" hidden="1" x14ac:dyDescent="0.3"/>
    <row r="577" spans="7:79" hidden="1" x14ac:dyDescent="0.3"/>
    <row r="578" spans="7:79" hidden="1" x14ac:dyDescent="0.3"/>
    <row r="579" spans="7:79" hidden="1" x14ac:dyDescent="0.3">
      <c r="G579" s="136">
        <f t="shared" ref="G579:BR581" si="132">G162-BY162</f>
        <v>0</v>
      </c>
      <c r="H579" s="136">
        <f t="shared" si="132"/>
        <v>0</v>
      </c>
      <c r="I579" s="136">
        <f t="shared" si="132"/>
        <v>0</v>
      </c>
      <c r="J579" s="136">
        <f t="shared" si="132"/>
        <v>0</v>
      </c>
      <c r="K579" s="136">
        <f t="shared" si="132"/>
        <v>0</v>
      </c>
      <c r="L579" s="136">
        <f t="shared" si="132"/>
        <v>0</v>
      </c>
      <c r="M579" s="136">
        <f t="shared" si="132"/>
        <v>0</v>
      </c>
      <c r="N579" s="136">
        <f t="shared" si="132"/>
        <v>0</v>
      </c>
      <c r="O579" s="136">
        <f t="shared" si="132"/>
        <v>0</v>
      </c>
      <c r="P579" s="136">
        <f t="shared" si="132"/>
        <v>0</v>
      </c>
      <c r="Q579" s="136">
        <f t="shared" si="132"/>
        <v>0</v>
      </c>
      <c r="R579" s="136">
        <f t="shared" si="132"/>
        <v>0</v>
      </c>
      <c r="S579" s="136">
        <f t="shared" si="132"/>
        <v>0</v>
      </c>
      <c r="T579" s="136">
        <f t="shared" si="132"/>
        <v>0</v>
      </c>
      <c r="U579" s="136">
        <f t="shared" si="132"/>
        <v>0</v>
      </c>
      <c r="V579" s="136">
        <f t="shared" si="132"/>
        <v>0</v>
      </c>
      <c r="W579" s="136">
        <f t="shared" si="132"/>
        <v>0</v>
      </c>
      <c r="X579" s="136">
        <f t="shared" si="132"/>
        <v>0</v>
      </c>
      <c r="Y579" s="136">
        <f t="shared" si="132"/>
        <v>0</v>
      </c>
      <c r="Z579" s="136">
        <f t="shared" si="132"/>
        <v>0</v>
      </c>
      <c r="AA579" s="136">
        <f t="shared" si="132"/>
        <v>0</v>
      </c>
      <c r="AB579" s="136">
        <f t="shared" si="132"/>
        <v>0</v>
      </c>
      <c r="AC579" s="136">
        <f t="shared" si="132"/>
        <v>0</v>
      </c>
      <c r="AD579" s="136">
        <f t="shared" si="132"/>
        <v>0</v>
      </c>
      <c r="AE579" s="136">
        <f t="shared" si="132"/>
        <v>0</v>
      </c>
      <c r="AF579" s="136">
        <f t="shared" si="132"/>
        <v>0</v>
      </c>
      <c r="AG579" s="136">
        <f t="shared" si="132"/>
        <v>0</v>
      </c>
      <c r="AH579" s="136">
        <f t="shared" si="132"/>
        <v>0</v>
      </c>
      <c r="AI579" s="136">
        <f t="shared" si="132"/>
        <v>0</v>
      </c>
      <c r="AJ579" s="136">
        <f t="shared" si="132"/>
        <v>0</v>
      </c>
      <c r="AK579" s="136">
        <f t="shared" si="132"/>
        <v>0</v>
      </c>
      <c r="AL579" s="136">
        <f t="shared" si="132"/>
        <v>0</v>
      </c>
      <c r="AM579" s="136">
        <f t="shared" si="132"/>
        <v>0</v>
      </c>
      <c r="AN579" s="136">
        <f t="shared" si="132"/>
        <v>0</v>
      </c>
      <c r="AO579" s="136">
        <f t="shared" si="132"/>
        <v>0</v>
      </c>
      <c r="AP579" s="136">
        <f t="shared" si="132"/>
        <v>0</v>
      </c>
      <c r="AQ579" s="136">
        <f t="shared" si="132"/>
        <v>0</v>
      </c>
      <c r="AR579" s="136">
        <f t="shared" si="132"/>
        <v>0</v>
      </c>
      <c r="AS579" s="136">
        <f t="shared" si="132"/>
        <v>0</v>
      </c>
      <c r="AT579" s="136">
        <f t="shared" si="132"/>
        <v>0</v>
      </c>
      <c r="AU579" s="136">
        <f t="shared" si="132"/>
        <v>0</v>
      </c>
      <c r="AV579" s="136">
        <f t="shared" si="132"/>
        <v>0</v>
      </c>
      <c r="AW579" s="136">
        <f t="shared" si="132"/>
        <v>0</v>
      </c>
      <c r="AX579" s="136">
        <f t="shared" si="132"/>
        <v>0</v>
      </c>
      <c r="AY579" s="136">
        <f t="shared" si="132"/>
        <v>0</v>
      </c>
      <c r="AZ579" s="136">
        <f t="shared" si="132"/>
        <v>0</v>
      </c>
      <c r="BA579" s="136">
        <f t="shared" si="132"/>
        <v>0</v>
      </c>
      <c r="BB579" s="136">
        <f t="shared" si="132"/>
        <v>0</v>
      </c>
      <c r="BC579" s="136">
        <f t="shared" si="132"/>
        <v>0</v>
      </c>
      <c r="BD579" s="136">
        <f t="shared" si="132"/>
        <v>0</v>
      </c>
      <c r="BE579" s="136">
        <f t="shared" si="132"/>
        <v>0</v>
      </c>
      <c r="BF579" s="136">
        <f t="shared" si="132"/>
        <v>0</v>
      </c>
      <c r="BG579" s="136">
        <f t="shared" si="132"/>
        <v>0</v>
      </c>
      <c r="BH579" s="136">
        <f t="shared" si="132"/>
        <v>0</v>
      </c>
      <c r="BI579" s="136">
        <f t="shared" si="132"/>
        <v>0</v>
      </c>
      <c r="BJ579" s="136">
        <f t="shared" si="132"/>
        <v>0</v>
      </c>
      <c r="BK579" s="136">
        <f t="shared" si="132"/>
        <v>0</v>
      </c>
      <c r="BL579" s="136">
        <f t="shared" si="132"/>
        <v>0</v>
      </c>
      <c r="BM579" s="136">
        <f t="shared" si="132"/>
        <v>0</v>
      </c>
      <c r="BN579" s="136">
        <f t="shared" si="132"/>
        <v>0</v>
      </c>
      <c r="BO579" s="136">
        <f t="shared" si="132"/>
        <v>0</v>
      </c>
      <c r="BP579" s="136">
        <f t="shared" si="132"/>
        <v>0</v>
      </c>
      <c r="BQ579" s="136">
        <f t="shared" si="132"/>
        <v>0</v>
      </c>
      <c r="BR579" s="136">
        <f t="shared" si="132"/>
        <v>0</v>
      </c>
      <c r="BS579" s="136">
        <f t="shared" ref="BO579:BX581" si="133">BS162-EK162</f>
        <v>0</v>
      </c>
      <c r="BT579" s="136">
        <f t="shared" si="133"/>
        <v>0</v>
      </c>
      <c r="BU579" s="136">
        <f t="shared" si="133"/>
        <v>0</v>
      </c>
      <c r="BV579" s="136">
        <f t="shared" si="133"/>
        <v>0</v>
      </c>
      <c r="BW579" s="136">
        <f t="shared" si="133"/>
        <v>0</v>
      </c>
      <c r="BX579" s="136">
        <f t="shared" si="133"/>
        <v>0</v>
      </c>
      <c r="BZ579" s="136">
        <f t="shared" ref="BZ579:CA581" si="134">BZ162-ER162</f>
        <v>0</v>
      </c>
      <c r="CA579" s="136">
        <f t="shared" si="134"/>
        <v>0</v>
      </c>
    </row>
    <row r="580" spans="7:79" hidden="1" x14ac:dyDescent="0.3">
      <c r="G580" s="136">
        <f t="shared" si="132"/>
        <v>0</v>
      </c>
      <c r="H580" s="136">
        <f t="shared" si="132"/>
        <v>0</v>
      </c>
      <c r="I580" s="136">
        <f t="shared" si="132"/>
        <v>0</v>
      </c>
      <c r="J580" s="136">
        <f t="shared" si="132"/>
        <v>0</v>
      </c>
      <c r="K580" s="136">
        <f t="shared" si="132"/>
        <v>0</v>
      </c>
      <c r="L580" s="136">
        <f t="shared" si="132"/>
        <v>0</v>
      </c>
      <c r="M580" s="136">
        <f t="shared" si="132"/>
        <v>0</v>
      </c>
      <c r="N580" s="136">
        <f t="shared" si="132"/>
        <v>0</v>
      </c>
      <c r="O580" s="136">
        <f t="shared" si="132"/>
        <v>0</v>
      </c>
      <c r="P580" s="136">
        <f t="shared" si="132"/>
        <v>0</v>
      </c>
      <c r="Q580" s="136">
        <f t="shared" si="132"/>
        <v>0</v>
      </c>
      <c r="R580" s="136">
        <f t="shared" si="132"/>
        <v>0</v>
      </c>
      <c r="S580" s="136">
        <f t="shared" si="132"/>
        <v>0</v>
      </c>
      <c r="T580" s="136">
        <f t="shared" si="132"/>
        <v>0</v>
      </c>
      <c r="U580" s="136">
        <f t="shared" si="132"/>
        <v>0</v>
      </c>
      <c r="V580" s="136">
        <f t="shared" si="132"/>
        <v>0</v>
      </c>
      <c r="W580" s="136">
        <f t="shared" si="132"/>
        <v>0</v>
      </c>
      <c r="X580" s="136">
        <f t="shared" si="132"/>
        <v>0</v>
      </c>
      <c r="Y580" s="136">
        <f t="shared" si="132"/>
        <v>0</v>
      </c>
      <c r="Z580" s="136">
        <f t="shared" si="132"/>
        <v>0</v>
      </c>
      <c r="AA580" s="136">
        <f t="shared" si="132"/>
        <v>0</v>
      </c>
      <c r="AB580" s="136">
        <f t="shared" si="132"/>
        <v>0</v>
      </c>
      <c r="AC580" s="136">
        <f t="shared" si="132"/>
        <v>0</v>
      </c>
      <c r="AD580" s="136">
        <f t="shared" si="132"/>
        <v>0</v>
      </c>
      <c r="AE580" s="136">
        <f t="shared" si="132"/>
        <v>0</v>
      </c>
      <c r="AF580" s="136">
        <f t="shared" si="132"/>
        <v>0</v>
      </c>
      <c r="AG580" s="136">
        <f t="shared" si="132"/>
        <v>0</v>
      </c>
      <c r="AH580" s="136">
        <f t="shared" si="132"/>
        <v>0</v>
      </c>
      <c r="AI580" s="136">
        <f t="shared" si="132"/>
        <v>0</v>
      </c>
      <c r="AJ580" s="136">
        <f t="shared" si="132"/>
        <v>0</v>
      </c>
      <c r="AK580" s="136">
        <f t="shared" si="132"/>
        <v>0</v>
      </c>
      <c r="AL580" s="136">
        <f t="shared" si="132"/>
        <v>0</v>
      </c>
      <c r="AM580" s="136">
        <f t="shared" si="132"/>
        <v>0</v>
      </c>
      <c r="AN580" s="136">
        <f t="shared" si="132"/>
        <v>0</v>
      </c>
      <c r="AO580" s="136">
        <f t="shared" si="132"/>
        <v>0</v>
      </c>
      <c r="AP580" s="136">
        <f t="shared" si="132"/>
        <v>0</v>
      </c>
      <c r="AQ580" s="136">
        <f t="shared" si="132"/>
        <v>0</v>
      </c>
      <c r="AR580" s="136">
        <f t="shared" si="132"/>
        <v>0</v>
      </c>
      <c r="AS580" s="136">
        <f t="shared" si="132"/>
        <v>0</v>
      </c>
      <c r="AT580" s="136">
        <f t="shared" si="132"/>
        <v>0</v>
      </c>
      <c r="AU580" s="136">
        <f t="shared" si="132"/>
        <v>0</v>
      </c>
      <c r="AV580" s="136">
        <f t="shared" si="132"/>
        <v>0</v>
      </c>
      <c r="AW580" s="136">
        <f t="shared" si="132"/>
        <v>0</v>
      </c>
      <c r="AX580" s="136">
        <f t="shared" si="132"/>
        <v>0</v>
      </c>
      <c r="AY580" s="136">
        <f t="shared" si="132"/>
        <v>0</v>
      </c>
      <c r="AZ580" s="136">
        <f t="shared" si="132"/>
        <v>0</v>
      </c>
      <c r="BA580" s="136">
        <f t="shared" si="132"/>
        <v>0</v>
      </c>
      <c r="BB580" s="136">
        <f t="shared" si="132"/>
        <v>0</v>
      </c>
      <c r="BC580" s="136">
        <f t="shared" si="132"/>
        <v>0</v>
      </c>
      <c r="BD580" s="136">
        <f t="shared" si="132"/>
        <v>0</v>
      </c>
      <c r="BE580" s="136">
        <f t="shared" si="132"/>
        <v>0</v>
      </c>
      <c r="BF580" s="136">
        <f t="shared" si="132"/>
        <v>0</v>
      </c>
      <c r="BG580" s="136">
        <f t="shared" si="132"/>
        <v>0</v>
      </c>
      <c r="BH580" s="136">
        <f t="shared" si="132"/>
        <v>0</v>
      </c>
      <c r="BI580" s="136">
        <f t="shared" si="132"/>
        <v>0</v>
      </c>
      <c r="BJ580" s="136">
        <f t="shared" si="132"/>
        <v>0</v>
      </c>
      <c r="BK580" s="136">
        <f t="shared" si="132"/>
        <v>0</v>
      </c>
      <c r="BL580" s="136">
        <f t="shared" si="132"/>
        <v>0</v>
      </c>
      <c r="BM580" s="136">
        <f t="shared" si="132"/>
        <v>0</v>
      </c>
      <c r="BN580" s="136">
        <f t="shared" si="132"/>
        <v>0</v>
      </c>
      <c r="BO580" s="136">
        <f t="shared" si="133"/>
        <v>0</v>
      </c>
      <c r="BP580" s="136">
        <f t="shared" si="133"/>
        <v>0</v>
      </c>
      <c r="BQ580" s="136">
        <f t="shared" si="133"/>
        <v>0</v>
      </c>
      <c r="BR580" s="136">
        <f t="shared" si="133"/>
        <v>0</v>
      </c>
      <c r="BS580" s="136">
        <f t="shared" si="133"/>
        <v>0</v>
      </c>
      <c r="BT580" s="136">
        <f t="shared" si="133"/>
        <v>0</v>
      </c>
      <c r="BU580" s="136">
        <f t="shared" si="133"/>
        <v>0</v>
      </c>
      <c r="BV580" s="136">
        <f t="shared" si="133"/>
        <v>0</v>
      </c>
      <c r="BW580" s="136">
        <f t="shared" si="133"/>
        <v>0</v>
      </c>
      <c r="BX580" s="136">
        <f t="shared" si="133"/>
        <v>0</v>
      </c>
      <c r="BZ580" s="136">
        <f t="shared" si="134"/>
        <v>0</v>
      </c>
      <c r="CA580" s="136">
        <f t="shared" si="134"/>
        <v>0</v>
      </c>
    </row>
    <row r="581" spans="7:79" hidden="1" x14ac:dyDescent="0.3">
      <c r="G581" s="136">
        <f t="shared" si="132"/>
        <v>0</v>
      </c>
      <c r="H581" s="136">
        <f t="shared" si="132"/>
        <v>0</v>
      </c>
      <c r="I581" s="136">
        <f t="shared" si="132"/>
        <v>0</v>
      </c>
      <c r="J581" s="136">
        <f t="shared" si="132"/>
        <v>0</v>
      </c>
      <c r="K581" s="136">
        <f t="shared" si="132"/>
        <v>0</v>
      </c>
      <c r="L581" s="136">
        <f t="shared" si="132"/>
        <v>0</v>
      </c>
      <c r="M581" s="136">
        <f t="shared" si="132"/>
        <v>0</v>
      </c>
      <c r="N581" s="136">
        <f t="shared" si="132"/>
        <v>0</v>
      </c>
      <c r="O581" s="136">
        <f t="shared" si="132"/>
        <v>0</v>
      </c>
      <c r="P581" s="136">
        <f t="shared" si="132"/>
        <v>0</v>
      </c>
      <c r="Q581" s="136">
        <f t="shared" si="132"/>
        <v>0</v>
      </c>
      <c r="R581" s="136">
        <f t="shared" si="132"/>
        <v>0</v>
      </c>
      <c r="S581" s="136">
        <f t="shared" si="132"/>
        <v>0</v>
      </c>
      <c r="T581" s="136">
        <f t="shared" si="132"/>
        <v>0</v>
      </c>
      <c r="U581" s="136">
        <f t="shared" si="132"/>
        <v>0</v>
      </c>
      <c r="V581" s="136">
        <f t="shared" si="132"/>
        <v>0</v>
      </c>
      <c r="W581" s="136">
        <f t="shared" si="132"/>
        <v>0</v>
      </c>
      <c r="X581" s="136">
        <f t="shared" si="132"/>
        <v>0</v>
      </c>
      <c r="Y581" s="136">
        <f t="shared" si="132"/>
        <v>0</v>
      </c>
      <c r="Z581" s="136">
        <f t="shared" si="132"/>
        <v>0</v>
      </c>
      <c r="AA581" s="136">
        <f t="shared" si="132"/>
        <v>0</v>
      </c>
      <c r="AB581" s="136">
        <f t="shared" si="132"/>
        <v>0</v>
      </c>
      <c r="AC581" s="136">
        <f t="shared" si="132"/>
        <v>0</v>
      </c>
      <c r="AD581" s="136">
        <f t="shared" si="132"/>
        <v>0</v>
      </c>
      <c r="AE581" s="136">
        <f t="shared" si="132"/>
        <v>0</v>
      </c>
      <c r="AF581" s="136">
        <f t="shared" si="132"/>
        <v>0</v>
      </c>
      <c r="AG581" s="136">
        <f t="shared" si="132"/>
        <v>0</v>
      </c>
      <c r="AH581" s="136">
        <f t="shared" si="132"/>
        <v>0</v>
      </c>
      <c r="AI581" s="136">
        <f t="shared" si="132"/>
        <v>0</v>
      </c>
      <c r="AJ581" s="136">
        <f t="shared" si="132"/>
        <v>0</v>
      </c>
      <c r="AK581" s="136">
        <f t="shared" si="132"/>
        <v>0</v>
      </c>
      <c r="AL581" s="136">
        <f t="shared" si="132"/>
        <v>0</v>
      </c>
      <c r="AM581" s="136">
        <f t="shared" si="132"/>
        <v>0</v>
      </c>
      <c r="AN581" s="136">
        <f t="shared" si="132"/>
        <v>0</v>
      </c>
      <c r="AO581" s="136">
        <f t="shared" si="132"/>
        <v>0</v>
      </c>
      <c r="AP581" s="136">
        <f t="shared" si="132"/>
        <v>0</v>
      </c>
      <c r="AQ581" s="136">
        <f t="shared" si="132"/>
        <v>0</v>
      </c>
      <c r="AR581" s="136">
        <f t="shared" si="132"/>
        <v>0</v>
      </c>
      <c r="AS581" s="136">
        <f t="shared" si="132"/>
        <v>0</v>
      </c>
      <c r="AT581" s="136">
        <f t="shared" si="132"/>
        <v>0</v>
      </c>
      <c r="AU581" s="136">
        <f t="shared" si="132"/>
        <v>0</v>
      </c>
      <c r="AV581" s="136">
        <f t="shared" si="132"/>
        <v>0</v>
      </c>
      <c r="AW581" s="136">
        <f t="shared" si="132"/>
        <v>0</v>
      </c>
      <c r="AX581" s="136">
        <f t="shared" si="132"/>
        <v>0</v>
      </c>
      <c r="AY581" s="136">
        <f t="shared" si="132"/>
        <v>0</v>
      </c>
      <c r="AZ581" s="136">
        <f t="shared" si="132"/>
        <v>0</v>
      </c>
      <c r="BA581" s="136">
        <f t="shared" si="132"/>
        <v>0</v>
      </c>
      <c r="BB581" s="136">
        <f t="shared" si="132"/>
        <v>0</v>
      </c>
      <c r="BC581" s="136">
        <f t="shared" si="132"/>
        <v>0</v>
      </c>
      <c r="BD581" s="136">
        <f t="shared" si="132"/>
        <v>0</v>
      </c>
      <c r="BE581" s="136">
        <f t="shared" si="132"/>
        <v>0</v>
      </c>
      <c r="BF581" s="136">
        <f t="shared" si="132"/>
        <v>0</v>
      </c>
      <c r="BG581" s="136">
        <f t="shared" si="132"/>
        <v>0</v>
      </c>
      <c r="BH581" s="136">
        <f t="shared" si="132"/>
        <v>0</v>
      </c>
      <c r="BI581" s="136">
        <f t="shared" si="132"/>
        <v>0</v>
      </c>
      <c r="BJ581" s="136">
        <f t="shared" si="132"/>
        <v>0</v>
      </c>
      <c r="BK581" s="136">
        <f t="shared" si="132"/>
        <v>0</v>
      </c>
      <c r="BL581" s="136">
        <f t="shared" si="132"/>
        <v>0</v>
      </c>
      <c r="BM581" s="136">
        <f t="shared" si="132"/>
        <v>0</v>
      </c>
      <c r="BN581" s="136">
        <f t="shared" si="132"/>
        <v>0</v>
      </c>
      <c r="BO581" s="136">
        <f t="shared" si="133"/>
        <v>0</v>
      </c>
      <c r="BP581" s="136">
        <f t="shared" si="133"/>
        <v>0</v>
      </c>
      <c r="BQ581" s="136">
        <f t="shared" si="133"/>
        <v>0</v>
      </c>
      <c r="BR581" s="136">
        <f t="shared" si="133"/>
        <v>0</v>
      </c>
      <c r="BS581" s="136">
        <f t="shared" si="133"/>
        <v>0</v>
      </c>
      <c r="BT581" s="136">
        <f t="shared" si="133"/>
        <v>0</v>
      </c>
      <c r="BU581" s="136">
        <f t="shared" si="133"/>
        <v>0</v>
      </c>
      <c r="BV581" s="136">
        <f t="shared" si="133"/>
        <v>0</v>
      </c>
      <c r="BW581" s="136">
        <f t="shared" si="133"/>
        <v>0</v>
      </c>
      <c r="BX581" s="136">
        <f t="shared" si="133"/>
        <v>0</v>
      </c>
      <c r="BZ581" s="136">
        <f t="shared" si="134"/>
        <v>0</v>
      </c>
      <c r="CA581" s="136">
        <f t="shared" si="134"/>
        <v>0</v>
      </c>
    </row>
    <row r="582" spans="7:79" hidden="1" x14ac:dyDescent="0.3">
      <c r="G582" s="136" t="e">
        <f>#REF!-#REF!</f>
        <v>#REF!</v>
      </c>
      <c r="H582" s="136" t="e">
        <f>#REF!-#REF!</f>
        <v>#REF!</v>
      </c>
      <c r="I582" s="136" t="e">
        <f>#REF!-#REF!</f>
        <v>#REF!</v>
      </c>
      <c r="J582" s="136" t="e">
        <f>#REF!-#REF!</f>
        <v>#REF!</v>
      </c>
      <c r="K582" s="136" t="e">
        <f>#REF!-#REF!</f>
        <v>#REF!</v>
      </c>
      <c r="L582" s="136" t="e">
        <f>#REF!-#REF!</f>
        <v>#REF!</v>
      </c>
      <c r="M582" s="136" t="e">
        <f>#REF!-#REF!</f>
        <v>#REF!</v>
      </c>
      <c r="N582" s="136" t="e">
        <f>#REF!-#REF!</f>
        <v>#REF!</v>
      </c>
      <c r="O582" s="136" t="e">
        <f>#REF!-#REF!</f>
        <v>#REF!</v>
      </c>
      <c r="P582" s="136" t="e">
        <f>#REF!-#REF!</f>
        <v>#REF!</v>
      </c>
      <c r="Q582" s="136" t="e">
        <f>#REF!-#REF!</f>
        <v>#REF!</v>
      </c>
      <c r="R582" s="136" t="e">
        <f>#REF!-#REF!</f>
        <v>#REF!</v>
      </c>
      <c r="S582" s="136" t="e">
        <f>#REF!-#REF!</f>
        <v>#REF!</v>
      </c>
      <c r="T582" s="136" t="e">
        <f>#REF!-#REF!</f>
        <v>#REF!</v>
      </c>
      <c r="U582" s="136" t="e">
        <f>#REF!-#REF!</f>
        <v>#REF!</v>
      </c>
      <c r="V582" s="136" t="e">
        <f>#REF!-#REF!</f>
        <v>#REF!</v>
      </c>
      <c r="W582" s="136" t="e">
        <f>#REF!-#REF!</f>
        <v>#REF!</v>
      </c>
      <c r="X582" s="136" t="e">
        <f>#REF!-#REF!</f>
        <v>#REF!</v>
      </c>
      <c r="Y582" s="136" t="e">
        <f>#REF!-#REF!</f>
        <v>#REF!</v>
      </c>
      <c r="Z582" s="136" t="e">
        <f>#REF!-#REF!</f>
        <v>#REF!</v>
      </c>
      <c r="AA582" s="136" t="e">
        <f>#REF!-#REF!</f>
        <v>#REF!</v>
      </c>
      <c r="AB582" s="136" t="e">
        <f>#REF!-#REF!</f>
        <v>#REF!</v>
      </c>
      <c r="AC582" s="136" t="e">
        <f>#REF!-#REF!</f>
        <v>#REF!</v>
      </c>
      <c r="AD582" s="136" t="e">
        <f>#REF!-#REF!</f>
        <v>#REF!</v>
      </c>
      <c r="AE582" s="136" t="e">
        <f>#REF!-#REF!</f>
        <v>#REF!</v>
      </c>
      <c r="AF582" s="136" t="e">
        <f>#REF!-#REF!</f>
        <v>#REF!</v>
      </c>
      <c r="AG582" s="136" t="e">
        <f>#REF!-#REF!</f>
        <v>#REF!</v>
      </c>
      <c r="AH582" s="136" t="e">
        <f>#REF!-#REF!</f>
        <v>#REF!</v>
      </c>
      <c r="AI582" s="136" t="e">
        <f>#REF!-#REF!</f>
        <v>#REF!</v>
      </c>
      <c r="AJ582" s="136" t="e">
        <f>#REF!-#REF!</f>
        <v>#REF!</v>
      </c>
      <c r="AK582" s="136" t="e">
        <f>#REF!-#REF!</f>
        <v>#REF!</v>
      </c>
      <c r="AL582" s="136" t="e">
        <f>#REF!-#REF!</f>
        <v>#REF!</v>
      </c>
      <c r="AM582" s="136" t="e">
        <f>#REF!-#REF!</f>
        <v>#REF!</v>
      </c>
      <c r="AN582" s="136" t="e">
        <f>#REF!-#REF!</f>
        <v>#REF!</v>
      </c>
      <c r="AO582" s="136" t="e">
        <f>#REF!-#REF!</f>
        <v>#REF!</v>
      </c>
      <c r="AP582" s="136" t="e">
        <f>#REF!-#REF!</f>
        <v>#REF!</v>
      </c>
      <c r="AQ582" s="136" t="e">
        <f>#REF!-#REF!</f>
        <v>#REF!</v>
      </c>
      <c r="AR582" s="136" t="e">
        <f>#REF!-#REF!</f>
        <v>#REF!</v>
      </c>
      <c r="AS582" s="136" t="e">
        <f>#REF!-#REF!</f>
        <v>#REF!</v>
      </c>
      <c r="AT582" s="136" t="e">
        <f>#REF!-#REF!</f>
        <v>#REF!</v>
      </c>
      <c r="AU582" s="136" t="e">
        <f>#REF!-#REF!</f>
        <v>#REF!</v>
      </c>
      <c r="AV582" s="136" t="e">
        <f>#REF!-#REF!</f>
        <v>#REF!</v>
      </c>
      <c r="AW582" s="136" t="e">
        <f>#REF!-#REF!</f>
        <v>#REF!</v>
      </c>
      <c r="AX582" s="136" t="e">
        <f>#REF!-#REF!</f>
        <v>#REF!</v>
      </c>
      <c r="AY582" s="136" t="e">
        <f>#REF!-#REF!</f>
        <v>#REF!</v>
      </c>
      <c r="AZ582" s="136" t="e">
        <f>#REF!-#REF!</f>
        <v>#REF!</v>
      </c>
      <c r="BA582" s="136" t="e">
        <f>#REF!-#REF!</f>
        <v>#REF!</v>
      </c>
      <c r="BB582" s="136" t="e">
        <f>#REF!-#REF!</f>
        <v>#REF!</v>
      </c>
      <c r="BC582" s="136" t="e">
        <f>#REF!-#REF!</f>
        <v>#REF!</v>
      </c>
      <c r="BD582" s="136" t="e">
        <f>#REF!-#REF!</f>
        <v>#REF!</v>
      </c>
      <c r="BE582" s="136" t="e">
        <f>#REF!-#REF!</f>
        <v>#REF!</v>
      </c>
      <c r="BF582" s="136" t="e">
        <f>#REF!-#REF!</f>
        <v>#REF!</v>
      </c>
      <c r="BG582" s="136" t="e">
        <f>#REF!-#REF!</f>
        <v>#REF!</v>
      </c>
      <c r="BH582" s="136" t="e">
        <f>#REF!-#REF!</f>
        <v>#REF!</v>
      </c>
      <c r="BI582" s="136" t="e">
        <f>#REF!-#REF!</f>
        <v>#REF!</v>
      </c>
      <c r="BJ582" s="136" t="e">
        <f>#REF!-#REF!</f>
        <v>#REF!</v>
      </c>
      <c r="BK582" s="136" t="e">
        <f>#REF!-#REF!</f>
        <v>#REF!</v>
      </c>
      <c r="BL582" s="136" t="e">
        <f>#REF!-#REF!</f>
        <v>#REF!</v>
      </c>
      <c r="BM582" s="136" t="e">
        <f>#REF!-#REF!</f>
        <v>#REF!</v>
      </c>
      <c r="BN582" s="136" t="e">
        <f>#REF!-#REF!</f>
        <v>#REF!</v>
      </c>
      <c r="BO582" s="136" t="e">
        <f>#REF!-#REF!</f>
        <v>#REF!</v>
      </c>
      <c r="BP582" s="136" t="e">
        <f>#REF!-#REF!</f>
        <v>#REF!</v>
      </c>
      <c r="BQ582" s="136" t="e">
        <f>#REF!-#REF!</f>
        <v>#REF!</v>
      </c>
      <c r="BR582" s="136" t="e">
        <f>#REF!-#REF!</f>
        <v>#REF!</v>
      </c>
      <c r="BS582" s="136" t="e">
        <f>#REF!-#REF!</f>
        <v>#REF!</v>
      </c>
      <c r="BT582" s="136" t="e">
        <f>#REF!-#REF!</f>
        <v>#REF!</v>
      </c>
      <c r="BU582" s="136" t="e">
        <f>#REF!-#REF!</f>
        <v>#REF!</v>
      </c>
      <c r="BV582" s="136" t="e">
        <f>#REF!-#REF!</f>
        <v>#REF!</v>
      </c>
      <c r="BW582" s="136" t="e">
        <f>#REF!-#REF!</f>
        <v>#REF!</v>
      </c>
      <c r="BX582" s="136" t="e">
        <f>#REF!-#REF!</f>
        <v>#REF!</v>
      </c>
      <c r="BZ582" s="136" t="e">
        <f>#REF!-#REF!</f>
        <v>#REF!</v>
      </c>
      <c r="CA582" s="136" t="e">
        <f>#REF!-#REF!</f>
        <v>#REF!</v>
      </c>
    </row>
    <row r="583" spans="7:79" hidden="1" x14ac:dyDescent="0.3">
      <c r="G583" s="136" t="e">
        <f>#REF!-#REF!</f>
        <v>#REF!</v>
      </c>
      <c r="H583" s="136" t="e">
        <f>#REF!-#REF!</f>
        <v>#REF!</v>
      </c>
      <c r="I583" s="136" t="e">
        <f>#REF!-#REF!</f>
        <v>#REF!</v>
      </c>
      <c r="J583" s="136" t="e">
        <f>#REF!-#REF!</f>
        <v>#REF!</v>
      </c>
      <c r="K583" s="136" t="e">
        <f>#REF!-#REF!</f>
        <v>#REF!</v>
      </c>
      <c r="L583" s="136" t="e">
        <f>#REF!-#REF!</f>
        <v>#REF!</v>
      </c>
      <c r="M583" s="136" t="e">
        <f>#REF!-#REF!</f>
        <v>#REF!</v>
      </c>
      <c r="N583" s="136" t="e">
        <f>#REF!-#REF!</f>
        <v>#REF!</v>
      </c>
      <c r="O583" s="136" t="e">
        <f>#REF!-#REF!</f>
        <v>#REF!</v>
      </c>
      <c r="P583" s="136" t="e">
        <f>#REF!-#REF!</f>
        <v>#REF!</v>
      </c>
      <c r="Q583" s="136" t="e">
        <f>#REF!-#REF!</f>
        <v>#REF!</v>
      </c>
      <c r="R583" s="136" t="e">
        <f>#REF!-#REF!</f>
        <v>#REF!</v>
      </c>
      <c r="S583" s="136" t="e">
        <f>#REF!-#REF!</f>
        <v>#REF!</v>
      </c>
      <c r="T583" s="136" t="e">
        <f>#REF!-#REF!</f>
        <v>#REF!</v>
      </c>
      <c r="U583" s="136" t="e">
        <f>#REF!-#REF!</f>
        <v>#REF!</v>
      </c>
      <c r="V583" s="136" t="e">
        <f>#REF!-#REF!</f>
        <v>#REF!</v>
      </c>
      <c r="W583" s="136" t="e">
        <f>#REF!-#REF!</f>
        <v>#REF!</v>
      </c>
      <c r="X583" s="136" t="e">
        <f>#REF!-#REF!</f>
        <v>#REF!</v>
      </c>
      <c r="Y583" s="136" t="e">
        <f>#REF!-#REF!</f>
        <v>#REF!</v>
      </c>
      <c r="Z583" s="136" t="e">
        <f>#REF!-#REF!</f>
        <v>#REF!</v>
      </c>
      <c r="AA583" s="136" t="e">
        <f>#REF!-#REF!</f>
        <v>#REF!</v>
      </c>
      <c r="AB583" s="136" t="e">
        <f>#REF!-#REF!</f>
        <v>#REF!</v>
      </c>
      <c r="AC583" s="136" t="e">
        <f>#REF!-#REF!</f>
        <v>#REF!</v>
      </c>
      <c r="AD583" s="136" t="e">
        <f>#REF!-#REF!</f>
        <v>#REF!</v>
      </c>
      <c r="AE583" s="136" t="e">
        <f>#REF!-#REF!</f>
        <v>#REF!</v>
      </c>
      <c r="AF583" s="136" t="e">
        <f>#REF!-#REF!</f>
        <v>#REF!</v>
      </c>
      <c r="AG583" s="136" t="e">
        <f>#REF!-#REF!</f>
        <v>#REF!</v>
      </c>
      <c r="AH583" s="136" t="e">
        <f>#REF!-#REF!</f>
        <v>#REF!</v>
      </c>
      <c r="AI583" s="136" t="e">
        <f>#REF!-#REF!</f>
        <v>#REF!</v>
      </c>
      <c r="AJ583" s="136" t="e">
        <f>#REF!-#REF!</f>
        <v>#REF!</v>
      </c>
      <c r="AK583" s="136" t="e">
        <f>#REF!-#REF!</f>
        <v>#REF!</v>
      </c>
      <c r="AL583" s="136" t="e">
        <f>#REF!-#REF!</f>
        <v>#REF!</v>
      </c>
      <c r="AM583" s="136" t="e">
        <f>#REF!-#REF!</f>
        <v>#REF!</v>
      </c>
      <c r="AN583" s="136" t="e">
        <f>#REF!-#REF!</f>
        <v>#REF!</v>
      </c>
      <c r="AO583" s="136" t="e">
        <f>#REF!-#REF!</f>
        <v>#REF!</v>
      </c>
      <c r="AP583" s="136" t="e">
        <f>#REF!-#REF!</f>
        <v>#REF!</v>
      </c>
      <c r="AQ583" s="136" t="e">
        <f>#REF!-#REF!</f>
        <v>#REF!</v>
      </c>
      <c r="AR583" s="136" t="e">
        <f>#REF!-#REF!</f>
        <v>#REF!</v>
      </c>
      <c r="AS583" s="136" t="e">
        <f>#REF!-#REF!</f>
        <v>#REF!</v>
      </c>
      <c r="AT583" s="136" t="e">
        <f>#REF!-#REF!</f>
        <v>#REF!</v>
      </c>
      <c r="AU583" s="136" t="e">
        <f>#REF!-#REF!</f>
        <v>#REF!</v>
      </c>
      <c r="AV583" s="136" t="e">
        <f>#REF!-#REF!</f>
        <v>#REF!</v>
      </c>
      <c r="AW583" s="136" t="e">
        <f>#REF!-#REF!</f>
        <v>#REF!</v>
      </c>
      <c r="AX583" s="136" t="e">
        <f>#REF!-#REF!</f>
        <v>#REF!</v>
      </c>
      <c r="AY583" s="136" t="e">
        <f>#REF!-#REF!</f>
        <v>#REF!</v>
      </c>
      <c r="AZ583" s="136" t="e">
        <f>#REF!-#REF!</f>
        <v>#REF!</v>
      </c>
      <c r="BA583" s="136" t="e">
        <f>#REF!-#REF!</f>
        <v>#REF!</v>
      </c>
      <c r="BB583" s="136" t="e">
        <f>#REF!-#REF!</f>
        <v>#REF!</v>
      </c>
      <c r="BC583" s="136" t="e">
        <f>#REF!-#REF!</f>
        <v>#REF!</v>
      </c>
      <c r="BD583" s="136" t="e">
        <f>#REF!-#REF!</f>
        <v>#REF!</v>
      </c>
      <c r="BE583" s="136" t="e">
        <f>#REF!-#REF!</f>
        <v>#REF!</v>
      </c>
      <c r="BF583" s="136" t="e">
        <f>#REF!-#REF!</f>
        <v>#REF!</v>
      </c>
      <c r="BG583" s="136" t="e">
        <f>#REF!-#REF!</f>
        <v>#REF!</v>
      </c>
      <c r="BH583" s="136" t="e">
        <f>#REF!-#REF!</f>
        <v>#REF!</v>
      </c>
      <c r="BI583" s="136" t="e">
        <f>#REF!-#REF!</f>
        <v>#REF!</v>
      </c>
      <c r="BJ583" s="136" t="e">
        <f>#REF!-#REF!</f>
        <v>#REF!</v>
      </c>
      <c r="BK583" s="136" t="e">
        <f>#REF!-#REF!</f>
        <v>#REF!</v>
      </c>
      <c r="BL583" s="136" t="e">
        <f>#REF!-#REF!</f>
        <v>#REF!</v>
      </c>
      <c r="BM583" s="136" t="e">
        <f>#REF!-#REF!</f>
        <v>#REF!</v>
      </c>
      <c r="BN583" s="136" t="e">
        <f>#REF!-#REF!</f>
        <v>#REF!</v>
      </c>
      <c r="BO583" s="136" t="e">
        <f>#REF!-#REF!</f>
        <v>#REF!</v>
      </c>
      <c r="BP583" s="136" t="e">
        <f>#REF!-#REF!</f>
        <v>#REF!</v>
      </c>
      <c r="BQ583" s="136" t="e">
        <f>#REF!-#REF!</f>
        <v>#REF!</v>
      </c>
      <c r="BR583" s="136" t="e">
        <f>#REF!-#REF!</f>
        <v>#REF!</v>
      </c>
      <c r="BS583" s="136" t="e">
        <f>#REF!-#REF!</f>
        <v>#REF!</v>
      </c>
      <c r="BT583" s="136" t="e">
        <f>#REF!-#REF!</f>
        <v>#REF!</v>
      </c>
      <c r="BU583" s="136" t="e">
        <f>#REF!-#REF!</f>
        <v>#REF!</v>
      </c>
      <c r="BV583" s="136" t="e">
        <f>#REF!-#REF!</f>
        <v>#REF!</v>
      </c>
      <c r="BW583" s="136" t="e">
        <f>#REF!-#REF!</f>
        <v>#REF!</v>
      </c>
      <c r="BX583" s="136" t="e">
        <f>#REF!-#REF!</f>
        <v>#REF!</v>
      </c>
      <c r="BZ583" s="136" t="e">
        <f>#REF!-#REF!</f>
        <v>#REF!</v>
      </c>
      <c r="CA583" s="136" t="e">
        <f>#REF!-#REF!</f>
        <v>#REF!</v>
      </c>
    </row>
    <row r="584" spans="7:79" hidden="1" x14ac:dyDescent="0.3">
      <c r="G584" s="136" t="e">
        <f>#REF!-#REF!</f>
        <v>#REF!</v>
      </c>
      <c r="H584" s="136" t="e">
        <f>#REF!-#REF!</f>
        <v>#REF!</v>
      </c>
      <c r="I584" s="136" t="e">
        <f>#REF!-#REF!</f>
        <v>#REF!</v>
      </c>
      <c r="J584" s="136" t="e">
        <f>#REF!-#REF!</f>
        <v>#REF!</v>
      </c>
      <c r="K584" s="136" t="e">
        <f>#REF!-#REF!</f>
        <v>#REF!</v>
      </c>
      <c r="L584" s="136" t="e">
        <f>#REF!-#REF!</f>
        <v>#REF!</v>
      </c>
      <c r="M584" s="136" t="e">
        <f>#REF!-#REF!</f>
        <v>#REF!</v>
      </c>
      <c r="N584" s="136" t="e">
        <f>#REF!-#REF!</f>
        <v>#REF!</v>
      </c>
      <c r="O584" s="136" t="e">
        <f>#REF!-#REF!</f>
        <v>#REF!</v>
      </c>
      <c r="P584" s="136" t="e">
        <f>#REF!-#REF!</f>
        <v>#REF!</v>
      </c>
      <c r="Q584" s="136" t="e">
        <f>#REF!-#REF!</f>
        <v>#REF!</v>
      </c>
      <c r="R584" s="136" t="e">
        <f>#REF!-#REF!</f>
        <v>#REF!</v>
      </c>
      <c r="S584" s="136" t="e">
        <f>#REF!-#REF!</f>
        <v>#REF!</v>
      </c>
      <c r="T584" s="136" t="e">
        <f>#REF!-#REF!</f>
        <v>#REF!</v>
      </c>
      <c r="U584" s="136" t="e">
        <f>#REF!-#REF!</f>
        <v>#REF!</v>
      </c>
      <c r="V584" s="136" t="e">
        <f>#REF!-#REF!</f>
        <v>#REF!</v>
      </c>
      <c r="W584" s="136" t="e">
        <f>#REF!-#REF!</f>
        <v>#REF!</v>
      </c>
      <c r="X584" s="136" t="e">
        <f>#REF!-#REF!</f>
        <v>#REF!</v>
      </c>
      <c r="Y584" s="136" t="e">
        <f>#REF!-#REF!</f>
        <v>#REF!</v>
      </c>
      <c r="Z584" s="136" t="e">
        <f>#REF!-#REF!</f>
        <v>#REF!</v>
      </c>
      <c r="AA584" s="136" t="e">
        <f>#REF!-#REF!</f>
        <v>#REF!</v>
      </c>
      <c r="AB584" s="136" t="e">
        <f>#REF!-#REF!</f>
        <v>#REF!</v>
      </c>
      <c r="AC584" s="136" t="e">
        <f>#REF!-#REF!</f>
        <v>#REF!</v>
      </c>
      <c r="AD584" s="136" t="e">
        <f>#REF!-#REF!</f>
        <v>#REF!</v>
      </c>
      <c r="AE584" s="136" t="e">
        <f>#REF!-#REF!</f>
        <v>#REF!</v>
      </c>
      <c r="AF584" s="136" t="e">
        <f>#REF!-#REF!</f>
        <v>#REF!</v>
      </c>
      <c r="AG584" s="136" t="e">
        <f>#REF!-#REF!</f>
        <v>#REF!</v>
      </c>
      <c r="AH584" s="136" t="e">
        <f>#REF!-#REF!</f>
        <v>#REF!</v>
      </c>
      <c r="AI584" s="136" t="e">
        <f>#REF!-#REF!</f>
        <v>#REF!</v>
      </c>
      <c r="AJ584" s="136" t="e">
        <f>#REF!-#REF!</f>
        <v>#REF!</v>
      </c>
      <c r="AK584" s="136" t="e">
        <f>#REF!-#REF!</f>
        <v>#REF!</v>
      </c>
      <c r="AL584" s="136" t="e">
        <f>#REF!-#REF!</f>
        <v>#REF!</v>
      </c>
      <c r="AM584" s="136" t="e">
        <f>#REF!-#REF!</f>
        <v>#REF!</v>
      </c>
      <c r="AN584" s="136" t="e">
        <f>#REF!-#REF!</f>
        <v>#REF!</v>
      </c>
      <c r="AO584" s="136" t="e">
        <f>#REF!-#REF!</f>
        <v>#REF!</v>
      </c>
      <c r="AP584" s="136" t="e">
        <f>#REF!-#REF!</f>
        <v>#REF!</v>
      </c>
      <c r="AQ584" s="136" t="e">
        <f>#REF!-#REF!</f>
        <v>#REF!</v>
      </c>
      <c r="AR584" s="136" t="e">
        <f>#REF!-#REF!</f>
        <v>#REF!</v>
      </c>
      <c r="AS584" s="136" t="e">
        <f>#REF!-#REF!</f>
        <v>#REF!</v>
      </c>
      <c r="AT584" s="136" t="e">
        <f>#REF!-#REF!</f>
        <v>#REF!</v>
      </c>
      <c r="AU584" s="136" t="e">
        <f>#REF!-#REF!</f>
        <v>#REF!</v>
      </c>
      <c r="AV584" s="136" t="e">
        <f>#REF!-#REF!</f>
        <v>#REF!</v>
      </c>
      <c r="AW584" s="136" t="e">
        <f>#REF!-#REF!</f>
        <v>#REF!</v>
      </c>
      <c r="AX584" s="136" t="e">
        <f>#REF!-#REF!</f>
        <v>#REF!</v>
      </c>
      <c r="AY584" s="136" t="e">
        <f>#REF!-#REF!</f>
        <v>#REF!</v>
      </c>
      <c r="AZ584" s="136" t="e">
        <f>#REF!-#REF!</f>
        <v>#REF!</v>
      </c>
      <c r="BA584" s="136" t="e">
        <f>#REF!-#REF!</f>
        <v>#REF!</v>
      </c>
      <c r="BB584" s="136" t="e">
        <f>#REF!-#REF!</f>
        <v>#REF!</v>
      </c>
      <c r="BC584" s="136" t="e">
        <f>#REF!-#REF!</f>
        <v>#REF!</v>
      </c>
      <c r="BD584" s="136" t="e">
        <f>#REF!-#REF!</f>
        <v>#REF!</v>
      </c>
      <c r="BE584" s="136" t="e">
        <f>#REF!-#REF!</f>
        <v>#REF!</v>
      </c>
      <c r="BF584" s="136" t="e">
        <f>#REF!-#REF!</f>
        <v>#REF!</v>
      </c>
      <c r="BG584" s="136" t="e">
        <f>#REF!-#REF!</f>
        <v>#REF!</v>
      </c>
      <c r="BH584" s="136" t="e">
        <f>#REF!-#REF!</f>
        <v>#REF!</v>
      </c>
      <c r="BI584" s="136" t="e">
        <f>#REF!-#REF!</f>
        <v>#REF!</v>
      </c>
      <c r="BJ584" s="136" t="e">
        <f>#REF!-#REF!</f>
        <v>#REF!</v>
      </c>
      <c r="BK584" s="136" t="e">
        <f>#REF!-#REF!</f>
        <v>#REF!</v>
      </c>
      <c r="BL584" s="136" t="e">
        <f>#REF!-#REF!</f>
        <v>#REF!</v>
      </c>
      <c r="BM584" s="136" t="e">
        <f>#REF!-#REF!</f>
        <v>#REF!</v>
      </c>
      <c r="BN584" s="136" t="e">
        <f>#REF!-#REF!</f>
        <v>#REF!</v>
      </c>
      <c r="BO584" s="136" t="e">
        <f>#REF!-#REF!</f>
        <v>#REF!</v>
      </c>
      <c r="BP584" s="136" t="e">
        <f>#REF!-#REF!</f>
        <v>#REF!</v>
      </c>
      <c r="BQ584" s="136" t="e">
        <f>#REF!-#REF!</f>
        <v>#REF!</v>
      </c>
      <c r="BR584" s="136" t="e">
        <f>#REF!-#REF!</f>
        <v>#REF!</v>
      </c>
      <c r="BS584" s="136" t="e">
        <f>#REF!-#REF!</f>
        <v>#REF!</v>
      </c>
      <c r="BT584" s="136" t="e">
        <f>#REF!-#REF!</f>
        <v>#REF!</v>
      </c>
      <c r="BU584" s="136" t="e">
        <f>#REF!-#REF!</f>
        <v>#REF!</v>
      </c>
      <c r="BV584" s="136" t="e">
        <f>#REF!-#REF!</f>
        <v>#REF!</v>
      </c>
      <c r="BW584" s="136" t="e">
        <f>#REF!-#REF!</f>
        <v>#REF!</v>
      </c>
      <c r="BX584" s="136" t="e">
        <f>#REF!-#REF!</f>
        <v>#REF!</v>
      </c>
      <c r="BZ584" s="136" t="e">
        <f>#REF!-#REF!</f>
        <v>#REF!</v>
      </c>
      <c r="CA584" s="136" t="e">
        <f>#REF!-#REF!</f>
        <v>#REF!</v>
      </c>
    </row>
    <row r="585" spans="7:79" hidden="1" x14ac:dyDescent="0.3">
      <c r="G585" s="136" t="e">
        <f>#REF!-#REF!</f>
        <v>#REF!</v>
      </c>
      <c r="H585" s="136" t="e">
        <f>#REF!-#REF!</f>
        <v>#REF!</v>
      </c>
      <c r="I585" s="136" t="e">
        <f>#REF!-#REF!</f>
        <v>#REF!</v>
      </c>
      <c r="J585" s="136" t="e">
        <f>#REF!-#REF!</f>
        <v>#REF!</v>
      </c>
      <c r="K585" s="136" t="e">
        <f>#REF!-#REF!</f>
        <v>#REF!</v>
      </c>
      <c r="L585" s="136" t="e">
        <f>#REF!-#REF!</f>
        <v>#REF!</v>
      </c>
      <c r="M585" s="136" t="e">
        <f>#REF!-#REF!</f>
        <v>#REF!</v>
      </c>
      <c r="N585" s="136" t="e">
        <f>#REF!-#REF!</f>
        <v>#REF!</v>
      </c>
      <c r="O585" s="136" t="e">
        <f>#REF!-#REF!</f>
        <v>#REF!</v>
      </c>
      <c r="P585" s="136" t="e">
        <f>#REF!-#REF!</f>
        <v>#REF!</v>
      </c>
      <c r="Q585" s="136" t="e">
        <f>#REF!-#REF!</f>
        <v>#REF!</v>
      </c>
      <c r="R585" s="136" t="e">
        <f>#REF!-#REF!</f>
        <v>#REF!</v>
      </c>
      <c r="S585" s="136" t="e">
        <f>#REF!-#REF!</f>
        <v>#REF!</v>
      </c>
      <c r="T585" s="136" t="e">
        <f>#REF!-#REF!</f>
        <v>#REF!</v>
      </c>
      <c r="U585" s="136" t="e">
        <f>#REF!-#REF!</f>
        <v>#REF!</v>
      </c>
      <c r="V585" s="136" t="e">
        <f>#REF!-#REF!</f>
        <v>#REF!</v>
      </c>
      <c r="W585" s="136" t="e">
        <f>#REF!-#REF!</f>
        <v>#REF!</v>
      </c>
      <c r="X585" s="136" t="e">
        <f>#REF!-#REF!</f>
        <v>#REF!</v>
      </c>
      <c r="Y585" s="136" t="e">
        <f>#REF!-#REF!</f>
        <v>#REF!</v>
      </c>
      <c r="Z585" s="136" t="e">
        <f>#REF!-#REF!</f>
        <v>#REF!</v>
      </c>
      <c r="AA585" s="136" t="e">
        <f>#REF!-#REF!</f>
        <v>#REF!</v>
      </c>
      <c r="AB585" s="136" t="e">
        <f>#REF!-#REF!</f>
        <v>#REF!</v>
      </c>
      <c r="AC585" s="136" t="e">
        <f>#REF!-#REF!</f>
        <v>#REF!</v>
      </c>
      <c r="AD585" s="136" t="e">
        <f>#REF!-#REF!</f>
        <v>#REF!</v>
      </c>
      <c r="AE585" s="136" t="e">
        <f>#REF!-#REF!</f>
        <v>#REF!</v>
      </c>
      <c r="AF585" s="136" t="e">
        <f>#REF!-#REF!</f>
        <v>#REF!</v>
      </c>
      <c r="AG585" s="136" t="e">
        <f>#REF!-#REF!</f>
        <v>#REF!</v>
      </c>
      <c r="AH585" s="136" t="e">
        <f>#REF!-#REF!</f>
        <v>#REF!</v>
      </c>
      <c r="AI585" s="136" t="e">
        <f>#REF!-#REF!</f>
        <v>#REF!</v>
      </c>
      <c r="AJ585" s="136" t="e">
        <f>#REF!-#REF!</f>
        <v>#REF!</v>
      </c>
      <c r="AK585" s="136" t="e">
        <f>#REF!-#REF!</f>
        <v>#REF!</v>
      </c>
      <c r="AL585" s="136" t="e">
        <f>#REF!-#REF!</f>
        <v>#REF!</v>
      </c>
      <c r="AM585" s="136" t="e">
        <f>#REF!-#REF!</f>
        <v>#REF!</v>
      </c>
      <c r="AN585" s="136" t="e">
        <f>#REF!-#REF!</f>
        <v>#REF!</v>
      </c>
      <c r="AO585" s="136" t="e">
        <f>#REF!-#REF!</f>
        <v>#REF!</v>
      </c>
      <c r="AP585" s="136" t="e">
        <f>#REF!-#REF!</f>
        <v>#REF!</v>
      </c>
      <c r="AQ585" s="136" t="e">
        <f>#REF!-#REF!</f>
        <v>#REF!</v>
      </c>
      <c r="AR585" s="136" t="e">
        <f>#REF!-#REF!</f>
        <v>#REF!</v>
      </c>
      <c r="AS585" s="136" t="e">
        <f>#REF!-#REF!</f>
        <v>#REF!</v>
      </c>
      <c r="AT585" s="136" t="e">
        <f>#REF!-#REF!</f>
        <v>#REF!</v>
      </c>
      <c r="AU585" s="136" t="e">
        <f>#REF!-#REF!</f>
        <v>#REF!</v>
      </c>
      <c r="AV585" s="136" t="e">
        <f>#REF!-#REF!</f>
        <v>#REF!</v>
      </c>
      <c r="AW585" s="136" t="e">
        <f>#REF!-#REF!</f>
        <v>#REF!</v>
      </c>
      <c r="AX585" s="136" t="e">
        <f>#REF!-#REF!</f>
        <v>#REF!</v>
      </c>
      <c r="AY585" s="136" t="e">
        <f>#REF!-#REF!</f>
        <v>#REF!</v>
      </c>
      <c r="AZ585" s="136" t="e">
        <f>#REF!-#REF!</f>
        <v>#REF!</v>
      </c>
      <c r="BA585" s="136" t="e">
        <f>#REF!-#REF!</f>
        <v>#REF!</v>
      </c>
      <c r="BB585" s="136" t="e">
        <f>#REF!-#REF!</f>
        <v>#REF!</v>
      </c>
      <c r="BC585" s="136" t="e">
        <f>#REF!-#REF!</f>
        <v>#REF!</v>
      </c>
      <c r="BD585" s="136" t="e">
        <f>#REF!-#REF!</f>
        <v>#REF!</v>
      </c>
      <c r="BE585" s="136" t="e">
        <f>#REF!-#REF!</f>
        <v>#REF!</v>
      </c>
      <c r="BF585" s="136" t="e">
        <f>#REF!-#REF!</f>
        <v>#REF!</v>
      </c>
      <c r="BG585" s="136" t="e">
        <f>#REF!-#REF!</f>
        <v>#REF!</v>
      </c>
      <c r="BH585" s="136" t="e">
        <f>#REF!-#REF!</f>
        <v>#REF!</v>
      </c>
      <c r="BI585" s="136" t="e">
        <f>#REF!-#REF!</f>
        <v>#REF!</v>
      </c>
      <c r="BJ585" s="136" t="e">
        <f>#REF!-#REF!</f>
        <v>#REF!</v>
      </c>
      <c r="BK585" s="136" t="e">
        <f>#REF!-#REF!</f>
        <v>#REF!</v>
      </c>
      <c r="BL585" s="136" t="e">
        <f>#REF!-#REF!</f>
        <v>#REF!</v>
      </c>
      <c r="BM585" s="136" t="e">
        <f>#REF!-#REF!</f>
        <v>#REF!</v>
      </c>
      <c r="BN585" s="136" t="e">
        <f>#REF!-#REF!</f>
        <v>#REF!</v>
      </c>
      <c r="BO585" s="136" t="e">
        <f>#REF!-#REF!</f>
        <v>#REF!</v>
      </c>
      <c r="BP585" s="136" t="e">
        <f>#REF!-#REF!</f>
        <v>#REF!</v>
      </c>
      <c r="BQ585" s="136" t="e">
        <f>#REF!-#REF!</f>
        <v>#REF!</v>
      </c>
      <c r="BR585" s="136" t="e">
        <f>#REF!-#REF!</f>
        <v>#REF!</v>
      </c>
      <c r="BS585" s="136" t="e">
        <f>#REF!-#REF!</f>
        <v>#REF!</v>
      </c>
      <c r="BT585" s="136" t="e">
        <f>#REF!-#REF!</f>
        <v>#REF!</v>
      </c>
      <c r="BU585" s="136" t="e">
        <f>#REF!-#REF!</f>
        <v>#REF!</v>
      </c>
      <c r="BV585" s="136" t="e">
        <f>#REF!-#REF!</f>
        <v>#REF!</v>
      </c>
      <c r="BW585" s="136" t="e">
        <f>#REF!-#REF!</f>
        <v>#REF!</v>
      </c>
      <c r="BX585" s="136" t="e">
        <f>#REF!-#REF!</f>
        <v>#REF!</v>
      </c>
      <c r="BZ585" s="136" t="e">
        <f>#REF!-#REF!</f>
        <v>#REF!</v>
      </c>
      <c r="CA585" s="136" t="e">
        <f>#REF!-#REF!</f>
        <v>#REF!</v>
      </c>
    </row>
    <row r="586" spans="7:79" hidden="1" x14ac:dyDescent="0.3">
      <c r="G586" s="136" t="e">
        <f>#REF!-#REF!</f>
        <v>#REF!</v>
      </c>
      <c r="H586" s="136" t="e">
        <f>#REF!-#REF!</f>
        <v>#REF!</v>
      </c>
      <c r="I586" s="136" t="e">
        <f>#REF!-#REF!</f>
        <v>#REF!</v>
      </c>
      <c r="J586" s="136" t="e">
        <f>#REF!-#REF!</f>
        <v>#REF!</v>
      </c>
      <c r="K586" s="136" t="e">
        <f>#REF!-#REF!</f>
        <v>#REF!</v>
      </c>
      <c r="L586" s="136" t="e">
        <f>#REF!-#REF!</f>
        <v>#REF!</v>
      </c>
      <c r="M586" s="136" t="e">
        <f>#REF!-#REF!</f>
        <v>#REF!</v>
      </c>
      <c r="N586" s="136" t="e">
        <f>#REF!-#REF!</f>
        <v>#REF!</v>
      </c>
      <c r="O586" s="136" t="e">
        <f>#REF!-#REF!</f>
        <v>#REF!</v>
      </c>
      <c r="P586" s="136" t="e">
        <f>#REF!-#REF!</f>
        <v>#REF!</v>
      </c>
      <c r="Q586" s="136" t="e">
        <f>#REF!-#REF!</f>
        <v>#REF!</v>
      </c>
      <c r="R586" s="136" t="e">
        <f>#REF!-#REF!</f>
        <v>#REF!</v>
      </c>
      <c r="S586" s="136" t="e">
        <f>#REF!-#REF!</f>
        <v>#REF!</v>
      </c>
      <c r="T586" s="136" t="e">
        <f>#REF!-#REF!</f>
        <v>#REF!</v>
      </c>
      <c r="U586" s="136" t="e">
        <f>#REF!-#REF!</f>
        <v>#REF!</v>
      </c>
      <c r="V586" s="136" t="e">
        <f>#REF!-#REF!</f>
        <v>#REF!</v>
      </c>
      <c r="W586" s="136" t="e">
        <f>#REF!-#REF!</f>
        <v>#REF!</v>
      </c>
      <c r="X586" s="136" t="e">
        <f>#REF!-#REF!</f>
        <v>#REF!</v>
      </c>
      <c r="Y586" s="136" t="e">
        <f>#REF!-#REF!</f>
        <v>#REF!</v>
      </c>
      <c r="Z586" s="136" t="e">
        <f>#REF!-#REF!</f>
        <v>#REF!</v>
      </c>
      <c r="AA586" s="136" t="e">
        <f>#REF!-#REF!</f>
        <v>#REF!</v>
      </c>
      <c r="AB586" s="136" t="e">
        <f>#REF!-#REF!</f>
        <v>#REF!</v>
      </c>
      <c r="AC586" s="136" t="e">
        <f>#REF!-#REF!</f>
        <v>#REF!</v>
      </c>
      <c r="AD586" s="136" t="e">
        <f>#REF!-#REF!</f>
        <v>#REF!</v>
      </c>
      <c r="AE586" s="136" t="e">
        <f>#REF!-#REF!</f>
        <v>#REF!</v>
      </c>
      <c r="AF586" s="136" t="e">
        <f>#REF!-#REF!</f>
        <v>#REF!</v>
      </c>
      <c r="AG586" s="136" t="e">
        <f>#REF!-#REF!</f>
        <v>#REF!</v>
      </c>
      <c r="AH586" s="136" t="e">
        <f>#REF!-#REF!</f>
        <v>#REF!</v>
      </c>
      <c r="AI586" s="136" t="e">
        <f>#REF!-#REF!</f>
        <v>#REF!</v>
      </c>
      <c r="AJ586" s="136" t="e">
        <f>#REF!-#REF!</f>
        <v>#REF!</v>
      </c>
      <c r="AK586" s="136" t="e">
        <f>#REF!-#REF!</f>
        <v>#REF!</v>
      </c>
      <c r="AL586" s="136" t="e">
        <f>#REF!-#REF!</f>
        <v>#REF!</v>
      </c>
      <c r="AM586" s="136" t="e">
        <f>#REF!-#REF!</f>
        <v>#REF!</v>
      </c>
      <c r="AN586" s="136" t="e">
        <f>#REF!-#REF!</f>
        <v>#REF!</v>
      </c>
      <c r="AO586" s="136" t="e">
        <f>#REF!-#REF!</f>
        <v>#REF!</v>
      </c>
      <c r="AP586" s="136" t="e">
        <f>#REF!-#REF!</f>
        <v>#REF!</v>
      </c>
      <c r="AQ586" s="136" t="e">
        <f>#REF!-#REF!</f>
        <v>#REF!</v>
      </c>
      <c r="AR586" s="136" t="e">
        <f>#REF!-#REF!</f>
        <v>#REF!</v>
      </c>
      <c r="AS586" s="136" t="e">
        <f>#REF!-#REF!</f>
        <v>#REF!</v>
      </c>
      <c r="AT586" s="136" t="e">
        <f>#REF!-#REF!</f>
        <v>#REF!</v>
      </c>
      <c r="AU586" s="136" t="e">
        <f>#REF!-#REF!</f>
        <v>#REF!</v>
      </c>
      <c r="AV586" s="136" t="e">
        <f>#REF!-#REF!</f>
        <v>#REF!</v>
      </c>
      <c r="AW586" s="136" t="e">
        <f>#REF!-#REF!</f>
        <v>#REF!</v>
      </c>
      <c r="AX586" s="136" t="e">
        <f>#REF!-#REF!</f>
        <v>#REF!</v>
      </c>
      <c r="AY586" s="136" t="e">
        <f>#REF!-#REF!</f>
        <v>#REF!</v>
      </c>
      <c r="AZ586" s="136" t="e">
        <f>#REF!-#REF!</f>
        <v>#REF!</v>
      </c>
      <c r="BA586" s="136" t="e">
        <f>#REF!-#REF!</f>
        <v>#REF!</v>
      </c>
      <c r="BB586" s="136" t="e">
        <f>#REF!-#REF!</f>
        <v>#REF!</v>
      </c>
      <c r="BC586" s="136" t="e">
        <f>#REF!-#REF!</f>
        <v>#REF!</v>
      </c>
      <c r="BD586" s="136" t="e">
        <f>#REF!-#REF!</f>
        <v>#REF!</v>
      </c>
      <c r="BE586" s="136" t="e">
        <f>#REF!-#REF!</f>
        <v>#REF!</v>
      </c>
      <c r="BF586" s="136" t="e">
        <f>#REF!-#REF!</f>
        <v>#REF!</v>
      </c>
      <c r="BG586" s="136" t="e">
        <f>#REF!-#REF!</f>
        <v>#REF!</v>
      </c>
      <c r="BH586" s="136" t="e">
        <f>#REF!-#REF!</f>
        <v>#REF!</v>
      </c>
      <c r="BI586" s="136" t="e">
        <f>#REF!-#REF!</f>
        <v>#REF!</v>
      </c>
      <c r="BJ586" s="136" t="e">
        <f>#REF!-#REF!</f>
        <v>#REF!</v>
      </c>
      <c r="BK586" s="136" t="e">
        <f>#REF!-#REF!</f>
        <v>#REF!</v>
      </c>
      <c r="BL586" s="136" t="e">
        <f>#REF!-#REF!</f>
        <v>#REF!</v>
      </c>
      <c r="BM586" s="136" t="e">
        <f>#REF!-#REF!</f>
        <v>#REF!</v>
      </c>
      <c r="BN586" s="136" t="e">
        <f>#REF!-#REF!</f>
        <v>#REF!</v>
      </c>
      <c r="BO586" s="136" t="e">
        <f>#REF!-#REF!</f>
        <v>#REF!</v>
      </c>
      <c r="BP586" s="136" t="e">
        <f>#REF!-#REF!</f>
        <v>#REF!</v>
      </c>
      <c r="BQ586" s="136" t="e">
        <f>#REF!-#REF!</f>
        <v>#REF!</v>
      </c>
      <c r="BR586" s="136" t="e">
        <f>#REF!-#REF!</f>
        <v>#REF!</v>
      </c>
      <c r="BS586" s="136" t="e">
        <f>#REF!-#REF!</f>
        <v>#REF!</v>
      </c>
      <c r="BT586" s="136" t="e">
        <f>#REF!-#REF!</f>
        <v>#REF!</v>
      </c>
      <c r="BU586" s="136" t="e">
        <f>#REF!-#REF!</f>
        <v>#REF!</v>
      </c>
      <c r="BV586" s="136" t="e">
        <f>#REF!-#REF!</f>
        <v>#REF!</v>
      </c>
      <c r="BW586" s="136" t="e">
        <f>#REF!-#REF!</f>
        <v>#REF!</v>
      </c>
      <c r="BX586" s="136" t="e">
        <f>#REF!-#REF!</f>
        <v>#REF!</v>
      </c>
      <c r="BZ586" s="136" t="e">
        <f>#REF!-#REF!</f>
        <v>#REF!</v>
      </c>
      <c r="CA586" s="136" t="e">
        <f>#REF!-#REF!</f>
        <v>#REF!</v>
      </c>
    </row>
    <row r="587" spans="7:79" hidden="1" x14ac:dyDescent="0.3">
      <c r="G587" s="136" t="e">
        <f>#REF!-#REF!</f>
        <v>#REF!</v>
      </c>
      <c r="H587" s="136" t="e">
        <f>#REF!-#REF!</f>
        <v>#REF!</v>
      </c>
      <c r="I587" s="136" t="e">
        <f>#REF!-#REF!</f>
        <v>#REF!</v>
      </c>
      <c r="J587" s="136" t="e">
        <f>#REF!-#REF!</f>
        <v>#REF!</v>
      </c>
      <c r="K587" s="136" t="e">
        <f>#REF!-#REF!</f>
        <v>#REF!</v>
      </c>
      <c r="L587" s="136" t="e">
        <f>#REF!-#REF!</f>
        <v>#REF!</v>
      </c>
      <c r="M587" s="136" t="e">
        <f>#REF!-#REF!</f>
        <v>#REF!</v>
      </c>
      <c r="N587" s="136" t="e">
        <f>#REF!-#REF!</f>
        <v>#REF!</v>
      </c>
      <c r="O587" s="136" t="e">
        <f>#REF!-#REF!</f>
        <v>#REF!</v>
      </c>
      <c r="P587" s="136" t="e">
        <f>#REF!-#REF!</f>
        <v>#REF!</v>
      </c>
      <c r="Q587" s="136" t="e">
        <f>#REF!-#REF!</f>
        <v>#REF!</v>
      </c>
      <c r="R587" s="136" t="e">
        <f>#REF!-#REF!</f>
        <v>#REF!</v>
      </c>
      <c r="S587" s="136" t="e">
        <f>#REF!-#REF!</f>
        <v>#REF!</v>
      </c>
      <c r="T587" s="136" t="e">
        <f>#REF!-#REF!</f>
        <v>#REF!</v>
      </c>
      <c r="U587" s="136" t="e">
        <f>#REF!-#REF!</f>
        <v>#REF!</v>
      </c>
      <c r="V587" s="136" t="e">
        <f>#REF!-#REF!</f>
        <v>#REF!</v>
      </c>
      <c r="W587" s="136" t="e">
        <f>#REF!-#REF!</f>
        <v>#REF!</v>
      </c>
      <c r="X587" s="136" t="e">
        <f>#REF!-#REF!</f>
        <v>#REF!</v>
      </c>
      <c r="Y587" s="136" t="e">
        <f>#REF!-#REF!</f>
        <v>#REF!</v>
      </c>
      <c r="Z587" s="136" t="e">
        <f>#REF!-#REF!</f>
        <v>#REF!</v>
      </c>
      <c r="AA587" s="136" t="e">
        <f>#REF!-#REF!</f>
        <v>#REF!</v>
      </c>
      <c r="AB587" s="136" t="e">
        <f>#REF!-#REF!</f>
        <v>#REF!</v>
      </c>
      <c r="AC587" s="136" t="e">
        <f>#REF!-#REF!</f>
        <v>#REF!</v>
      </c>
      <c r="AD587" s="136" t="e">
        <f>#REF!-#REF!</f>
        <v>#REF!</v>
      </c>
      <c r="AE587" s="136" t="e">
        <f>#REF!-#REF!</f>
        <v>#REF!</v>
      </c>
      <c r="AF587" s="136" t="e">
        <f>#REF!-#REF!</f>
        <v>#REF!</v>
      </c>
      <c r="AG587" s="136" t="e">
        <f>#REF!-#REF!</f>
        <v>#REF!</v>
      </c>
      <c r="AH587" s="136" t="e">
        <f>#REF!-#REF!</f>
        <v>#REF!</v>
      </c>
      <c r="AI587" s="136" t="e">
        <f>#REF!-#REF!</f>
        <v>#REF!</v>
      </c>
      <c r="AJ587" s="136" t="e">
        <f>#REF!-#REF!</f>
        <v>#REF!</v>
      </c>
      <c r="AK587" s="136" t="e">
        <f>#REF!-#REF!</f>
        <v>#REF!</v>
      </c>
      <c r="AL587" s="136" t="e">
        <f>#REF!-#REF!</f>
        <v>#REF!</v>
      </c>
      <c r="AM587" s="136" t="e">
        <f>#REF!-#REF!</f>
        <v>#REF!</v>
      </c>
      <c r="AN587" s="136" t="e">
        <f>#REF!-#REF!</f>
        <v>#REF!</v>
      </c>
      <c r="AO587" s="136" t="e">
        <f>#REF!-#REF!</f>
        <v>#REF!</v>
      </c>
      <c r="AP587" s="136" t="e">
        <f>#REF!-#REF!</f>
        <v>#REF!</v>
      </c>
      <c r="AQ587" s="136" t="e">
        <f>#REF!-#REF!</f>
        <v>#REF!</v>
      </c>
      <c r="AR587" s="136" t="e">
        <f>#REF!-#REF!</f>
        <v>#REF!</v>
      </c>
      <c r="AS587" s="136" t="e">
        <f>#REF!-#REF!</f>
        <v>#REF!</v>
      </c>
      <c r="AT587" s="136" t="e">
        <f>#REF!-#REF!</f>
        <v>#REF!</v>
      </c>
      <c r="AU587" s="136" t="e">
        <f>#REF!-#REF!</f>
        <v>#REF!</v>
      </c>
      <c r="AV587" s="136" t="e">
        <f>#REF!-#REF!</f>
        <v>#REF!</v>
      </c>
      <c r="AW587" s="136" t="e">
        <f>#REF!-#REF!</f>
        <v>#REF!</v>
      </c>
      <c r="AX587" s="136" t="e">
        <f>#REF!-#REF!</f>
        <v>#REF!</v>
      </c>
      <c r="AY587" s="136" t="e">
        <f>#REF!-#REF!</f>
        <v>#REF!</v>
      </c>
      <c r="AZ587" s="136" t="e">
        <f>#REF!-#REF!</f>
        <v>#REF!</v>
      </c>
      <c r="BA587" s="136" t="e">
        <f>#REF!-#REF!</f>
        <v>#REF!</v>
      </c>
      <c r="BB587" s="136" t="e">
        <f>#REF!-#REF!</f>
        <v>#REF!</v>
      </c>
      <c r="BC587" s="136" t="e">
        <f>#REF!-#REF!</f>
        <v>#REF!</v>
      </c>
      <c r="BD587" s="136" t="e">
        <f>#REF!-#REF!</f>
        <v>#REF!</v>
      </c>
      <c r="BE587" s="136" t="e">
        <f>#REF!-#REF!</f>
        <v>#REF!</v>
      </c>
      <c r="BF587" s="136" t="e">
        <f>#REF!-#REF!</f>
        <v>#REF!</v>
      </c>
      <c r="BG587" s="136" t="e">
        <f>#REF!-#REF!</f>
        <v>#REF!</v>
      </c>
      <c r="BH587" s="136" t="e">
        <f>#REF!-#REF!</f>
        <v>#REF!</v>
      </c>
      <c r="BI587" s="136" t="e">
        <f>#REF!-#REF!</f>
        <v>#REF!</v>
      </c>
      <c r="BJ587" s="136" t="e">
        <f>#REF!-#REF!</f>
        <v>#REF!</v>
      </c>
      <c r="BK587" s="136" t="e">
        <f>#REF!-#REF!</f>
        <v>#REF!</v>
      </c>
      <c r="BL587" s="136" t="e">
        <f>#REF!-#REF!</f>
        <v>#REF!</v>
      </c>
      <c r="BM587" s="136" t="e">
        <f>#REF!-#REF!</f>
        <v>#REF!</v>
      </c>
      <c r="BN587" s="136" t="e">
        <f>#REF!-#REF!</f>
        <v>#REF!</v>
      </c>
      <c r="BO587" s="136" t="e">
        <f>#REF!-#REF!</f>
        <v>#REF!</v>
      </c>
      <c r="BP587" s="136" t="e">
        <f>#REF!-#REF!</f>
        <v>#REF!</v>
      </c>
      <c r="BQ587" s="136" t="e">
        <f>#REF!-#REF!</f>
        <v>#REF!</v>
      </c>
      <c r="BR587" s="136" t="e">
        <f>#REF!-#REF!</f>
        <v>#REF!</v>
      </c>
      <c r="BS587" s="136" t="e">
        <f>#REF!-#REF!</f>
        <v>#REF!</v>
      </c>
      <c r="BT587" s="136" t="e">
        <f>#REF!-#REF!</f>
        <v>#REF!</v>
      </c>
      <c r="BU587" s="136" t="e">
        <f>#REF!-#REF!</f>
        <v>#REF!</v>
      </c>
      <c r="BV587" s="136" t="e">
        <f>#REF!-#REF!</f>
        <v>#REF!</v>
      </c>
      <c r="BW587" s="136" t="e">
        <f>#REF!-#REF!</f>
        <v>#REF!</v>
      </c>
      <c r="BX587" s="136" t="e">
        <f>#REF!-#REF!</f>
        <v>#REF!</v>
      </c>
      <c r="BZ587" s="136" t="e">
        <f>#REF!-#REF!</f>
        <v>#REF!</v>
      </c>
      <c r="CA587" s="136" t="e">
        <f>#REF!-#REF!</f>
        <v>#REF!</v>
      </c>
    </row>
    <row r="588" spans="7:79" hidden="1" x14ac:dyDescent="0.3">
      <c r="G588" s="136" t="e">
        <f>#REF!-#REF!</f>
        <v>#REF!</v>
      </c>
      <c r="H588" s="136" t="e">
        <f>#REF!-#REF!</f>
        <v>#REF!</v>
      </c>
      <c r="I588" s="136" t="e">
        <f>#REF!-#REF!</f>
        <v>#REF!</v>
      </c>
      <c r="J588" s="136" t="e">
        <f>#REF!-#REF!</f>
        <v>#REF!</v>
      </c>
      <c r="K588" s="136" t="e">
        <f>#REF!-#REF!</f>
        <v>#REF!</v>
      </c>
      <c r="L588" s="136" t="e">
        <f>#REF!-#REF!</f>
        <v>#REF!</v>
      </c>
      <c r="M588" s="136" t="e">
        <f>#REF!-#REF!</f>
        <v>#REF!</v>
      </c>
      <c r="N588" s="136" t="e">
        <f>#REF!-#REF!</f>
        <v>#REF!</v>
      </c>
      <c r="O588" s="136" t="e">
        <f>#REF!-#REF!</f>
        <v>#REF!</v>
      </c>
      <c r="P588" s="136" t="e">
        <f>#REF!-#REF!</f>
        <v>#REF!</v>
      </c>
      <c r="Q588" s="136" t="e">
        <f>#REF!-#REF!</f>
        <v>#REF!</v>
      </c>
      <c r="R588" s="136" t="e">
        <f>#REF!-#REF!</f>
        <v>#REF!</v>
      </c>
      <c r="S588" s="136" t="e">
        <f>#REF!-#REF!</f>
        <v>#REF!</v>
      </c>
      <c r="T588" s="136" t="e">
        <f>#REF!-#REF!</f>
        <v>#REF!</v>
      </c>
      <c r="U588" s="136" t="e">
        <f>#REF!-#REF!</f>
        <v>#REF!</v>
      </c>
      <c r="V588" s="136" t="e">
        <f>#REF!-#REF!</f>
        <v>#REF!</v>
      </c>
      <c r="W588" s="136" t="e">
        <f>#REF!-#REF!</f>
        <v>#REF!</v>
      </c>
      <c r="X588" s="136" t="e">
        <f>#REF!-#REF!</f>
        <v>#REF!</v>
      </c>
      <c r="Y588" s="136" t="e">
        <f>#REF!-#REF!</f>
        <v>#REF!</v>
      </c>
      <c r="Z588" s="136" t="e">
        <f>#REF!-#REF!</f>
        <v>#REF!</v>
      </c>
      <c r="AA588" s="136" t="e">
        <f>#REF!-#REF!</f>
        <v>#REF!</v>
      </c>
      <c r="AB588" s="136" t="e">
        <f>#REF!-#REF!</f>
        <v>#REF!</v>
      </c>
      <c r="AC588" s="136" t="e">
        <f>#REF!-#REF!</f>
        <v>#REF!</v>
      </c>
      <c r="AD588" s="136" t="e">
        <f>#REF!-#REF!</f>
        <v>#REF!</v>
      </c>
      <c r="AE588" s="136" t="e">
        <f>#REF!-#REF!</f>
        <v>#REF!</v>
      </c>
      <c r="AF588" s="136" t="e">
        <f>#REF!-#REF!</f>
        <v>#REF!</v>
      </c>
      <c r="AG588" s="136" t="e">
        <f>#REF!-#REF!</f>
        <v>#REF!</v>
      </c>
      <c r="AH588" s="136" t="e">
        <f>#REF!-#REF!</f>
        <v>#REF!</v>
      </c>
      <c r="AI588" s="136" t="e">
        <f>#REF!-#REF!</f>
        <v>#REF!</v>
      </c>
      <c r="AJ588" s="136" t="e">
        <f>#REF!-#REF!</f>
        <v>#REF!</v>
      </c>
      <c r="AK588" s="136" t="e">
        <f>#REF!-#REF!</f>
        <v>#REF!</v>
      </c>
      <c r="AL588" s="136" t="e">
        <f>#REF!-#REF!</f>
        <v>#REF!</v>
      </c>
      <c r="AM588" s="136" t="e">
        <f>#REF!-#REF!</f>
        <v>#REF!</v>
      </c>
      <c r="AN588" s="136" t="e">
        <f>#REF!-#REF!</f>
        <v>#REF!</v>
      </c>
      <c r="AO588" s="136" t="e">
        <f>#REF!-#REF!</f>
        <v>#REF!</v>
      </c>
      <c r="AP588" s="136" t="e">
        <f>#REF!-#REF!</f>
        <v>#REF!</v>
      </c>
      <c r="AQ588" s="136" t="e">
        <f>#REF!-#REF!</f>
        <v>#REF!</v>
      </c>
      <c r="AR588" s="136" t="e">
        <f>#REF!-#REF!</f>
        <v>#REF!</v>
      </c>
      <c r="AS588" s="136" t="e">
        <f>#REF!-#REF!</f>
        <v>#REF!</v>
      </c>
      <c r="AT588" s="136" t="e">
        <f>#REF!-#REF!</f>
        <v>#REF!</v>
      </c>
      <c r="AU588" s="136" t="e">
        <f>#REF!-#REF!</f>
        <v>#REF!</v>
      </c>
      <c r="AV588" s="136" t="e">
        <f>#REF!-#REF!</f>
        <v>#REF!</v>
      </c>
      <c r="AW588" s="136" t="e">
        <f>#REF!-#REF!</f>
        <v>#REF!</v>
      </c>
      <c r="AX588" s="136" t="e">
        <f>#REF!-#REF!</f>
        <v>#REF!</v>
      </c>
      <c r="AY588" s="136" t="e">
        <f>#REF!-#REF!</f>
        <v>#REF!</v>
      </c>
      <c r="AZ588" s="136" t="e">
        <f>#REF!-#REF!</f>
        <v>#REF!</v>
      </c>
      <c r="BA588" s="136" t="e">
        <f>#REF!-#REF!</f>
        <v>#REF!</v>
      </c>
      <c r="BB588" s="136" t="e">
        <f>#REF!-#REF!</f>
        <v>#REF!</v>
      </c>
      <c r="BC588" s="136" t="e">
        <f>#REF!-#REF!</f>
        <v>#REF!</v>
      </c>
      <c r="BD588" s="136" t="e">
        <f>#REF!-#REF!</f>
        <v>#REF!</v>
      </c>
      <c r="BE588" s="136" t="e">
        <f>#REF!-#REF!</f>
        <v>#REF!</v>
      </c>
      <c r="BF588" s="136" t="e">
        <f>#REF!-#REF!</f>
        <v>#REF!</v>
      </c>
      <c r="BG588" s="136" t="e">
        <f>#REF!-#REF!</f>
        <v>#REF!</v>
      </c>
      <c r="BH588" s="136" t="e">
        <f>#REF!-#REF!</f>
        <v>#REF!</v>
      </c>
      <c r="BI588" s="136" t="e">
        <f>#REF!-#REF!</f>
        <v>#REF!</v>
      </c>
      <c r="BJ588" s="136" t="e">
        <f>#REF!-#REF!</f>
        <v>#REF!</v>
      </c>
      <c r="BK588" s="136" t="e">
        <f>#REF!-#REF!</f>
        <v>#REF!</v>
      </c>
      <c r="BL588" s="136" t="e">
        <f>#REF!-#REF!</f>
        <v>#REF!</v>
      </c>
      <c r="BM588" s="136" t="e">
        <f>#REF!-#REF!</f>
        <v>#REF!</v>
      </c>
      <c r="BN588" s="136" t="e">
        <f>#REF!-#REF!</f>
        <v>#REF!</v>
      </c>
      <c r="BO588" s="136" t="e">
        <f>#REF!-#REF!</f>
        <v>#REF!</v>
      </c>
      <c r="BP588" s="136" t="e">
        <f>#REF!-#REF!</f>
        <v>#REF!</v>
      </c>
      <c r="BQ588" s="136" t="e">
        <f>#REF!-#REF!</f>
        <v>#REF!</v>
      </c>
      <c r="BR588" s="136" t="e">
        <f>#REF!-#REF!</f>
        <v>#REF!</v>
      </c>
      <c r="BS588" s="136" t="e">
        <f>#REF!-#REF!</f>
        <v>#REF!</v>
      </c>
      <c r="BT588" s="136" t="e">
        <f>#REF!-#REF!</f>
        <v>#REF!</v>
      </c>
      <c r="BU588" s="136" t="e">
        <f>#REF!-#REF!</f>
        <v>#REF!</v>
      </c>
      <c r="BV588" s="136" t="e">
        <f>#REF!-#REF!</f>
        <v>#REF!</v>
      </c>
      <c r="BW588" s="136" t="e">
        <f>#REF!-#REF!</f>
        <v>#REF!</v>
      </c>
      <c r="BX588" s="136" t="e">
        <f>#REF!-#REF!</f>
        <v>#REF!</v>
      </c>
      <c r="BZ588" s="136" t="e">
        <f>#REF!-#REF!</f>
        <v>#REF!</v>
      </c>
      <c r="CA588" s="136" t="e">
        <f>#REF!-#REF!</f>
        <v>#REF!</v>
      </c>
    </row>
    <row r="589" spans="7:79" hidden="1" x14ac:dyDescent="0.3">
      <c r="G589" s="136" t="e">
        <f>#REF!-#REF!</f>
        <v>#REF!</v>
      </c>
      <c r="H589" s="136" t="e">
        <f>#REF!-#REF!</f>
        <v>#REF!</v>
      </c>
      <c r="I589" s="136" t="e">
        <f>#REF!-#REF!</f>
        <v>#REF!</v>
      </c>
      <c r="J589" s="136" t="e">
        <f>#REF!-#REF!</f>
        <v>#REF!</v>
      </c>
      <c r="K589" s="136" t="e">
        <f>#REF!-#REF!</f>
        <v>#REF!</v>
      </c>
      <c r="L589" s="136" t="e">
        <f>#REF!-#REF!</f>
        <v>#REF!</v>
      </c>
      <c r="M589" s="136" t="e">
        <f>#REF!-#REF!</f>
        <v>#REF!</v>
      </c>
      <c r="N589" s="136" t="e">
        <f>#REF!-#REF!</f>
        <v>#REF!</v>
      </c>
      <c r="O589" s="136" t="e">
        <f>#REF!-#REF!</f>
        <v>#REF!</v>
      </c>
      <c r="P589" s="136" t="e">
        <f>#REF!-#REF!</f>
        <v>#REF!</v>
      </c>
      <c r="Q589" s="136" t="e">
        <f>#REF!-#REF!</f>
        <v>#REF!</v>
      </c>
      <c r="R589" s="136" t="e">
        <f>#REF!-#REF!</f>
        <v>#REF!</v>
      </c>
      <c r="S589" s="136" t="e">
        <f>#REF!-#REF!</f>
        <v>#REF!</v>
      </c>
      <c r="T589" s="136" t="e">
        <f>#REF!-#REF!</f>
        <v>#REF!</v>
      </c>
      <c r="U589" s="136" t="e">
        <f>#REF!-#REF!</f>
        <v>#REF!</v>
      </c>
      <c r="V589" s="136" t="e">
        <f>#REF!-#REF!</f>
        <v>#REF!</v>
      </c>
      <c r="W589" s="136" t="e">
        <f>#REF!-#REF!</f>
        <v>#REF!</v>
      </c>
      <c r="X589" s="136" t="e">
        <f>#REF!-#REF!</f>
        <v>#REF!</v>
      </c>
      <c r="Y589" s="136" t="e">
        <f>#REF!-#REF!</f>
        <v>#REF!</v>
      </c>
      <c r="Z589" s="136" t="e">
        <f>#REF!-#REF!</f>
        <v>#REF!</v>
      </c>
      <c r="AA589" s="136" t="e">
        <f>#REF!-#REF!</f>
        <v>#REF!</v>
      </c>
      <c r="AB589" s="136" t="e">
        <f>#REF!-#REF!</f>
        <v>#REF!</v>
      </c>
      <c r="AC589" s="136" t="e">
        <f>#REF!-#REF!</f>
        <v>#REF!</v>
      </c>
      <c r="AD589" s="136" t="e">
        <f>#REF!-#REF!</f>
        <v>#REF!</v>
      </c>
      <c r="AE589" s="136" t="e">
        <f>#REF!-#REF!</f>
        <v>#REF!</v>
      </c>
      <c r="AF589" s="136" t="e">
        <f>#REF!-#REF!</f>
        <v>#REF!</v>
      </c>
      <c r="AG589" s="136" t="e">
        <f>#REF!-#REF!</f>
        <v>#REF!</v>
      </c>
      <c r="AH589" s="136" t="e">
        <f>#REF!-#REF!</f>
        <v>#REF!</v>
      </c>
      <c r="AI589" s="136" t="e">
        <f>#REF!-#REF!</f>
        <v>#REF!</v>
      </c>
      <c r="AJ589" s="136" t="e">
        <f>#REF!-#REF!</f>
        <v>#REF!</v>
      </c>
      <c r="AK589" s="136" t="e">
        <f>#REF!-#REF!</f>
        <v>#REF!</v>
      </c>
      <c r="AL589" s="136" t="e">
        <f>#REF!-#REF!</f>
        <v>#REF!</v>
      </c>
      <c r="AM589" s="136" t="e">
        <f>#REF!-#REF!</f>
        <v>#REF!</v>
      </c>
      <c r="AN589" s="136" t="e">
        <f>#REF!-#REF!</f>
        <v>#REF!</v>
      </c>
      <c r="AO589" s="136" t="e">
        <f>#REF!-#REF!</f>
        <v>#REF!</v>
      </c>
      <c r="AP589" s="136" t="e">
        <f>#REF!-#REF!</f>
        <v>#REF!</v>
      </c>
      <c r="AQ589" s="136" t="e">
        <f>#REF!-#REF!</f>
        <v>#REF!</v>
      </c>
      <c r="AR589" s="136" t="e">
        <f>#REF!-#REF!</f>
        <v>#REF!</v>
      </c>
      <c r="AS589" s="136" t="e">
        <f>#REF!-#REF!</f>
        <v>#REF!</v>
      </c>
      <c r="AT589" s="136" t="e">
        <f>#REF!-#REF!</f>
        <v>#REF!</v>
      </c>
      <c r="AU589" s="136" t="e">
        <f>#REF!-#REF!</f>
        <v>#REF!</v>
      </c>
      <c r="AV589" s="136" t="e">
        <f>#REF!-#REF!</f>
        <v>#REF!</v>
      </c>
      <c r="AW589" s="136" t="e">
        <f>#REF!-#REF!</f>
        <v>#REF!</v>
      </c>
      <c r="AX589" s="136" t="e">
        <f>#REF!-#REF!</f>
        <v>#REF!</v>
      </c>
      <c r="AY589" s="136" t="e">
        <f>#REF!-#REF!</f>
        <v>#REF!</v>
      </c>
      <c r="AZ589" s="136" t="e">
        <f>#REF!-#REF!</f>
        <v>#REF!</v>
      </c>
      <c r="BA589" s="136" t="e">
        <f>#REF!-#REF!</f>
        <v>#REF!</v>
      </c>
      <c r="BB589" s="136" t="e">
        <f>#REF!-#REF!</f>
        <v>#REF!</v>
      </c>
      <c r="BC589" s="136" t="e">
        <f>#REF!-#REF!</f>
        <v>#REF!</v>
      </c>
      <c r="BD589" s="136" t="e">
        <f>#REF!-#REF!</f>
        <v>#REF!</v>
      </c>
      <c r="BE589" s="136" t="e">
        <f>#REF!-#REF!</f>
        <v>#REF!</v>
      </c>
      <c r="BF589" s="136" t="e">
        <f>#REF!-#REF!</f>
        <v>#REF!</v>
      </c>
      <c r="BG589" s="136" t="e">
        <f>#REF!-#REF!</f>
        <v>#REF!</v>
      </c>
      <c r="BH589" s="136" t="e">
        <f>#REF!-#REF!</f>
        <v>#REF!</v>
      </c>
      <c r="BI589" s="136" t="e">
        <f>#REF!-#REF!</f>
        <v>#REF!</v>
      </c>
      <c r="BJ589" s="136" t="e">
        <f>#REF!-#REF!</f>
        <v>#REF!</v>
      </c>
      <c r="BK589" s="136" t="e">
        <f>#REF!-#REF!</f>
        <v>#REF!</v>
      </c>
      <c r="BL589" s="136" t="e">
        <f>#REF!-#REF!</f>
        <v>#REF!</v>
      </c>
      <c r="BM589" s="136" t="e">
        <f>#REF!-#REF!</f>
        <v>#REF!</v>
      </c>
      <c r="BN589" s="136" t="e">
        <f>#REF!-#REF!</f>
        <v>#REF!</v>
      </c>
      <c r="BO589" s="136" t="e">
        <f>#REF!-#REF!</f>
        <v>#REF!</v>
      </c>
      <c r="BP589" s="136" t="e">
        <f>#REF!-#REF!</f>
        <v>#REF!</v>
      </c>
      <c r="BQ589" s="136" t="e">
        <f>#REF!-#REF!</f>
        <v>#REF!</v>
      </c>
      <c r="BR589" s="136" t="e">
        <f>#REF!-#REF!</f>
        <v>#REF!</v>
      </c>
      <c r="BS589" s="136" t="e">
        <f>#REF!-#REF!</f>
        <v>#REF!</v>
      </c>
      <c r="BT589" s="136" t="e">
        <f>#REF!-#REF!</f>
        <v>#REF!</v>
      </c>
      <c r="BU589" s="136" t="e">
        <f>#REF!-#REF!</f>
        <v>#REF!</v>
      </c>
      <c r="BV589" s="136" t="e">
        <f>#REF!-#REF!</f>
        <v>#REF!</v>
      </c>
      <c r="BW589" s="136" t="e">
        <f>#REF!-#REF!</f>
        <v>#REF!</v>
      </c>
      <c r="BX589" s="136" t="e">
        <f>#REF!-#REF!</f>
        <v>#REF!</v>
      </c>
      <c r="BZ589" s="136" t="e">
        <f>#REF!-#REF!</f>
        <v>#REF!</v>
      </c>
      <c r="CA589" s="136" t="e">
        <f>#REF!-#REF!</f>
        <v>#REF!</v>
      </c>
    </row>
    <row r="590" spans="7:79" hidden="1" x14ac:dyDescent="0.3">
      <c r="G590" s="136">
        <f t="shared" ref="G590:BR590" si="135">G165-BY165</f>
        <v>0</v>
      </c>
      <c r="H590" s="136">
        <f t="shared" si="135"/>
        <v>0</v>
      </c>
      <c r="I590" s="136">
        <f t="shared" si="135"/>
        <v>0</v>
      </c>
      <c r="J590" s="136">
        <f t="shared" si="135"/>
        <v>0</v>
      </c>
      <c r="K590" s="136">
        <f t="shared" si="135"/>
        <v>0</v>
      </c>
      <c r="L590" s="136">
        <f t="shared" si="135"/>
        <v>0</v>
      </c>
      <c r="M590" s="136">
        <f t="shared" si="135"/>
        <v>0</v>
      </c>
      <c r="N590" s="136">
        <f t="shared" si="135"/>
        <v>0</v>
      </c>
      <c r="O590" s="136">
        <f t="shared" si="135"/>
        <v>0</v>
      </c>
      <c r="P590" s="136">
        <f t="shared" si="135"/>
        <v>0</v>
      </c>
      <c r="Q590" s="136">
        <f t="shared" si="135"/>
        <v>0</v>
      </c>
      <c r="R590" s="136">
        <f t="shared" si="135"/>
        <v>0</v>
      </c>
      <c r="S590" s="136">
        <f t="shared" si="135"/>
        <v>0</v>
      </c>
      <c r="T590" s="136">
        <f t="shared" si="135"/>
        <v>0</v>
      </c>
      <c r="U590" s="136">
        <f t="shared" si="135"/>
        <v>0</v>
      </c>
      <c r="V590" s="136">
        <f t="shared" si="135"/>
        <v>0</v>
      </c>
      <c r="W590" s="136">
        <f t="shared" si="135"/>
        <v>0</v>
      </c>
      <c r="X590" s="136">
        <f t="shared" si="135"/>
        <v>0</v>
      </c>
      <c r="Y590" s="136">
        <f t="shared" si="135"/>
        <v>0</v>
      </c>
      <c r="Z590" s="136">
        <f t="shared" si="135"/>
        <v>0</v>
      </c>
      <c r="AA590" s="136">
        <f t="shared" si="135"/>
        <v>0</v>
      </c>
      <c r="AB590" s="136">
        <f t="shared" si="135"/>
        <v>0</v>
      </c>
      <c r="AC590" s="136">
        <f t="shared" si="135"/>
        <v>0</v>
      </c>
      <c r="AD590" s="136">
        <f t="shared" si="135"/>
        <v>0</v>
      </c>
      <c r="AE590" s="136">
        <f t="shared" si="135"/>
        <v>0</v>
      </c>
      <c r="AF590" s="136">
        <f t="shared" si="135"/>
        <v>0</v>
      </c>
      <c r="AG590" s="136">
        <f t="shared" si="135"/>
        <v>0</v>
      </c>
      <c r="AH590" s="136">
        <f t="shared" si="135"/>
        <v>0</v>
      </c>
      <c r="AI590" s="136">
        <f t="shared" si="135"/>
        <v>0</v>
      </c>
      <c r="AJ590" s="136">
        <f t="shared" si="135"/>
        <v>0</v>
      </c>
      <c r="AK590" s="136">
        <f t="shared" si="135"/>
        <v>0</v>
      </c>
      <c r="AL590" s="136">
        <f t="shared" si="135"/>
        <v>0</v>
      </c>
      <c r="AM590" s="136">
        <f t="shared" si="135"/>
        <v>0</v>
      </c>
      <c r="AN590" s="136">
        <f t="shared" si="135"/>
        <v>0</v>
      </c>
      <c r="AO590" s="136">
        <f t="shared" si="135"/>
        <v>0</v>
      </c>
      <c r="AP590" s="136">
        <f t="shared" si="135"/>
        <v>0</v>
      </c>
      <c r="AQ590" s="136">
        <f t="shared" si="135"/>
        <v>0</v>
      </c>
      <c r="AR590" s="136">
        <f t="shared" si="135"/>
        <v>0</v>
      </c>
      <c r="AS590" s="136">
        <f t="shared" si="135"/>
        <v>0</v>
      </c>
      <c r="AT590" s="136">
        <f t="shared" si="135"/>
        <v>0</v>
      </c>
      <c r="AU590" s="136">
        <f t="shared" si="135"/>
        <v>0</v>
      </c>
      <c r="AV590" s="136">
        <f t="shared" si="135"/>
        <v>0</v>
      </c>
      <c r="AW590" s="136">
        <f t="shared" si="135"/>
        <v>0</v>
      </c>
      <c r="AX590" s="136">
        <f t="shared" si="135"/>
        <v>0</v>
      </c>
      <c r="AY590" s="136">
        <f t="shared" si="135"/>
        <v>0</v>
      </c>
      <c r="AZ590" s="136">
        <f t="shared" si="135"/>
        <v>0</v>
      </c>
      <c r="BA590" s="136">
        <f t="shared" si="135"/>
        <v>0</v>
      </c>
      <c r="BB590" s="136">
        <f t="shared" si="135"/>
        <v>0</v>
      </c>
      <c r="BC590" s="136">
        <f t="shared" si="135"/>
        <v>0</v>
      </c>
      <c r="BD590" s="136">
        <f t="shared" si="135"/>
        <v>0</v>
      </c>
      <c r="BE590" s="136">
        <f t="shared" si="135"/>
        <v>0</v>
      </c>
      <c r="BF590" s="136">
        <f t="shared" si="135"/>
        <v>0</v>
      </c>
      <c r="BG590" s="136">
        <f t="shared" si="135"/>
        <v>0</v>
      </c>
      <c r="BH590" s="136">
        <f t="shared" si="135"/>
        <v>0</v>
      </c>
      <c r="BI590" s="136">
        <f t="shared" si="135"/>
        <v>0</v>
      </c>
      <c r="BJ590" s="136">
        <f t="shared" si="135"/>
        <v>0</v>
      </c>
      <c r="BK590" s="136">
        <f t="shared" si="135"/>
        <v>0</v>
      </c>
      <c r="BL590" s="136">
        <f t="shared" si="135"/>
        <v>0</v>
      </c>
      <c r="BM590" s="136">
        <f t="shared" si="135"/>
        <v>0</v>
      </c>
      <c r="BN590" s="136">
        <f t="shared" si="135"/>
        <v>0</v>
      </c>
      <c r="BO590" s="136">
        <f t="shared" si="135"/>
        <v>0</v>
      </c>
      <c r="BP590" s="136">
        <f t="shared" si="135"/>
        <v>0</v>
      </c>
      <c r="BQ590" s="136">
        <f t="shared" si="135"/>
        <v>0</v>
      </c>
      <c r="BR590" s="136">
        <f t="shared" si="135"/>
        <v>0</v>
      </c>
      <c r="BS590" s="136">
        <f t="shared" ref="BS590:BX590" si="136">BS165-EK165</f>
        <v>0</v>
      </c>
      <c r="BT590" s="136">
        <f t="shared" si="136"/>
        <v>0</v>
      </c>
      <c r="BU590" s="136">
        <f t="shared" si="136"/>
        <v>0</v>
      </c>
      <c r="BV590" s="136">
        <f t="shared" si="136"/>
        <v>0</v>
      </c>
      <c r="BW590" s="136">
        <f t="shared" si="136"/>
        <v>0</v>
      </c>
      <c r="BX590" s="136">
        <f t="shared" si="136"/>
        <v>0</v>
      </c>
      <c r="BZ590" s="136">
        <f>BZ165-ER165</f>
        <v>0</v>
      </c>
      <c r="CA590" s="136">
        <f>CA165-ES165</f>
        <v>0</v>
      </c>
    </row>
    <row r="591" spans="7:79" hidden="1" x14ac:dyDescent="0.3">
      <c r="G591" s="136" t="e">
        <f>#REF!-#REF!</f>
        <v>#REF!</v>
      </c>
      <c r="H591" s="136" t="e">
        <f>#REF!-#REF!</f>
        <v>#REF!</v>
      </c>
      <c r="I591" s="136" t="e">
        <f>#REF!-#REF!</f>
        <v>#REF!</v>
      </c>
      <c r="J591" s="136" t="e">
        <f>#REF!-#REF!</f>
        <v>#REF!</v>
      </c>
      <c r="K591" s="136" t="e">
        <f>#REF!-#REF!</f>
        <v>#REF!</v>
      </c>
      <c r="L591" s="136" t="e">
        <f>#REF!-#REF!</f>
        <v>#REF!</v>
      </c>
      <c r="M591" s="136" t="e">
        <f>#REF!-#REF!</f>
        <v>#REF!</v>
      </c>
      <c r="N591" s="136" t="e">
        <f>#REF!-#REF!</f>
        <v>#REF!</v>
      </c>
      <c r="O591" s="136" t="e">
        <f>#REF!-#REF!</f>
        <v>#REF!</v>
      </c>
      <c r="P591" s="136" t="e">
        <f>#REF!-#REF!</f>
        <v>#REF!</v>
      </c>
      <c r="Q591" s="136" t="e">
        <f>#REF!-#REF!</f>
        <v>#REF!</v>
      </c>
      <c r="R591" s="136" t="e">
        <f>#REF!-#REF!</f>
        <v>#REF!</v>
      </c>
      <c r="S591" s="136" t="e">
        <f>#REF!-#REF!</f>
        <v>#REF!</v>
      </c>
      <c r="T591" s="136" t="e">
        <f>#REF!-#REF!</f>
        <v>#REF!</v>
      </c>
      <c r="U591" s="136" t="e">
        <f>#REF!-#REF!</f>
        <v>#REF!</v>
      </c>
      <c r="V591" s="136" t="e">
        <f>#REF!-#REF!</f>
        <v>#REF!</v>
      </c>
      <c r="W591" s="136" t="e">
        <f>#REF!-#REF!</f>
        <v>#REF!</v>
      </c>
      <c r="X591" s="136" t="e">
        <f>#REF!-#REF!</f>
        <v>#REF!</v>
      </c>
      <c r="Y591" s="136" t="e">
        <f>#REF!-#REF!</f>
        <v>#REF!</v>
      </c>
      <c r="Z591" s="136" t="e">
        <f>#REF!-#REF!</f>
        <v>#REF!</v>
      </c>
      <c r="AA591" s="136" t="e">
        <f>#REF!-#REF!</f>
        <v>#REF!</v>
      </c>
      <c r="AB591" s="136" t="e">
        <f>#REF!-#REF!</f>
        <v>#REF!</v>
      </c>
      <c r="AC591" s="136" t="e">
        <f>#REF!-#REF!</f>
        <v>#REF!</v>
      </c>
      <c r="AD591" s="136" t="e">
        <f>#REF!-#REF!</f>
        <v>#REF!</v>
      </c>
      <c r="AE591" s="136" t="e">
        <f>#REF!-#REF!</f>
        <v>#REF!</v>
      </c>
      <c r="AF591" s="136" t="e">
        <f>#REF!-#REF!</f>
        <v>#REF!</v>
      </c>
      <c r="AG591" s="136" t="e">
        <f>#REF!-#REF!</f>
        <v>#REF!</v>
      </c>
      <c r="AH591" s="136" t="e">
        <f>#REF!-#REF!</f>
        <v>#REF!</v>
      </c>
      <c r="AI591" s="136" t="e">
        <f>#REF!-#REF!</f>
        <v>#REF!</v>
      </c>
      <c r="AJ591" s="136" t="e">
        <f>#REF!-#REF!</f>
        <v>#REF!</v>
      </c>
      <c r="AK591" s="136" t="e">
        <f>#REF!-#REF!</f>
        <v>#REF!</v>
      </c>
      <c r="AL591" s="136" t="e">
        <f>#REF!-#REF!</f>
        <v>#REF!</v>
      </c>
      <c r="AM591" s="136" t="e">
        <f>#REF!-#REF!</f>
        <v>#REF!</v>
      </c>
      <c r="AN591" s="136" t="e">
        <f>#REF!-#REF!</f>
        <v>#REF!</v>
      </c>
      <c r="AO591" s="136" t="e">
        <f>#REF!-#REF!</f>
        <v>#REF!</v>
      </c>
      <c r="AP591" s="136" t="e">
        <f>#REF!-#REF!</f>
        <v>#REF!</v>
      </c>
      <c r="AQ591" s="136" t="e">
        <f>#REF!-#REF!</f>
        <v>#REF!</v>
      </c>
      <c r="AR591" s="136" t="e">
        <f>#REF!-#REF!</f>
        <v>#REF!</v>
      </c>
      <c r="AS591" s="136" t="e">
        <f>#REF!-#REF!</f>
        <v>#REF!</v>
      </c>
      <c r="AT591" s="136" t="e">
        <f>#REF!-#REF!</f>
        <v>#REF!</v>
      </c>
      <c r="AU591" s="136" t="e">
        <f>#REF!-#REF!</f>
        <v>#REF!</v>
      </c>
      <c r="AV591" s="136" t="e">
        <f>#REF!-#REF!</f>
        <v>#REF!</v>
      </c>
      <c r="AW591" s="136" t="e">
        <f>#REF!-#REF!</f>
        <v>#REF!</v>
      </c>
      <c r="AX591" s="136" t="e">
        <f>#REF!-#REF!</f>
        <v>#REF!</v>
      </c>
      <c r="AY591" s="136" t="e">
        <f>#REF!-#REF!</f>
        <v>#REF!</v>
      </c>
      <c r="AZ591" s="136" t="e">
        <f>#REF!-#REF!</f>
        <v>#REF!</v>
      </c>
      <c r="BA591" s="136" t="e">
        <f>#REF!-#REF!</f>
        <v>#REF!</v>
      </c>
      <c r="BB591" s="136" t="e">
        <f>#REF!-#REF!</f>
        <v>#REF!</v>
      </c>
      <c r="BC591" s="136" t="e">
        <f>#REF!-#REF!</f>
        <v>#REF!</v>
      </c>
      <c r="BD591" s="136" t="e">
        <f>#REF!-#REF!</f>
        <v>#REF!</v>
      </c>
      <c r="BE591" s="136" t="e">
        <f>#REF!-#REF!</f>
        <v>#REF!</v>
      </c>
      <c r="BF591" s="136" t="e">
        <f>#REF!-#REF!</f>
        <v>#REF!</v>
      </c>
      <c r="BG591" s="136" t="e">
        <f>#REF!-#REF!</f>
        <v>#REF!</v>
      </c>
      <c r="BH591" s="136" t="e">
        <f>#REF!-#REF!</f>
        <v>#REF!</v>
      </c>
      <c r="BI591" s="136" t="e">
        <f>#REF!-#REF!</f>
        <v>#REF!</v>
      </c>
      <c r="BJ591" s="136" t="e">
        <f>#REF!-#REF!</f>
        <v>#REF!</v>
      </c>
      <c r="BK591" s="136" t="e">
        <f>#REF!-#REF!</f>
        <v>#REF!</v>
      </c>
      <c r="BL591" s="136" t="e">
        <f>#REF!-#REF!</f>
        <v>#REF!</v>
      </c>
      <c r="BM591" s="136" t="e">
        <f>#REF!-#REF!</f>
        <v>#REF!</v>
      </c>
      <c r="BN591" s="136" t="e">
        <f>#REF!-#REF!</f>
        <v>#REF!</v>
      </c>
      <c r="BO591" s="136" t="e">
        <f>#REF!-#REF!</f>
        <v>#REF!</v>
      </c>
      <c r="BP591" s="136" t="e">
        <f>#REF!-#REF!</f>
        <v>#REF!</v>
      </c>
      <c r="BQ591" s="136" t="e">
        <f>#REF!-#REF!</f>
        <v>#REF!</v>
      </c>
      <c r="BR591" s="136" t="e">
        <f>#REF!-#REF!</f>
        <v>#REF!</v>
      </c>
      <c r="BS591" s="136" t="e">
        <f>#REF!-#REF!</f>
        <v>#REF!</v>
      </c>
      <c r="BT591" s="136" t="e">
        <f>#REF!-#REF!</f>
        <v>#REF!</v>
      </c>
      <c r="BU591" s="136" t="e">
        <f>#REF!-#REF!</f>
        <v>#REF!</v>
      </c>
      <c r="BV591" s="136" t="e">
        <f>#REF!-#REF!</f>
        <v>#REF!</v>
      </c>
      <c r="BW591" s="136" t="e">
        <f>#REF!-#REF!</f>
        <v>#REF!</v>
      </c>
      <c r="BX591" s="136" t="e">
        <f>#REF!-#REF!</f>
        <v>#REF!</v>
      </c>
      <c r="BZ591" s="136" t="e">
        <f>#REF!-#REF!</f>
        <v>#REF!</v>
      </c>
      <c r="CA591" s="136" t="e">
        <f>#REF!-#REF!</f>
        <v>#REF!</v>
      </c>
    </row>
    <row r="592" spans="7:79" hidden="1" x14ac:dyDescent="0.3">
      <c r="G592" s="136" t="e">
        <f>#REF!-#REF!</f>
        <v>#REF!</v>
      </c>
      <c r="H592" s="136" t="e">
        <f>#REF!-#REF!</f>
        <v>#REF!</v>
      </c>
      <c r="I592" s="136" t="e">
        <f>#REF!-#REF!</f>
        <v>#REF!</v>
      </c>
      <c r="J592" s="136" t="e">
        <f>#REF!-#REF!</f>
        <v>#REF!</v>
      </c>
      <c r="K592" s="136" t="e">
        <f>#REF!-#REF!</f>
        <v>#REF!</v>
      </c>
      <c r="L592" s="136" t="e">
        <f>#REF!-#REF!</f>
        <v>#REF!</v>
      </c>
      <c r="M592" s="136" t="e">
        <f>#REF!-#REF!</f>
        <v>#REF!</v>
      </c>
      <c r="N592" s="136" t="e">
        <f>#REF!-#REF!</f>
        <v>#REF!</v>
      </c>
      <c r="O592" s="136" t="e">
        <f>#REF!-#REF!</f>
        <v>#REF!</v>
      </c>
      <c r="P592" s="136" t="e">
        <f>#REF!-#REF!</f>
        <v>#REF!</v>
      </c>
      <c r="Q592" s="136" t="e">
        <f>#REF!-#REF!</f>
        <v>#REF!</v>
      </c>
      <c r="R592" s="136" t="e">
        <f>#REF!-#REF!</f>
        <v>#REF!</v>
      </c>
      <c r="S592" s="136" t="e">
        <f>#REF!-#REF!</f>
        <v>#REF!</v>
      </c>
      <c r="T592" s="136" t="e">
        <f>#REF!-#REF!</f>
        <v>#REF!</v>
      </c>
      <c r="U592" s="136" t="e">
        <f>#REF!-#REF!</f>
        <v>#REF!</v>
      </c>
      <c r="V592" s="136" t="e">
        <f>#REF!-#REF!</f>
        <v>#REF!</v>
      </c>
      <c r="W592" s="136" t="e">
        <f>#REF!-#REF!</f>
        <v>#REF!</v>
      </c>
      <c r="X592" s="136" t="e">
        <f>#REF!-#REF!</f>
        <v>#REF!</v>
      </c>
      <c r="Y592" s="136" t="e">
        <f>#REF!-#REF!</f>
        <v>#REF!</v>
      </c>
      <c r="Z592" s="136" t="e">
        <f>#REF!-#REF!</f>
        <v>#REF!</v>
      </c>
      <c r="AA592" s="136" t="e">
        <f>#REF!-#REF!</f>
        <v>#REF!</v>
      </c>
      <c r="AB592" s="136" t="e">
        <f>#REF!-#REF!</f>
        <v>#REF!</v>
      </c>
      <c r="AC592" s="136" t="e">
        <f>#REF!-#REF!</f>
        <v>#REF!</v>
      </c>
      <c r="AD592" s="136" t="e">
        <f>#REF!-#REF!</f>
        <v>#REF!</v>
      </c>
      <c r="AE592" s="136" t="e">
        <f>#REF!-#REF!</f>
        <v>#REF!</v>
      </c>
      <c r="AF592" s="136" t="e">
        <f>#REF!-#REF!</f>
        <v>#REF!</v>
      </c>
      <c r="AG592" s="136" t="e">
        <f>#REF!-#REF!</f>
        <v>#REF!</v>
      </c>
      <c r="AH592" s="136" t="e">
        <f>#REF!-#REF!</f>
        <v>#REF!</v>
      </c>
      <c r="AI592" s="136" t="e">
        <f>#REF!-#REF!</f>
        <v>#REF!</v>
      </c>
      <c r="AJ592" s="136" t="e">
        <f>#REF!-#REF!</f>
        <v>#REF!</v>
      </c>
      <c r="AK592" s="136" t="e">
        <f>#REF!-#REF!</f>
        <v>#REF!</v>
      </c>
      <c r="AL592" s="136" t="e">
        <f>#REF!-#REF!</f>
        <v>#REF!</v>
      </c>
      <c r="AM592" s="136" t="e">
        <f>#REF!-#REF!</f>
        <v>#REF!</v>
      </c>
      <c r="AN592" s="136" t="e">
        <f>#REF!-#REF!</f>
        <v>#REF!</v>
      </c>
      <c r="AO592" s="136" t="e">
        <f>#REF!-#REF!</f>
        <v>#REF!</v>
      </c>
      <c r="AP592" s="136" t="e">
        <f>#REF!-#REF!</f>
        <v>#REF!</v>
      </c>
      <c r="AQ592" s="136" t="e">
        <f>#REF!-#REF!</f>
        <v>#REF!</v>
      </c>
      <c r="AR592" s="136" t="e">
        <f>#REF!-#REF!</f>
        <v>#REF!</v>
      </c>
      <c r="AS592" s="136" t="e">
        <f>#REF!-#REF!</f>
        <v>#REF!</v>
      </c>
      <c r="AT592" s="136" t="e">
        <f>#REF!-#REF!</f>
        <v>#REF!</v>
      </c>
      <c r="AU592" s="136" t="e">
        <f>#REF!-#REF!</f>
        <v>#REF!</v>
      </c>
      <c r="AV592" s="136" t="e">
        <f>#REF!-#REF!</f>
        <v>#REF!</v>
      </c>
      <c r="AW592" s="136" t="e">
        <f>#REF!-#REF!</f>
        <v>#REF!</v>
      </c>
      <c r="AX592" s="136" t="e">
        <f>#REF!-#REF!</f>
        <v>#REF!</v>
      </c>
      <c r="AY592" s="136" t="e">
        <f>#REF!-#REF!</f>
        <v>#REF!</v>
      </c>
      <c r="AZ592" s="136" t="e">
        <f>#REF!-#REF!</f>
        <v>#REF!</v>
      </c>
      <c r="BA592" s="136" t="e">
        <f>#REF!-#REF!</f>
        <v>#REF!</v>
      </c>
      <c r="BB592" s="136" t="e">
        <f>#REF!-#REF!</f>
        <v>#REF!</v>
      </c>
      <c r="BC592" s="136" t="e">
        <f>#REF!-#REF!</f>
        <v>#REF!</v>
      </c>
      <c r="BD592" s="136" t="e">
        <f>#REF!-#REF!</f>
        <v>#REF!</v>
      </c>
      <c r="BE592" s="136" t="e">
        <f>#REF!-#REF!</f>
        <v>#REF!</v>
      </c>
      <c r="BF592" s="136" t="e">
        <f>#REF!-#REF!</f>
        <v>#REF!</v>
      </c>
      <c r="BG592" s="136" t="e">
        <f>#REF!-#REF!</f>
        <v>#REF!</v>
      </c>
      <c r="BH592" s="136" t="e">
        <f>#REF!-#REF!</f>
        <v>#REF!</v>
      </c>
      <c r="BI592" s="136" t="e">
        <f>#REF!-#REF!</f>
        <v>#REF!</v>
      </c>
      <c r="BJ592" s="136" t="e">
        <f>#REF!-#REF!</f>
        <v>#REF!</v>
      </c>
      <c r="BK592" s="136" t="e">
        <f>#REF!-#REF!</f>
        <v>#REF!</v>
      </c>
      <c r="BL592" s="136" t="e">
        <f>#REF!-#REF!</f>
        <v>#REF!</v>
      </c>
      <c r="BM592" s="136" t="e">
        <f>#REF!-#REF!</f>
        <v>#REF!</v>
      </c>
      <c r="BN592" s="136" t="e">
        <f>#REF!-#REF!</f>
        <v>#REF!</v>
      </c>
      <c r="BO592" s="136" t="e">
        <f>#REF!-#REF!</f>
        <v>#REF!</v>
      </c>
      <c r="BP592" s="136" t="e">
        <f>#REF!-#REF!</f>
        <v>#REF!</v>
      </c>
      <c r="BQ592" s="136" t="e">
        <f>#REF!-#REF!</f>
        <v>#REF!</v>
      </c>
      <c r="BR592" s="136" t="e">
        <f>#REF!-#REF!</f>
        <v>#REF!</v>
      </c>
      <c r="BS592" s="136" t="e">
        <f>#REF!-#REF!</f>
        <v>#REF!</v>
      </c>
      <c r="BT592" s="136" t="e">
        <f>#REF!-#REF!</f>
        <v>#REF!</v>
      </c>
      <c r="BU592" s="136" t="e">
        <f>#REF!-#REF!</f>
        <v>#REF!</v>
      </c>
      <c r="BV592" s="136" t="e">
        <f>#REF!-#REF!</f>
        <v>#REF!</v>
      </c>
      <c r="BW592" s="136" t="e">
        <f>#REF!-#REF!</f>
        <v>#REF!</v>
      </c>
      <c r="BX592" s="136" t="e">
        <f>#REF!-#REF!</f>
        <v>#REF!</v>
      </c>
      <c r="BZ592" s="136" t="e">
        <f>#REF!-#REF!</f>
        <v>#REF!</v>
      </c>
      <c r="CA592" s="136" t="e">
        <f>#REF!-#REF!</f>
        <v>#REF!</v>
      </c>
    </row>
    <row r="593" spans="7:79" hidden="1" x14ac:dyDescent="0.3">
      <c r="G593" s="136">
        <f t="shared" ref="G593:BR597" si="137">G166-BY166</f>
        <v>0</v>
      </c>
      <c r="H593" s="136">
        <f t="shared" si="137"/>
        <v>0</v>
      </c>
      <c r="I593" s="136">
        <f t="shared" si="137"/>
        <v>0</v>
      </c>
      <c r="J593" s="136">
        <f t="shared" si="137"/>
        <v>0</v>
      </c>
      <c r="K593" s="136">
        <f t="shared" si="137"/>
        <v>0</v>
      </c>
      <c r="L593" s="136">
        <f t="shared" si="137"/>
        <v>0</v>
      </c>
      <c r="M593" s="136">
        <f t="shared" si="137"/>
        <v>0</v>
      </c>
      <c r="N593" s="136">
        <f t="shared" si="137"/>
        <v>0</v>
      </c>
      <c r="O593" s="136">
        <f t="shared" si="137"/>
        <v>0</v>
      </c>
      <c r="P593" s="136">
        <f t="shared" si="137"/>
        <v>0</v>
      </c>
      <c r="Q593" s="136">
        <f t="shared" si="137"/>
        <v>0</v>
      </c>
      <c r="R593" s="136">
        <f t="shared" si="137"/>
        <v>0</v>
      </c>
      <c r="S593" s="136">
        <f t="shared" si="137"/>
        <v>0</v>
      </c>
      <c r="T593" s="136">
        <f t="shared" si="137"/>
        <v>0</v>
      </c>
      <c r="U593" s="136">
        <f t="shared" si="137"/>
        <v>0</v>
      </c>
      <c r="V593" s="136">
        <f t="shared" si="137"/>
        <v>0</v>
      </c>
      <c r="W593" s="136">
        <f t="shared" si="137"/>
        <v>0</v>
      </c>
      <c r="X593" s="136">
        <f t="shared" si="137"/>
        <v>0</v>
      </c>
      <c r="Y593" s="136">
        <f t="shared" si="137"/>
        <v>0</v>
      </c>
      <c r="Z593" s="136">
        <f t="shared" si="137"/>
        <v>0</v>
      </c>
      <c r="AA593" s="136">
        <f t="shared" si="137"/>
        <v>0</v>
      </c>
      <c r="AB593" s="136">
        <f t="shared" si="137"/>
        <v>0</v>
      </c>
      <c r="AC593" s="136">
        <f t="shared" si="137"/>
        <v>0</v>
      </c>
      <c r="AD593" s="136">
        <f t="shared" si="137"/>
        <v>0</v>
      </c>
      <c r="AE593" s="136">
        <f t="shared" si="137"/>
        <v>0</v>
      </c>
      <c r="AF593" s="136">
        <f t="shared" si="137"/>
        <v>0</v>
      </c>
      <c r="AG593" s="136">
        <f t="shared" si="137"/>
        <v>0</v>
      </c>
      <c r="AH593" s="136">
        <f t="shared" si="137"/>
        <v>0</v>
      </c>
      <c r="AI593" s="136">
        <f t="shared" si="137"/>
        <v>0</v>
      </c>
      <c r="AJ593" s="136">
        <f t="shared" si="137"/>
        <v>0</v>
      </c>
      <c r="AK593" s="136">
        <f t="shared" si="137"/>
        <v>0</v>
      </c>
      <c r="AL593" s="136">
        <f t="shared" si="137"/>
        <v>0</v>
      </c>
      <c r="AM593" s="136">
        <f t="shared" si="137"/>
        <v>0</v>
      </c>
      <c r="AN593" s="136">
        <f t="shared" si="137"/>
        <v>0</v>
      </c>
      <c r="AO593" s="136">
        <f t="shared" si="137"/>
        <v>0</v>
      </c>
      <c r="AP593" s="136">
        <f t="shared" si="137"/>
        <v>0</v>
      </c>
      <c r="AQ593" s="136">
        <f t="shared" si="137"/>
        <v>0</v>
      </c>
      <c r="AR593" s="136">
        <f t="shared" si="137"/>
        <v>0</v>
      </c>
      <c r="AS593" s="136">
        <f t="shared" si="137"/>
        <v>0</v>
      </c>
      <c r="AT593" s="136">
        <f t="shared" si="137"/>
        <v>0</v>
      </c>
      <c r="AU593" s="136">
        <f t="shared" si="137"/>
        <v>0</v>
      </c>
      <c r="AV593" s="136">
        <f t="shared" si="137"/>
        <v>0</v>
      </c>
      <c r="AW593" s="136">
        <f t="shared" si="137"/>
        <v>0</v>
      </c>
      <c r="AX593" s="136">
        <f t="shared" si="137"/>
        <v>0</v>
      </c>
      <c r="AY593" s="136">
        <f t="shared" si="137"/>
        <v>0</v>
      </c>
      <c r="AZ593" s="136">
        <f t="shared" si="137"/>
        <v>0</v>
      </c>
      <c r="BA593" s="136">
        <f t="shared" si="137"/>
        <v>0</v>
      </c>
      <c r="BB593" s="136">
        <f t="shared" si="137"/>
        <v>0</v>
      </c>
      <c r="BC593" s="136">
        <f t="shared" si="137"/>
        <v>0</v>
      </c>
      <c r="BD593" s="136">
        <f t="shared" si="137"/>
        <v>0</v>
      </c>
      <c r="BE593" s="136">
        <f t="shared" si="137"/>
        <v>0</v>
      </c>
      <c r="BF593" s="136">
        <f t="shared" si="137"/>
        <v>0</v>
      </c>
      <c r="BG593" s="136">
        <f t="shared" si="137"/>
        <v>0</v>
      </c>
      <c r="BH593" s="136">
        <f t="shared" si="137"/>
        <v>0</v>
      </c>
      <c r="BI593" s="136">
        <f t="shared" si="137"/>
        <v>0</v>
      </c>
      <c r="BJ593" s="136">
        <f t="shared" si="137"/>
        <v>0</v>
      </c>
      <c r="BK593" s="136">
        <f t="shared" si="137"/>
        <v>0</v>
      </c>
      <c r="BL593" s="136">
        <f t="shared" si="137"/>
        <v>0</v>
      </c>
      <c r="BM593" s="136">
        <f t="shared" si="137"/>
        <v>0</v>
      </c>
      <c r="BN593" s="136">
        <f t="shared" si="137"/>
        <v>0</v>
      </c>
      <c r="BO593" s="136">
        <f t="shared" si="137"/>
        <v>0</v>
      </c>
      <c r="BP593" s="136">
        <f t="shared" si="137"/>
        <v>0</v>
      </c>
      <c r="BQ593" s="136">
        <f t="shared" si="137"/>
        <v>0</v>
      </c>
      <c r="BR593" s="136">
        <f t="shared" si="137"/>
        <v>0</v>
      </c>
      <c r="BS593" s="136">
        <f t="shared" ref="BO593:BX597" si="138">BS166-EK166</f>
        <v>0</v>
      </c>
      <c r="BT593" s="136">
        <f t="shared" si="138"/>
        <v>0</v>
      </c>
      <c r="BU593" s="136">
        <f t="shared" si="138"/>
        <v>0</v>
      </c>
      <c r="BV593" s="136">
        <f t="shared" si="138"/>
        <v>0</v>
      </c>
      <c r="BW593" s="136">
        <f t="shared" si="138"/>
        <v>0</v>
      </c>
      <c r="BX593" s="136">
        <f t="shared" si="138"/>
        <v>0</v>
      </c>
      <c r="BZ593" s="136">
        <f t="shared" ref="BZ593:CA597" si="139">BZ166-ER166</f>
        <v>0</v>
      </c>
      <c r="CA593" s="136">
        <f t="shared" si="139"/>
        <v>0</v>
      </c>
    </row>
    <row r="594" spans="7:79" hidden="1" x14ac:dyDescent="0.3">
      <c r="G594" s="136">
        <f t="shared" si="137"/>
        <v>0</v>
      </c>
      <c r="H594" s="136">
        <f t="shared" si="137"/>
        <v>0</v>
      </c>
      <c r="I594" s="136">
        <f t="shared" si="137"/>
        <v>0</v>
      </c>
      <c r="J594" s="136">
        <f t="shared" si="137"/>
        <v>0</v>
      </c>
      <c r="K594" s="136">
        <f t="shared" si="137"/>
        <v>0</v>
      </c>
      <c r="L594" s="136">
        <f t="shared" si="137"/>
        <v>0</v>
      </c>
      <c r="M594" s="136">
        <f t="shared" si="137"/>
        <v>0</v>
      </c>
      <c r="N594" s="136">
        <f t="shared" si="137"/>
        <v>0</v>
      </c>
      <c r="O594" s="136">
        <f t="shared" si="137"/>
        <v>0</v>
      </c>
      <c r="P594" s="136">
        <f t="shared" si="137"/>
        <v>0</v>
      </c>
      <c r="Q594" s="136">
        <f t="shared" si="137"/>
        <v>0</v>
      </c>
      <c r="R594" s="136">
        <f t="shared" si="137"/>
        <v>0</v>
      </c>
      <c r="S594" s="136">
        <f t="shared" si="137"/>
        <v>0</v>
      </c>
      <c r="T594" s="136">
        <f t="shared" si="137"/>
        <v>0</v>
      </c>
      <c r="U594" s="136">
        <f t="shared" si="137"/>
        <v>0</v>
      </c>
      <c r="V594" s="136">
        <f t="shared" si="137"/>
        <v>0</v>
      </c>
      <c r="W594" s="136">
        <f t="shared" si="137"/>
        <v>0</v>
      </c>
      <c r="X594" s="136">
        <f t="shared" si="137"/>
        <v>0</v>
      </c>
      <c r="Y594" s="136">
        <f t="shared" si="137"/>
        <v>0</v>
      </c>
      <c r="Z594" s="136">
        <f t="shared" si="137"/>
        <v>0</v>
      </c>
      <c r="AA594" s="136">
        <f t="shared" si="137"/>
        <v>0</v>
      </c>
      <c r="AB594" s="136">
        <f t="shared" si="137"/>
        <v>0</v>
      </c>
      <c r="AC594" s="136">
        <f t="shared" si="137"/>
        <v>0</v>
      </c>
      <c r="AD594" s="136">
        <f t="shared" si="137"/>
        <v>0</v>
      </c>
      <c r="AE594" s="136">
        <f t="shared" si="137"/>
        <v>0</v>
      </c>
      <c r="AF594" s="136">
        <f t="shared" si="137"/>
        <v>0</v>
      </c>
      <c r="AG594" s="136">
        <f t="shared" si="137"/>
        <v>0</v>
      </c>
      <c r="AH594" s="136">
        <f t="shared" si="137"/>
        <v>0</v>
      </c>
      <c r="AI594" s="136">
        <f t="shared" si="137"/>
        <v>0</v>
      </c>
      <c r="AJ594" s="136">
        <f t="shared" si="137"/>
        <v>0</v>
      </c>
      <c r="AK594" s="136">
        <f t="shared" si="137"/>
        <v>0</v>
      </c>
      <c r="AL594" s="136">
        <f t="shared" si="137"/>
        <v>0</v>
      </c>
      <c r="AM594" s="136">
        <f t="shared" si="137"/>
        <v>0</v>
      </c>
      <c r="AN594" s="136">
        <f t="shared" si="137"/>
        <v>0</v>
      </c>
      <c r="AO594" s="136">
        <f t="shared" si="137"/>
        <v>0</v>
      </c>
      <c r="AP594" s="136">
        <f t="shared" si="137"/>
        <v>0</v>
      </c>
      <c r="AQ594" s="136">
        <f t="shared" si="137"/>
        <v>0</v>
      </c>
      <c r="AR594" s="136">
        <f t="shared" si="137"/>
        <v>0</v>
      </c>
      <c r="AS594" s="136">
        <f t="shared" si="137"/>
        <v>0</v>
      </c>
      <c r="AT594" s="136">
        <f t="shared" si="137"/>
        <v>0</v>
      </c>
      <c r="AU594" s="136">
        <f t="shared" si="137"/>
        <v>0</v>
      </c>
      <c r="AV594" s="136">
        <f t="shared" si="137"/>
        <v>0</v>
      </c>
      <c r="AW594" s="136">
        <f t="shared" si="137"/>
        <v>0</v>
      </c>
      <c r="AX594" s="136">
        <f t="shared" si="137"/>
        <v>0</v>
      </c>
      <c r="AY594" s="136">
        <f t="shared" si="137"/>
        <v>0</v>
      </c>
      <c r="AZ594" s="136">
        <f t="shared" si="137"/>
        <v>0</v>
      </c>
      <c r="BA594" s="136">
        <f t="shared" si="137"/>
        <v>0</v>
      </c>
      <c r="BB594" s="136">
        <f t="shared" si="137"/>
        <v>0</v>
      </c>
      <c r="BC594" s="136">
        <f t="shared" si="137"/>
        <v>0</v>
      </c>
      <c r="BD594" s="136">
        <f t="shared" si="137"/>
        <v>0</v>
      </c>
      <c r="BE594" s="136">
        <f t="shared" si="137"/>
        <v>0</v>
      </c>
      <c r="BF594" s="136">
        <f t="shared" si="137"/>
        <v>0</v>
      </c>
      <c r="BG594" s="136">
        <f t="shared" si="137"/>
        <v>0</v>
      </c>
      <c r="BH594" s="136">
        <f t="shared" si="137"/>
        <v>0</v>
      </c>
      <c r="BI594" s="136">
        <f t="shared" si="137"/>
        <v>0</v>
      </c>
      <c r="BJ594" s="136">
        <f t="shared" si="137"/>
        <v>0</v>
      </c>
      <c r="BK594" s="136">
        <f t="shared" si="137"/>
        <v>0</v>
      </c>
      <c r="BL594" s="136">
        <f t="shared" si="137"/>
        <v>0</v>
      </c>
      <c r="BM594" s="136">
        <f t="shared" si="137"/>
        <v>0</v>
      </c>
      <c r="BN594" s="136">
        <f t="shared" si="137"/>
        <v>0</v>
      </c>
      <c r="BO594" s="136">
        <f t="shared" si="138"/>
        <v>0</v>
      </c>
      <c r="BP594" s="136">
        <f t="shared" si="138"/>
        <v>0</v>
      </c>
      <c r="BQ594" s="136">
        <f t="shared" si="138"/>
        <v>0</v>
      </c>
      <c r="BR594" s="136">
        <f t="shared" si="138"/>
        <v>0</v>
      </c>
      <c r="BS594" s="136">
        <f t="shared" si="138"/>
        <v>0</v>
      </c>
      <c r="BT594" s="136">
        <f t="shared" si="138"/>
        <v>0</v>
      </c>
      <c r="BU594" s="136">
        <f t="shared" si="138"/>
        <v>0</v>
      </c>
      <c r="BV594" s="136">
        <f t="shared" si="138"/>
        <v>0</v>
      </c>
      <c r="BW594" s="136">
        <f t="shared" si="138"/>
        <v>0</v>
      </c>
      <c r="BX594" s="136">
        <f t="shared" si="138"/>
        <v>0</v>
      </c>
      <c r="BZ594" s="136">
        <f t="shared" si="139"/>
        <v>0</v>
      </c>
      <c r="CA594" s="136">
        <f t="shared" si="139"/>
        <v>0</v>
      </c>
    </row>
    <row r="595" spans="7:79" hidden="1" x14ac:dyDescent="0.3">
      <c r="G595" s="136">
        <f t="shared" si="137"/>
        <v>0</v>
      </c>
      <c r="H595" s="136">
        <f t="shared" si="137"/>
        <v>0</v>
      </c>
      <c r="I595" s="136">
        <f t="shared" si="137"/>
        <v>0</v>
      </c>
      <c r="J595" s="136">
        <f t="shared" si="137"/>
        <v>0</v>
      </c>
      <c r="K595" s="136">
        <f t="shared" si="137"/>
        <v>0</v>
      </c>
      <c r="L595" s="136">
        <f t="shared" si="137"/>
        <v>0</v>
      </c>
      <c r="M595" s="136">
        <f t="shared" si="137"/>
        <v>0</v>
      </c>
      <c r="N595" s="136">
        <f t="shared" si="137"/>
        <v>0</v>
      </c>
      <c r="O595" s="136">
        <f t="shared" si="137"/>
        <v>0</v>
      </c>
      <c r="P595" s="136">
        <f t="shared" si="137"/>
        <v>0</v>
      </c>
      <c r="Q595" s="136">
        <f t="shared" si="137"/>
        <v>0</v>
      </c>
      <c r="R595" s="136">
        <f t="shared" si="137"/>
        <v>0</v>
      </c>
      <c r="S595" s="136">
        <f t="shared" si="137"/>
        <v>0</v>
      </c>
      <c r="T595" s="136">
        <f t="shared" si="137"/>
        <v>0</v>
      </c>
      <c r="U595" s="136">
        <f t="shared" si="137"/>
        <v>0</v>
      </c>
      <c r="V595" s="136">
        <f t="shared" si="137"/>
        <v>0</v>
      </c>
      <c r="W595" s="136">
        <f t="shared" si="137"/>
        <v>0</v>
      </c>
      <c r="X595" s="136">
        <f t="shared" si="137"/>
        <v>0</v>
      </c>
      <c r="Y595" s="136">
        <f t="shared" si="137"/>
        <v>0</v>
      </c>
      <c r="Z595" s="136">
        <f t="shared" si="137"/>
        <v>0</v>
      </c>
      <c r="AA595" s="136">
        <f t="shared" si="137"/>
        <v>0</v>
      </c>
      <c r="AB595" s="136">
        <f t="shared" si="137"/>
        <v>0</v>
      </c>
      <c r="AC595" s="136">
        <f t="shared" si="137"/>
        <v>0</v>
      </c>
      <c r="AD595" s="136">
        <f t="shared" si="137"/>
        <v>0</v>
      </c>
      <c r="AE595" s="136">
        <f t="shared" si="137"/>
        <v>0</v>
      </c>
      <c r="AF595" s="136">
        <f t="shared" si="137"/>
        <v>0</v>
      </c>
      <c r="AG595" s="136">
        <f t="shared" si="137"/>
        <v>0</v>
      </c>
      <c r="AH595" s="136">
        <f t="shared" si="137"/>
        <v>0</v>
      </c>
      <c r="AI595" s="136">
        <f t="shared" si="137"/>
        <v>0</v>
      </c>
      <c r="AJ595" s="136">
        <f t="shared" si="137"/>
        <v>0</v>
      </c>
      <c r="AK595" s="136">
        <f t="shared" si="137"/>
        <v>0</v>
      </c>
      <c r="AL595" s="136">
        <f t="shared" si="137"/>
        <v>0</v>
      </c>
      <c r="AM595" s="136">
        <f t="shared" si="137"/>
        <v>0</v>
      </c>
      <c r="AN595" s="136">
        <f t="shared" si="137"/>
        <v>0</v>
      </c>
      <c r="AO595" s="136">
        <f t="shared" si="137"/>
        <v>0</v>
      </c>
      <c r="AP595" s="136">
        <f t="shared" si="137"/>
        <v>0</v>
      </c>
      <c r="AQ595" s="136">
        <f t="shared" si="137"/>
        <v>0</v>
      </c>
      <c r="AR595" s="136">
        <f t="shared" si="137"/>
        <v>0</v>
      </c>
      <c r="AS595" s="136">
        <f t="shared" si="137"/>
        <v>0</v>
      </c>
      <c r="AT595" s="136">
        <f t="shared" si="137"/>
        <v>0</v>
      </c>
      <c r="AU595" s="136">
        <f t="shared" si="137"/>
        <v>0</v>
      </c>
      <c r="AV595" s="136">
        <f t="shared" si="137"/>
        <v>0</v>
      </c>
      <c r="AW595" s="136">
        <f t="shared" si="137"/>
        <v>0</v>
      </c>
      <c r="AX595" s="136">
        <f t="shared" si="137"/>
        <v>0</v>
      </c>
      <c r="AY595" s="136">
        <f t="shared" si="137"/>
        <v>0</v>
      </c>
      <c r="AZ595" s="136">
        <f t="shared" si="137"/>
        <v>0</v>
      </c>
      <c r="BA595" s="136">
        <f t="shared" si="137"/>
        <v>0</v>
      </c>
      <c r="BB595" s="136">
        <f t="shared" si="137"/>
        <v>0</v>
      </c>
      <c r="BC595" s="136">
        <f t="shared" si="137"/>
        <v>0</v>
      </c>
      <c r="BD595" s="136">
        <f t="shared" si="137"/>
        <v>0</v>
      </c>
      <c r="BE595" s="136">
        <f t="shared" si="137"/>
        <v>0</v>
      </c>
      <c r="BF595" s="136">
        <f t="shared" si="137"/>
        <v>0</v>
      </c>
      <c r="BG595" s="136">
        <f t="shared" si="137"/>
        <v>0</v>
      </c>
      <c r="BH595" s="136">
        <f t="shared" si="137"/>
        <v>0</v>
      </c>
      <c r="BI595" s="136">
        <f t="shared" si="137"/>
        <v>0</v>
      </c>
      <c r="BJ595" s="136">
        <f t="shared" si="137"/>
        <v>0</v>
      </c>
      <c r="BK595" s="136">
        <f t="shared" si="137"/>
        <v>0</v>
      </c>
      <c r="BL595" s="136">
        <f t="shared" si="137"/>
        <v>0</v>
      </c>
      <c r="BM595" s="136">
        <f t="shared" si="137"/>
        <v>0</v>
      </c>
      <c r="BN595" s="136">
        <f t="shared" si="137"/>
        <v>0</v>
      </c>
      <c r="BO595" s="136">
        <f t="shared" si="138"/>
        <v>0</v>
      </c>
      <c r="BP595" s="136">
        <f t="shared" si="138"/>
        <v>0</v>
      </c>
      <c r="BQ595" s="136">
        <f t="shared" si="138"/>
        <v>0</v>
      </c>
      <c r="BR595" s="136">
        <f t="shared" si="138"/>
        <v>0</v>
      </c>
      <c r="BS595" s="136">
        <f t="shared" si="138"/>
        <v>0</v>
      </c>
      <c r="BT595" s="136">
        <f t="shared" si="138"/>
        <v>0</v>
      </c>
      <c r="BU595" s="136">
        <f t="shared" si="138"/>
        <v>0</v>
      </c>
      <c r="BV595" s="136">
        <f t="shared" si="138"/>
        <v>0</v>
      </c>
      <c r="BW595" s="136">
        <f t="shared" si="138"/>
        <v>0</v>
      </c>
      <c r="BX595" s="136">
        <f t="shared" si="138"/>
        <v>0</v>
      </c>
      <c r="BZ595" s="136">
        <f t="shared" si="139"/>
        <v>0</v>
      </c>
      <c r="CA595" s="136">
        <f t="shared" si="139"/>
        <v>0</v>
      </c>
    </row>
    <row r="596" spans="7:79" hidden="1" x14ac:dyDescent="0.3">
      <c r="G596" s="136">
        <f t="shared" si="137"/>
        <v>0</v>
      </c>
      <c r="H596" s="136">
        <f t="shared" si="137"/>
        <v>0</v>
      </c>
      <c r="I596" s="136">
        <f t="shared" si="137"/>
        <v>0</v>
      </c>
      <c r="J596" s="136">
        <f t="shared" si="137"/>
        <v>0</v>
      </c>
      <c r="K596" s="136">
        <f t="shared" si="137"/>
        <v>0</v>
      </c>
      <c r="L596" s="136">
        <f t="shared" si="137"/>
        <v>0</v>
      </c>
      <c r="M596" s="136">
        <f t="shared" si="137"/>
        <v>0</v>
      </c>
      <c r="N596" s="136">
        <f t="shared" si="137"/>
        <v>0</v>
      </c>
      <c r="O596" s="136">
        <f t="shared" si="137"/>
        <v>0</v>
      </c>
      <c r="P596" s="136">
        <f t="shared" si="137"/>
        <v>0</v>
      </c>
      <c r="Q596" s="136">
        <f t="shared" si="137"/>
        <v>0</v>
      </c>
      <c r="R596" s="136">
        <f t="shared" si="137"/>
        <v>0</v>
      </c>
      <c r="S596" s="136">
        <f t="shared" si="137"/>
        <v>0</v>
      </c>
      <c r="T596" s="136">
        <f t="shared" si="137"/>
        <v>0</v>
      </c>
      <c r="U596" s="136">
        <f t="shared" si="137"/>
        <v>0</v>
      </c>
      <c r="V596" s="136">
        <f t="shared" si="137"/>
        <v>0</v>
      </c>
      <c r="W596" s="136">
        <f t="shared" si="137"/>
        <v>0</v>
      </c>
      <c r="X596" s="136">
        <f t="shared" si="137"/>
        <v>0</v>
      </c>
      <c r="Y596" s="136">
        <f t="shared" si="137"/>
        <v>0</v>
      </c>
      <c r="Z596" s="136">
        <f t="shared" si="137"/>
        <v>0</v>
      </c>
      <c r="AA596" s="136">
        <f t="shared" si="137"/>
        <v>0</v>
      </c>
      <c r="AB596" s="136">
        <f t="shared" si="137"/>
        <v>0</v>
      </c>
      <c r="AC596" s="136">
        <f t="shared" si="137"/>
        <v>0</v>
      </c>
      <c r="AD596" s="136">
        <f t="shared" si="137"/>
        <v>0</v>
      </c>
      <c r="AE596" s="136">
        <f t="shared" si="137"/>
        <v>0</v>
      </c>
      <c r="AF596" s="136">
        <f t="shared" si="137"/>
        <v>0</v>
      </c>
      <c r="AG596" s="136">
        <f t="shared" si="137"/>
        <v>0</v>
      </c>
      <c r="AH596" s="136">
        <f t="shared" si="137"/>
        <v>0</v>
      </c>
      <c r="AI596" s="136">
        <f t="shared" si="137"/>
        <v>0</v>
      </c>
      <c r="AJ596" s="136">
        <f t="shared" si="137"/>
        <v>0</v>
      </c>
      <c r="AK596" s="136">
        <f t="shared" si="137"/>
        <v>0</v>
      </c>
      <c r="AL596" s="136">
        <f t="shared" si="137"/>
        <v>0</v>
      </c>
      <c r="AM596" s="136">
        <f t="shared" si="137"/>
        <v>0</v>
      </c>
      <c r="AN596" s="136">
        <f t="shared" si="137"/>
        <v>0</v>
      </c>
      <c r="AO596" s="136">
        <f t="shared" si="137"/>
        <v>0</v>
      </c>
      <c r="AP596" s="136">
        <f t="shared" si="137"/>
        <v>0</v>
      </c>
      <c r="AQ596" s="136">
        <f t="shared" si="137"/>
        <v>0</v>
      </c>
      <c r="AR596" s="136">
        <f t="shared" si="137"/>
        <v>0</v>
      </c>
      <c r="AS596" s="136">
        <f t="shared" si="137"/>
        <v>0</v>
      </c>
      <c r="AT596" s="136">
        <f t="shared" si="137"/>
        <v>0</v>
      </c>
      <c r="AU596" s="136">
        <f t="shared" si="137"/>
        <v>0</v>
      </c>
      <c r="AV596" s="136">
        <f t="shared" si="137"/>
        <v>0</v>
      </c>
      <c r="AW596" s="136">
        <f t="shared" si="137"/>
        <v>0</v>
      </c>
      <c r="AX596" s="136">
        <f t="shared" si="137"/>
        <v>0</v>
      </c>
      <c r="AY596" s="136">
        <f t="shared" si="137"/>
        <v>0</v>
      </c>
      <c r="AZ596" s="136">
        <f t="shared" si="137"/>
        <v>0</v>
      </c>
      <c r="BA596" s="136">
        <f t="shared" si="137"/>
        <v>0</v>
      </c>
      <c r="BB596" s="136">
        <f t="shared" si="137"/>
        <v>0</v>
      </c>
      <c r="BC596" s="136">
        <f t="shared" si="137"/>
        <v>0</v>
      </c>
      <c r="BD596" s="136">
        <f t="shared" si="137"/>
        <v>0</v>
      </c>
      <c r="BE596" s="136">
        <f t="shared" si="137"/>
        <v>0</v>
      </c>
      <c r="BF596" s="136">
        <f t="shared" si="137"/>
        <v>0</v>
      </c>
      <c r="BG596" s="136">
        <f t="shared" si="137"/>
        <v>0</v>
      </c>
      <c r="BH596" s="136">
        <f t="shared" si="137"/>
        <v>0</v>
      </c>
      <c r="BI596" s="136">
        <f t="shared" si="137"/>
        <v>0</v>
      </c>
      <c r="BJ596" s="136">
        <f t="shared" si="137"/>
        <v>0</v>
      </c>
      <c r="BK596" s="136">
        <f t="shared" si="137"/>
        <v>0</v>
      </c>
      <c r="BL596" s="136">
        <f t="shared" si="137"/>
        <v>0</v>
      </c>
      <c r="BM596" s="136">
        <f t="shared" si="137"/>
        <v>0</v>
      </c>
      <c r="BN596" s="136">
        <f t="shared" si="137"/>
        <v>0</v>
      </c>
      <c r="BO596" s="136">
        <f t="shared" si="138"/>
        <v>0</v>
      </c>
      <c r="BP596" s="136">
        <f t="shared" si="138"/>
        <v>0</v>
      </c>
      <c r="BQ596" s="136">
        <f t="shared" si="138"/>
        <v>0</v>
      </c>
      <c r="BR596" s="136">
        <f t="shared" si="138"/>
        <v>0</v>
      </c>
      <c r="BS596" s="136">
        <f t="shared" si="138"/>
        <v>0</v>
      </c>
      <c r="BT596" s="136">
        <f t="shared" si="138"/>
        <v>0</v>
      </c>
      <c r="BU596" s="136">
        <f t="shared" si="138"/>
        <v>0</v>
      </c>
      <c r="BV596" s="136">
        <f t="shared" si="138"/>
        <v>0</v>
      </c>
      <c r="BW596" s="136">
        <f t="shared" si="138"/>
        <v>0</v>
      </c>
      <c r="BX596" s="136">
        <f t="shared" si="138"/>
        <v>0</v>
      </c>
      <c r="BZ596" s="136">
        <f t="shared" si="139"/>
        <v>0</v>
      </c>
      <c r="CA596" s="136">
        <f t="shared" si="139"/>
        <v>0</v>
      </c>
    </row>
    <row r="597" spans="7:79" hidden="1" x14ac:dyDescent="0.3">
      <c r="G597" s="136">
        <f t="shared" si="137"/>
        <v>0</v>
      </c>
      <c r="H597" s="136">
        <f t="shared" si="137"/>
        <v>0</v>
      </c>
      <c r="I597" s="136">
        <f t="shared" si="137"/>
        <v>0</v>
      </c>
      <c r="J597" s="136">
        <f t="shared" si="137"/>
        <v>0</v>
      </c>
      <c r="K597" s="136">
        <f t="shared" si="137"/>
        <v>0</v>
      </c>
      <c r="L597" s="136">
        <f t="shared" si="137"/>
        <v>0</v>
      </c>
      <c r="M597" s="136">
        <f t="shared" si="137"/>
        <v>0</v>
      </c>
      <c r="N597" s="136">
        <f t="shared" si="137"/>
        <v>0</v>
      </c>
      <c r="O597" s="136">
        <f t="shared" si="137"/>
        <v>0</v>
      </c>
      <c r="P597" s="136">
        <f t="shared" si="137"/>
        <v>0</v>
      </c>
      <c r="Q597" s="136">
        <f t="shared" si="137"/>
        <v>0</v>
      </c>
      <c r="R597" s="136">
        <f t="shared" ref="R597:BN597" si="140">R170-CJ170</f>
        <v>0</v>
      </c>
      <c r="S597" s="136">
        <f t="shared" si="140"/>
        <v>0</v>
      </c>
      <c r="T597" s="136">
        <f t="shared" si="140"/>
        <v>0</v>
      </c>
      <c r="U597" s="136">
        <f t="shared" si="140"/>
        <v>0</v>
      </c>
      <c r="V597" s="136">
        <f t="shared" si="140"/>
        <v>0</v>
      </c>
      <c r="W597" s="136">
        <f t="shared" si="140"/>
        <v>0</v>
      </c>
      <c r="X597" s="136">
        <f t="shared" si="140"/>
        <v>0</v>
      </c>
      <c r="Y597" s="136">
        <f t="shared" si="140"/>
        <v>0</v>
      </c>
      <c r="Z597" s="136">
        <f t="shared" si="140"/>
        <v>0</v>
      </c>
      <c r="AA597" s="136">
        <f t="shared" si="140"/>
        <v>0</v>
      </c>
      <c r="AB597" s="136">
        <f t="shared" si="140"/>
        <v>0</v>
      </c>
      <c r="AC597" s="136">
        <f t="shared" si="140"/>
        <v>0</v>
      </c>
      <c r="AD597" s="136">
        <f t="shared" si="140"/>
        <v>0</v>
      </c>
      <c r="AE597" s="136">
        <f t="shared" si="140"/>
        <v>0</v>
      </c>
      <c r="AF597" s="136">
        <f t="shared" si="140"/>
        <v>0</v>
      </c>
      <c r="AG597" s="136">
        <f t="shared" si="140"/>
        <v>0</v>
      </c>
      <c r="AH597" s="136">
        <f t="shared" si="140"/>
        <v>0</v>
      </c>
      <c r="AI597" s="136">
        <f t="shared" si="140"/>
        <v>0</v>
      </c>
      <c r="AJ597" s="136">
        <f t="shared" si="140"/>
        <v>0</v>
      </c>
      <c r="AK597" s="136">
        <f t="shared" si="140"/>
        <v>0</v>
      </c>
      <c r="AL597" s="136">
        <f t="shared" si="140"/>
        <v>0</v>
      </c>
      <c r="AM597" s="136">
        <f t="shared" si="140"/>
        <v>0</v>
      </c>
      <c r="AN597" s="136">
        <f t="shared" si="140"/>
        <v>0</v>
      </c>
      <c r="AO597" s="136">
        <f t="shared" si="140"/>
        <v>0</v>
      </c>
      <c r="AP597" s="136">
        <f t="shared" si="140"/>
        <v>0</v>
      </c>
      <c r="AQ597" s="136">
        <f t="shared" si="140"/>
        <v>0</v>
      </c>
      <c r="AR597" s="136">
        <f t="shared" si="140"/>
        <v>0</v>
      </c>
      <c r="AS597" s="136">
        <f t="shared" si="140"/>
        <v>0</v>
      </c>
      <c r="AT597" s="136">
        <f t="shared" si="140"/>
        <v>0</v>
      </c>
      <c r="AU597" s="136">
        <f t="shared" si="140"/>
        <v>0</v>
      </c>
      <c r="AV597" s="136">
        <f t="shared" si="140"/>
        <v>0</v>
      </c>
      <c r="AW597" s="136">
        <f t="shared" si="140"/>
        <v>0</v>
      </c>
      <c r="AX597" s="136">
        <f t="shared" si="140"/>
        <v>0</v>
      </c>
      <c r="AY597" s="136">
        <f t="shared" si="140"/>
        <v>0</v>
      </c>
      <c r="AZ597" s="136">
        <f t="shared" si="140"/>
        <v>0</v>
      </c>
      <c r="BA597" s="136">
        <f t="shared" si="140"/>
        <v>0</v>
      </c>
      <c r="BB597" s="136">
        <f t="shared" si="140"/>
        <v>0</v>
      </c>
      <c r="BC597" s="136">
        <f t="shared" si="140"/>
        <v>0</v>
      </c>
      <c r="BD597" s="136">
        <f t="shared" si="140"/>
        <v>0</v>
      </c>
      <c r="BE597" s="136">
        <f t="shared" si="140"/>
        <v>0</v>
      </c>
      <c r="BF597" s="136">
        <f t="shared" si="140"/>
        <v>0</v>
      </c>
      <c r="BG597" s="136">
        <f t="shared" si="140"/>
        <v>0</v>
      </c>
      <c r="BH597" s="136">
        <f t="shared" si="140"/>
        <v>0</v>
      </c>
      <c r="BI597" s="136">
        <f t="shared" si="140"/>
        <v>0</v>
      </c>
      <c r="BJ597" s="136">
        <f t="shared" si="140"/>
        <v>0</v>
      </c>
      <c r="BK597" s="136">
        <f t="shared" si="140"/>
        <v>0</v>
      </c>
      <c r="BL597" s="136">
        <f t="shared" si="140"/>
        <v>0</v>
      </c>
      <c r="BM597" s="136">
        <f t="shared" si="140"/>
        <v>0</v>
      </c>
      <c r="BN597" s="136">
        <f t="shared" si="140"/>
        <v>0</v>
      </c>
      <c r="BO597" s="136">
        <f t="shared" si="138"/>
        <v>0</v>
      </c>
      <c r="BP597" s="136">
        <f t="shared" si="138"/>
        <v>0</v>
      </c>
      <c r="BQ597" s="136">
        <f t="shared" si="138"/>
        <v>0</v>
      </c>
      <c r="BR597" s="136">
        <f t="shared" si="138"/>
        <v>0</v>
      </c>
      <c r="BS597" s="136">
        <f t="shared" si="138"/>
        <v>0</v>
      </c>
      <c r="BT597" s="136">
        <f t="shared" si="138"/>
        <v>0</v>
      </c>
      <c r="BU597" s="136">
        <f t="shared" si="138"/>
        <v>0</v>
      </c>
      <c r="BV597" s="136">
        <f t="shared" si="138"/>
        <v>0</v>
      </c>
      <c r="BW597" s="136">
        <f t="shared" si="138"/>
        <v>0</v>
      </c>
      <c r="BX597" s="136">
        <f t="shared" si="138"/>
        <v>0</v>
      </c>
      <c r="BZ597" s="136">
        <f t="shared" si="139"/>
        <v>0</v>
      </c>
      <c r="CA597" s="136">
        <f t="shared" si="139"/>
        <v>0</v>
      </c>
    </row>
    <row r="598" spans="7:79" hidden="1" x14ac:dyDescent="0.3">
      <c r="G598" s="136">
        <f t="shared" ref="G598:BR601" si="141">G174-BY174</f>
        <v>0</v>
      </c>
      <c r="H598" s="136">
        <f t="shared" si="141"/>
        <v>0</v>
      </c>
      <c r="I598" s="136">
        <f t="shared" si="141"/>
        <v>0</v>
      </c>
      <c r="J598" s="136">
        <f t="shared" si="141"/>
        <v>0</v>
      </c>
      <c r="K598" s="136">
        <f t="shared" si="141"/>
        <v>0</v>
      </c>
      <c r="L598" s="136">
        <f t="shared" si="141"/>
        <v>0</v>
      </c>
      <c r="M598" s="136">
        <f t="shared" si="141"/>
        <v>0</v>
      </c>
      <c r="N598" s="136">
        <f t="shared" si="141"/>
        <v>0</v>
      </c>
      <c r="O598" s="136">
        <f t="shared" si="141"/>
        <v>0</v>
      </c>
      <c r="P598" s="136">
        <f t="shared" si="141"/>
        <v>0</v>
      </c>
      <c r="Q598" s="136">
        <f t="shared" si="141"/>
        <v>0</v>
      </c>
      <c r="R598" s="136">
        <f t="shared" si="141"/>
        <v>0</v>
      </c>
      <c r="S598" s="136">
        <f t="shared" si="141"/>
        <v>0</v>
      </c>
      <c r="T598" s="136">
        <f t="shared" si="141"/>
        <v>0</v>
      </c>
      <c r="U598" s="136">
        <f t="shared" si="141"/>
        <v>0</v>
      </c>
      <c r="V598" s="136">
        <f t="shared" si="141"/>
        <v>0</v>
      </c>
      <c r="W598" s="136">
        <f t="shared" si="141"/>
        <v>0</v>
      </c>
      <c r="X598" s="136">
        <f t="shared" si="141"/>
        <v>0</v>
      </c>
      <c r="Y598" s="136">
        <f t="shared" si="141"/>
        <v>0</v>
      </c>
      <c r="Z598" s="136">
        <f t="shared" si="141"/>
        <v>0</v>
      </c>
      <c r="AA598" s="136">
        <f t="shared" si="141"/>
        <v>0</v>
      </c>
      <c r="AB598" s="136">
        <f t="shared" si="141"/>
        <v>0</v>
      </c>
      <c r="AC598" s="136">
        <f t="shared" si="141"/>
        <v>0</v>
      </c>
      <c r="AD598" s="136">
        <f t="shared" si="141"/>
        <v>0</v>
      </c>
      <c r="AE598" s="136">
        <f t="shared" si="141"/>
        <v>0</v>
      </c>
      <c r="AF598" s="136">
        <f t="shared" si="141"/>
        <v>0</v>
      </c>
      <c r="AG598" s="136">
        <f t="shared" si="141"/>
        <v>0</v>
      </c>
      <c r="AH598" s="136">
        <f t="shared" si="141"/>
        <v>0</v>
      </c>
      <c r="AI598" s="136">
        <f t="shared" si="141"/>
        <v>0</v>
      </c>
      <c r="AJ598" s="136">
        <f t="shared" si="141"/>
        <v>0</v>
      </c>
      <c r="AK598" s="136">
        <f t="shared" si="141"/>
        <v>0</v>
      </c>
      <c r="AL598" s="136">
        <f t="shared" si="141"/>
        <v>0</v>
      </c>
      <c r="AM598" s="136">
        <f t="shared" si="141"/>
        <v>0</v>
      </c>
      <c r="AN598" s="136">
        <f t="shared" si="141"/>
        <v>0</v>
      </c>
      <c r="AO598" s="136">
        <f t="shared" si="141"/>
        <v>0</v>
      </c>
      <c r="AP598" s="136">
        <f t="shared" si="141"/>
        <v>0</v>
      </c>
      <c r="AQ598" s="136">
        <f t="shared" si="141"/>
        <v>0</v>
      </c>
      <c r="AR598" s="136">
        <f t="shared" si="141"/>
        <v>0</v>
      </c>
      <c r="AS598" s="136">
        <f t="shared" si="141"/>
        <v>0</v>
      </c>
      <c r="AT598" s="136">
        <f t="shared" si="141"/>
        <v>0</v>
      </c>
      <c r="AU598" s="136">
        <f t="shared" si="141"/>
        <v>0</v>
      </c>
      <c r="AV598" s="136">
        <f t="shared" si="141"/>
        <v>0</v>
      </c>
      <c r="AW598" s="136">
        <f t="shared" si="141"/>
        <v>0</v>
      </c>
      <c r="AX598" s="136">
        <f t="shared" si="141"/>
        <v>0</v>
      </c>
      <c r="AY598" s="136">
        <f t="shared" si="141"/>
        <v>0</v>
      </c>
      <c r="AZ598" s="136">
        <f t="shared" si="141"/>
        <v>0</v>
      </c>
      <c r="BA598" s="136">
        <f t="shared" si="141"/>
        <v>0</v>
      </c>
      <c r="BB598" s="136">
        <f t="shared" si="141"/>
        <v>0</v>
      </c>
      <c r="BC598" s="136">
        <f t="shared" si="141"/>
        <v>0</v>
      </c>
      <c r="BD598" s="136">
        <f t="shared" si="141"/>
        <v>0</v>
      </c>
      <c r="BE598" s="136">
        <f t="shared" si="141"/>
        <v>0</v>
      </c>
      <c r="BF598" s="136">
        <f t="shared" si="141"/>
        <v>0</v>
      </c>
      <c r="BG598" s="136">
        <f t="shared" si="141"/>
        <v>0</v>
      </c>
      <c r="BH598" s="136">
        <f t="shared" si="141"/>
        <v>0</v>
      </c>
      <c r="BI598" s="136">
        <f t="shared" si="141"/>
        <v>0</v>
      </c>
      <c r="BJ598" s="136">
        <f t="shared" si="141"/>
        <v>0</v>
      </c>
      <c r="BK598" s="136">
        <f t="shared" si="141"/>
        <v>0</v>
      </c>
      <c r="BL598" s="136">
        <f t="shared" si="141"/>
        <v>0</v>
      </c>
      <c r="BM598" s="136">
        <f t="shared" si="141"/>
        <v>0</v>
      </c>
      <c r="BN598" s="136">
        <f t="shared" si="141"/>
        <v>0</v>
      </c>
      <c r="BO598" s="136">
        <f t="shared" si="141"/>
        <v>0</v>
      </c>
      <c r="BP598" s="136">
        <f t="shared" si="141"/>
        <v>0</v>
      </c>
      <c r="BQ598" s="136">
        <f t="shared" si="141"/>
        <v>0</v>
      </c>
      <c r="BR598" s="136">
        <f t="shared" si="141"/>
        <v>0</v>
      </c>
      <c r="BS598" s="136">
        <f t="shared" ref="BS598:BX608" si="142">BS174-EK174</f>
        <v>0</v>
      </c>
      <c r="BT598" s="136">
        <f t="shared" si="142"/>
        <v>0</v>
      </c>
      <c r="BU598" s="136">
        <f t="shared" si="142"/>
        <v>0</v>
      </c>
      <c r="BV598" s="136">
        <f t="shared" si="142"/>
        <v>0</v>
      </c>
      <c r="BW598" s="136">
        <f t="shared" si="142"/>
        <v>0</v>
      </c>
      <c r="BX598" s="136">
        <f t="shared" si="142"/>
        <v>0</v>
      </c>
      <c r="BZ598" s="136">
        <f t="shared" ref="BZ598:CA608" si="143">BZ174-ER174</f>
        <v>0</v>
      </c>
      <c r="CA598" s="136">
        <f t="shared" si="143"/>
        <v>0</v>
      </c>
    </row>
    <row r="599" spans="7:79" hidden="1" x14ac:dyDescent="0.3">
      <c r="G599" s="136">
        <f t="shared" si="141"/>
        <v>0</v>
      </c>
      <c r="H599" s="136">
        <f t="shared" si="141"/>
        <v>0</v>
      </c>
      <c r="I599" s="136">
        <f t="shared" si="141"/>
        <v>0</v>
      </c>
      <c r="J599" s="136">
        <f t="shared" si="141"/>
        <v>0</v>
      </c>
      <c r="K599" s="136">
        <f t="shared" si="141"/>
        <v>0</v>
      </c>
      <c r="L599" s="136">
        <f t="shared" si="141"/>
        <v>0</v>
      </c>
      <c r="M599" s="136">
        <f t="shared" si="141"/>
        <v>0</v>
      </c>
      <c r="N599" s="136">
        <f t="shared" si="141"/>
        <v>0</v>
      </c>
      <c r="O599" s="136">
        <f t="shared" si="141"/>
        <v>0</v>
      </c>
      <c r="P599" s="136">
        <f t="shared" si="141"/>
        <v>0</v>
      </c>
      <c r="Q599" s="136">
        <f t="shared" si="141"/>
        <v>0</v>
      </c>
      <c r="R599" s="136">
        <f t="shared" si="141"/>
        <v>0</v>
      </c>
      <c r="S599" s="136">
        <f t="shared" si="141"/>
        <v>0</v>
      </c>
      <c r="T599" s="136">
        <f t="shared" si="141"/>
        <v>0</v>
      </c>
      <c r="U599" s="136">
        <f t="shared" si="141"/>
        <v>0</v>
      </c>
      <c r="V599" s="136">
        <f t="shared" si="141"/>
        <v>0</v>
      </c>
      <c r="W599" s="136">
        <f t="shared" si="141"/>
        <v>0</v>
      </c>
      <c r="X599" s="136">
        <f t="shared" si="141"/>
        <v>0</v>
      </c>
      <c r="Y599" s="136">
        <f t="shared" si="141"/>
        <v>0</v>
      </c>
      <c r="Z599" s="136">
        <f t="shared" si="141"/>
        <v>0</v>
      </c>
      <c r="AA599" s="136">
        <f t="shared" si="141"/>
        <v>0</v>
      </c>
      <c r="AB599" s="136">
        <f t="shared" si="141"/>
        <v>0</v>
      </c>
      <c r="AC599" s="136">
        <f t="shared" si="141"/>
        <v>0</v>
      </c>
      <c r="AD599" s="136">
        <f t="shared" si="141"/>
        <v>0</v>
      </c>
      <c r="AE599" s="136">
        <f t="shared" si="141"/>
        <v>0</v>
      </c>
      <c r="AF599" s="136">
        <f t="shared" si="141"/>
        <v>0</v>
      </c>
      <c r="AG599" s="136">
        <f t="shared" si="141"/>
        <v>0</v>
      </c>
      <c r="AH599" s="136">
        <f t="shared" si="141"/>
        <v>0</v>
      </c>
      <c r="AI599" s="136">
        <f t="shared" si="141"/>
        <v>0</v>
      </c>
      <c r="AJ599" s="136">
        <f t="shared" si="141"/>
        <v>0</v>
      </c>
      <c r="AK599" s="136">
        <f t="shared" si="141"/>
        <v>0</v>
      </c>
      <c r="AL599" s="136">
        <f t="shared" si="141"/>
        <v>0</v>
      </c>
      <c r="AM599" s="136">
        <f t="shared" si="141"/>
        <v>0</v>
      </c>
      <c r="AN599" s="136">
        <f t="shared" si="141"/>
        <v>0</v>
      </c>
      <c r="AO599" s="136">
        <f t="shared" si="141"/>
        <v>0</v>
      </c>
      <c r="AP599" s="136">
        <f t="shared" si="141"/>
        <v>0</v>
      </c>
      <c r="AQ599" s="136">
        <f t="shared" si="141"/>
        <v>0</v>
      </c>
      <c r="AR599" s="136">
        <f t="shared" si="141"/>
        <v>0</v>
      </c>
      <c r="AS599" s="136">
        <f t="shared" si="141"/>
        <v>0</v>
      </c>
      <c r="AT599" s="136">
        <f t="shared" si="141"/>
        <v>0</v>
      </c>
      <c r="AU599" s="136">
        <f t="shared" si="141"/>
        <v>0</v>
      </c>
      <c r="AV599" s="136">
        <f t="shared" si="141"/>
        <v>0</v>
      </c>
      <c r="AW599" s="136">
        <f t="shared" si="141"/>
        <v>0</v>
      </c>
      <c r="AX599" s="136">
        <f t="shared" si="141"/>
        <v>0</v>
      </c>
      <c r="AY599" s="136">
        <f t="shared" si="141"/>
        <v>0</v>
      </c>
      <c r="AZ599" s="136">
        <f t="shared" si="141"/>
        <v>0</v>
      </c>
      <c r="BA599" s="136">
        <f t="shared" si="141"/>
        <v>0</v>
      </c>
      <c r="BB599" s="136">
        <f t="shared" si="141"/>
        <v>0</v>
      </c>
      <c r="BC599" s="136">
        <f t="shared" si="141"/>
        <v>0</v>
      </c>
      <c r="BD599" s="136">
        <f t="shared" si="141"/>
        <v>0</v>
      </c>
      <c r="BE599" s="136">
        <f t="shared" si="141"/>
        <v>0</v>
      </c>
      <c r="BF599" s="136">
        <f t="shared" si="141"/>
        <v>0</v>
      </c>
      <c r="BG599" s="136">
        <f t="shared" si="141"/>
        <v>0</v>
      </c>
      <c r="BH599" s="136">
        <f t="shared" si="141"/>
        <v>0</v>
      </c>
      <c r="BI599" s="136">
        <f t="shared" si="141"/>
        <v>0</v>
      </c>
      <c r="BJ599" s="136">
        <f t="shared" si="141"/>
        <v>0</v>
      </c>
      <c r="BK599" s="136">
        <f t="shared" si="141"/>
        <v>0</v>
      </c>
      <c r="BL599" s="136">
        <f t="shared" si="141"/>
        <v>0</v>
      </c>
      <c r="BM599" s="136">
        <f t="shared" si="141"/>
        <v>0</v>
      </c>
      <c r="BN599" s="136">
        <f t="shared" si="141"/>
        <v>0</v>
      </c>
      <c r="BO599" s="136">
        <f t="shared" si="141"/>
        <v>0</v>
      </c>
      <c r="BP599" s="136">
        <f t="shared" si="141"/>
        <v>0</v>
      </c>
      <c r="BQ599" s="136">
        <f t="shared" si="141"/>
        <v>0</v>
      </c>
      <c r="BR599" s="136">
        <f t="shared" si="141"/>
        <v>0</v>
      </c>
      <c r="BS599" s="136">
        <f t="shared" si="142"/>
        <v>0</v>
      </c>
      <c r="BT599" s="136">
        <f t="shared" si="142"/>
        <v>0</v>
      </c>
      <c r="BU599" s="136">
        <f t="shared" si="142"/>
        <v>0</v>
      </c>
      <c r="BV599" s="136">
        <f t="shared" si="142"/>
        <v>0</v>
      </c>
      <c r="BW599" s="136">
        <f t="shared" si="142"/>
        <v>0</v>
      </c>
      <c r="BX599" s="136">
        <f t="shared" si="142"/>
        <v>0</v>
      </c>
      <c r="BZ599" s="136">
        <f t="shared" si="143"/>
        <v>0</v>
      </c>
      <c r="CA599" s="136">
        <f t="shared" si="143"/>
        <v>0</v>
      </c>
    </row>
    <row r="600" spans="7:79" hidden="1" x14ac:dyDescent="0.3">
      <c r="G600" s="136">
        <f t="shared" si="141"/>
        <v>-45097803</v>
      </c>
      <c r="H600" s="136">
        <f t="shared" si="141"/>
        <v>0</v>
      </c>
      <c r="I600" s="136">
        <f t="shared" si="141"/>
        <v>0</v>
      </c>
      <c r="J600" s="136">
        <f t="shared" si="141"/>
        <v>0</v>
      </c>
      <c r="K600" s="136">
        <f t="shared" si="141"/>
        <v>0</v>
      </c>
      <c r="L600" s="136">
        <f t="shared" si="141"/>
        <v>-8253520</v>
      </c>
      <c r="M600" s="136">
        <f t="shared" si="141"/>
        <v>0</v>
      </c>
      <c r="N600" s="136">
        <f t="shared" si="141"/>
        <v>0</v>
      </c>
      <c r="O600" s="136">
        <f t="shared" si="141"/>
        <v>0</v>
      </c>
      <c r="P600" s="136">
        <f t="shared" si="141"/>
        <v>0</v>
      </c>
      <c r="Q600" s="136">
        <f t="shared" si="141"/>
        <v>286578</v>
      </c>
      <c r="R600" s="136">
        <f t="shared" si="141"/>
        <v>0</v>
      </c>
      <c r="S600" s="136">
        <f t="shared" si="141"/>
        <v>0</v>
      </c>
      <c r="T600" s="136">
        <f t="shared" si="141"/>
        <v>0</v>
      </c>
      <c r="U600" s="136">
        <f t="shared" si="141"/>
        <v>0</v>
      </c>
      <c r="V600" s="136">
        <f t="shared" si="141"/>
        <v>-6299769</v>
      </c>
      <c r="W600" s="136">
        <f t="shared" si="141"/>
        <v>0</v>
      </c>
      <c r="X600" s="136">
        <f t="shared" si="141"/>
        <v>0</v>
      </c>
      <c r="Y600" s="136">
        <f t="shared" si="141"/>
        <v>0</v>
      </c>
      <c r="Z600" s="136">
        <f t="shared" si="141"/>
        <v>0</v>
      </c>
      <c r="AA600" s="136">
        <f t="shared" si="141"/>
        <v>-3456518</v>
      </c>
      <c r="AB600" s="136">
        <f t="shared" si="141"/>
        <v>0</v>
      </c>
      <c r="AC600" s="136">
        <f t="shared" si="141"/>
        <v>0</v>
      </c>
      <c r="AD600" s="136">
        <f t="shared" si="141"/>
        <v>0</v>
      </c>
      <c r="AE600" s="136">
        <f t="shared" si="141"/>
        <v>0</v>
      </c>
      <c r="AF600" s="136">
        <f t="shared" si="141"/>
        <v>-4835965</v>
      </c>
      <c r="AG600" s="136">
        <f t="shared" si="141"/>
        <v>0</v>
      </c>
      <c r="AH600" s="136">
        <f t="shared" si="141"/>
        <v>0</v>
      </c>
      <c r="AI600" s="136">
        <f t="shared" si="141"/>
        <v>0</v>
      </c>
      <c r="AJ600" s="136">
        <f t="shared" si="141"/>
        <v>0</v>
      </c>
      <c r="AK600" s="136">
        <f t="shared" si="141"/>
        <v>-2187184</v>
      </c>
      <c r="AL600" s="136">
        <f t="shared" si="141"/>
        <v>0</v>
      </c>
      <c r="AM600" s="136">
        <f t="shared" si="141"/>
        <v>0</v>
      </c>
      <c r="AN600" s="136">
        <f t="shared" si="141"/>
        <v>0</v>
      </c>
      <c r="AO600" s="136">
        <f t="shared" si="141"/>
        <v>0</v>
      </c>
      <c r="AP600" s="136">
        <f t="shared" si="141"/>
        <v>-5017820</v>
      </c>
      <c r="AQ600" s="136">
        <f t="shared" si="141"/>
        <v>0</v>
      </c>
      <c r="AR600" s="136">
        <f t="shared" si="141"/>
        <v>0</v>
      </c>
      <c r="AS600" s="136">
        <f t="shared" si="141"/>
        <v>0</v>
      </c>
      <c r="AT600" s="136">
        <f t="shared" si="141"/>
        <v>0</v>
      </c>
      <c r="AU600" s="136">
        <f t="shared" si="141"/>
        <v>-4108885</v>
      </c>
      <c r="AV600" s="136">
        <f t="shared" si="141"/>
        <v>0</v>
      </c>
      <c r="AW600" s="136">
        <f t="shared" si="141"/>
        <v>0</v>
      </c>
      <c r="AX600" s="136">
        <f t="shared" si="141"/>
        <v>0</v>
      </c>
      <c r="AY600" s="136">
        <f t="shared" si="141"/>
        <v>0</v>
      </c>
      <c r="AZ600" s="136">
        <f t="shared" si="141"/>
        <v>-3708680</v>
      </c>
      <c r="BA600" s="136">
        <f t="shared" si="141"/>
        <v>0</v>
      </c>
      <c r="BB600" s="136">
        <f t="shared" si="141"/>
        <v>0</v>
      </c>
      <c r="BC600" s="136">
        <f t="shared" si="141"/>
        <v>0</v>
      </c>
      <c r="BD600" s="136">
        <f t="shared" si="141"/>
        <v>0</v>
      </c>
      <c r="BE600" s="136">
        <f t="shared" si="141"/>
        <v>-2673022</v>
      </c>
      <c r="BF600" s="136">
        <f t="shared" si="141"/>
        <v>0</v>
      </c>
      <c r="BG600" s="136">
        <f t="shared" si="141"/>
        <v>0</v>
      </c>
      <c r="BH600" s="136">
        <f t="shared" si="141"/>
        <v>0</v>
      </c>
      <c r="BI600" s="136">
        <f t="shared" si="141"/>
        <v>0</v>
      </c>
      <c r="BJ600" s="136">
        <f t="shared" si="141"/>
        <v>-3014010</v>
      </c>
      <c r="BK600" s="136">
        <f t="shared" si="141"/>
        <v>0</v>
      </c>
      <c r="BL600" s="136">
        <f t="shared" si="141"/>
        <v>0</v>
      </c>
      <c r="BM600" s="136">
        <f t="shared" si="141"/>
        <v>0</v>
      </c>
      <c r="BN600" s="136">
        <f t="shared" si="141"/>
        <v>0</v>
      </c>
      <c r="BO600" s="136">
        <f t="shared" si="141"/>
        <v>-1829008</v>
      </c>
      <c r="BP600" s="136">
        <f t="shared" si="141"/>
        <v>0</v>
      </c>
      <c r="BQ600" s="136">
        <f t="shared" si="141"/>
        <v>0</v>
      </c>
      <c r="BR600" s="136">
        <f t="shared" si="141"/>
        <v>0</v>
      </c>
      <c r="BS600" s="136">
        <f t="shared" si="142"/>
        <v>0</v>
      </c>
      <c r="BT600" s="136">
        <f t="shared" si="142"/>
        <v>-40254785</v>
      </c>
      <c r="BU600" s="136">
        <f t="shared" si="142"/>
        <v>0</v>
      </c>
      <c r="BV600" s="136">
        <f t="shared" si="142"/>
        <v>0</v>
      </c>
      <c r="BW600" s="136">
        <f t="shared" si="142"/>
        <v>0</v>
      </c>
      <c r="BX600" s="136">
        <f t="shared" si="142"/>
        <v>0</v>
      </c>
      <c r="BZ600" s="136">
        <f t="shared" si="143"/>
        <v>0</v>
      </c>
      <c r="CA600" s="136">
        <f t="shared" si="143"/>
        <v>0</v>
      </c>
    </row>
    <row r="601" spans="7:79" hidden="1" x14ac:dyDescent="0.3">
      <c r="G601" s="136">
        <f t="shared" si="141"/>
        <v>-41918399</v>
      </c>
      <c r="H601" s="136">
        <f t="shared" si="141"/>
        <v>0</v>
      </c>
      <c r="I601" s="136">
        <f t="shared" si="141"/>
        <v>0</v>
      </c>
      <c r="J601" s="136">
        <f t="shared" si="141"/>
        <v>0</v>
      </c>
      <c r="K601" s="136">
        <f t="shared" si="141"/>
        <v>0</v>
      </c>
      <c r="L601" s="136">
        <f t="shared" si="141"/>
        <v>-7521389</v>
      </c>
      <c r="M601" s="136">
        <f t="shared" si="141"/>
        <v>0</v>
      </c>
      <c r="N601" s="136">
        <f t="shared" si="141"/>
        <v>0</v>
      </c>
      <c r="O601" s="136">
        <f t="shared" si="141"/>
        <v>0</v>
      </c>
      <c r="P601" s="136">
        <f t="shared" si="141"/>
        <v>0</v>
      </c>
      <c r="Q601" s="136">
        <f t="shared" si="141"/>
        <v>128344</v>
      </c>
      <c r="R601" s="136">
        <f t="shared" si="141"/>
        <v>0</v>
      </c>
      <c r="S601" s="136">
        <f t="shared" si="141"/>
        <v>0</v>
      </c>
      <c r="T601" s="136">
        <f t="shared" si="141"/>
        <v>0</v>
      </c>
      <c r="U601" s="136">
        <f t="shared" si="141"/>
        <v>0</v>
      </c>
      <c r="V601" s="136">
        <f t="shared" si="141"/>
        <v>-5993626</v>
      </c>
      <c r="W601" s="136">
        <f t="shared" si="141"/>
        <v>0</v>
      </c>
      <c r="X601" s="136">
        <f t="shared" si="141"/>
        <v>0</v>
      </c>
      <c r="Y601" s="136">
        <f t="shared" si="141"/>
        <v>0</v>
      </c>
      <c r="Z601" s="136">
        <f t="shared" si="141"/>
        <v>0</v>
      </c>
      <c r="AA601" s="136">
        <f t="shared" si="141"/>
        <v>-3300045</v>
      </c>
      <c r="AB601" s="136">
        <f t="shared" si="141"/>
        <v>0</v>
      </c>
      <c r="AC601" s="136">
        <f t="shared" si="141"/>
        <v>0</v>
      </c>
      <c r="AD601" s="136">
        <f t="shared" si="141"/>
        <v>0</v>
      </c>
      <c r="AE601" s="136">
        <f t="shared" si="141"/>
        <v>0</v>
      </c>
      <c r="AF601" s="136">
        <f t="shared" si="141"/>
        <v>-4600884</v>
      </c>
      <c r="AG601" s="136">
        <f t="shared" si="141"/>
        <v>0</v>
      </c>
      <c r="AH601" s="136">
        <f t="shared" si="141"/>
        <v>0</v>
      </c>
      <c r="AI601" s="136">
        <f t="shared" si="141"/>
        <v>0</v>
      </c>
      <c r="AJ601" s="136">
        <f t="shared" si="141"/>
        <v>0</v>
      </c>
      <c r="AK601" s="136">
        <f t="shared" si="141"/>
        <v>-2320684</v>
      </c>
      <c r="AL601" s="136">
        <f t="shared" si="141"/>
        <v>0</v>
      </c>
      <c r="AM601" s="136">
        <f t="shared" si="141"/>
        <v>0</v>
      </c>
      <c r="AN601" s="136">
        <f t="shared" si="141"/>
        <v>0</v>
      </c>
      <c r="AO601" s="136">
        <f t="shared" si="141"/>
        <v>0</v>
      </c>
      <c r="AP601" s="136">
        <f t="shared" si="141"/>
        <v>-4355790</v>
      </c>
      <c r="AQ601" s="136">
        <f t="shared" si="141"/>
        <v>0</v>
      </c>
      <c r="AR601" s="136">
        <f t="shared" si="141"/>
        <v>0</v>
      </c>
      <c r="AS601" s="136">
        <f t="shared" si="141"/>
        <v>0</v>
      </c>
      <c r="AT601" s="136">
        <f t="shared" si="141"/>
        <v>0</v>
      </c>
      <c r="AU601" s="136">
        <f t="shared" si="141"/>
        <v>-3525338</v>
      </c>
      <c r="AV601" s="136">
        <f t="shared" si="141"/>
        <v>0</v>
      </c>
      <c r="AW601" s="136">
        <f t="shared" si="141"/>
        <v>0</v>
      </c>
      <c r="AX601" s="136">
        <f t="shared" si="141"/>
        <v>0</v>
      </c>
      <c r="AY601" s="136">
        <f t="shared" si="141"/>
        <v>0</v>
      </c>
      <c r="AZ601" s="136">
        <f t="shared" si="141"/>
        <v>-3411845</v>
      </c>
      <c r="BA601" s="136">
        <f t="shared" si="141"/>
        <v>0</v>
      </c>
      <c r="BB601" s="136">
        <f t="shared" si="141"/>
        <v>0</v>
      </c>
      <c r="BC601" s="136">
        <f t="shared" si="141"/>
        <v>0</v>
      </c>
      <c r="BD601" s="136">
        <f t="shared" si="141"/>
        <v>0</v>
      </c>
      <c r="BE601" s="136">
        <f t="shared" si="141"/>
        <v>-2368101</v>
      </c>
      <c r="BF601" s="136">
        <f t="shared" si="141"/>
        <v>0</v>
      </c>
      <c r="BG601" s="136">
        <f t="shared" si="141"/>
        <v>0</v>
      </c>
      <c r="BH601" s="136">
        <f t="shared" si="141"/>
        <v>0</v>
      </c>
      <c r="BI601" s="136">
        <f t="shared" si="141"/>
        <v>0</v>
      </c>
      <c r="BJ601" s="136">
        <f t="shared" si="141"/>
        <v>-2760963</v>
      </c>
      <c r="BK601" s="136">
        <f t="shared" si="141"/>
        <v>0</v>
      </c>
      <c r="BL601" s="136">
        <f t="shared" si="141"/>
        <v>0</v>
      </c>
      <c r="BM601" s="136">
        <f t="shared" si="141"/>
        <v>0</v>
      </c>
      <c r="BN601" s="136">
        <f t="shared" si="141"/>
        <v>0</v>
      </c>
      <c r="BO601" s="136">
        <f t="shared" si="141"/>
        <v>-1888078</v>
      </c>
      <c r="BP601" s="136">
        <f t="shared" si="141"/>
        <v>0</v>
      </c>
      <c r="BQ601" s="136">
        <f t="shared" si="141"/>
        <v>0</v>
      </c>
      <c r="BR601" s="136">
        <f t="shared" ref="BR601:BR608" si="144">BR177-EJ177</f>
        <v>0</v>
      </c>
      <c r="BS601" s="136">
        <f t="shared" si="142"/>
        <v>0</v>
      </c>
      <c r="BT601" s="136">
        <f t="shared" si="142"/>
        <v>-37269358</v>
      </c>
      <c r="BU601" s="136">
        <f t="shared" si="142"/>
        <v>0</v>
      </c>
      <c r="BV601" s="136">
        <f t="shared" si="142"/>
        <v>0</v>
      </c>
      <c r="BW601" s="136">
        <f t="shared" si="142"/>
        <v>0</v>
      </c>
      <c r="BX601" s="136">
        <f t="shared" si="142"/>
        <v>0</v>
      </c>
      <c r="BZ601" s="136">
        <f t="shared" si="143"/>
        <v>0</v>
      </c>
      <c r="CA601" s="136">
        <f t="shared" si="143"/>
        <v>0</v>
      </c>
    </row>
    <row r="602" spans="7:79" hidden="1" x14ac:dyDescent="0.3">
      <c r="G602" s="136">
        <f t="shared" ref="G602:BQ606" si="145">G178-BY178</f>
        <v>-4492664</v>
      </c>
      <c r="H602" s="136">
        <f t="shared" si="145"/>
        <v>0</v>
      </c>
      <c r="I602" s="136">
        <f t="shared" si="145"/>
        <v>0</v>
      </c>
      <c r="J602" s="136">
        <f t="shared" si="145"/>
        <v>0</v>
      </c>
      <c r="K602" s="136">
        <f t="shared" si="145"/>
        <v>0</v>
      </c>
      <c r="L602" s="136">
        <f t="shared" si="145"/>
        <v>-1023047</v>
      </c>
      <c r="M602" s="136">
        <f t="shared" si="145"/>
        <v>0</v>
      </c>
      <c r="N602" s="136">
        <f t="shared" si="145"/>
        <v>0</v>
      </c>
      <c r="O602" s="136">
        <f t="shared" si="145"/>
        <v>0</v>
      </c>
      <c r="P602" s="136">
        <f t="shared" si="145"/>
        <v>0</v>
      </c>
      <c r="Q602" s="136">
        <f t="shared" si="145"/>
        <v>89826</v>
      </c>
      <c r="R602" s="136">
        <f t="shared" si="145"/>
        <v>0</v>
      </c>
      <c r="S602" s="136">
        <f t="shared" si="145"/>
        <v>0</v>
      </c>
      <c r="T602" s="136">
        <f t="shared" si="145"/>
        <v>0</v>
      </c>
      <c r="U602" s="136">
        <f t="shared" si="145"/>
        <v>0</v>
      </c>
      <c r="V602" s="136">
        <f t="shared" si="145"/>
        <v>-519307</v>
      </c>
      <c r="W602" s="136">
        <f t="shared" si="145"/>
        <v>0</v>
      </c>
      <c r="X602" s="136">
        <f t="shared" si="145"/>
        <v>0</v>
      </c>
      <c r="Y602" s="136">
        <f t="shared" si="145"/>
        <v>0</v>
      </c>
      <c r="Z602" s="136">
        <f t="shared" si="145"/>
        <v>0</v>
      </c>
      <c r="AA602" s="136">
        <f t="shared" si="145"/>
        <v>-271993</v>
      </c>
      <c r="AB602" s="136">
        <f t="shared" si="145"/>
        <v>0</v>
      </c>
      <c r="AC602" s="136">
        <f t="shared" si="145"/>
        <v>0</v>
      </c>
      <c r="AD602" s="136">
        <f t="shared" si="145"/>
        <v>0</v>
      </c>
      <c r="AE602" s="136">
        <f t="shared" si="145"/>
        <v>0</v>
      </c>
      <c r="AF602" s="136">
        <f t="shared" si="145"/>
        <v>-350772</v>
      </c>
      <c r="AG602" s="136">
        <f t="shared" si="145"/>
        <v>0</v>
      </c>
      <c r="AH602" s="136">
        <f t="shared" si="145"/>
        <v>0</v>
      </c>
      <c r="AI602" s="136">
        <f t="shared" si="145"/>
        <v>0</v>
      </c>
      <c r="AJ602" s="136">
        <f t="shared" si="145"/>
        <v>0</v>
      </c>
      <c r="AK602" s="136">
        <f t="shared" si="145"/>
        <v>-77228</v>
      </c>
      <c r="AL602" s="136">
        <f t="shared" si="145"/>
        <v>0</v>
      </c>
      <c r="AM602" s="136">
        <f t="shared" si="145"/>
        <v>0</v>
      </c>
      <c r="AN602" s="136">
        <f t="shared" si="145"/>
        <v>0</v>
      </c>
      <c r="AO602" s="136">
        <f t="shared" si="145"/>
        <v>0</v>
      </c>
      <c r="AP602" s="136">
        <f t="shared" si="145"/>
        <v>-682857</v>
      </c>
      <c r="AQ602" s="136">
        <f t="shared" si="145"/>
        <v>0</v>
      </c>
      <c r="AR602" s="136">
        <f t="shared" si="145"/>
        <v>0</v>
      </c>
      <c r="AS602" s="136">
        <f t="shared" si="145"/>
        <v>0</v>
      </c>
      <c r="AT602" s="136">
        <f t="shared" si="145"/>
        <v>0</v>
      </c>
      <c r="AU602" s="136">
        <f t="shared" si="145"/>
        <v>-605254</v>
      </c>
      <c r="AV602" s="136">
        <f t="shared" si="145"/>
        <v>0</v>
      </c>
      <c r="AW602" s="136">
        <f t="shared" si="145"/>
        <v>0</v>
      </c>
      <c r="AX602" s="136">
        <f t="shared" si="145"/>
        <v>0</v>
      </c>
      <c r="AY602" s="136">
        <f t="shared" si="145"/>
        <v>0</v>
      </c>
      <c r="AZ602" s="136">
        <f t="shared" si="145"/>
        <v>-375351</v>
      </c>
      <c r="BA602" s="136">
        <f t="shared" si="145"/>
        <v>0</v>
      </c>
      <c r="BB602" s="136">
        <f t="shared" si="145"/>
        <v>0</v>
      </c>
      <c r="BC602" s="136">
        <f t="shared" si="145"/>
        <v>0</v>
      </c>
      <c r="BD602" s="136">
        <f t="shared" si="145"/>
        <v>0</v>
      </c>
      <c r="BE602" s="136">
        <f t="shared" si="145"/>
        <v>-335778</v>
      </c>
      <c r="BF602" s="136">
        <f t="shared" si="145"/>
        <v>0</v>
      </c>
      <c r="BG602" s="136">
        <f t="shared" si="145"/>
        <v>0</v>
      </c>
      <c r="BH602" s="136">
        <f t="shared" si="145"/>
        <v>0</v>
      </c>
      <c r="BI602" s="136">
        <f t="shared" si="145"/>
        <v>0</v>
      </c>
      <c r="BJ602" s="136">
        <f t="shared" si="145"/>
        <v>-274925</v>
      </c>
      <c r="BK602" s="136">
        <f t="shared" si="145"/>
        <v>0</v>
      </c>
      <c r="BL602" s="136">
        <f t="shared" si="145"/>
        <v>0</v>
      </c>
      <c r="BM602" s="136">
        <f t="shared" si="145"/>
        <v>0</v>
      </c>
      <c r="BN602" s="136">
        <f t="shared" si="145"/>
        <v>0</v>
      </c>
      <c r="BO602" s="136">
        <f t="shared" si="145"/>
        <v>-65978</v>
      </c>
      <c r="BP602" s="136">
        <f t="shared" si="145"/>
        <v>0</v>
      </c>
      <c r="BQ602" s="136">
        <f t="shared" si="145"/>
        <v>0</v>
      </c>
      <c r="BR602" s="136">
        <f t="shared" si="144"/>
        <v>0</v>
      </c>
      <c r="BS602" s="136">
        <f t="shared" si="142"/>
        <v>0</v>
      </c>
      <c r="BT602" s="136">
        <f t="shared" si="142"/>
        <v>-4151761</v>
      </c>
      <c r="BU602" s="136">
        <f t="shared" si="142"/>
        <v>0</v>
      </c>
      <c r="BV602" s="136">
        <f t="shared" si="142"/>
        <v>0</v>
      </c>
      <c r="BW602" s="136">
        <f t="shared" si="142"/>
        <v>0</v>
      </c>
      <c r="BX602" s="136">
        <f t="shared" si="142"/>
        <v>0</v>
      </c>
      <c r="BZ602" s="136">
        <f t="shared" si="143"/>
        <v>0</v>
      </c>
      <c r="CA602" s="136">
        <f t="shared" si="143"/>
        <v>0</v>
      </c>
    </row>
    <row r="603" spans="7:79" hidden="1" x14ac:dyDescent="0.3">
      <c r="G603" s="136">
        <f t="shared" si="145"/>
        <v>1313260</v>
      </c>
      <c r="H603" s="136">
        <f t="shared" si="145"/>
        <v>0</v>
      </c>
      <c r="I603" s="136">
        <f t="shared" si="145"/>
        <v>0</v>
      </c>
      <c r="J603" s="136">
        <f t="shared" si="145"/>
        <v>0</v>
      </c>
      <c r="K603" s="136">
        <f t="shared" si="145"/>
        <v>0</v>
      </c>
      <c r="L603" s="136">
        <f t="shared" si="145"/>
        <v>290916</v>
      </c>
      <c r="M603" s="136">
        <f t="shared" si="145"/>
        <v>0</v>
      </c>
      <c r="N603" s="136">
        <f t="shared" si="145"/>
        <v>0</v>
      </c>
      <c r="O603" s="136">
        <f t="shared" si="145"/>
        <v>0</v>
      </c>
      <c r="P603" s="136">
        <f t="shared" si="145"/>
        <v>0</v>
      </c>
      <c r="Q603" s="136">
        <f t="shared" si="145"/>
        <v>68408</v>
      </c>
      <c r="R603" s="136">
        <f t="shared" si="145"/>
        <v>0</v>
      </c>
      <c r="S603" s="136">
        <f t="shared" si="145"/>
        <v>0</v>
      </c>
      <c r="T603" s="136">
        <f t="shared" si="145"/>
        <v>0</v>
      </c>
      <c r="U603" s="136">
        <f t="shared" si="145"/>
        <v>0</v>
      </c>
      <c r="V603" s="136">
        <f t="shared" si="145"/>
        <v>213164</v>
      </c>
      <c r="W603" s="136">
        <f t="shared" si="145"/>
        <v>0</v>
      </c>
      <c r="X603" s="136">
        <f t="shared" si="145"/>
        <v>0</v>
      </c>
      <c r="Y603" s="136">
        <f t="shared" si="145"/>
        <v>0</v>
      </c>
      <c r="Z603" s="136">
        <f t="shared" si="145"/>
        <v>0</v>
      </c>
      <c r="AA603" s="136">
        <f t="shared" si="145"/>
        <v>115520</v>
      </c>
      <c r="AB603" s="136">
        <f t="shared" si="145"/>
        <v>0</v>
      </c>
      <c r="AC603" s="136">
        <f t="shared" si="145"/>
        <v>0</v>
      </c>
      <c r="AD603" s="136">
        <f t="shared" si="145"/>
        <v>0</v>
      </c>
      <c r="AE603" s="136">
        <f t="shared" si="145"/>
        <v>0</v>
      </c>
      <c r="AF603" s="136">
        <f t="shared" si="145"/>
        <v>115691</v>
      </c>
      <c r="AG603" s="136">
        <f t="shared" si="145"/>
        <v>0</v>
      </c>
      <c r="AH603" s="136">
        <f t="shared" si="145"/>
        <v>0</v>
      </c>
      <c r="AI603" s="136">
        <f t="shared" si="145"/>
        <v>0</v>
      </c>
      <c r="AJ603" s="136">
        <f t="shared" si="145"/>
        <v>0</v>
      </c>
      <c r="AK603" s="136">
        <f t="shared" si="145"/>
        <v>210728</v>
      </c>
      <c r="AL603" s="136">
        <f t="shared" si="145"/>
        <v>0</v>
      </c>
      <c r="AM603" s="136">
        <f t="shared" si="145"/>
        <v>0</v>
      </c>
      <c r="AN603" s="136">
        <f t="shared" si="145"/>
        <v>0</v>
      </c>
      <c r="AO603" s="136">
        <f t="shared" si="145"/>
        <v>0</v>
      </c>
      <c r="AP603" s="136">
        <f t="shared" si="145"/>
        <v>20827</v>
      </c>
      <c r="AQ603" s="136">
        <f t="shared" si="145"/>
        <v>0</v>
      </c>
      <c r="AR603" s="136">
        <f t="shared" si="145"/>
        <v>0</v>
      </c>
      <c r="AS603" s="136">
        <f t="shared" si="145"/>
        <v>0</v>
      </c>
      <c r="AT603" s="136">
        <f t="shared" si="145"/>
        <v>0</v>
      </c>
      <c r="AU603" s="136">
        <f t="shared" si="145"/>
        <v>21707</v>
      </c>
      <c r="AV603" s="136">
        <f t="shared" si="145"/>
        <v>0</v>
      </c>
      <c r="AW603" s="136">
        <f t="shared" si="145"/>
        <v>0</v>
      </c>
      <c r="AX603" s="136">
        <f t="shared" si="145"/>
        <v>0</v>
      </c>
      <c r="AY603" s="136">
        <f t="shared" si="145"/>
        <v>0</v>
      </c>
      <c r="AZ603" s="136">
        <f t="shared" si="145"/>
        <v>78516</v>
      </c>
      <c r="BA603" s="136">
        <f t="shared" si="145"/>
        <v>0</v>
      </c>
      <c r="BB603" s="136">
        <f t="shared" si="145"/>
        <v>0</v>
      </c>
      <c r="BC603" s="136">
        <f t="shared" si="145"/>
        <v>0</v>
      </c>
      <c r="BD603" s="136">
        <f t="shared" si="145"/>
        <v>0</v>
      </c>
      <c r="BE603" s="136">
        <f t="shared" si="145"/>
        <v>30857</v>
      </c>
      <c r="BF603" s="136">
        <f t="shared" si="145"/>
        <v>0</v>
      </c>
      <c r="BG603" s="136">
        <f t="shared" si="145"/>
        <v>0</v>
      </c>
      <c r="BH603" s="136">
        <f t="shared" si="145"/>
        <v>0</v>
      </c>
      <c r="BI603" s="136">
        <f t="shared" si="145"/>
        <v>0</v>
      </c>
      <c r="BJ603" s="136">
        <f t="shared" si="145"/>
        <v>21878</v>
      </c>
      <c r="BK603" s="136">
        <f t="shared" si="145"/>
        <v>0</v>
      </c>
      <c r="BL603" s="136">
        <f t="shared" si="145"/>
        <v>0</v>
      </c>
      <c r="BM603" s="136">
        <f t="shared" si="145"/>
        <v>0</v>
      </c>
      <c r="BN603" s="136">
        <f t="shared" si="145"/>
        <v>0</v>
      </c>
      <c r="BO603" s="136">
        <f t="shared" si="145"/>
        <v>125048</v>
      </c>
      <c r="BP603" s="136">
        <f t="shared" si="145"/>
        <v>0</v>
      </c>
      <c r="BQ603" s="136">
        <f t="shared" si="145"/>
        <v>0</v>
      </c>
      <c r="BR603" s="136">
        <f t="shared" si="144"/>
        <v>0</v>
      </c>
      <c r="BS603" s="136">
        <f t="shared" si="142"/>
        <v>0</v>
      </c>
      <c r="BT603" s="136">
        <f t="shared" si="142"/>
        <v>1166334</v>
      </c>
      <c r="BU603" s="136">
        <f t="shared" si="142"/>
        <v>0</v>
      </c>
      <c r="BV603" s="136">
        <f t="shared" si="142"/>
        <v>0</v>
      </c>
      <c r="BW603" s="136">
        <f t="shared" si="142"/>
        <v>0</v>
      </c>
      <c r="BX603" s="136">
        <f t="shared" si="142"/>
        <v>0</v>
      </c>
      <c r="BZ603" s="136">
        <f t="shared" si="143"/>
        <v>0</v>
      </c>
      <c r="CA603" s="136">
        <f t="shared" si="143"/>
        <v>0</v>
      </c>
    </row>
    <row r="604" spans="7:79" hidden="1" x14ac:dyDescent="0.3">
      <c r="G604" s="136">
        <f t="shared" si="145"/>
        <v>0</v>
      </c>
      <c r="H604" s="136">
        <f t="shared" si="145"/>
        <v>0</v>
      </c>
      <c r="I604" s="136">
        <f t="shared" si="145"/>
        <v>0</v>
      </c>
      <c r="J604" s="136">
        <f t="shared" si="145"/>
        <v>0</v>
      </c>
      <c r="K604" s="136">
        <f t="shared" si="145"/>
        <v>0</v>
      </c>
      <c r="L604" s="136">
        <f t="shared" si="145"/>
        <v>0</v>
      </c>
      <c r="M604" s="136">
        <f t="shared" si="145"/>
        <v>0</v>
      </c>
      <c r="N604" s="136">
        <f t="shared" si="145"/>
        <v>0</v>
      </c>
      <c r="O604" s="136">
        <f t="shared" si="145"/>
        <v>0</v>
      </c>
      <c r="P604" s="136">
        <f t="shared" si="145"/>
        <v>0</v>
      </c>
      <c r="Q604" s="136">
        <f t="shared" si="145"/>
        <v>0</v>
      </c>
      <c r="R604" s="136">
        <f t="shared" si="145"/>
        <v>0</v>
      </c>
      <c r="S604" s="136">
        <f t="shared" si="145"/>
        <v>0</v>
      </c>
      <c r="T604" s="136">
        <f t="shared" si="145"/>
        <v>0</v>
      </c>
      <c r="U604" s="136">
        <f t="shared" si="145"/>
        <v>0</v>
      </c>
      <c r="V604" s="136">
        <f t="shared" si="145"/>
        <v>0</v>
      </c>
      <c r="W604" s="136">
        <f t="shared" si="145"/>
        <v>0</v>
      </c>
      <c r="X604" s="136">
        <f t="shared" si="145"/>
        <v>0</v>
      </c>
      <c r="Y604" s="136">
        <f t="shared" si="145"/>
        <v>0</v>
      </c>
      <c r="Z604" s="136">
        <f t="shared" si="145"/>
        <v>0</v>
      </c>
      <c r="AA604" s="136">
        <f t="shared" si="145"/>
        <v>0</v>
      </c>
      <c r="AB604" s="136">
        <f t="shared" si="145"/>
        <v>0</v>
      </c>
      <c r="AC604" s="136">
        <f t="shared" si="145"/>
        <v>0</v>
      </c>
      <c r="AD604" s="136">
        <f t="shared" si="145"/>
        <v>0</v>
      </c>
      <c r="AE604" s="136">
        <f t="shared" si="145"/>
        <v>0</v>
      </c>
      <c r="AF604" s="136">
        <f t="shared" si="145"/>
        <v>0</v>
      </c>
      <c r="AG604" s="136">
        <f t="shared" si="145"/>
        <v>0</v>
      </c>
      <c r="AH604" s="136">
        <f t="shared" si="145"/>
        <v>0</v>
      </c>
      <c r="AI604" s="136">
        <f t="shared" si="145"/>
        <v>0</v>
      </c>
      <c r="AJ604" s="136">
        <f t="shared" si="145"/>
        <v>0</v>
      </c>
      <c r="AK604" s="136">
        <f t="shared" si="145"/>
        <v>0</v>
      </c>
      <c r="AL604" s="136">
        <f t="shared" si="145"/>
        <v>0</v>
      </c>
      <c r="AM604" s="136">
        <f t="shared" si="145"/>
        <v>0</v>
      </c>
      <c r="AN604" s="136">
        <f t="shared" si="145"/>
        <v>0</v>
      </c>
      <c r="AO604" s="136">
        <f t="shared" si="145"/>
        <v>0</v>
      </c>
      <c r="AP604" s="136">
        <f t="shared" si="145"/>
        <v>0</v>
      </c>
      <c r="AQ604" s="136">
        <f t="shared" si="145"/>
        <v>0</v>
      </c>
      <c r="AR604" s="136">
        <f t="shared" si="145"/>
        <v>0</v>
      </c>
      <c r="AS604" s="136">
        <f t="shared" si="145"/>
        <v>0</v>
      </c>
      <c r="AT604" s="136">
        <f t="shared" si="145"/>
        <v>0</v>
      </c>
      <c r="AU604" s="136">
        <f t="shared" si="145"/>
        <v>0</v>
      </c>
      <c r="AV604" s="136">
        <f t="shared" si="145"/>
        <v>0</v>
      </c>
      <c r="AW604" s="136">
        <f t="shared" si="145"/>
        <v>0</v>
      </c>
      <c r="AX604" s="136">
        <f t="shared" si="145"/>
        <v>0</v>
      </c>
      <c r="AY604" s="136">
        <f t="shared" si="145"/>
        <v>0</v>
      </c>
      <c r="AZ604" s="136">
        <f t="shared" si="145"/>
        <v>0</v>
      </c>
      <c r="BA604" s="136">
        <f t="shared" si="145"/>
        <v>0</v>
      </c>
      <c r="BB604" s="136">
        <f t="shared" si="145"/>
        <v>0</v>
      </c>
      <c r="BC604" s="136">
        <f t="shared" si="145"/>
        <v>0</v>
      </c>
      <c r="BD604" s="136">
        <f t="shared" si="145"/>
        <v>0</v>
      </c>
      <c r="BE604" s="136">
        <f t="shared" si="145"/>
        <v>0</v>
      </c>
      <c r="BF604" s="136">
        <f t="shared" si="145"/>
        <v>0</v>
      </c>
      <c r="BG604" s="136">
        <f t="shared" si="145"/>
        <v>0</v>
      </c>
      <c r="BH604" s="136">
        <f t="shared" si="145"/>
        <v>0</v>
      </c>
      <c r="BI604" s="136">
        <f t="shared" si="145"/>
        <v>0</v>
      </c>
      <c r="BJ604" s="136">
        <f t="shared" si="145"/>
        <v>0</v>
      </c>
      <c r="BK604" s="136">
        <f t="shared" si="145"/>
        <v>0</v>
      </c>
      <c r="BL604" s="136">
        <f t="shared" si="145"/>
        <v>0</v>
      </c>
      <c r="BM604" s="136">
        <f t="shared" si="145"/>
        <v>0</v>
      </c>
      <c r="BN604" s="136">
        <f t="shared" si="145"/>
        <v>0</v>
      </c>
      <c r="BO604" s="136">
        <f t="shared" si="145"/>
        <v>0</v>
      </c>
      <c r="BP604" s="136">
        <f t="shared" si="145"/>
        <v>0</v>
      </c>
      <c r="BQ604" s="136">
        <f t="shared" si="145"/>
        <v>0</v>
      </c>
      <c r="BR604" s="136">
        <f t="shared" si="144"/>
        <v>0</v>
      </c>
      <c r="BS604" s="136">
        <f t="shared" si="142"/>
        <v>0</v>
      </c>
      <c r="BT604" s="136">
        <f t="shared" si="142"/>
        <v>0</v>
      </c>
      <c r="BU604" s="136">
        <f t="shared" si="142"/>
        <v>0</v>
      </c>
      <c r="BV604" s="136">
        <f t="shared" si="142"/>
        <v>0</v>
      </c>
      <c r="BW604" s="136">
        <f t="shared" si="142"/>
        <v>0</v>
      </c>
      <c r="BX604" s="136">
        <f t="shared" si="142"/>
        <v>0</v>
      </c>
      <c r="BZ604" s="136">
        <f t="shared" si="143"/>
        <v>0</v>
      </c>
      <c r="CA604" s="136">
        <f t="shared" si="143"/>
        <v>0</v>
      </c>
    </row>
    <row r="605" spans="7:79" hidden="1" x14ac:dyDescent="0.3">
      <c r="G605" s="136">
        <f t="shared" si="145"/>
        <v>0</v>
      </c>
      <c r="H605" s="136">
        <f t="shared" si="145"/>
        <v>0</v>
      </c>
      <c r="I605" s="136">
        <f t="shared" si="145"/>
        <v>0</v>
      </c>
      <c r="J605" s="136">
        <f t="shared" si="145"/>
        <v>0</v>
      </c>
      <c r="K605" s="136">
        <f t="shared" si="145"/>
        <v>0</v>
      </c>
      <c r="L605" s="136">
        <f t="shared" si="145"/>
        <v>0</v>
      </c>
      <c r="M605" s="136">
        <f t="shared" si="145"/>
        <v>0</v>
      </c>
      <c r="N605" s="136">
        <f t="shared" si="145"/>
        <v>0</v>
      </c>
      <c r="O605" s="136">
        <f t="shared" si="145"/>
        <v>0</v>
      </c>
      <c r="P605" s="136">
        <f t="shared" si="145"/>
        <v>0</v>
      </c>
      <c r="Q605" s="136">
        <f t="shared" si="145"/>
        <v>0</v>
      </c>
      <c r="R605" s="136">
        <f t="shared" si="145"/>
        <v>0</v>
      </c>
      <c r="S605" s="136">
        <f t="shared" si="145"/>
        <v>0</v>
      </c>
      <c r="T605" s="136">
        <f t="shared" si="145"/>
        <v>0</v>
      </c>
      <c r="U605" s="136">
        <f t="shared" si="145"/>
        <v>0</v>
      </c>
      <c r="V605" s="136">
        <f t="shared" si="145"/>
        <v>0</v>
      </c>
      <c r="W605" s="136">
        <f t="shared" si="145"/>
        <v>0</v>
      </c>
      <c r="X605" s="136">
        <f t="shared" si="145"/>
        <v>0</v>
      </c>
      <c r="Y605" s="136">
        <f t="shared" si="145"/>
        <v>0</v>
      </c>
      <c r="Z605" s="136">
        <f t="shared" si="145"/>
        <v>0</v>
      </c>
      <c r="AA605" s="136">
        <f t="shared" si="145"/>
        <v>0</v>
      </c>
      <c r="AB605" s="136">
        <f t="shared" si="145"/>
        <v>0</v>
      </c>
      <c r="AC605" s="136">
        <f t="shared" si="145"/>
        <v>0</v>
      </c>
      <c r="AD605" s="136">
        <f t="shared" si="145"/>
        <v>0</v>
      </c>
      <c r="AE605" s="136">
        <f t="shared" si="145"/>
        <v>0</v>
      </c>
      <c r="AF605" s="136">
        <f t="shared" si="145"/>
        <v>0</v>
      </c>
      <c r="AG605" s="136">
        <f t="shared" si="145"/>
        <v>0</v>
      </c>
      <c r="AH605" s="136">
        <f t="shared" si="145"/>
        <v>0</v>
      </c>
      <c r="AI605" s="136">
        <f t="shared" si="145"/>
        <v>0</v>
      </c>
      <c r="AJ605" s="136">
        <f t="shared" si="145"/>
        <v>0</v>
      </c>
      <c r="AK605" s="136">
        <f t="shared" si="145"/>
        <v>0</v>
      </c>
      <c r="AL605" s="136">
        <f t="shared" si="145"/>
        <v>0</v>
      </c>
      <c r="AM605" s="136">
        <f t="shared" si="145"/>
        <v>0</v>
      </c>
      <c r="AN605" s="136">
        <f t="shared" si="145"/>
        <v>0</v>
      </c>
      <c r="AO605" s="136">
        <f t="shared" si="145"/>
        <v>0</v>
      </c>
      <c r="AP605" s="136">
        <f t="shared" si="145"/>
        <v>0</v>
      </c>
      <c r="AQ605" s="136">
        <f t="shared" si="145"/>
        <v>0</v>
      </c>
      <c r="AR605" s="136">
        <f t="shared" si="145"/>
        <v>0</v>
      </c>
      <c r="AS605" s="136">
        <f t="shared" si="145"/>
        <v>0</v>
      </c>
      <c r="AT605" s="136">
        <f t="shared" si="145"/>
        <v>0</v>
      </c>
      <c r="AU605" s="136">
        <f t="shared" si="145"/>
        <v>0</v>
      </c>
      <c r="AV605" s="136">
        <f t="shared" si="145"/>
        <v>0</v>
      </c>
      <c r="AW605" s="136">
        <f t="shared" si="145"/>
        <v>0</v>
      </c>
      <c r="AX605" s="136">
        <f t="shared" si="145"/>
        <v>0</v>
      </c>
      <c r="AY605" s="136">
        <f t="shared" si="145"/>
        <v>0</v>
      </c>
      <c r="AZ605" s="136">
        <f t="shared" si="145"/>
        <v>0</v>
      </c>
      <c r="BA605" s="136">
        <f t="shared" si="145"/>
        <v>0</v>
      </c>
      <c r="BB605" s="136">
        <f t="shared" si="145"/>
        <v>0</v>
      </c>
      <c r="BC605" s="136">
        <f t="shared" si="145"/>
        <v>0</v>
      </c>
      <c r="BD605" s="136">
        <f t="shared" si="145"/>
        <v>0</v>
      </c>
      <c r="BE605" s="136">
        <f t="shared" si="145"/>
        <v>0</v>
      </c>
      <c r="BF605" s="136">
        <f t="shared" si="145"/>
        <v>0</v>
      </c>
      <c r="BG605" s="136">
        <f t="shared" si="145"/>
        <v>0</v>
      </c>
      <c r="BH605" s="136">
        <f t="shared" si="145"/>
        <v>0</v>
      </c>
      <c r="BI605" s="136">
        <f t="shared" si="145"/>
        <v>0</v>
      </c>
      <c r="BJ605" s="136">
        <f t="shared" si="145"/>
        <v>0</v>
      </c>
      <c r="BK605" s="136">
        <f t="shared" si="145"/>
        <v>0</v>
      </c>
      <c r="BL605" s="136">
        <f t="shared" si="145"/>
        <v>0</v>
      </c>
      <c r="BM605" s="136">
        <f t="shared" si="145"/>
        <v>0</v>
      </c>
      <c r="BN605" s="136">
        <f t="shared" si="145"/>
        <v>0</v>
      </c>
      <c r="BO605" s="136">
        <f t="shared" si="145"/>
        <v>0</v>
      </c>
      <c r="BP605" s="136">
        <f t="shared" si="145"/>
        <v>0</v>
      </c>
      <c r="BQ605" s="136">
        <f t="shared" si="145"/>
        <v>0</v>
      </c>
      <c r="BR605" s="136">
        <f t="shared" si="144"/>
        <v>0</v>
      </c>
      <c r="BS605" s="136">
        <f t="shared" si="142"/>
        <v>0</v>
      </c>
      <c r="BT605" s="136">
        <f t="shared" si="142"/>
        <v>0</v>
      </c>
      <c r="BU605" s="136">
        <f t="shared" si="142"/>
        <v>0</v>
      </c>
      <c r="BV605" s="136">
        <f t="shared" si="142"/>
        <v>0</v>
      </c>
      <c r="BW605" s="136">
        <f t="shared" si="142"/>
        <v>0</v>
      </c>
      <c r="BX605" s="136">
        <f t="shared" si="142"/>
        <v>0</v>
      </c>
      <c r="BZ605" s="136">
        <f t="shared" si="143"/>
        <v>0</v>
      </c>
      <c r="CA605" s="136">
        <f t="shared" si="143"/>
        <v>0</v>
      </c>
    </row>
    <row r="606" spans="7:79" hidden="1" x14ac:dyDescent="0.3">
      <c r="G606" s="136">
        <f t="shared" si="145"/>
        <v>0</v>
      </c>
      <c r="H606" s="136">
        <f t="shared" si="145"/>
        <v>0</v>
      </c>
      <c r="I606" s="136">
        <f t="shared" si="145"/>
        <v>0</v>
      </c>
      <c r="J606" s="136">
        <f t="shared" ref="J606:BQ608" si="146">J182-CB182</f>
        <v>0</v>
      </c>
      <c r="K606" s="136">
        <f t="shared" si="146"/>
        <v>0</v>
      </c>
      <c r="L606" s="136">
        <f t="shared" si="146"/>
        <v>0</v>
      </c>
      <c r="M606" s="136">
        <f t="shared" si="146"/>
        <v>0</v>
      </c>
      <c r="N606" s="136">
        <f t="shared" si="146"/>
        <v>0</v>
      </c>
      <c r="O606" s="136">
        <f t="shared" si="146"/>
        <v>0</v>
      </c>
      <c r="P606" s="136">
        <f t="shared" si="146"/>
        <v>0</v>
      </c>
      <c r="Q606" s="136">
        <f t="shared" si="146"/>
        <v>0</v>
      </c>
      <c r="R606" s="136">
        <f t="shared" si="146"/>
        <v>0</v>
      </c>
      <c r="S606" s="136">
        <f t="shared" si="146"/>
        <v>0</v>
      </c>
      <c r="T606" s="136">
        <f t="shared" si="146"/>
        <v>0</v>
      </c>
      <c r="U606" s="136">
        <f t="shared" si="146"/>
        <v>0</v>
      </c>
      <c r="V606" s="136">
        <f t="shared" si="146"/>
        <v>0</v>
      </c>
      <c r="W606" s="136">
        <f t="shared" si="146"/>
        <v>0</v>
      </c>
      <c r="X606" s="136">
        <f t="shared" si="146"/>
        <v>0</v>
      </c>
      <c r="Y606" s="136">
        <f t="shared" si="146"/>
        <v>0</v>
      </c>
      <c r="Z606" s="136">
        <f t="shared" si="146"/>
        <v>0</v>
      </c>
      <c r="AA606" s="136">
        <f t="shared" si="146"/>
        <v>0</v>
      </c>
      <c r="AB606" s="136">
        <f t="shared" si="146"/>
        <v>0</v>
      </c>
      <c r="AC606" s="136">
        <f t="shared" si="146"/>
        <v>0</v>
      </c>
      <c r="AD606" s="136">
        <f t="shared" si="146"/>
        <v>0</v>
      </c>
      <c r="AE606" s="136">
        <f t="shared" si="146"/>
        <v>0</v>
      </c>
      <c r="AF606" s="136">
        <f t="shared" si="146"/>
        <v>0</v>
      </c>
      <c r="AG606" s="136">
        <f t="shared" si="146"/>
        <v>0</v>
      </c>
      <c r="AH606" s="136">
        <f t="shared" si="146"/>
        <v>0</v>
      </c>
      <c r="AI606" s="136">
        <f t="shared" si="146"/>
        <v>0</v>
      </c>
      <c r="AJ606" s="136">
        <f t="shared" si="146"/>
        <v>0</v>
      </c>
      <c r="AK606" s="136">
        <f t="shared" si="146"/>
        <v>0</v>
      </c>
      <c r="AL606" s="136">
        <f t="shared" si="146"/>
        <v>0</v>
      </c>
      <c r="AM606" s="136">
        <f t="shared" si="146"/>
        <v>0</v>
      </c>
      <c r="AN606" s="136">
        <f t="shared" si="146"/>
        <v>0</v>
      </c>
      <c r="AO606" s="136">
        <f t="shared" si="146"/>
        <v>0</v>
      </c>
      <c r="AP606" s="136">
        <f t="shared" si="146"/>
        <v>0</v>
      </c>
      <c r="AQ606" s="136">
        <f t="shared" si="146"/>
        <v>0</v>
      </c>
      <c r="AR606" s="136">
        <f t="shared" si="146"/>
        <v>0</v>
      </c>
      <c r="AS606" s="136">
        <f t="shared" si="146"/>
        <v>0</v>
      </c>
      <c r="AT606" s="136">
        <f t="shared" si="146"/>
        <v>0</v>
      </c>
      <c r="AU606" s="136">
        <f t="shared" si="146"/>
        <v>0</v>
      </c>
      <c r="AV606" s="136">
        <f t="shared" si="146"/>
        <v>0</v>
      </c>
      <c r="AW606" s="136">
        <f t="shared" si="146"/>
        <v>0</v>
      </c>
      <c r="AX606" s="136">
        <f t="shared" si="146"/>
        <v>0</v>
      </c>
      <c r="AY606" s="136">
        <f t="shared" si="146"/>
        <v>0</v>
      </c>
      <c r="AZ606" s="136">
        <f t="shared" si="146"/>
        <v>0</v>
      </c>
      <c r="BA606" s="136">
        <f t="shared" si="146"/>
        <v>0</v>
      </c>
      <c r="BB606" s="136">
        <f t="shared" si="146"/>
        <v>0</v>
      </c>
      <c r="BC606" s="136">
        <f t="shared" si="146"/>
        <v>0</v>
      </c>
      <c r="BD606" s="136">
        <f t="shared" si="146"/>
        <v>0</v>
      </c>
      <c r="BE606" s="136">
        <f t="shared" si="146"/>
        <v>0</v>
      </c>
      <c r="BF606" s="136">
        <f t="shared" si="146"/>
        <v>0</v>
      </c>
      <c r="BG606" s="136">
        <f t="shared" si="146"/>
        <v>0</v>
      </c>
      <c r="BH606" s="136">
        <f t="shared" si="146"/>
        <v>0</v>
      </c>
      <c r="BI606" s="136">
        <f t="shared" si="146"/>
        <v>0</v>
      </c>
      <c r="BJ606" s="136">
        <f t="shared" si="146"/>
        <v>0</v>
      </c>
      <c r="BK606" s="136">
        <f t="shared" si="146"/>
        <v>0</v>
      </c>
      <c r="BL606" s="136">
        <f t="shared" si="146"/>
        <v>0</v>
      </c>
      <c r="BM606" s="136">
        <f t="shared" si="146"/>
        <v>0</v>
      </c>
      <c r="BN606" s="136">
        <f t="shared" si="146"/>
        <v>0</v>
      </c>
      <c r="BO606" s="136">
        <f t="shared" si="146"/>
        <v>0</v>
      </c>
      <c r="BP606" s="136">
        <f t="shared" si="146"/>
        <v>0</v>
      </c>
      <c r="BQ606" s="136">
        <f t="shared" si="146"/>
        <v>0</v>
      </c>
      <c r="BR606" s="136">
        <f t="shared" si="144"/>
        <v>0</v>
      </c>
      <c r="BS606" s="136">
        <f t="shared" si="142"/>
        <v>0</v>
      </c>
      <c r="BT606" s="136">
        <f t="shared" si="142"/>
        <v>0</v>
      </c>
      <c r="BU606" s="136">
        <f t="shared" si="142"/>
        <v>0</v>
      </c>
      <c r="BV606" s="136">
        <f t="shared" si="142"/>
        <v>0</v>
      </c>
      <c r="BW606" s="136">
        <f t="shared" si="142"/>
        <v>0</v>
      </c>
      <c r="BX606" s="136">
        <f t="shared" si="142"/>
        <v>0</v>
      </c>
      <c r="BZ606" s="136">
        <f t="shared" si="143"/>
        <v>0</v>
      </c>
      <c r="CA606" s="136">
        <f t="shared" si="143"/>
        <v>0</v>
      </c>
    </row>
    <row r="607" spans="7:79" hidden="1" x14ac:dyDescent="0.3">
      <c r="G607" s="136">
        <f t="shared" ref="G607:I608" si="147">G183-BY183</f>
        <v>0</v>
      </c>
      <c r="H607" s="136">
        <f t="shared" si="147"/>
        <v>0</v>
      </c>
      <c r="I607" s="136">
        <f t="shared" si="147"/>
        <v>0</v>
      </c>
      <c r="J607" s="136">
        <f t="shared" si="146"/>
        <v>0</v>
      </c>
      <c r="K607" s="136">
        <f t="shared" si="146"/>
        <v>0</v>
      </c>
      <c r="L607" s="136">
        <f t="shared" si="146"/>
        <v>0</v>
      </c>
      <c r="M607" s="136">
        <f t="shared" si="146"/>
        <v>0</v>
      </c>
      <c r="N607" s="136">
        <f t="shared" si="146"/>
        <v>0</v>
      </c>
      <c r="O607" s="136">
        <f t="shared" si="146"/>
        <v>0</v>
      </c>
      <c r="P607" s="136">
        <f t="shared" si="146"/>
        <v>0</v>
      </c>
      <c r="Q607" s="136">
        <f t="shared" si="146"/>
        <v>0</v>
      </c>
      <c r="R607" s="136">
        <f t="shared" si="146"/>
        <v>0</v>
      </c>
      <c r="S607" s="136">
        <f t="shared" si="146"/>
        <v>0</v>
      </c>
      <c r="T607" s="136">
        <f t="shared" si="146"/>
        <v>0</v>
      </c>
      <c r="U607" s="136">
        <f t="shared" si="146"/>
        <v>0</v>
      </c>
      <c r="V607" s="136">
        <f t="shared" si="146"/>
        <v>0</v>
      </c>
      <c r="W607" s="136">
        <f t="shared" si="146"/>
        <v>0</v>
      </c>
      <c r="X607" s="136">
        <f t="shared" si="146"/>
        <v>0</v>
      </c>
      <c r="Y607" s="136">
        <f t="shared" si="146"/>
        <v>0</v>
      </c>
      <c r="Z607" s="136">
        <f t="shared" si="146"/>
        <v>0</v>
      </c>
      <c r="AA607" s="136">
        <f t="shared" si="146"/>
        <v>0</v>
      </c>
      <c r="AB607" s="136">
        <f t="shared" si="146"/>
        <v>0</v>
      </c>
      <c r="AC607" s="136">
        <f t="shared" si="146"/>
        <v>0</v>
      </c>
      <c r="AD607" s="136">
        <f t="shared" si="146"/>
        <v>0</v>
      </c>
      <c r="AE607" s="136">
        <f t="shared" si="146"/>
        <v>0</v>
      </c>
      <c r="AF607" s="136">
        <f t="shared" si="146"/>
        <v>0</v>
      </c>
      <c r="AG607" s="136">
        <f t="shared" si="146"/>
        <v>0</v>
      </c>
      <c r="AH607" s="136">
        <f t="shared" si="146"/>
        <v>0</v>
      </c>
      <c r="AI607" s="136">
        <f t="shared" si="146"/>
        <v>0</v>
      </c>
      <c r="AJ607" s="136">
        <f t="shared" si="146"/>
        <v>0</v>
      </c>
      <c r="AK607" s="136">
        <f t="shared" si="146"/>
        <v>0</v>
      </c>
      <c r="AL607" s="136">
        <f t="shared" si="146"/>
        <v>0</v>
      </c>
      <c r="AM607" s="136">
        <f t="shared" si="146"/>
        <v>0</v>
      </c>
      <c r="AN607" s="136">
        <f t="shared" si="146"/>
        <v>0</v>
      </c>
      <c r="AO607" s="136">
        <f t="shared" si="146"/>
        <v>0</v>
      </c>
      <c r="AP607" s="136">
        <f t="shared" si="146"/>
        <v>0</v>
      </c>
      <c r="AQ607" s="136">
        <f t="shared" si="146"/>
        <v>0</v>
      </c>
      <c r="AR607" s="136">
        <f t="shared" si="146"/>
        <v>0</v>
      </c>
      <c r="AS607" s="136">
        <f t="shared" si="146"/>
        <v>0</v>
      </c>
      <c r="AT607" s="136">
        <f t="shared" si="146"/>
        <v>0</v>
      </c>
      <c r="AU607" s="136">
        <f t="shared" si="146"/>
        <v>0</v>
      </c>
      <c r="AV607" s="136">
        <f t="shared" si="146"/>
        <v>0</v>
      </c>
      <c r="AW607" s="136">
        <f t="shared" si="146"/>
        <v>0</v>
      </c>
      <c r="AX607" s="136">
        <f t="shared" si="146"/>
        <v>0</v>
      </c>
      <c r="AY607" s="136">
        <f t="shared" si="146"/>
        <v>0</v>
      </c>
      <c r="AZ607" s="136">
        <f t="shared" si="146"/>
        <v>0</v>
      </c>
      <c r="BA607" s="136">
        <f t="shared" si="146"/>
        <v>0</v>
      </c>
      <c r="BB607" s="136">
        <f t="shared" si="146"/>
        <v>0</v>
      </c>
      <c r="BC607" s="136">
        <f t="shared" si="146"/>
        <v>0</v>
      </c>
      <c r="BD607" s="136">
        <f t="shared" si="146"/>
        <v>0</v>
      </c>
      <c r="BE607" s="136">
        <f t="shared" si="146"/>
        <v>0</v>
      </c>
      <c r="BF607" s="136">
        <f t="shared" si="146"/>
        <v>0</v>
      </c>
      <c r="BG607" s="136">
        <f t="shared" si="146"/>
        <v>0</v>
      </c>
      <c r="BH607" s="136">
        <f t="shared" si="146"/>
        <v>0</v>
      </c>
      <c r="BI607" s="136">
        <f t="shared" si="146"/>
        <v>0</v>
      </c>
      <c r="BJ607" s="136">
        <f t="shared" si="146"/>
        <v>0</v>
      </c>
      <c r="BK607" s="136">
        <f t="shared" si="146"/>
        <v>0</v>
      </c>
      <c r="BL607" s="136">
        <f t="shared" si="146"/>
        <v>0</v>
      </c>
      <c r="BM607" s="136">
        <f t="shared" si="146"/>
        <v>0</v>
      </c>
      <c r="BN607" s="136">
        <f t="shared" si="146"/>
        <v>0</v>
      </c>
      <c r="BO607" s="136">
        <f t="shared" si="146"/>
        <v>0</v>
      </c>
      <c r="BP607" s="136">
        <f t="shared" si="146"/>
        <v>0</v>
      </c>
      <c r="BQ607" s="136">
        <f t="shared" si="146"/>
        <v>0</v>
      </c>
      <c r="BR607" s="136">
        <f t="shared" si="144"/>
        <v>0</v>
      </c>
      <c r="BS607" s="136">
        <f t="shared" si="142"/>
        <v>0</v>
      </c>
      <c r="BT607" s="136">
        <f t="shared" si="142"/>
        <v>0</v>
      </c>
      <c r="BU607" s="136">
        <f t="shared" si="142"/>
        <v>0</v>
      </c>
      <c r="BV607" s="136">
        <f t="shared" si="142"/>
        <v>0</v>
      </c>
      <c r="BW607" s="136">
        <f t="shared" si="142"/>
        <v>0</v>
      </c>
      <c r="BX607" s="136">
        <f t="shared" si="142"/>
        <v>0</v>
      </c>
      <c r="BZ607" s="136">
        <f t="shared" si="143"/>
        <v>0</v>
      </c>
      <c r="CA607" s="136">
        <f t="shared" si="143"/>
        <v>0</v>
      </c>
    </row>
    <row r="608" spans="7:79" hidden="1" x14ac:dyDescent="0.3">
      <c r="G608" s="136">
        <f t="shared" si="147"/>
        <v>0</v>
      </c>
      <c r="H608" s="136">
        <f t="shared" si="147"/>
        <v>0</v>
      </c>
      <c r="I608" s="136">
        <f t="shared" si="147"/>
        <v>0</v>
      </c>
      <c r="J608" s="136">
        <f t="shared" si="146"/>
        <v>0</v>
      </c>
      <c r="K608" s="136">
        <f t="shared" si="146"/>
        <v>0</v>
      </c>
      <c r="L608" s="136">
        <f t="shared" si="146"/>
        <v>0</v>
      </c>
      <c r="M608" s="136">
        <f t="shared" si="146"/>
        <v>0</v>
      </c>
      <c r="N608" s="136">
        <f t="shared" si="146"/>
        <v>0</v>
      </c>
      <c r="O608" s="136">
        <f t="shared" si="146"/>
        <v>0</v>
      </c>
      <c r="P608" s="136">
        <f t="shared" si="146"/>
        <v>0</v>
      </c>
      <c r="Q608" s="136">
        <f t="shared" si="146"/>
        <v>0</v>
      </c>
      <c r="R608" s="136">
        <f t="shared" si="146"/>
        <v>0</v>
      </c>
      <c r="S608" s="136">
        <f t="shared" si="146"/>
        <v>0</v>
      </c>
      <c r="T608" s="136">
        <f t="shared" si="146"/>
        <v>0</v>
      </c>
      <c r="U608" s="136">
        <f t="shared" si="146"/>
        <v>0</v>
      </c>
      <c r="V608" s="136">
        <f t="shared" si="146"/>
        <v>0</v>
      </c>
      <c r="W608" s="136">
        <f t="shared" si="146"/>
        <v>0</v>
      </c>
      <c r="X608" s="136">
        <f t="shared" si="146"/>
        <v>0</v>
      </c>
      <c r="Y608" s="136">
        <f t="shared" si="146"/>
        <v>0</v>
      </c>
      <c r="Z608" s="136">
        <f t="shared" si="146"/>
        <v>0</v>
      </c>
      <c r="AA608" s="136">
        <f t="shared" si="146"/>
        <v>0</v>
      </c>
      <c r="AB608" s="136">
        <f t="shared" si="146"/>
        <v>0</v>
      </c>
      <c r="AC608" s="136">
        <f t="shared" si="146"/>
        <v>0</v>
      </c>
      <c r="AD608" s="136">
        <f t="shared" si="146"/>
        <v>0</v>
      </c>
      <c r="AE608" s="136">
        <f t="shared" si="146"/>
        <v>0</v>
      </c>
      <c r="AF608" s="136">
        <f t="shared" si="146"/>
        <v>0</v>
      </c>
      <c r="AG608" s="136">
        <f t="shared" si="146"/>
        <v>0</v>
      </c>
      <c r="AH608" s="136">
        <f t="shared" si="146"/>
        <v>0</v>
      </c>
      <c r="AI608" s="136">
        <f t="shared" si="146"/>
        <v>0</v>
      </c>
      <c r="AJ608" s="136">
        <f t="shared" si="146"/>
        <v>0</v>
      </c>
      <c r="AK608" s="136">
        <f t="shared" si="146"/>
        <v>0</v>
      </c>
      <c r="AL608" s="136">
        <f t="shared" si="146"/>
        <v>0</v>
      </c>
      <c r="AM608" s="136">
        <f t="shared" si="146"/>
        <v>0</v>
      </c>
      <c r="AN608" s="136">
        <f t="shared" si="146"/>
        <v>0</v>
      </c>
      <c r="AO608" s="136">
        <f t="shared" si="146"/>
        <v>0</v>
      </c>
      <c r="AP608" s="136">
        <f t="shared" si="146"/>
        <v>0</v>
      </c>
      <c r="AQ608" s="136">
        <f t="shared" si="146"/>
        <v>0</v>
      </c>
      <c r="AR608" s="136">
        <f t="shared" si="146"/>
        <v>0</v>
      </c>
      <c r="AS608" s="136">
        <f t="shared" si="146"/>
        <v>0</v>
      </c>
      <c r="AT608" s="136">
        <f t="shared" si="146"/>
        <v>0</v>
      </c>
      <c r="AU608" s="136">
        <f t="shared" si="146"/>
        <v>0</v>
      </c>
      <c r="AV608" s="136">
        <f t="shared" si="146"/>
        <v>0</v>
      </c>
      <c r="AW608" s="136">
        <f t="shared" si="146"/>
        <v>0</v>
      </c>
      <c r="AX608" s="136">
        <f t="shared" si="146"/>
        <v>0</v>
      </c>
      <c r="AY608" s="136">
        <f t="shared" si="146"/>
        <v>0</v>
      </c>
      <c r="AZ608" s="136">
        <f t="shared" si="146"/>
        <v>0</v>
      </c>
      <c r="BA608" s="136">
        <f t="shared" si="146"/>
        <v>0</v>
      </c>
      <c r="BB608" s="136">
        <f t="shared" si="146"/>
        <v>0</v>
      </c>
      <c r="BC608" s="136">
        <f t="shared" si="146"/>
        <v>0</v>
      </c>
      <c r="BD608" s="136">
        <f t="shared" si="146"/>
        <v>0</v>
      </c>
      <c r="BE608" s="136">
        <f t="shared" si="146"/>
        <v>0</v>
      </c>
      <c r="BF608" s="136">
        <f t="shared" si="146"/>
        <v>0</v>
      </c>
      <c r="BG608" s="136">
        <f t="shared" si="146"/>
        <v>0</v>
      </c>
      <c r="BH608" s="136">
        <f t="shared" si="146"/>
        <v>0</v>
      </c>
      <c r="BI608" s="136">
        <f t="shared" si="146"/>
        <v>0</v>
      </c>
      <c r="BJ608" s="136">
        <f t="shared" si="146"/>
        <v>0</v>
      </c>
      <c r="BK608" s="136">
        <f t="shared" si="146"/>
        <v>0</v>
      </c>
      <c r="BL608" s="136">
        <f t="shared" si="146"/>
        <v>0</v>
      </c>
      <c r="BM608" s="136">
        <f t="shared" si="146"/>
        <v>0</v>
      </c>
      <c r="BN608" s="136">
        <f t="shared" si="146"/>
        <v>0</v>
      </c>
      <c r="BO608" s="136">
        <f t="shared" si="146"/>
        <v>0</v>
      </c>
      <c r="BP608" s="136">
        <f t="shared" si="146"/>
        <v>0</v>
      </c>
      <c r="BQ608" s="136">
        <f t="shared" si="146"/>
        <v>0</v>
      </c>
      <c r="BR608" s="136">
        <f t="shared" si="144"/>
        <v>0</v>
      </c>
      <c r="BS608" s="136">
        <f t="shared" si="142"/>
        <v>0</v>
      </c>
      <c r="BT608" s="136">
        <f t="shared" si="142"/>
        <v>0</v>
      </c>
      <c r="BU608" s="136">
        <f t="shared" si="142"/>
        <v>0</v>
      </c>
      <c r="BV608" s="136">
        <f t="shared" si="142"/>
        <v>0</v>
      </c>
      <c r="BW608" s="136">
        <f t="shared" si="142"/>
        <v>0</v>
      </c>
      <c r="BX608" s="136">
        <f t="shared" si="142"/>
        <v>0</v>
      </c>
      <c r="BZ608" s="136">
        <f t="shared" si="143"/>
        <v>0</v>
      </c>
      <c r="CA608" s="136">
        <f t="shared" si="143"/>
        <v>0</v>
      </c>
    </row>
    <row r="609" spans="7:79" hidden="1" x14ac:dyDescent="0.3">
      <c r="G609" s="136">
        <f t="shared" ref="G609:BR613" si="148">G186-BY186</f>
        <v>0</v>
      </c>
      <c r="H609" s="136">
        <f t="shared" si="148"/>
        <v>0</v>
      </c>
      <c r="I609" s="136">
        <f t="shared" si="148"/>
        <v>0</v>
      </c>
      <c r="J609" s="136">
        <f t="shared" si="148"/>
        <v>0</v>
      </c>
      <c r="K609" s="136">
        <f t="shared" si="148"/>
        <v>0</v>
      </c>
      <c r="L609" s="136">
        <f t="shared" si="148"/>
        <v>0</v>
      </c>
      <c r="M609" s="136">
        <f t="shared" si="148"/>
        <v>0</v>
      </c>
      <c r="N609" s="136">
        <f t="shared" si="148"/>
        <v>0</v>
      </c>
      <c r="O609" s="136">
        <f t="shared" si="148"/>
        <v>0</v>
      </c>
      <c r="P609" s="136">
        <f t="shared" si="148"/>
        <v>0</v>
      </c>
      <c r="Q609" s="136">
        <f t="shared" si="148"/>
        <v>0</v>
      </c>
      <c r="R609" s="136">
        <f t="shared" si="148"/>
        <v>0</v>
      </c>
      <c r="S609" s="136">
        <f t="shared" si="148"/>
        <v>0</v>
      </c>
      <c r="T609" s="136">
        <f t="shared" si="148"/>
        <v>0</v>
      </c>
      <c r="U609" s="136">
        <f t="shared" si="148"/>
        <v>0</v>
      </c>
      <c r="V609" s="136">
        <f t="shared" si="148"/>
        <v>0</v>
      </c>
      <c r="W609" s="136">
        <f t="shared" si="148"/>
        <v>0</v>
      </c>
      <c r="X609" s="136">
        <f t="shared" si="148"/>
        <v>0</v>
      </c>
      <c r="Y609" s="136">
        <f t="shared" si="148"/>
        <v>0</v>
      </c>
      <c r="Z609" s="136">
        <f t="shared" si="148"/>
        <v>0</v>
      </c>
      <c r="AA609" s="136">
        <f t="shared" si="148"/>
        <v>0</v>
      </c>
      <c r="AB609" s="136">
        <f t="shared" si="148"/>
        <v>0</v>
      </c>
      <c r="AC609" s="136">
        <f t="shared" si="148"/>
        <v>0</v>
      </c>
      <c r="AD609" s="136">
        <f t="shared" si="148"/>
        <v>0</v>
      </c>
      <c r="AE609" s="136">
        <f t="shared" si="148"/>
        <v>0</v>
      </c>
      <c r="AF609" s="136">
        <f t="shared" si="148"/>
        <v>0</v>
      </c>
      <c r="AG609" s="136">
        <f t="shared" si="148"/>
        <v>0</v>
      </c>
      <c r="AH609" s="136">
        <f t="shared" si="148"/>
        <v>0</v>
      </c>
      <c r="AI609" s="136">
        <f t="shared" si="148"/>
        <v>0</v>
      </c>
      <c r="AJ609" s="136">
        <f t="shared" si="148"/>
        <v>0</v>
      </c>
      <c r="AK609" s="136">
        <f t="shared" si="148"/>
        <v>0</v>
      </c>
      <c r="AL609" s="136">
        <f t="shared" si="148"/>
        <v>0</v>
      </c>
      <c r="AM609" s="136">
        <f t="shared" si="148"/>
        <v>0</v>
      </c>
      <c r="AN609" s="136">
        <f t="shared" si="148"/>
        <v>0</v>
      </c>
      <c r="AO609" s="136">
        <f t="shared" si="148"/>
        <v>0</v>
      </c>
      <c r="AP609" s="136">
        <f t="shared" si="148"/>
        <v>0</v>
      </c>
      <c r="AQ609" s="136">
        <f t="shared" si="148"/>
        <v>0</v>
      </c>
      <c r="AR609" s="136">
        <f t="shared" si="148"/>
        <v>0</v>
      </c>
      <c r="AS609" s="136">
        <f t="shared" si="148"/>
        <v>0</v>
      </c>
      <c r="AT609" s="136">
        <f t="shared" si="148"/>
        <v>0</v>
      </c>
      <c r="AU609" s="136">
        <f t="shared" si="148"/>
        <v>0</v>
      </c>
      <c r="AV609" s="136">
        <f t="shared" si="148"/>
        <v>0</v>
      </c>
      <c r="AW609" s="136">
        <f t="shared" si="148"/>
        <v>0</v>
      </c>
      <c r="AX609" s="136">
        <f t="shared" si="148"/>
        <v>0</v>
      </c>
      <c r="AY609" s="136">
        <f t="shared" si="148"/>
        <v>0</v>
      </c>
      <c r="AZ609" s="136">
        <f t="shared" si="148"/>
        <v>0</v>
      </c>
      <c r="BA609" s="136">
        <f t="shared" si="148"/>
        <v>0</v>
      </c>
      <c r="BB609" s="136">
        <f t="shared" si="148"/>
        <v>0</v>
      </c>
      <c r="BC609" s="136">
        <f t="shared" si="148"/>
        <v>0</v>
      </c>
      <c r="BD609" s="136">
        <f t="shared" si="148"/>
        <v>0</v>
      </c>
      <c r="BE609" s="136">
        <f t="shared" si="148"/>
        <v>0</v>
      </c>
      <c r="BF609" s="136">
        <f t="shared" si="148"/>
        <v>0</v>
      </c>
      <c r="BG609" s="136">
        <f t="shared" si="148"/>
        <v>0</v>
      </c>
      <c r="BH609" s="136">
        <f t="shared" si="148"/>
        <v>0</v>
      </c>
      <c r="BI609" s="136">
        <f t="shared" si="148"/>
        <v>0</v>
      </c>
      <c r="BJ609" s="136">
        <f t="shared" si="148"/>
        <v>0</v>
      </c>
      <c r="BK609" s="136">
        <f t="shared" si="148"/>
        <v>0</v>
      </c>
      <c r="BL609" s="136">
        <f t="shared" si="148"/>
        <v>0</v>
      </c>
      <c r="BM609" s="136">
        <f t="shared" si="148"/>
        <v>0</v>
      </c>
      <c r="BN609" s="136">
        <f t="shared" si="148"/>
        <v>0</v>
      </c>
      <c r="BO609" s="136">
        <f t="shared" si="148"/>
        <v>0</v>
      </c>
      <c r="BP609" s="136">
        <f t="shared" si="148"/>
        <v>0</v>
      </c>
      <c r="BQ609" s="136">
        <f t="shared" si="148"/>
        <v>0</v>
      </c>
      <c r="BR609" s="136">
        <f t="shared" si="148"/>
        <v>0</v>
      </c>
      <c r="BS609" s="136">
        <f t="shared" ref="BO609:BX613" si="149">BS186-EK186</f>
        <v>0</v>
      </c>
      <c r="BT609" s="136">
        <f t="shared" si="149"/>
        <v>0</v>
      </c>
      <c r="BU609" s="136">
        <f t="shared" si="149"/>
        <v>0</v>
      </c>
      <c r="BV609" s="136">
        <f t="shared" si="149"/>
        <v>0</v>
      </c>
      <c r="BW609" s="136">
        <f t="shared" si="149"/>
        <v>0</v>
      </c>
      <c r="BX609" s="136">
        <f t="shared" si="149"/>
        <v>0</v>
      </c>
      <c r="BZ609" s="136">
        <f t="shared" ref="BZ609:CA613" si="150">BZ186-ER186</f>
        <v>0</v>
      </c>
      <c r="CA609" s="136">
        <f t="shared" si="150"/>
        <v>0</v>
      </c>
    </row>
    <row r="610" spans="7:79" hidden="1" x14ac:dyDescent="0.3">
      <c r="G610" s="136">
        <f t="shared" si="148"/>
        <v>0</v>
      </c>
      <c r="H610" s="136">
        <f t="shared" si="148"/>
        <v>0</v>
      </c>
      <c r="I610" s="136">
        <f t="shared" si="148"/>
        <v>0</v>
      </c>
      <c r="J610" s="136">
        <f t="shared" si="148"/>
        <v>0</v>
      </c>
      <c r="K610" s="136">
        <f t="shared" si="148"/>
        <v>0</v>
      </c>
      <c r="L610" s="136">
        <f t="shared" si="148"/>
        <v>0</v>
      </c>
      <c r="M610" s="136">
        <f t="shared" si="148"/>
        <v>0</v>
      </c>
      <c r="N610" s="136">
        <f t="shared" si="148"/>
        <v>0</v>
      </c>
      <c r="O610" s="136">
        <f t="shared" si="148"/>
        <v>0</v>
      </c>
      <c r="P610" s="136">
        <f t="shared" si="148"/>
        <v>0</v>
      </c>
      <c r="Q610" s="136">
        <f t="shared" si="148"/>
        <v>0</v>
      </c>
      <c r="R610" s="136">
        <f t="shared" si="148"/>
        <v>0</v>
      </c>
      <c r="S610" s="136">
        <f t="shared" si="148"/>
        <v>0</v>
      </c>
      <c r="T610" s="136">
        <f t="shared" si="148"/>
        <v>0</v>
      </c>
      <c r="U610" s="136">
        <f t="shared" si="148"/>
        <v>0</v>
      </c>
      <c r="V610" s="136">
        <f t="shared" si="148"/>
        <v>0</v>
      </c>
      <c r="W610" s="136">
        <f t="shared" si="148"/>
        <v>0</v>
      </c>
      <c r="X610" s="136">
        <f t="shared" si="148"/>
        <v>0</v>
      </c>
      <c r="Y610" s="136">
        <f t="shared" si="148"/>
        <v>0</v>
      </c>
      <c r="Z610" s="136">
        <f t="shared" si="148"/>
        <v>0</v>
      </c>
      <c r="AA610" s="136">
        <f t="shared" si="148"/>
        <v>0</v>
      </c>
      <c r="AB610" s="136">
        <f t="shared" si="148"/>
        <v>0</v>
      </c>
      <c r="AC610" s="136">
        <f t="shared" si="148"/>
        <v>0</v>
      </c>
      <c r="AD610" s="136">
        <f t="shared" si="148"/>
        <v>0</v>
      </c>
      <c r="AE610" s="136">
        <f t="shared" si="148"/>
        <v>0</v>
      </c>
      <c r="AF610" s="136">
        <f t="shared" si="148"/>
        <v>0</v>
      </c>
      <c r="AG610" s="136">
        <f t="shared" si="148"/>
        <v>0</v>
      </c>
      <c r="AH610" s="136">
        <f t="shared" si="148"/>
        <v>0</v>
      </c>
      <c r="AI610" s="136">
        <f t="shared" si="148"/>
        <v>0</v>
      </c>
      <c r="AJ610" s="136">
        <f t="shared" si="148"/>
        <v>0</v>
      </c>
      <c r="AK610" s="136">
        <f t="shared" si="148"/>
        <v>0</v>
      </c>
      <c r="AL610" s="136">
        <f t="shared" si="148"/>
        <v>0</v>
      </c>
      <c r="AM610" s="136">
        <f t="shared" si="148"/>
        <v>0</v>
      </c>
      <c r="AN610" s="136">
        <f t="shared" si="148"/>
        <v>0</v>
      </c>
      <c r="AO610" s="136">
        <f t="shared" si="148"/>
        <v>0</v>
      </c>
      <c r="AP610" s="136">
        <f t="shared" si="148"/>
        <v>0</v>
      </c>
      <c r="AQ610" s="136">
        <f t="shared" si="148"/>
        <v>0</v>
      </c>
      <c r="AR610" s="136">
        <f t="shared" si="148"/>
        <v>0</v>
      </c>
      <c r="AS610" s="136">
        <f t="shared" si="148"/>
        <v>0</v>
      </c>
      <c r="AT610" s="136">
        <f t="shared" si="148"/>
        <v>0</v>
      </c>
      <c r="AU610" s="136">
        <f t="shared" si="148"/>
        <v>0</v>
      </c>
      <c r="AV610" s="136">
        <f t="shared" si="148"/>
        <v>0</v>
      </c>
      <c r="AW610" s="136">
        <f t="shared" si="148"/>
        <v>0</v>
      </c>
      <c r="AX610" s="136">
        <f t="shared" si="148"/>
        <v>0</v>
      </c>
      <c r="AY610" s="136">
        <f t="shared" si="148"/>
        <v>0</v>
      </c>
      <c r="AZ610" s="136">
        <f t="shared" si="148"/>
        <v>0</v>
      </c>
      <c r="BA610" s="136">
        <f t="shared" si="148"/>
        <v>0</v>
      </c>
      <c r="BB610" s="136">
        <f t="shared" si="148"/>
        <v>0</v>
      </c>
      <c r="BC610" s="136">
        <f t="shared" si="148"/>
        <v>0</v>
      </c>
      <c r="BD610" s="136">
        <f t="shared" si="148"/>
        <v>0</v>
      </c>
      <c r="BE610" s="136">
        <f t="shared" si="148"/>
        <v>0</v>
      </c>
      <c r="BF610" s="136">
        <f t="shared" si="148"/>
        <v>0</v>
      </c>
      <c r="BG610" s="136">
        <f t="shared" si="148"/>
        <v>0</v>
      </c>
      <c r="BH610" s="136">
        <f t="shared" si="148"/>
        <v>0</v>
      </c>
      <c r="BI610" s="136">
        <f t="shared" si="148"/>
        <v>0</v>
      </c>
      <c r="BJ610" s="136">
        <f t="shared" si="148"/>
        <v>0</v>
      </c>
      <c r="BK610" s="136">
        <f t="shared" si="148"/>
        <v>0</v>
      </c>
      <c r="BL610" s="136">
        <f t="shared" si="148"/>
        <v>0</v>
      </c>
      <c r="BM610" s="136">
        <f t="shared" si="148"/>
        <v>0</v>
      </c>
      <c r="BN610" s="136">
        <f t="shared" si="148"/>
        <v>0</v>
      </c>
      <c r="BO610" s="136">
        <f t="shared" si="149"/>
        <v>0</v>
      </c>
      <c r="BP610" s="136">
        <f t="shared" si="149"/>
        <v>0</v>
      </c>
      <c r="BQ610" s="136">
        <f t="shared" si="149"/>
        <v>0</v>
      </c>
      <c r="BR610" s="136">
        <f t="shared" si="149"/>
        <v>0</v>
      </c>
      <c r="BS610" s="136">
        <f t="shared" si="149"/>
        <v>0</v>
      </c>
      <c r="BT610" s="136">
        <f t="shared" si="149"/>
        <v>0</v>
      </c>
      <c r="BU610" s="136">
        <f t="shared" si="149"/>
        <v>0</v>
      </c>
      <c r="BV610" s="136">
        <f t="shared" si="149"/>
        <v>0</v>
      </c>
      <c r="BW610" s="136">
        <f t="shared" si="149"/>
        <v>0</v>
      </c>
      <c r="BX610" s="136">
        <f t="shared" si="149"/>
        <v>0</v>
      </c>
      <c r="BZ610" s="136">
        <f t="shared" si="150"/>
        <v>0</v>
      </c>
      <c r="CA610" s="136">
        <f t="shared" si="150"/>
        <v>0</v>
      </c>
    </row>
    <row r="611" spans="7:79" hidden="1" x14ac:dyDescent="0.3">
      <c r="G611" s="136">
        <f t="shared" si="148"/>
        <v>0</v>
      </c>
      <c r="H611" s="136">
        <f t="shared" si="148"/>
        <v>0</v>
      </c>
      <c r="I611" s="136">
        <f t="shared" si="148"/>
        <v>0</v>
      </c>
      <c r="J611" s="136">
        <f t="shared" si="148"/>
        <v>0</v>
      </c>
      <c r="K611" s="136">
        <f t="shared" si="148"/>
        <v>0</v>
      </c>
      <c r="L611" s="136">
        <f t="shared" si="148"/>
        <v>0</v>
      </c>
      <c r="M611" s="136">
        <f t="shared" si="148"/>
        <v>0</v>
      </c>
      <c r="N611" s="136">
        <f t="shared" si="148"/>
        <v>0</v>
      </c>
      <c r="O611" s="136">
        <f t="shared" si="148"/>
        <v>0</v>
      </c>
      <c r="P611" s="136">
        <f t="shared" si="148"/>
        <v>0</v>
      </c>
      <c r="Q611" s="136">
        <f t="shared" si="148"/>
        <v>0</v>
      </c>
      <c r="R611" s="136">
        <f t="shared" si="148"/>
        <v>0</v>
      </c>
      <c r="S611" s="136">
        <f t="shared" si="148"/>
        <v>0</v>
      </c>
      <c r="T611" s="136">
        <f t="shared" si="148"/>
        <v>0</v>
      </c>
      <c r="U611" s="136">
        <f t="shared" si="148"/>
        <v>0</v>
      </c>
      <c r="V611" s="136">
        <f t="shared" si="148"/>
        <v>0</v>
      </c>
      <c r="W611" s="136">
        <f t="shared" si="148"/>
        <v>0</v>
      </c>
      <c r="X611" s="136">
        <f t="shared" si="148"/>
        <v>0</v>
      </c>
      <c r="Y611" s="136">
        <f t="shared" si="148"/>
        <v>0</v>
      </c>
      <c r="Z611" s="136">
        <f t="shared" si="148"/>
        <v>0</v>
      </c>
      <c r="AA611" s="136">
        <f t="shared" si="148"/>
        <v>0</v>
      </c>
      <c r="AB611" s="136">
        <f t="shared" si="148"/>
        <v>0</v>
      </c>
      <c r="AC611" s="136">
        <f t="shared" si="148"/>
        <v>0</v>
      </c>
      <c r="AD611" s="136">
        <f t="shared" si="148"/>
        <v>0</v>
      </c>
      <c r="AE611" s="136">
        <f t="shared" si="148"/>
        <v>0</v>
      </c>
      <c r="AF611" s="136">
        <f t="shared" si="148"/>
        <v>0</v>
      </c>
      <c r="AG611" s="136">
        <f t="shared" si="148"/>
        <v>0</v>
      </c>
      <c r="AH611" s="136">
        <f t="shared" si="148"/>
        <v>0</v>
      </c>
      <c r="AI611" s="136">
        <f t="shared" si="148"/>
        <v>0</v>
      </c>
      <c r="AJ611" s="136">
        <f t="shared" si="148"/>
        <v>0</v>
      </c>
      <c r="AK611" s="136">
        <f t="shared" si="148"/>
        <v>0</v>
      </c>
      <c r="AL611" s="136">
        <f t="shared" si="148"/>
        <v>0</v>
      </c>
      <c r="AM611" s="136">
        <f t="shared" si="148"/>
        <v>0</v>
      </c>
      <c r="AN611" s="136">
        <f t="shared" si="148"/>
        <v>0</v>
      </c>
      <c r="AO611" s="136">
        <f t="shared" si="148"/>
        <v>0</v>
      </c>
      <c r="AP611" s="136">
        <f t="shared" si="148"/>
        <v>0</v>
      </c>
      <c r="AQ611" s="136">
        <f t="shared" si="148"/>
        <v>0</v>
      </c>
      <c r="AR611" s="136">
        <f t="shared" si="148"/>
        <v>0</v>
      </c>
      <c r="AS611" s="136">
        <f t="shared" si="148"/>
        <v>0</v>
      </c>
      <c r="AT611" s="136">
        <f t="shared" si="148"/>
        <v>0</v>
      </c>
      <c r="AU611" s="136">
        <f t="shared" si="148"/>
        <v>0</v>
      </c>
      <c r="AV611" s="136">
        <f t="shared" si="148"/>
        <v>0</v>
      </c>
      <c r="AW611" s="136">
        <f t="shared" si="148"/>
        <v>0</v>
      </c>
      <c r="AX611" s="136">
        <f t="shared" si="148"/>
        <v>0</v>
      </c>
      <c r="AY611" s="136">
        <f t="shared" si="148"/>
        <v>0</v>
      </c>
      <c r="AZ611" s="136">
        <f t="shared" si="148"/>
        <v>0</v>
      </c>
      <c r="BA611" s="136">
        <f t="shared" si="148"/>
        <v>0</v>
      </c>
      <c r="BB611" s="136">
        <f t="shared" si="148"/>
        <v>0</v>
      </c>
      <c r="BC611" s="136">
        <f t="shared" si="148"/>
        <v>0</v>
      </c>
      <c r="BD611" s="136">
        <f t="shared" si="148"/>
        <v>0</v>
      </c>
      <c r="BE611" s="136">
        <f t="shared" si="148"/>
        <v>0</v>
      </c>
      <c r="BF611" s="136">
        <f t="shared" si="148"/>
        <v>0</v>
      </c>
      <c r="BG611" s="136">
        <f t="shared" si="148"/>
        <v>0</v>
      </c>
      <c r="BH611" s="136">
        <f t="shared" si="148"/>
        <v>0</v>
      </c>
      <c r="BI611" s="136">
        <f t="shared" si="148"/>
        <v>0</v>
      </c>
      <c r="BJ611" s="136">
        <f t="shared" si="148"/>
        <v>0</v>
      </c>
      <c r="BK611" s="136">
        <f t="shared" si="148"/>
        <v>0</v>
      </c>
      <c r="BL611" s="136">
        <f t="shared" si="148"/>
        <v>0</v>
      </c>
      <c r="BM611" s="136">
        <f t="shared" si="148"/>
        <v>0</v>
      </c>
      <c r="BN611" s="136">
        <f t="shared" si="148"/>
        <v>0</v>
      </c>
      <c r="BO611" s="136">
        <f t="shared" si="149"/>
        <v>0</v>
      </c>
      <c r="BP611" s="136">
        <f t="shared" si="149"/>
        <v>0</v>
      </c>
      <c r="BQ611" s="136">
        <f t="shared" si="149"/>
        <v>0</v>
      </c>
      <c r="BR611" s="136">
        <f t="shared" si="149"/>
        <v>0</v>
      </c>
      <c r="BS611" s="136">
        <f t="shared" si="149"/>
        <v>0</v>
      </c>
      <c r="BT611" s="136">
        <f t="shared" si="149"/>
        <v>0</v>
      </c>
      <c r="BU611" s="136">
        <f t="shared" si="149"/>
        <v>0</v>
      </c>
      <c r="BV611" s="136">
        <f t="shared" si="149"/>
        <v>0</v>
      </c>
      <c r="BW611" s="136">
        <f t="shared" si="149"/>
        <v>0</v>
      </c>
      <c r="BX611" s="136">
        <f t="shared" si="149"/>
        <v>0</v>
      </c>
      <c r="BZ611" s="136">
        <f t="shared" si="150"/>
        <v>0</v>
      </c>
      <c r="CA611" s="136">
        <f t="shared" si="150"/>
        <v>0</v>
      </c>
    </row>
    <row r="612" spans="7:79" hidden="1" x14ac:dyDescent="0.3">
      <c r="G612" s="136">
        <f t="shared" si="148"/>
        <v>0</v>
      </c>
      <c r="H612" s="136">
        <f t="shared" si="148"/>
        <v>0</v>
      </c>
      <c r="I612" s="136">
        <f t="shared" si="148"/>
        <v>0</v>
      </c>
      <c r="J612" s="136">
        <f t="shared" si="148"/>
        <v>0</v>
      </c>
      <c r="K612" s="136">
        <f t="shared" si="148"/>
        <v>0</v>
      </c>
      <c r="L612" s="136">
        <f t="shared" si="148"/>
        <v>0</v>
      </c>
      <c r="M612" s="136">
        <f t="shared" si="148"/>
        <v>0</v>
      </c>
      <c r="N612" s="136">
        <f t="shared" si="148"/>
        <v>0</v>
      </c>
      <c r="O612" s="136">
        <f t="shared" si="148"/>
        <v>0</v>
      </c>
      <c r="P612" s="136">
        <f t="shared" si="148"/>
        <v>0</v>
      </c>
      <c r="Q612" s="136">
        <f t="shared" si="148"/>
        <v>0</v>
      </c>
      <c r="R612" s="136">
        <f t="shared" si="148"/>
        <v>0</v>
      </c>
      <c r="S612" s="136">
        <f t="shared" si="148"/>
        <v>0</v>
      </c>
      <c r="T612" s="136">
        <f t="shared" si="148"/>
        <v>0</v>
      </c>
      <c r="U612" s="136">
        <f t="shared" si="148"/>
        <v>0</v>
      </c>
      <c r="V612" s="136">
        <f t="shared" si="148"/>
        <v>0</v>
      </c>
      <c r="W612" s="136">
        <f t="shared" si="148"/>
        <v>0</v>
      </c>
      <c r="X612" s="136">
        <f t="shared" si="148"/>
        <v>0</v>
      </c>
      <c r="Y612" s="136">
        <f t="shared" si="148"/>
        <v>0</v>
      </c>
      <c r="Z612" s="136">
        <f t="shared" si="148"/>
        <v>0</v>
      </c>
      <c r="AA612" s="136">
        <f t="shared" si="148"/>
        <v>0</v>
      </c>
      <c r="AB612" s="136">
        <f t="shared" si="148"/>
        <v>0</v>
      </c>
      <c r="AC612" s="136">
        <f t="shared" si="148"/>
        <v>0</v>
      </c>
      <c r="AD612" s="136">
        <f t="shared" si="148"/>
        <v>0</v>
      </c>
      <c r="AE612" s="136">
        <f t="shared" si="148"/>
        <v>0</v>
      </c>
      <c r="AF612" s="136">
        <f t="shared" si="148"/>
        <v>0</v>
      </c>
      <c r="AG612" s="136">
        <f t="shared" si="148"/>
        <v>0</v>
      </c>
      <c r="AH612" s="136">
        <f t="shared" si="148"/>
        <v>0</v>
      </c>
      <c r="AI612" s="136">
        <f t="shared" si="148"/>
        <v>0</v>
      </c>
      <c r="AJ612" s="136">
        <f t="shared" si="148"/>
        <v>0</v>
      </c>
      <c r="AK612" s="136">
        <f t="shared" si="148"/>
        <v>0</v>
      </c>
      <c r="AL612" s="136">
        <f t="shared" si="148"/>
        <v>0</v>
      </c>
      <c r="AM612" s="136">
        <f t="shared" si="148"/>
        <v>0</v>
      </c>
      <c r="AN612" s="136">
        <f t="shared" si="148"/>
        <v>0</v>
      </c>
      <c r="AO612" s="136">
        <f t="shared" si="148"/>
        <v>0</v>
      </c>
      <c r="AP612" s="136">
        <f t="shared" si="148"/>
        <v>0</v>
      </c>
      <c r="AQ612" s="136">
        <f t="shared" si="148"/>
        <v>0</v>
      </c>
      <c r="AR612" s="136">
        <f t="shared" si="148"/>
        <v>0</v>
      </c>
      <c r="AS612" s="136">
        <f t="shared" si="148"/>
        <v>0</v>
      </c>
      <c r="AT612" s="136">
        <f t="shared" si="148"/>
        <v>0</v>
      </c>
      <c r="AU612" s="136">
        <f t="shared" si="148"/>
        <v>0</v>
      </c>
      <c r="AV612" s="136">
        <f t="shared" si="148"/>
        <v>0</v>
      </c>
      <c r="AW612" s="136">
        <f t="shared" si="148"/>
        <v>0</v>
      </c>
      <c r="AX612" s="136">
        <f t="shared" si="148"/>
        <v>0</v>
      </c>
      <c r="AY612" s="136">
        <f t="shared" si="148"/>
        <v>0</v>
      </c>
      <c r="AZ612" s="136">
        <f t="shared" si="148"/>
        <v>0</v>
      </c>
      <c r="BA612" s="136">
        <f t="shared" si="148"/>
        <v>0</v>
      </c>
      <c r="BB612" s="136">
        <f t="shared" si="148"/>
        <v>0</v>
      </c>
      <c r="BC612" s="136">
        <f t="shared" si="148"/>
        <v>0</v>
      </c>
      <c r="BD612" s="136">
        <f t="shared" si="148"/>
        <v>0</v>
      </c>
      <c r="BE612" s="136">
        <f t="shared" si="148"/>
        <v>0</v>
      </c>
      <c r="BF612" s="136">
        <f t="shared" si="148"/>
        <v>0</v>
      </c>
      <c r="BG612" s="136">
        <f t="shared" si="148"/>
        <v>0</v>
      </c>
      <c r="BH612" s="136">
        <f t="shared" si="148"/>
        <v>0</v>
      </c>
      <c r="BI612" s="136">
        <f t="shared" si="148"/>
        <v>0</v>
      </c>
      <c r="BJ612" s="136">
        <f t="shared" si="148"/>
        <v>0</v>
      </c>
      <c r="BK612" s="136">
        <f t="shared" si="148"/>
        <v>0</v>
      </c>
      <c r="BL612" s="136">
        <f t="shared" si="148"/>
        <v>0</v>
      </c>
      <c r="BM612" s="136">
        <f t="shared" si="148"/>
        <v>0</v>
      </c>
      <c r="BN612" s="136">
        <f t="shared" si="148"/>
        <v>0</v>
      </c>
      <c r="BO612" s="136">
        <f t="shared" si="149"/>
        <v>0</v>
      </c>
      <c r="BP612" s="136">
        <f t="shared" si="149"/>
        <v>0</v>
      </c>
      <c r="BQ612" s="136">
        <f t="shared" si="149"/>
        <v>0</v>
      </c>
      <c r="BR612" s="136">
        <f t="shared" si="149"/>
        <v>0</v>
      </c>
      <c r="BS612" s="136">
        <f t="shared" si="149"/>
        <v>0</v>
      </c>
      <c r="BT612" s="136">
        <f t="shared" si="149"/>
        <v>0</v>
      </c>
      <c r="BU612" s="136">
        <f t="shared" si="149"/>
        <v>0</v>
      </c>
      <c r="BV612" s="136">
        <f t="shared" si="149"/>
        <v>0</v>
      </c>
      <c r="BW612" s="136">
        <f t="shared" si="149"/>
        <v>0</v>
      </c>
      <c r="BX612" s="136">
        <f t="shared" si="149"/>
        <v>0</v>
      </c>
      <c r="BZ612" s="136">
        <f t="shared" si="150"/>
        <v>0</v>
      </c>
      <c r="CA612" s="136">
        <f t="shared" si="150"/>
        <v>0</v>
      </c>
    </row>
    <row r="613" spans="7:79" hidden="1" x14ac:dyDescent="0.3">
      <c r="G613" s="136">
        <f t="shared" si="148"/>
        <v>0</v>
      </c>
      <c r="H613" s="136">
        <f t="shared" si="148"/>
        <v>0</v>
      </c>
      <c r="I613" s="136">
        <f t="shared" si="148"/>
        <v>0</v>
      </c>
      <c r="J613" s="136">
        <f t="shared" si="148"/>
        <v>0</v>
      </c>
      <c r="K613" s="136">
        <f t="shared" si="148"/>
        <v>0</v>
      </c>
      <c r="L613" s="136">
        <f t="shared" si="148"/>
        <v>0</v>
      </c>
      <c r="M613" s="136">
        <f t="shared" si="148"/>
        <v>0</v>
      </c>
      <c r="N613" s="136">
        <f t="shared" si="148"/>
        <v>0</v>
      </c>
      <c r="O613" s="136">
        <f t="shared" si="148"/>
        <v>0</v>
      </c>
      <c r="P613" s="136">
        <f t="shared" si="148"/>
        <v>0</v>
      </c>
      <c r="Q613" s="136">
        <f t="shared" si="148"/>
        <v>0</v>
      </c>
      <c r="R613" s="136">
        <f t="shared" ref="R613:BN613" si="151">R190-CJ190</f>
        <v>0</v>
      </c>
      <c r="S613" s="136">
        <f t="shared" si="151"/>
        <v>0</v>
      </c>
      <c r="T613" s="136">
        <f t="shared" si="151"/>
        <v>0</v>
      </c>
      <c r="U613" s="136">
        <f t="shared" si="151"/>
        <v>0</v>
      </c>
      <c r="V613" s="136">
        <f t="shared" si="151"/>
        <v>0</v>
      </c>
      <c r="W613" s="136">
        <f t="shared" si="151"/>
        <v>0</v>
      </c>
      <c r="X613" s="136">
        <f t="shared" si="151"/>
        <v>0</v>
      </c>
      <c r="Y613" s="136">
        <f t="shared" si="151"/>
        <v>0</v>
      </c>
      <c r="Z613" s="136">
        <f t="shared" si="151"/>
        <v>0</v>
      </c>
      <c r="AA613" s="136">
        <f t="shared" si="151"/>
        <v>0</v>
      </c>
      <c r="AB613" s="136">
        <f t="shared" si="151"/>
        <v>0</v>
      </c>
      <c r="AC613" s="136">
        <f t="shared" si="151"/>
        <v>0</v>
      </c>
      <c r="AD613" s="136">
        <f t="shared" si="151"/>
        <v>0</v>
      </c>
      <c r="AE613" s="136">
        <f t="shared" si="151"/>
        <v>0</v>
      </c>
      <c r="AF613" s="136">
        <f t="shared" si="151"/>
        <v>0</v>
      </c>
      <c r="AG613" s="136">
        <f t="shared" si="151"/>
        <v>0</v>
      </c>
      <c r="AH613" s="136">
        <f t="shared" si="151"/>
        <v>0</v>
      </c>
      <c r="AI613" s="136">
        <f t="shared" si="151"/>
        <v>0</v>
      </c>
      <c r="AJ613" s="136">
        <f t="shared" si="151"/>
        <v>0</v>
      </c>
      <c r="AK613" s="136">
        <f t="shared" si="151"/>
        <v>0</v>
      </c>
      <c r="AL613" s="136">
        <f t="shared" si="151"/>
        <v>0</v>
      </c>
      <c r="AM613" s="136">
        <f t="shared" si="151"/>
        <v>0</v>
      </c>
      <c r="AN613" s="136">
        <f t="shared" si="151"/>
        <v>0</v>
      </c>
      <c r="AO613" s="136">
        <f t="shared" si="151"/>
        <v>0</v>
      </c>
      <c r="AP613" s="136">
        <f t="shared" si="151"/>
        <v>0</v>
      </c>
      <c r="AQ613" s="136">
        <f t="shared" si="151"/>
        <v>0</v>
      </c>
      <c r="AR613" s="136">
        <f t="shared" si="151"/>
        <v>0</v>
      </c>
      <c r="AS613" s="136">
        <f t="shared" si="151"/>
        <v>0</v>
      </c>
      <c r="AT613" s="136">
        <f t="shared" si="151"/>
        <v>0</v>
      </c>
      <c r="AU613" s="136">
        <f t="shared" si="151"/>
        <v>0</v>
      </c>
      <c r="AV613" s="136">
        <f t="shared" si="151"/>
        <v>0</v>
      </c>
      <c r="AW613" s="136">
        <f t="shared" si="151"/>
        <v>0</v>
      </c>
      <c r="AX613" s="136">
        <f t="shared" si="151"/>
        <v>0</v>
      </c>
      <c r="AY613" s="136">
        <f t="shared" si="151"/>
        <v>0</v>
      </c>
      <c r="AZ613" s="136">
        <f t="shared" si="151"/>
        <v>0</v>
      </c>
      <c r="BA613" s="136">
        <f t="shared" si="151"/>
        <v>0</v>
      </c>
      <c r="BB613" s="136">
        <f t="shared" si="151"/>
        <v>0</v>
      </c>
      <c r="BC613" s="136">
        <f t="shared" si="151"/>
        <v>0</v>
      </c>
      <c r="BD613" s="136">
        <f t="shared" si="151"/>
        <v>0</v>
      </c>
      <c r="BE613" s="136">
        <f t="shared" si="151"/>
        <v>0</v>
      </c>
      <c r="BF613" s="136">
        <f t="shared" si="151"/>
        <v>0</v>
      </c>
      <c r="BG613" s="136">
        <f t="shared" si="151"/>
        <v>0</v>
      </c>
      <c r="BH613" s="136">
        <f t="shared" si="151"/>
        <v>0</v>
      </c>
      <c r="BI613" s="136">
        <f t="shared" si="151"/>
        <v>0</v>
      </c>
      <c r="BJ613" s="136">
        <f t="shared" si="151"/>
        <v>0</v>
      </c>
      <c r="BK613" s="136">
        <f t="shared" si="151"/>
        <v>0</v>
      </c>
      <c r="BL613" s="136">
        <f t="shared" si="151"/>
        <v>0</v>
      </c>
      <c r="BM613" s="136">
        <f t="shared" si="151"/>
        <v>0</v>
      </c>
      <c r="BN613" s="136">
        <f t="shared" si="151"/>
        <v>0</v>
      </c>
      <c r="BO613" s="136">
        <f t="shared" si="149"/>
        <v>0</v>
      </c>
      <c r="BP613" s="136">
        <f t="shared" si="149"/>
        <v>0</v>
      </c>
      <c r="BQ613" s="136">
        <f t="shared" si="149"/>
        <v>0</v>
      </c>
      <c r="BR613" s="136">
        <f t="shared" si="149"/>
        <v>0</v>
      </c>
      <c r="BS613" s="136">
        <f t="shared" si="149"/>
        <v>0</v>
      </c>
      <c r="BT613" s="136">
        <f t="shared" si="149"/>
        <v>0</v>
      </c>
      <c r="BU613" s="136">
        <f t="shared" si="149"/>
        <v>0</v>
      </c>
      <c r="BV613" s="136">
        <f t="shared" si="149"/>
        <v>0</v>
      </c>
      <c r="BW613" s="136">
        <f t="shared" si="149"/>
        <v>0</v>
      </c>
      <c r="BX613" s="136">
        <f t="shared" si="149"/>
        <v>0</v>
      </c>
      <c r="BZ613" s="136">
        <f t="shared" si="150"/>
        <v>0</v>
      </c>
      <c r="CA613" s="136">
        <f t="shared" si="150"/>
        <v>0</v>
      </c>
    </row>
    <row r="614" spans="7:79" hidden="1" x14ac:dyDescent="0.3">
      <c r="G614" s="136">
        <f t="shared" ref="G614:BR617" si="152">G192-BY192</f>
        <v>0</v>
      </c>
      <c r="H614" s="136">
        <f t="shared" si="152"/>
        <v>0</v>
      </c>
      <c r="I614" s="136">
        <f t="shared" si="152"/>
        <v>0</v>
      </c>
      <c r="J614" s="136">
        <f t="shared" si="152"/>
        <v>0</v>
      </c>
      <c r="K614" s="136">
        <f t="shared" si="152"/>
        <v>0</v>
      </c>
      <c r="L614" s="136">
        <f t="shared" si="152"/>
        <v>0</v>
      </c>
      <c r="M614" s="136">
        <f t="shared" si="152"/>
        <v>0</v>
      </c>
      <c r="N614" s="136">
        <f t="shared" si="152"/>
        <v>0</v>
      </c>
      <c r="O614" s="136">
        <f t="shared" si="152"/>
        <v>0</v>
      </c>
      <c r="P614" s="136">
        <f t="shared" si="152"/>
        <v>0</v>
      </c>
      <c r="Q614" s="136">
        <f t="shared" si="152"/>
        <v>0</v>
      </c>
      <c r="R614" s="136">
        <f t="shared" si="152"/>
        <v>0</v>
      </c>
      <c r="S614" s="136">
        <f t="shared" si="152"/>
        <v>0</v>
      </c>
      <c r="T614" s="136">
        <f t="shared" si="152"/>
        <v>0</v>
      </c>
      <c r="U614" s="136">
        <f t="shared" si="152"/>
        <v>0</v>
      </c>
      <c r="V614" s="136">
        <f t="shared" si="152"/>
        <v>0</v>
      </c>
      <c r="W614" s="136">
        <f t="shared" si="152"/>
        <v>0</v>
      </c>
      <c r="X614" s="136">
        <f t="shared" si="152"/>
        <v>0</v>
      </c>
      <c r="Y614" s="136">
        <f t="shared" si="152"/>
        <v>0</v>
      </c>
      <c r="Z614" s="136">
        <f t="shared" si="152"/>
        <v>0</v>
      </c>
      <c r="AA614" s="136">
        <f t="shared" si="152"/>
        <v>0</v>
      </c>
      <c r="AB614" s="136">
        <f t="shared" si="152"/>
        <v>0</v>
      </c>
      <c r="AC614" s="136">
        <f t="shared" si="152"/>
        <v>0</v>
      </c>
      <c r="AD614" s="136">
        <f t="shared" si="152"/>
        <v>0</v>
      </c>
      <c r="AE614" s="136">
        <f t="shared" si="152"/>
        <v>0</v>
      </c>
      <c r="AF614" s="136">
        <f t="shared" si="152"/>
        <v>0</v>
      </c>
      <c r="AG614" s="136">
        <f t="shared" si="152"/>
        <v>0</v>
      </c>
      <c r="AH614" s="136">
        <f t="shared" si="152"/>
        <v>0</v>
      </c>
      <c r="AI614" s="136">
        <f t="shared" si="152"/>
        <v>0</v>
      </c>
      <c r="AJ614" s="136">
        <f t="shared" si="152"/>
        <v>0</v>
      </c>
      <c r="AK614" s="136">
        <f t="shared" si="152"/>
        <v>0</v>
      </c>
      <c r="AL614" s="136">
        <f t="shared" si="152"/>
        <v>0</v>
      </c>
      <c r="AM614" s="136">
        <f t="shared" si="152"/>
        <v>0</v>
      </c>
      <c r="AN614" s="136">
        <f t="shared" si="152"/>
        <v>0</v>
      </c>
      <c r="AO614" s="136">
        <f t="shared" si="152"/>
        <v>0</v>
      </c>
      <c r="AP614" s="136">
        <f t="shared" si="152"/>
        <v>0</v>
      </c>
      <c r="AQ614" s="136">
        <f t="shared" si="152"/>
        <v>0</v>
      </c>
      <c r="AR614" s="136">
        <f t="shared" si="152"/>
        <v>0</v>
      </c>
      <c r="AS614" s="136">
        <f t="shared" si="152"/>
        <v>0</v>
      </c>
      <c r="AT614" s="136">
        <f t="shared" si="152"/>
        <v>0</v>
      </c>
      <c r="AU614" s="136">
        <f t="shared" si="152"/>
        <v>0</v>
      </c>
      <c r="AV614" s="136">
        <f t="shared" si="152"/>
        <v>0</v>
      </c>
      <c r="AW614" s="136">
        <f t="shared" si="152"/>
        <v>0</v>
      </c>
      <c r="AX614" s="136">
        <f t="shared" si="152"/>
        <v>0</v>
      </c>
      <c r="AY614" s="136">
        <f t="shared" si="152"/>
        <v>0</v>
      </c>
      <c r="AZ614" s="136">
        <f t="shared" si="152"/>
        <v>0</v>
      </c>
      <c r="BA614" s="136">
        <f t="shared" si="152"/>
        <v>0</v>
      </c>
      <c r="BB614" s="136">
        <f t="shared" si="152"/>
        <v>0</v>
      </c>
      <c r="BC614" s="136">
        <f t="shared" si="152"/>
        <v>0</v>
      </c>
      <c r="BD614" s="136">
        <f t="shared" si="152"/>
        <v>0</v>
      </c>
      <c r="BE614" s="136">
        <f t="shared" si="152"/>
        <v>0</v>
      </c>
      <c r="BF614" s="136">
        <f t="shared" si="152"/>
        <v>0</v>
      </c>
      <c r="BG614" s="136">
        <f t="shared" si="152"/>
        <v>0</v>
      </c>
      <c r="BH614" s="136">
        <f t="shared" si="152"/>
        <v>0</v>
      </c>
      <c r="BI614" s="136">
        <f t="shared" si="152"/>
        <v>0</v>
      </c>
      <c r="BJ614" s="136">
        <f t="shared" si="152"/>
        <v>0</v>
      </c>
      <c r="BK614" s="136">
        <f t="shared" si="152"/>
        <v>0</v>
      </c>
      <c r="BL614" s="136">
        <f t="shared" si="152"/>
        <v>0</v>
      </c>
      <c r="BM614" s="136">
        <f t="shared" si="152"/>
        <v>0</v>
      </c>
      <c r="BN614" s="136">
        <f t="shared" si="152"/>
        <v>0</v>
      </c>
      <c r="BO614" s="136">
        <f t="shared" si="152"/>
        <v>0</v>
      </c>
      <c r="BP614" s="136">
        <f t="shared" si="152"/>
        <v>0</v>
      </c>
      <c r="BQ614" s="136">
        <f t="shared" si="152"/>
        <v>0</v>
      </c>
      <c r="BR614" s="136">
        <f t="shared" si="152"/>
        <v>0</v>
      </c>
      <c r="BS614" s="136">
        <f t="shared" ref="BS614:BX624" si="153">BS192-EK192</f>
        <v>0</v>
      </c>
      <c r="BT614" s="136">
        <f t="shared" si="153"/>
        <v>0</v>
      </c>
      <c r="BU614" s="136">
        <f t="shared" si="153"/>
        <v>0</v>
      </c>
      <c r="BV614" s="136">
        <f t="shared" si="153"/>
        <v>0</v>
      </c>
      <c r="BW614" s="136">
        <f t="shared" si="153"/>
        <v>0</v>
      </c>
      <c r="BX614" s="136">
        <f t="shared" si="153"/>
        <v>0</v>
      </c>
      <c r="BZ614" s="136">
        <f t="shared" ref="BZ614:CA624" si="154">BZ192-ER192</f>
        <v>0</v>
      </c>
      <c r="CA614" s="136">
        <f t="shared" si="154"/>
        <v>0</v>
      </c>
    </row>
    <row r="615" spans="7:79" hidden="1" x14ac:dyDescent="0.3">
      <c r="G615" s="136">
        <f t="shared" si="152"/>
        <v>0</v>
      </c>
      <c r="H615" s="136">
        <f t="shared" si="152"/>
        <v>0</v>
      </c>
      <c r="I615" s="136">
        <f t="shared" si="152"/>
        <v>0</v>
      </c>
      <c r="J615" s="136">
        <f t="shared" si="152"/>
        <v>0</v>
      </c>
      <c r="K615" s="136">
        <f t="shared" si="152"/>
        <v>0</v>
      </c>
      <c r="L615" s="136">
        <f t="shared" si="152"/>
        <v>0</v>
      </c>
      <c r="M615" s="136">
        <f t="shared" si="152"/>
        <v>0</v>
      </c>
      <c r="N615" s="136">
        <f t="shared" si="152"/>
        <v>0</v>
      </c>
      <c r="O615" s="136">
        <f t="shared" si="152"/>
        <v>0</v>
      </c>
      <c r="P615" s="136">
        <f t="shared" si="152"/>
        <v>0</v>
      </c>
      <c r="Q615" s="136">
        <f t="shared" si="152"/>
        <v>0</v>
      </c>
      <c r="R615" s="136">
        <f t="shared" si="152"/>
        <v>0</v>
      </c>
      <c r="S615" s="136">
        <f t="shared" si="152"/>
        <v>0</v>
      </c>
      <c r="T615" s="136">
        <f t="shared" si="152"/>
        <v>0</v>
      </c>
      <c r="U615" s="136">
        <f t="shared" si="152"/>
        <v>0</v>
      </c>
      <c r="V615" s="136">
        <f t="shared" si="152"/>
        <v>0</v>
      </c>
      <c r="W615" s="136">
        <f t="shared" si="152"/>
        <v>0</v>
      </c>
      <c r="X615" s="136">
        <f t="shared" si="152"/>
        <v>0</v>
      </c>
      <c r="Y615" s="136">
        <f t="shared" si="152"/>
        <v>0</v>
      </c>
      <c r="Z615" s="136">
        <f t="shared" si="152"/>
        <v>0</v>
      </c>
      <c r="AA615" s="136">
        <f t="shared" si="152"/>
        <v>0</v>
      </c>
      <c r="AB615" s="136">
        <f t="shared" si="152"/>
        <v>0</v>
      </c>
      <c r="AC615" s="136">
        <f t="shared" si="152"/>
        <v>0</v>
      </c>
      <c r="AD615" s="136">
        <f t="shared" si="152"/>
        <v>0</v>
      </c>
      <c r="AE615" s="136">
        <f t="shared" si="152"/>
        <v>0</v>
      </c>
      <c r="AF615" s="136">
        <f t="shared" si="152"/>
        <v>0</v>
      </c>
      <c r="AG615" s="136">
        <f t="shared" si="152"/>
        <v>0</v>
      </c>
      <c r="AH615" s="136">
        <f t="shared" si="152"/>
        <v>0</v>
      </c>
      <c r="AI615" s="136">
        <f t="shared" si="152"/>
        <v>0</v>
      </c>
      <c r="AJ615" s="136">
        <f t="shared" si="152"/>
        <v>0</v>
      </c>
      <c r="AK615" s="136">
        <f t="shared" si="152"/>
        <v>0</v>
      </c>
      <c r="AL615" s="136">
        <f t="shared" si="152"/>
        <v>0</v>
      </c>
      <c r="AM615" s="136">
        <f t="shared" si="152"/>
        <v>0</v>
      </c>
      <c r="AN615" s="136">
        <f t="shared" si="152"/>
        <v>0</v>
      </c>
      <c r="AO615" s="136">
        <f t="shared" si="152"/>
        <v>0</v>
      </c>
      <c r="AP615" s="136">
        <f t="shared" si="152"/>
        <v>0</v>
      </c>
      <c r="AQ615" s="136">
        <f t="shared" si="152"/>
        <v>0</v>
      </c>
      <c r="AR615" s="136">
        <f t="shared" si="152"/>
        <v>0</v>
      </c>
      <c r="AS615" s="136">
        <f t="shared" si="152"/>
        <v>0</v>
      </c>
      <c r="AT615" s="136">
        <f t="shared" si="152"/>
        <v>0</v>
      </c>
      <c r="AU615" s="136">
        <f t="shared" si="152"/>
        <v>0</v>
      </c>
      <c r="AV615" s="136">
        <f t="shared" si="152"/>
        <v>0</v>
      </c>
      <c r="AW615" s="136">
        <f t="shared" si="152"/>
        <v>0</v>
      </c>
      <c r="AX615" s="136">
        <f t="shared" si="152"/>
        <v>0</v>
      </c>
      <c r="AY615" s="136">
        <f t="shared" si="152"/>
        <v>0</v>
      </c>
      <c r="AZ615" s="136">
        <f t="shared" si="152"/>
        <v>0</v>
      </c>
      <c r="BA615" s="136">
        <f t="shared" si="152"/>
        <v>0</v>
      </c>
      <c r="BB615" s="136">
        <f t="shared" si="152"/>
        <v>0</v>
      </c>
      <c r="BC615" s="136">
        <f t="shared" si="152"/>
        <v>0</v>
      </c>
      <c r="BD615" s="136">
        <f t="shared" si="152"/>
        <v>0</v>
      </c>
      <c r="BE615" s="136">
        <f t="shared" si="152"/>
        <v>0</v>
      </c>
      <c r="BF615" s="136">
        <f t="shared" si="152"/>
        <v>0</v>
      </c>
      <c r="BG615" s="136">
        <f t="shared" si="152"/>
        <v>0</v>
      </c>
      <c r="BH615" s="136">
        <f t="shared" si="152"/>
        <v>0</v>
      </c>
      <c r="BI615" s="136">
        <f t="shared" si="152"/>
        <v>0</v>
      </c>
      <c r="BJ615" s="136">
        <f t="shared" si="152"/>
        <v>0</v>
      </c>
      <c r="BK615" s="136">
        <f t="shared" si="152"/>
        <v>0</v>
      </c>
      <c r="BL615" s="136">
        <f t="shared" si="152"/>
        <v>0</v>
      </c>
      <c r="BM615" s="136">
        <f t="shared" si="152"/>
        <v>0</v>
      </c>
      <c r="BN615" s="136">
        <f t="shared" si="152"/>
        <v>0</v>
      </c>
      <c r="BO615" s="136">
        <f t="shared" si="152"/>
        <v>0</v>
      </c>
      <c r="BP615" s="136">
        <f t="shared" si="152"/>
        <v>0</v>
      </c>
      <c r="BQ615" s="136">
        <f t="shared" si="152"/>
        <v>0</v>
      </c>
      <c r="BR615" s="136">
        <f t="shared" si="152"/>
        <v>0</v>
      </c>
      <c r="BS615" s="136">
        <f t="shared" si="153"/>
        <v>0</v>
      </c>
      <c r="BT615" s="136">
        <f t="shared" si="153"/>
        <v>0</v>
      </c>
      <c r="BU615" s="136">
        <f t="shared" si="153"/>
        <v>0</v>
      </c>
      <c r="BV615" s="136">
        <f t="shared" si="153"/>
        <v>0</v>
      </c>
      <c r="BW615" s="136">
        <f t="shared" si="153"/>
        <v>0</v>
      </c>
      <c r="BX615" s="136">
        <f t="shared" si="153"/>
        <v>0</v>
      </c>
      <c r="BZ615" s="136">
        <f t="shared" si="154"/>
        <v>0</v>
      </c>
      <c r="CA615" s="136">
        <f t="shared" si="154"/>
        <v>0</v>
      </c>
    </row>
    <row r="616" spans="7:79" hidden="1" x14ac:dyDescent="0.3">
      <c r="G616" s="136">
        <f t="shared" si="152"/>
        <v>0</v>
      </c>
      <c r="H616" s="136">
        <f t="shared" si="152"/>
        <v>0</v>
      </c>
      <c r="I616" s="136">
        <f t="shared" si="152"/>
        <v>0</v>
      </c>
      <c r="J616" s="136">
        <f t="shared" si="152"/>
        <v>0</v>
      </c>
      <c r="K616" s="136">
        <f t="shared" si="152"/>
        <v>0</v>
      </c>
      <c r="L616" s="136">
        <f t="shared" si="152"/>
        <v>0</v>
      </c>
      <c r="M616" s="136">
        <f t="shared" si="152"/>
        <v>0</v>
      </c>
      <c r="N616" s="136">
        <f t="shared" si="152"/>
        <v>0</v>
      </c>
      <c r="O616" s="136">
        <f t="shared" si="152"/>
        <v>0</v>
      </c>
      <c r="P616" s="136">
        <f t="shared" si="152"/>
        <v>0</v>
      </c>
      <c r="Q616" s="136">
        <f t="shared" si="152"/>
        <v>0</v>
      </c>
      <c r="R616" s="136">
        <f t="shared" si="152"/>
        <v>0</v>
      </c>
      <c r="S616" s="136">
        <f t="shared" si="152"/>
        <v>0</v>
      </c>
      <c r="T616" s="136">
        <f t="shared" si="152"/>
        <v>0</v>
      </c>
      <c r="U616" s="136">
        <f t="shared" si="152"/>
        <v>0</v>
      </c>
      <c r="V616" s="136">
        <f t="shared" si="152"/>
        <v>0</v>
      </c>
      <c r="W616" s="136">
        <f t="shared" si="152"/>
        <v>0</v>
      </c>
      <c r="X616" s="136">
        <f t="shared" si="152"/>
        <v>0</v>
      </c>
      <c r="Y616" s="136">
        <f t="shared" si="152"/>
        <v>0</v>
      </c>
      <c r="Z616" s="136">
        <f t="shared" si="152"/>
        <v>0</v>
      </c>
      <c r="AA616" s="136">
        <f t="shared" si="152"/>
        <v>0</v>
      </c>
      <c r="AB616" s="136">
        <f t="shared" si="152"/>
        <v>0</v>
      </c>
      <c r="AC616" s="136">
        <f t="shared" si="152"/>
        <v>0</v>
      </c>
      <c r="AD616" s="136">
        <f t="shared" si="152"/>
        <v>0</v>
      </c>
      <c r="AE616" s="136">
        <f t="shared" si="152"/>
        <v>0</v>
      </c>
      <c r="AF616" s="136">
        <f t="shared" si="152"/>
        <v>0</v>
      </c>
      <c r="AG616" s="136">
        <f t="shared" si="152"/>
        <v>0</v>
      </c>
      <c r="AH616" s="136">
        <f t="shared" si="152"/>
        <v>0</v>
      </c>
      <c r="AI616" s="136">
        <f t="shared" si="152"/>
        <v>0</v>
      </c>
      <c r="AJ616" s="136">
        <f t="shared" si="152"/>
        <v>0</v>
      </c>
      <c r="AK616" s="136">
        <f t="shared" si="152"/>
        <v>0</v>
      </c>
      <c r="AL616" s="136">
        <f t="shared" si="152"/>
        <v>0</v>
      </c>
      <c r="AM616" s="136">
        <f t="shared" si="152"/>
        <v>0</v>
      </c>
      <c r="AN616" s="136">
        <f t="shared" si="152"/>
        <v>0</v>
      </c>
      <c r="AO616" s="136">
        <f t="shared" si="152"/>
        <v>0</v>
      </c>
      <c r="AP616" s="136">
        <f t="shared" si="152"/>
        <v>0</v>
      </c>
      <c r="AQ616" s="136">
        <f t="shared" si="152"/>
        <v>0</v>
      </c>
      <c r="AR616" s="136">
        <f t="shared" si="152"/>
        <v>0</v>
      </c>
      <c r="AS616" s="136">
        <f t="shared" si="152"/>
        <v>0</v>
      </c>
      <c r="AT616" s="136">
        <f t="shared" si="152"/>
        <v>0</v>
      </c>
      <c r="AU616" s="136">
        <f t="shared" si="152"/>
        <v>0</v>
      </c>
      <c r="AV616" s="136">
        <f t="shared" si="152"/>
        <v>0</v>
      </c>
      <c r="AW616" s="136">
        <f t="shared" si="152"/>
        <v>0</v>
      </c>
      <c r="AX616" s="136">
        <f t="shared" si="152"/>
        <v>0</v>
      </c>
      <c r="AY616" s="136">
        <f t="shared" si="152"/>
        <v>0</v>
      </c>
      <c r="AZ616" s="136">
        <f t="shared" si="152"/>
        <v>0</v>
      </c>
      <c r="BA616" s="136">
        <f t="shared" si="152"/>
        <v>0</v>
      </c>
      <c r="BB616" s="136">
        <f t="shared" si="152"/>
        <v>0</v>
      </c>
      <c r="BC616" s="136">
        <f t="shared" si="152"/>
        <v>0</v>
      </c>
      <c r="BD616" s="136">
        <f t="shared" si="152"/>
        <v>0</v>
      </c>
      <c r="BE616" s="136">
        <f t="shared" si="152"/>
        <v>0</v>
      </c>
      <c r="BF616" s="136">
        <f t="shared" si="152"/>
        <v>0</v>
      </c>
      <c r="BG616" s="136">
        <f t="shared" si="152"/>
        <v>0</v>
      </c>
      <c r="BH616" s="136">
        <f t="shared" si="152"/>
        <v>0</v>
      </c>
      <c r="BI616" s="136">
        <f t="shared" si="152"/>
        <v>0</v>
      </c>
      <c r="BJ616" s="136">
        <f t="shared" si="152"/>
        <v>0</v>
      </c>
      <c r="BK616" s="136">
        <f t="shared" si="152"/>
        <v>0</v>
      </c>
      <c r="BL616" s="136">
        <f t="shared" si="152"/>
        <v>0</v>
      </c>
      <c r="BM616" s="136">
        <f t="shared" si="152"/>
        <v>0</v>
      </c>
      <c r="BN616" s="136">
        <f t="shared" si="152"/>
        <v>0</v>
      </c>
      <c r="BO616" s="136">
        <f t="shared" si="152"/>
        <v>0</v>
      </c>
      <c r="BP616" s="136">
        <f t="shared" si="152"/>
        <v>0</v>
      </c>
      <c r="BQ616" s="136">
        <f t="shared" si="152"/>
        <v>0</v>
      </c>
      <c r="BR616" s="136">
        <f t="shared" si="152"/>
        <v>0</v>
      </c>
      <c r="BS616" s="136">
        <f t="shared" si="153"/>
        <v>0</v>
      </c>
      <c r="BT616" s="136">
        <f t="shared" si="153"/>
        <v>0</v>
      </c>
      <c r="BU616" s="136">
        <f t="shared" si="153"/>
        <v>0</v>
      </c>
      <c r="BV616" s="136">
        <f t="shared" si="153"/>
        <v>0</v>
      </c>
      <c r="BW616" s="136">
        <f t="shared" si="153"/>
        <v>0</v>
      </c>
      <c r="BX616" s="136">
        <f t="shared" si="153"/>
        <v>0</v>
      </c>
      <c r="BZ616" s="136">
        <f t="shared" si="154"/>
        <v>0</v>
      </c>
      <c r="CA616" s="136">
        <f t="shared" si="154"/>
        <v>0</v>
      </c>
    </row>
    <row r="617" spans="7:79" hidden="1" x14ac:dyDescent="0.3">
      <c r="G617" s="136">
        <f t="shared" si="152"/>
        <v>0</v>
      </c>
      <c r="H617" s="136">
        <f t="shared" si="152"/>
        <v>0</v>
      </c>
      <c r="I617" s="136">
        <f t="shared" si="152"/>
        <v>0</v>
      </c>
      <c r="J617" s="136">
        <f t="shared" si="152"/>
        <v>0</v>
      </c>
      <c r="K617" s="136">
        <f t="shared" si="152"/>
        <v>0</v>
      </c>
      <c r="L617" s="136">
        <f t="shared" si="152"/>
        <v>0</v>
      </c>
      <c r="M617" s="136">
        <f t="shared" si="152"/>
        <v>0</v>
      </c>
      <c r="N617" s="136">
        <f t="shared" si="152"/>
        <v>0</v>
      </c>
      <c r="O617" s="136">
        <f t="shared" si="152"/>
        <v>0</v>
      </c>
      <c r="P617" s="136">
        <f t="shared" si="152"/>
        <v>0</v>
      </c>
      <c r="Q617" s="136">
        <f t="shared" si="152"/>
        <v>0</v>
      </c>
      <c r="R617" s="136">
        <f t="shared" si="152"/>
        <v>0</v>
      </c>
      <c r="S617" s="136">
        <f t="shared" si="152"/>
        <v>0</v>
      </c>
      <c r="T617" s="136">
        <f t="shared" si="152"/>
        <v>0</v>
      </c>
      <c r="U617" s="136">
        <f t="shared" si="152"/>
        <v>0</v>
      </c>
      <c r="V617" s="136">
        <f t="shared" si="152"/>
        <v>0</v>
      </c>
      <c r="W617" s="136">
        <f t="shared" si="152"/>
        <v>0</v>
      </c>
      <c r="X617" s="136">
        <f t="shared" si="152"/>
        <v>0</v>
      </c>
      <c r="Y617" s="136">
        <f t="shared" si="152"/>
        <v>0</v>
      </c>
      <c r="Z617" s="136">
        <f t="shared" si="152"/>
        <v>0</v>
      </c>
      <c r="AA617" s="136">
        <f t="shared" si="152"/>
        <v>0</v>
      </c>
      <c r="AB617" s="136">
        <f t="shared" si="152"/>
        <v>0</v>
      </c>
      <c r="AC617" s="136">
        <f t="shared" si="152"/>
        <v>0</v>
      </c>
      <c r="AD617" s="136">
        <f t="shared" si="152"/>
        <v>0</v>
      </c>
      <c r="AE617" s="136">
        <f t="shared" si="152"/>
        <v>0</v>
      </c>
      <c r="AF617" s="136">
        <f t="shared" si="152"/>
        <v>0</v>
      </c>
      <c r="AG617" s="136">
        <f t="shared" si="152"/>
        <v>0</v>
      </c>
      <c r="AH617" s="136">
        <f t="shared" si="152"/>
        <v>0</v>
      </c>
      <c r="AI617" s="136">
        <f t="shared" si="152"/>
        <v>0</v>
      </c>
      <c r="AJ617" s="136">
        <f t="shared" si="152"/>
        <v>0</v>
      </c>
      <c r="AK617" s="136">
        <f t="shared" si="152"/>
        <v>0</v>
      </c>
      <c r="AL617" s="136">
        <f t="shared" si="152"/>
        <v>0</v>
      </c>
      <c r="AM617" s="136">
        <f t="shared" si="152"/>
        <v>0</v>
      </c>
      <c r="AN617" s="136">
        <f t="shared" si="152"/>
        <v>0</v>
      </c>
      <c r="AO617" s="136">
        <f t="shared" si="152"/>
        <v>0</v>
      </c>
      <c r="AP617" s="136">
        <f t="shared" si="152"/>
        <v>0</v>
      </c>
      <c r="AQ617" s="136">
        <f t="shared" si="152"/>
        <v>0</v>
      </c>
      <c r="AR617" s="136">
        <f t="shared" si="152"/>
        <v>0</v>
      </c>
      <c r="AS617" s="136">
        <f t="shared" si="152"/>
        <v>0</v>
      </c>
      <c r="AT617" s="136">
        <f t="shared" si="152"/>
        <v>0</v>
      </c>
      <c r="AU617" s="136">
        <f t="shared" si="152"/>
        <v>0</v>
      </c>
      <c r="AV617" s="136">
        <f t="shared" si="152"/>
        <v>0</v>
      </c>
      <c r="AW617" s="136">
        <f t="shared" si="152"/>
        <v>0</v>
      </c>
      <c r="AX617" s="136">
        <f t="shared" si="152"/>
        <v>0</v>
      </c>
      <c r="AY617" s="136">
        <f t="shared" si="152"/>
        <v>0</v>
      </c>
      <c r="AZ617" s="136">
        <f t="shared" si="152"/>
        <v>0</v>
      </c>
      <c r="BA617" s="136">
        <f t="shared" si="152"/>
        <v>0</v>
      </c>
      <c r="BB617" s="136">
        <f t="shared" si="152"/>
        <v>0</v>
      </c>
      <c r="BC617" s="136">
        <f t="shared" si="152"/>
        <v>0</v>
      </c>
      <c r="BD617" s="136">
        <f t="shared" si="152"/>
        <v>0</v>
      </c>
      <c r="BE617" s="136">
        <f t="shared" si="152"/>
        <v>0</v>
      </c>
      <c r="BF617" s="136">
        <f t="shared" si="152"/>
        <v>0</v>
      </c>
      <c r="BG617" s="136">
        <f t="shared" si="152"/>
        <v>0</v>
      </c>
      <c r="BH617" s="136">
        <f t="shared" si="152"/>
        <v>0</v>
      </c>
      <c r="BI617" s="136">
        <f t="shared" si="152"/>
        <v>0</v>
      </c>
      <c r="BJ617" s="136">
        <f t="shared" si="152"/>
        <v>0</v>
      </c>
      <c r="BK617" s="136">
        <f t="shared" si="152"/>
        <v>0</v>
      </c>
      <c r="BL617" s="136">
        <f t="shared" si="152"/>
        <v>0</v>
      </c>
      <c r="BM617" s="136">
        <f t="shared" si="152"/>
        <v>0</v>
      </c>
      <c r="BN617" s="136">
        <f t="shared" si="152"/>
        <v>0</v>
      </c>
      <c r="BO617" s="136">
        <f t="shared" si="152"/>
        <v>0</v>
      </c>
      <c r="BP617" s="136">
        <f t="shared" si="152"/>
        <v>0</v>
      </c>
      <c r="BQ617" s="136">
        <f t="shared" si="152"/>
        <v>0</v>
      </c>
      <c r="BR617" s="136">
        <f t="shared" ref="BR617:BR624" si="155">BR195-EJ195</f>
        <v>0</v>
      </c>
      <c r="BS617" s="136">
        <f t="shared" si="153"/>
        <v>0</v>
      </c>
      <c r="BT617" s="136">
        <f t="shared" si="153"/>
        <v>0</v>
      </c>
      <c r="BU617" s="136">
        <f t="shared" si="153"/>
        <v>0</v>
      </c>
      <c r="BV617" s="136">
        <f t="shared" si="153"/>
        <v>0</v>
      </c>
      <c r="BW617" s="136">
        <f t="shared" si="153"/>
        <v>0</v>
      </c>
      <c r="BX617" s="136">
        <f t="shared" si="153"/>
        <v>0</v>
      </c>
      <c r="BZ617" s="136">
        <f t="shared" si="154"/>
        <v>0</v>
      </c>
      <c r="CA617" s="136">
        <f t="shared" si="154"/>
        <v>0</v>
      </c>
    </row>
    <row r="618" spans="7:79" hidden="1" x14ac:dyDescent="0.3">
      <c r="G618" s="136">
        <f t="shared" ref="G618:BQ622" si="156">G196-BY196</f>
        <v>0</v>
      </c>
      <c r="H618" s="136">
        <f t="shared" si="156"/>
        <v>0</v>
      </c>
      <c r="I618" s="136">
        <f t="shared" si="156"/>
        <v>0</v>
      </c>
      <c r="J618" s="136">
        <f t="shared" si="156"/>
        <v>0</v>
      </c>
      <c r="K618" s="136">
        <f t="shared" si="156"/>
        <v>0</v>
      </c>
      <c r="L618" s="136">
        <f t="shared" si="156"/>
        <v>0</v>
      </c>
      <c r="M618" s="136">
        <f t="shared" si="156"/>
        <v>0</v>
      </c>
      <c r="N618" s="136">
        <f t="shared" si="156"/>
        <v>0</v>
      </c>
      <c r="O618" s="136">
        <f t="shared" si="156"/>
        <v>0</v>
      </c>
      <c r="P618" s="136">
        <f t="shared" si="156"/>
        <v>0</v>
      </c>
      <c r="Q618" s="136">
        <f t="shared" si="156"/>
        <v>0</v>
      </c>
      <c r="R618" s="136">
        <f t="shared" si="156"/>
        <v>0</v>
      </c>
      <c r="S618" s="136">
        <f t="shared" si="156"/>
        <v>0</v>
      </c>
      <c r="T618" s="136">
        <f t="shared" si="156"/>
        <v>0</v>
      </c>
      <c r="U618" s="136">
        <f t="shared" si="156"/>
        <v>0</v>
      </c>
      <c r="V618" s="136">
        <f t="shared" si="156"/>
        <v>0</v>
      </c>
      <c r="W618" s="136">
        <f t="shared" si="156"/>
        <v>0</v>
      </c>
      <c r="X618" s="136">
        <f t="shared" si="156"/>
        <v>0</v>
      </c>
      <c r="Y618" s="136">
        <f t="shared" si="156"/>
        <v>0</v>
      </c>
      <c r="Z618" s="136">
        <f t="shared" si="156"/>
        <v>0</v>
      </c>
      <c r="AA618" s="136">
        <f t="shared" si="156"/>
        <v>0</v>
      </c>
      <c r="AB618" s="136">
        <f t="shared" si="156"/>
        <v>0</v>
      </c>
      <c r="AC618" s="136">
        <f t="shared" si="156"/>
        <v>0</v>
      </c>
      <c r="AD618" s="136">
        <f t="shared" si="156"/>
        <v>0</v>
      </c>
      <c r="AE618" s="136">
        <f t="shared" si="156"/>
        <v>0</v>
      </c>
      <c r="AF618" s="136">
        <f t="shared" si="156"/>
        <v>0</v>
      </c>
      <c r="AG618" s="136">
        <f t="shared" si="156"/>
        <v>0</v>
      </c>
      <c r="AH618" s="136">
        <f t="shared" si="156"/>
        <v>0</v>
      </c>
      <c r="AI618" s="136">
        <f t="shared" si="156"/>
        <v>0</v>
      </c>
      <c r="AJ618" s="136">
        <f t="shared" si="156"/>
        <v>0</v>
      </c>
      <c r="AK618" s="136">
        <f t="shared" si="156"/>
        <v>0</v>
      </c>
      <c r="AL618" s="136">
        <f t="shared" si="156"/>
        <v>0</v>
      </c>
      <c r="AM618" s="136">
        <f t="shared" si="156"/>
        <v>0</v>
      </c>
      <c r="AN618" s="136">
        <f t="shared" si="156"/>
        <v>0</v>
      </c>
      <c r="AO618" s="136">
        <f t="shared" si="156"/>
        <v>0</v>
      </c>
      <c r="AP618" s="136">
        <f t="shared" si="156"/>
        <v>0</v>
      </c>
      <c r="AQ618" s="136">
        <f t="shared" si="156"/>
        <v>0</v>
      </c>
      <c r="AR618" s="136">
        <f t="shared" si="156"/>
        <v>0</v>
      </c>
      <c r="AS618" s="136">
        <f t="shared" si="156"/>
        <v>0</v>
      </c>
      <c r="AT618" s="136">
        <f t="shared" si="156"/>
        <v>0</v>
      </c>
      <c r="AU618" s="136">
        <f t="shared" si="156"/>
        <v>0</v>
      </c>
      <c r="AV618" s="136">
        <f t="shared" si="156"/>
        <v>0</v>
      </c>
      <c r="AW618" s="136">
        <f t="shared" si="156"/>
        <v>0</v>
      </c>
      <c r="AX618" s="136">
        <f t="shared" si="156"/>
        <v>0</v>
      </c>
      <c r="AY618" s="136">
        <f t="shared" si="156"/>
        <v>0</v>
      </c>
      <c r="AZ618" s="136">
        <f t="shared" si="156"/>
        <v>0</v>
      </c>
      <c r="BA618" s="136">
        <f t="shared" si="156"/>
        <v>0</v>
      </c>
      <c r="BB618" s="136">
        <f t="shared" si="156"/>
        <v>0</v>
      </c>
      <c r="BC618" s="136">
        <f t="shared" si="156"/>
        <v>0</v>
      </c>
      <c r="BD618" s="136">
        <f t="shared" si="156"/>
        <v>0</v>
      </c>
      <c r="BE618" s="136">
        <f t="shared" si="156"/>
        <v>0</v>
      </c>
      <c r="BF618" s="136">
        <f t="shared" si="156"/>
        <v>0</v>
      </c>
      <c r="BG618" s="136">
        <f t="shared" si="156"/>
        <v>0</v>
      </c>
      <c r="BH618" s="136">
        <f t="shared" si="156"/>
        <v>0</v>
      </c>
      <c r="BI618" s="136">
        <f t="shared" si="156"/>
        <v>0</v>
      </c>
      <c r="BJ618" s="136">
        <f t="shared" si="156"/>
        <v>0</v>
      </c>
      <c r="BK618" s="136">
        <f t="shared" si="156"/>
        <v>0</v>
      </c>
      <c r="BL618" s="136">
        <f t="shared" si="156"/>
        <v>0</v>
      </c>
      <c r="BM618" s="136">
        <f t="shared" si="156"/>
        <v>0</v>
      </c>
      <c r="BN618" s="136">
        <f t="shared" si="156"/>
        <v>0</v>
      </c>
      <c r="BO618" s="136">
        <f t="shared" si="156"/>
        <v>0</v>
      </c>
      <c r="BP618" s="136">
        <f t="shared" si="156"/>
        <v>0</v>
      </c>
      <c r="BQ618" s="136">
        <f t="shared" si="156"/>
        <v>0</v>
      </c>
      <c r="BR618" s="136">
        <f t="shared" si="155"/>
        <v>0</v>
      </c>
      <c r="BS618" s="136">
        <f t="shared" si="153"/>
        <v>0</v>
      </c>
      <c r="BT618" s="136">
        <f t="shared" si="153"/>
        <v>0</v>
      </c>
      <c r="BU618" s="136">
        <f t="shared" si="153"/>
        <v>0</v>
      </c>
      <c r="BV618" s="136">
        <f t="shared" si="153"/>
        <v>0</v>
      </c>
      <c r="BW618" s="136">
        <f t="shared" si="153"/>
        <v>0</v>
      </c>
      <c r="BX618" s="136">
        <f t="shared" si="153"/>
        <v>0</v>
      </c>
      <c r="BZ618" s="136">
        <f t="shared" si="154"/>
        <v>0</v>
      </c>
      <c r="CA618" s="136">
        <f t="shared" si="154"/>
        <v>0</v>
      </c>
    </row>
    <row r="619" spans="7:79" hidden="1" x14ac:dyDescent="0.3">
      <c r="G619" s="136">
        <f t="shared" si="156"/>
        <v>0</v>
      </c>
      <c r="H619" s="136">
        <f t="shared" si="156"/>
        <v>0</v>
      </c>
      <c r="I619" s="136">
        <f t="shared" si="156"/>
        <v>0</v>
      </c>
      <c r="J619" s="136">
        <f t="shared" si="156"/>
        <v>0</v>
      </c>
      <c r="K619" s="136">
        <f t="shared" si="156"/>
        <v>0</v>
      </c>
      <c r="L619" s="136">
        <f t="shared" si="156"/>
        <v>0</v>
      </c>
      <c r="M619" s="136">
        <f t="shared" si="156"/>
        <v>0</v>
      </c>
      <c r="N619" s="136">
        <f t="shared" si="156"/>
        <v>0</v>
      </c>
      <c r="O619" s="136">
        <f t="shared" si="156"/>
        <v>0</v>
      </c>
      <c r="P619" s="136">
        <f t="shared" si="156"/>
        <v>0</v>
      </c>
      <c r="Q619" s="136">
        <f t="shared" si="156"/>
        <v>0</v>
      </c>
      <c r="R619" s="136">
        <f t="shared" si="156"/>
        <v>0</v>
      </c>
      <c r="S619" s="136">
        <f t="shared" si="156"/>
        <v>0</v>
      </c>
      <c r="T619" s="136">
        <f t="shared" si="156"/>
        <v>0</v>
      </c>
      <c r="U619" s="136">
        <f t="shared" si="156"/>
        <v>0</v>
      </c>
      <c r="V619" s="136">
        <f t="shared" si="156"/>
        <v>0</v>
      </c>
      <c r="W619" s="136">
        <f t="shared" si="156"/>
        <v>0</v>
      </c>
      <c r="X619" s="136">
        <f t="shared" si="156"/>
        <v>0</v>
      </c>
      <c r="Y619" s="136">
        <f t="shared" si="156"/>
        <v>0</v>
      </c>
      <c r="Z619" s="136">
        <f t="shared" si="156"/>
        <v>0</v>
      </c>
      <c r="AA619" s="136">
        <f t="shared" si="156"/>
        <v>0</v>
      </c>
      <c r="AB619" s="136">
        <f t="shared" si="156"/>
        <v>0</v>
      </c>
      <c r="AC619" s="136">
        <f t="shared" si="156"/>
        <v>0</v>
      </c>
      <c r="AD619" s="136">
        <f t="shared" si="156"/>
        <v>0</v>
      </c>
      <c r="AE619" s="136">
        <f t="shared" si="156"/>
        <v>0</v>
      </c>
      <c r="AF619" s="136">
        <f t="shared" si="156"/>
        <v>0</v>
      </c>
      <c r="AG619" s="136">
        <f t="shared" si="156"/>
        <v>0</v>
      </c>
      <c r="AH619" s="136">
        <f t="shared" si="156"/>
        <v>0</v>
      </c>
      <c r="AI619" s="136">
        <f t="shared" si="156"/>
        <v>0</v>
      </c>
      <c r="AJ619" s="136">
        <f t="shared" si="156"/>
        <v>0</v>
      </c>
      <c r="AK619" s="136">
        <f t="shared" si="156"/>
        <v>0</v>
      </c>
      <c r="AL619" s="136">
        <f t="shared" si="156"/>
        <v>0</v>
      </c>
      <c r="AM619" s="136">
        <f t="shared" si="156"/>
        <v>0</v>
      </c>
      <c r="AN619" s="136">
        <f t="shared" si="156"/>
        <v>0</v>
      </c>
      <c r="AO619" s="136">
        <f t="shared" si="156"/>
        <v>0</v>
      </c>
      <c r="AP619" s="136">
        <f t="shared" si="156"/>
        <v>0</v>
      </c>
      <c r="AQ619" s="136">
        <f t="shared" si="156"/>
        <v>0</v>
      </c>
      <c r="AR619" s="136">
        <f t="shared" si="156"/>
        <v>0</v>
      </c>
      <c r="AS619" s="136">
        <f t="shared" si="156"/>
        <v>0</v>
      </c>
      <c r="AT619" s="136">
        <f t="shared" si="156"/>
        <v>0</v>
      </c>
      <c r="AU619" s="136">
        <f t="shared" si="156"/>
        <v>0</v>
      </c>
      <c r="AV619" s="136">
        <f t="shared" si="156"/>
        <v>0</v>
      </c>
      <c r="AW619" s="136">
        <f t="shared" si="156"/>
        <v>0</v>
      </c>
      <c r="AX619" s="136">
        <f t="shared" si="156"/>
        <v>0</v>
      </c>
      <c r="AY619" s="136">
        <f t="shared" si="156"/>
        <v>0</v>
      </c>
      <c r="AZ619" s="136">
        <f t="shared" si="156"/>
        <v>0</v>
      </c>
      <c r="BA619" s="136">
        <f t="shared" si="156"/>
        <v>0</v>
      </c>
      <c r="BB619" s="136">
        <f t="shared" si="156"/>
        <v>0</v>
      </c>
      <c r="BC619" s="136">
        <f t="shared" si="156"/>
        <v>0</v>
      </c>
      <c r="BD619" s="136">
        <f t="shared" si="156"/>
        <v>0</v>
      </c>
      <c r="BE619" s="136">
        <f t="shared" si="156"/>
        <v>0</v>
      </c>
      <c r="BF619" s="136">
        <f t="shared" si="156"/>
        <v>0</v>
      </c>
      <c r="BG619" s="136">
        <f t="shared" si="156"/>
        <v>0</v>
      </c>
      <c r="BH619" s="136">
        <f t="shared" si="156"/>
        <v>0</v>
      </c>
      <c r="BI619" s="136">
        <f t="shared" si="156"/>
        <v>0</v>
      </c>
      <c r="BJ619" s="136">
        <f t="shared" si="156"/>
        <v>0</v>
      </c>
      <c r="BK619" s="136">
        <f t="shared" si="156"/>
        <v>0</v>
      </c>
      <c r="BL619" s="136">
        <f t="shared" si="156"/>
        <v>0</v>
      </c>
      <c r="BM619" s="136">
        <f t="shared" si="156"/>
        <v>0</v>
      </c>
      <c r="BN619" s="136">
        <f t="shared" si="156"/>
        <v>0</v>
      </c>
      <c r="BO619" s="136">
        <f t="shared" si="156"/>
        <v>0</v>
      </c>
      <c r="BP619" s="136">
        <f t="shared" si="156"/>
        <v>0</v>
      </c>
      <c r="BQ619" s="136">
        <f t="shared" si="156"/>
        <v>0</v>
      </c>
      <c r="BR619" s="136">
        <f t="shared" si="155"/>
        <v>0</v>
      </c>
      <c r="BS619" s="136">
        <f t="shared" si="153"/>
        <v>0</v>
      </c>
      <c r="BT619" s="136">
        <f t="shared" si="153"/>
        <v>0</v>
      </c>
      <c r="BU619" s="136">
        <f t="shared" si="153"/>
        <v>0</v>
      </c>
      <c r="BV619" s="136">
        <f t="shared" si="153"/>
        <v>0</v>
      </c>
      <c r="BW619" s="136">
        <f t="shared" si="153"/>
        <v>0</v>
      </c>
      <c r="BX619" s="136">
        <f t="shared" si="153"/>
        <v>0</v>
      </c>
      <c r="BZ619" s="136">
        <f t="shared" si="154"/>
        <v>0</v>
      </c>
      <c r="CA619" s="136">
        <f t="shared" si="154"/>
        <v>0</v>
      </c>
    </row>
    <row r="620" spans="7:79" hidden="1" x14ac:dyDescent="0.3">
      <c r="G620" s="136">
        <f t="shared" si="156"/>
        <v>0</v>
      </c>
      <c r="H620" s="136">
        <f t="shared" si="156"/>
        <v>0</v>
      </c>
      <c r="I620" s="136">
        <f t="shared" si="156"/>
        <v>0</v>
      </c>
      <c r="J620" s="136">
        <f t="shared" si="156"/>
        <v>0</v>
      </c>
      <c r="K620" s="136">
        <f t="shared" si="156"/>
        <v>0</v>
      </c>
      <c r="L620" s="136">
        <f t="shared" si="156"/>
        <v>0</v>
      </c>
      <c r="M620" s="136">
        <f t="shared" si="156"/>
        <v>0</v>
      </c>
      <c r="N620" s="136">
        <f t="shared" si="156"/>
        <v>0</v>
      </c>
      <c r="O620" s="136">
        <f t="shared" si="156"/>
        <v>0</v>
      </c>
      <c r="P620" s="136">
        <f t="shared" si="156"/>
        <v>0</v>
      </c>
      <c r="Q620" s="136">
        <f t="shared" si="156"/>
        <v>0</v>
      </c>
      <c r="R620" s="136">
        <f t="shared" si="156"/>
        <v>0</v>
      </c>
      <c r="S620" s="136">
        <f t="shared" si="156"/>
        <v>0</v>
      </c>
      <c r="T620" s="136">
        <f t="shared" si="156"/>
        <v>0</v>
      </c>
      <c r="U620" s="136">
        <f t="shared" si="156"/>
        <v>0</v>
      </c>
      <c r="V620" s="136">
        <f t="shared" si="156"/>
        <v>0</v>
      </c>
      <c r="W620" s="136">
        <f t="shared" si="156"/>
        <v>0</v>
      </c>
      <c r="X620" s="136">
        <f t="shared" si="156"/>
        <v>0</v>
      </c>
      <c r="Y620" s="136">
        <f t="shared" si="156"/>
        <v>0</v>
      </c>
      <c r="Z620" s="136">
        <f t="shared" si="156"/>
        <v>0</v>
      </c>
      <c r="AA620" s="136">
        <f t="shared" si="156"/>
        <v>0</v>
      </c>
      <c r="AB620" s="136">
        <f t="shared" si="156"/>
        <v>0</v>
      </c>
      <c r="AC620" s="136">
        <f t="shared" si="156"/>
        <v>0</v>
      </c>
      <c r="AD620" s="136">
        <f t="shared" si="156"/>
        <v>0</v>
      </c>
      <c r="AE620" s="136">
        <f t="shared" si="156"/>
        <v>0</v>
      </c>
      <c r="AF620" s="136">
        <f t="shared" si="156"/>
        <v>0</v>
      </c>
      <c r="AG620" s="136">
        <f t="shared" si="156"/>
        <v>0</v>
      </c>
      <c r="AH620" s="136">
        <f t="shared" si="156"/>
        <v>0</v>
      </c>
      <c r="AI620" s="136">
        <f t="shared" si="156"/>
        <v>0</v>
      </c>
      <c r="AJ620" s="136">
        <f t="shared" si="156"/>
        <v>0</v>
      </c>
      <c r="AK620" s="136">
        <f t="shared" si="156"/>
        <v>0</v>
      </c>
      <c r="AL620" s="136">
        <f t="shared" si="156"/>
        <v>0</v>
      </c>
      <c r="AM620" s="136">
        <f t="shared" si="156"/>
        <v>0</v>
      </c>
      <c r="AN620" s="136">
        <f t="shared" si="156"/>
        <v>0</v>
      </c>
      <c r="AO620" s="136">
        <f t="shared" si="156"/>
        <v>0</v>
      </c>
      <c r="AP620" s="136">
        <f t="shared" si="156"/>
        <v>0</v>
      </c>
      <c r="AQ620" s="136">
        <f t="shared" si="156"/>
        <v>0</v>
      </c>
      <c r="AR620" s="136">
        <f t="shared" si="156"/>
        <v>0</v>
      </c>
      <c r="AS620" s="136">
        <f t="shared" si="156"/>
        <v>0</v>
      </c>
      <c r="AT620" s="136">
        <f t="shared" si="156"/>
        <v>0</v>
      </c>
      <c r="AU620" s="136">
        <f t="shared" si="156"/>
        <v>0</v>
      </c>
      <c r="AV620" s="136">
        <f t="shared" si="156"/>
        <v>0</v>
      </c>
      <c r="AW620" s="136">
        <f t="shared" si="156"/>
        <v>0</v>
      </c>
      <c r="AX620" s="136">
        <f t="shared" si="156"/>
        <v>0</v>
      </c>
      <c r="AY620" s="136">
        <f t="shared" si="156"/>
        <v>0</v>
      </c>
      <c r="AZ620" s="136">
        <f t="shared" si="156"/>
        <v>0</v>
      </c>
      <c r="BA620" s="136">
        <f t="shared" si="156"/>
        <v>0</v>
      </c>
      <c r="BB620" s="136">
        <f t="shared" si="156"/>
        <v>0</v>
      </c>
      <c r="BC620" s="136">
        <f t="shared" si="156"/>
        <v>0</v>
      </c>
      <c r="BD620" s="136">
        <f t="shared" si="156"/>
        <v>0</v>
      </c>
      <c r="BE620" s="136">
        <f t="shared" si="156"/>
        <v>0</v>
      </c>
      <c r="BF620" s="136">
        <f t="shared" si="156"/>
        <v>0</v>
      </c>
      <c r="BG620" s="136">
        <f t="shared" si="156"/>
        <v>0</v>
      </c>
      <c r="BH620" s="136">
        <f t="shared" si="156"/>
        <v>0</v>
      </c>
      <c r="BI620" s="136">
        <f t="shared" si="156"/>
        <v>0</v>
      </c>
      <c r="BJ620" s="136">
        <f t="shared" si="156"/>
        <v>0</v>
      </c>
      <c r="BK620" s="136">
        <f t="shared" si="156"/>
        <v>0</v>
      </c>
      <c r="BL620" s="136">
        <f t="shared" si="156"/>
        <v>0</v>
      </c>
      <c r="BM620" s="136">
        <f t="shared" si="156"/>
        <v>0</v>
      </c>
      <c r="BN620" s="136">
        <f t="shared" si="156"/>
        <v>0</v>
      </c>
      <c r="BO620" s="136">
        <f t="shared" si="156"/>
        <v>0</v>
      </c>
      <c r="BP620" s="136">
        <f t="shared" si="156"/>
        <v>0</v>
      </c>
      <c r="BQ620" s="136">
        <f t="shared" si="156"/>
        <v>0</v>
      </c>
      <c r="BR620" s="136">
        <f t="shared" si="155"/>
        <v>0</v>
      </c>
      <c r="BS620" s="136">
        <f t="shared" si="153"/>
        <v>0</v>
      </c>
      <c r="BT620" s="136">
        <f t="shared" si="153"/>
        <v>0</v>
      </c>
      <c r="BU620" s="136">
        <f t="shared" si="153"/>
        <v>0</v>
      </c>
      <c r="BV620" s="136">
        <f t="shared" si="153"/>
        <v>0</v>
      </c>
      <c r="BW620" s="136">
        <f t="shared" si="153"/>
        <v>0</v>
      </c>
      <c r="BX620" s="136">
        <f t="shared" si="153"/>
        <v>0</v>
      </c>
      <c r="BZ620" s="136">
        <f t="shared" si="154"/>
        <v>0</v>
      </c>
      <c r="CA620" s="136">
        <f t="shared" si="154"/>
        <v>0</v>
      </c>
    </row>
    <row r="621" spans="7:79" hidden="1" x14ac:dyDescent="0.3">
      <c r="G621" s="136">
        <f t="shared" si="156"/>
        <v>0</v>
      </c>
      <c r="H621" s="136">
        <f t="shared" si="156"/>
        <v>0</v>
      </c>
      <c r="I621" s="136">
        <f t="shared" si="156"/>
        <v>0</v>
      </c>
      <c r="J621" s="136">
        <f t="shared" si="156"/>
        <v>0</v>
      </c>
      <c r="K621" s="136">
        <f t="shared" si="156"/>
        <v>0</v>
      </c>
      <c r="L621" s="136">
        <f t="shared" si="156"/>
        <v>0</v>
      </c>
      <c r="M621" s="136">
        <f t="shared" si="156"/>
        <v>0</v>
      </c>
      <c r="N621" s="136">
        <f t="shared" si="156"/>
        <v>0</v>
      </c>
      <c r="O621" s="136">
        <f t="shared" si="156"/>
        <v>0</v>
      </c>
      <c r="P621" s="136">
        <f t="shared" si="156"/>
        <v>0</v>
      </c>
      <c r="Q621" s="136">
        <f t="shared" si="156"/>
        <v>0</v>
      </c>
      <c r="R621" s="136">
        <f t="shared" si="156"/>
        <v>0</v>
      </c>
      <c r="S621" s="136">
        <f t="shared" si="156"/>
        <v>0</v>
      </c>
      <c r="T621" s="136">
        <f t="shared" si="156"/>
        <v>0</v>
      </c>
      <c r="U621" s="136">
        <f t="shared" si="156"/>
        <v>0</v>
      </c>
      <c r="V621" s="136">
        <f t="shared" si="156"/>
        <v>0</v>
      </c>
      <c r="W621" s="136">
        <f t="shared" si="156"/>
        <v>0</v>
      </c>
      <c r="X621" s="136">
        <f t="shared" si="156"/>
        <v>0</v>
      </c>
      <c r="Y621" s="136">
        <f t="shared" si="156"/>
        <v>0</v>
      </c>
      <c r="Z621" s="136">
        <f t="shared" si="156"/>
        <v>0</v>
      </c>
      <c r="AA621" s="136">
        <f t="shared" si="156"/>
        <v>0</v>
      </c>
      <c r="AB621" s="136">
        <f t="shared" si="156"/>
        <v>0</v>
      </c>
      <c r="AC621" s="136">
        <f t="shared" si="156"/>
        <v>0</v>
      </c>
      <c r="AD621" s="136">
        <f t="shared" si="156"/>
        <v>0</v>
      </c>
      <c r="AE621" s="136">
        <f t="shared" si="156"/>
        <v>0</v>
      </c>
      <c r="AF621" s="136">
        <f t="shared" si="156"/>
        <v>0</v>
      </c>
      <c r="AG621" s="136">
        <f t="shared" si="156"/>
        <v>0</v>
      </c>
      <c r="AH621" s="136">
        <f t="shared" si="156"/>
        <v>0</v>
      </c>
      <c r="AI621" s="136">
        <f t="shared" si="156"/>
        <v>0</v>
      </c>
      <c r="AJ621" s="136">
        <f t="shared" si="156"/>
        <v>0</v>
      </c>
      <c r="AK621" s="136">
        <f t="shared" si="156"/>
        <v>0</v>
      </c>
      <c r="AL621" s="136">
        <f t="shared" si="156"/>
        <v>0</v>
      </c>
      <c r="AM621" s="136">
        <f t="shared" si="156"/>
        <v>0</v>
      </c>
      <c r="AN621" s="136">
        <f t="shared" si="156"/>
        <v>0</v>
      </c>
      <c r="AO621" s="136">
        <f t="shared" si="156"/>
        <v>0</v>
      </c>
      <c r="AP621" s="136">
        <f t="shared" si="156"/>
        <v>0</v>
      </c>
      <c r="AQ621" s="136">
        <f t="shared" si="156"/>
        <v>0</v>
      </c>
      <c r="AR621" s="136">
        <f t="shared" si="156"/>
        <v>0</v>
      </c>
      <c r="AS621" s="136">
        <f t="shared" si="156"/>
        <v>0</v>
      </c>
      <c r="AT621" s="136">
        <f t="shared" si="156"/>
        <v>0</v>
      </c>
      <c r="AU621" s="136">
        <f t="shared" si="156"/>
        <v>0</v>
      </c>
      <c r="AV621" s="136">
        <f t="shared" si="156"/>
        <v>0</v>
      </c>
      <c r="AW621" s="136">
        <f t="shared" si="156"/>
        <v>0</v>
      </c>
      <c r="AX621" s="136">
        <f t="shared" si="156"/>
        <v>0</v>
      </c>
      <c r="AY621" s="136">
        <f t="shared" si="156"/>
        <v>0</v>
      </c>
      <c r="AZ621" s="136">
        <f t="shared" si="156"/>
        <v>0</v>
      </c>
      <c r="BA621" s="136">
        <f t="shared" si="156"/>
        <v>0</v>
      </c>
      <c r="BB621" s="136">
        <f t="shared" si="156"/>
        <v>0</v>
      </c>
      <c r="BC621" s="136">
        <f t="shared" si="156"/>
        <v>0</v>
      </c>
      <c r="BD621" s="136">
        <f t="shared" si="156"/>
        <v>0</v>
      </c>
      <c r="BE621" s="136">
        <f t="shared" si="156"/>
        <v>0</v>
      </c>
      <c r="BF621" s="136">
        <f t="shared" si="156"/>
        <v>0</v>
      </c>
      <c r="BG621" s="136">
        <f t="shared" si="156"/>
        <v>0</v>
      </c>
      <c r="BH621" s="136">
        <f t="shared" si="156"/>
        <v>0</v>
      </c>
      <c r="BI621" s="136">
        <f t="shared" si="156"/>
        <v>0</v>
      </c>
      <c r="BJ621" s="136">
        <f t="shared" si="156"/>
        <v>0</v>
      </c>
      <c r="BK621" s="136">
        <f t="shared" si="156"/>
        <v>0</v>
      </c>
      <c r="BL621" s="136">
        <f t="shared" si="156"/>
        <v>0</v>
      </c>
      <c r="BM621" s="136">
        <f t="shared" si="156"/>
        <v>0</v>
      </c>
      <c r="BN621" s="136">
        <f t="shared" si="156"/>
        <v>0</v>
      </c>
      <c r="BO621" s="136">
        <f t="shared" si="156"/>
        <v>0</v>
      </c>
      <c r="BP621" s="136">
        <f t="shared" si="156"/>
        <v>0</v>
      </c>
      <c r="BQ621" s="136">
        <f t="shared" si="156"/>
        <v>0</v>
      </c>
      <c r="BR621" s="136">
        <f t="shared" si="155"/>
        <v>0</v>
      </c>
      <c r="BS621" s="136">
        <f t="shared" si="153"/>
        <v>0</v>
      </c>
      <c r="BT621" s="136">
        <f t="shared" si="153"/>
        <v>0</v>
      </c>
      <c r="BU621" s="136">
        <f t="shared" si="153"/>
        <v>0</v>
      </c>
      <c r="BV621" s="136">
        <f t="shared" si="153"/>
        <v>0</v>
      </c>
      <c r="BW621" s="136">
        <f t="shared" si="153"/>
        <v>0</v>
      </c>
      <c r="BX621" s="136">
        <f t="shared" si="153"/>
        <v>0</v>
      </c>
      <c r="BZ621" s="136">
        <f t="shared" si="154"/>
        <v>0</v>
      </c>
      <c r="CA621" s="136">
        <f t="shared" si="154"/>
        <v>0</v>
      </c>
    </row>
    <row r="622" spans="7:79" hidden="1" x14ac:dyDescent="0.3">
      <c r="G622" s="136">
        <f t="shared" si="156"/>
        <v>0</v>
      </c>
      <c r="H622" s="136">
        <f t="shared" si="156"/>
        <v>0</v>
      </c>
      <c r="I622" s="136">
        <f t="shared" si="156"/>
        <v>0</v>
      </c>
      <c r="J622" s="136">
        <f t="shared" ref="J622:BQ624" si="157">J200-CB200</f>
        <v>0</v>
      </c>
      <c r="K622" s="136">
        <f t="shared" si="157"/>
        <v>0</v>
      </c>
      <c r="L622" s="136">
        <f t="shared" si="157"/>
        <v>0</v>
      </c>
      <c r="M622" s="136">
        <f t="shared" si="157"/>
        <v>0</v>
      </c>
      <c r="N622" s="136">
        <f t="shared" si="157"/>
        <v>0</v>
      </c>
      <c r="O622" s="136">
        <f t="shared" si="157"/>
        <v>0</v>
      </c>
      <c r="P622" s="136">
        <f t="shared" si="157"/>
        <v>0</v>
      </c>
      <c r="Q622" s="136">
        <f t="shared" si="157"/>
        <v>0</v>
      </c>
      <c r="R622" s="136">
        <f t="shared" si="157"/>
        <v>0</v>
      </c>
      <c r="S622" s="136">
        <f t="shared" si="157"/>
        <v>0</v>
      </c>
      <c r="T622" s="136">
        <f t="shared" si="157"/>
        <v>0</v>
      </c>
      <c r="U622" s="136">
        <f t="shared" si="157"/>
        <v>0</v>
      </c>
      <c r="V622" s="136">
        <f t="shared" si="157"/>
        <v>0</v>
      </c>
      <c r="W622" s="136">
        <f t="shared" si="157"/>
        <v>0</v>
      </c>
      <c r="X622" s="136">
        <f t="shared" si="157"/>
        <v>0</v>
      </c>
      <c r="Y622" s="136">
        <f t="shared" si="157"/>
        <v>0</v>
      </c>
      <c r="Z622" s="136">
        <f t="shared" si="157"/>
        <v>0</v>
      </c>
      <c r="AA622" s="136">
        <f t="shared" si="157"/>
        <v>0</v>
      </c>
      <c r="AB622" s="136">
        <f t="shared" si="157"/>
        <v>0</v>
      </c>
      <c r="AC622" s="136">
        <f t="shared" si="157"/>
        <v>0</v>
      </c>
      <c r="AD622" s="136">
        <f t="shared" si="157"/>
        <v>0</v>
      </c>
      <c r="AE622" s="136">
        <f t="shared" si="157"/>
        <v>0</v>
      </c>
      <c r="AF622" s="136">
        <f t="shared" si="157"/>
        <v>0</v>
      </c>
      <c r="AG622" s="136">
        <f t="shared" si="157"/>
        <v>0</v>
      </c>
      <c r="AH622" s="136">
        <f t="shared" si="157"/>
        <v>0</v>
      </c>
      <c r="AI622" s="136">
        <f t="shared" si="157"/>
        <v>0</v>
      </c>
      <c r="AJ622" s="136">
        <f t="shared" si="157"/>
        <v>0</v>
      </c>
      <c r="AK622" s="136">
        <f t="shared" si="157"/>
        <v>0</v>
      </c>
      <c r="AL622" s="136">
        <f t="shared" si="157"/>
        <v>0</v>
      </c>
      <c r="AM622" s="136">
        <f t="shared" si="157"/>
        <v>0</v>
      </c>
      <c r="AN622" s="136">
        <f t="shared" si="157"/>
        <v>0</v>
      </c>
      <c r="AO622" s="136">
        <f t="shared" si="157"/>
        <v>0</v>
      </c>
      <c r="AP622" s="136">
        <f t="shared" si="157"/>
        <v>0</v>
      </c>
      <c r="AQ622" s="136">
        <f t="shared" si="157"/>
        <v>0</v>
      </c>
      <c r="AR622" s="136">
        <f t="shared" si="157"/>
        <v>0</v>
      </c>
      <c r="AS622" s="136">
        <f t="shared" si="157"/>
        <v>0</v>
      </c>
      <c r="AT622" s="136">
        <f t="shared" si="157"/>
        <v>0</v>
      </c>
      <c r="AU622" s="136">
        <f t="shared" si="157"/>
        <v>0</v>
      </c>
      <c r="AV622" s="136">
        <f t="shared" si="157"/>
        <v>0</v>
      </c>
      <c r="AW622" s="136">
        <f t="shared" si="157"/>
        <v>0</v>
      </c>
      <c r="AX622" s="136">
        <f t="shared" si="157"/>
        <v>0</v>
      </c>
      <c r="AY622" s="136">
        <f t="shared" si="157"/>
        <v>0</v>
      </c>
      <c r="AZ622" s="136">
        <f t="shared" si="157"/>
        <v>0</v>
      </c>
      <c r="BA622" s="136">
        <f t="shared" si="157"/>
        <v>0</v>
      </c>
      <c r="BB622" s="136">
        <f t="shared" si="157"/>
        <v>0</v>
      </c>
      <c r="BC622" s="136">
        <f t="shared" si="157"/>
        <v>0</v>
      </c>
      <c r="BD622" s="136">
        <f t="shared" si="157"/>
        <v>0</v>
      </c>
      <c r="BE622" s="136">
        <f t="shared" si="157"/>
        <v>0</v>
      </c>
      <c r="BF622" s="136">
        <f t="shared" si="157"/>
        <v>0</v>
      </c>
      <c r="BG622" s="136">
        <f t="shared" si="157"/>
        <v>0</v>
      </c>
      <c r="BH622" s="136">
        <f t="shared" si="157"/>
        <v>0</v>
      </c>
      <c r="BI622" s="136">
        <f t="shared" si="157"/>
        <v>0</v>
      </c>
      <c r="BJ622" s="136">
        <f t="shared" si="157"/>
        <v>0</v>
      </c>
      <c r="BK622" s="136">
        <f t="shared" si="157"/>
        <v>0</v>
      </c>
      <c r="BL622" s="136">
        <f t="shared" si="157"/>
        <v>0</v>
      </c>
      <c r="BM622" s="136">
        <f t="shared" si="157"/>
        <v>0</v>
      </c>
      <c r="BN622" s="136">
        <f t="shared" si="157"/>
        <v>0</v>
      </c>
      <c r="BO622" s="136">
        <f t="shared" si="157"/>
        <v>0</v>
      </c>
      <c r="BP622" s="136">
        <f t="shared" si="157"/>
        <v>0</v>
      </c>
      <c r="BQ622" s="136">
        <f t="shared" si="157"/>
        <v>0</v>
      </c>
      <c r="BR622" s="136">
        <f t="shared" si="155"/>
        <v>0</v>
      </c>
      <c r="BS622" s="136">
        <f t="shared" si="153"/>
        <v>0</v>
      </c>
      <c r="BT622" s="136">
        <f t="shared" si="153"/>
        <v>0</v>
      </c>
      <c r="BU622" s="136">
        <f t="shared" si="153"/>
        <v>0</v>
      </c>
      <c r="BV622" s="136">
        <f t="shared" si="153"/>
        <v>0</v>
      </c>
      <c r="BW622" s="136">
        <f t="shared" si="153"/>
        <v>0</v>
      </c>
      <c r="BX622" s="136">
        <f t="shared" si="153"/>
        <v>0</v>
      </c>
      <c r="BZ622" s="136">
        <f t="shared" si="154"/>
        <v>0</v>
      </c>
      <c r="CA622" s="136">
        <f t="shared" si="154"/>
        <v>0</v>
      </c>
    </row>
    <row r="623" spans="7:79" hidden="1" x14ac:dyDescent="0.3">
      <c r="G623" s="136">
        <f t="shared" ref="G623:I624" si="158">G201-BY201</f>
        <v>0</v>
      </c>
      <c r="H623" s="136">
        <f t="shared" si="158"/>
        <v>0</v>
      </c>
      <c r="I623" s="136">
        <f t="shared" si="158"/>
        <v>0</v>
      </c>
      <c r="J623" s="136">
        <f t="shared" si="157"/>
        <v>0</v>
      </c>
      <c r="K623" s="136">
        <f t="shared" si="157"/>
        <v>0</v>
      </c>
      <c r="L623" s="136">
        <f t="shared" si="157"/>
        <v>0</v>
      </c>
      <c r="M623" s="136">
        <f t="shared" si="157"/>
        <v>0</v>
      </c>
      <c r="N623" s="136">
        <f t="shared" si="157"/>
        <v>0</v>
      </c>
      <c r="O623" s="136">
        <f t="shared" si="157"/>
        <v>0</v>
      </c>
      <c r="P623" s="136">
        <f t="shared" si="157"/>
        <v>0</v>
      </c>
      <c r="Q623" s="136">
        <f t="shared" si="157"/>
        <v>0</v>
      </c>
      <c r="R623" s="136">
        <f t="shared" si="157"/>
        <v>0</v>
      </c>
      <c r="S623" s="136">
        <f t="shared" si="157"/>
        <v>0</v>
      </c>
      <c r="T623" s="136">
        <f t="shared" si="157"/>
        <v>0</v>
      </c>
      <c r="U623" s="136">
        <f t="shared" si="157"/>
        <v>0</v>
      </c>
      <c r="V623" s="136">
        <f t="shared" si="157"/>
        <v>0</v>
      </c>
      <c r="W623" s="136">
        <f t="shared" si="157"/>
        <v>0</v>
      </c>
      <c r="X623" s="136">
        <f t="shared" si="157"/>
        <v>0</v>
      </c>
      <c r="Y623" s="136">
        <f t="shared" si="157"/>
        <v>0</v>
      </c>
      <c r="Z623" s="136">
        <f t="shared" si="157"/>
        <v>0</v>
      </c>
      <c r="AA623" s="136">
        <f t="shared" si="157"/>
        <v>0</v>
      </c>
      <c r="AB623" s="136">
        <f t="shared" si="157"/>
        <v>0</v>
      </c>
      <c r="AC623" s="136">
        <f t="shared" si="157"/>
        <v>0</v>
      </c>
      <c r="AD623" s="136">
        <f t="shared" si="157"/>
        <v>0</v>
      </c>
      <c r="AE623" s="136">
        <f t="shared" si="157"/>
        <v>0</v>
      </c>
      <c r="AF623" s="136">
        <f t="shared" si="157"/>
        <v>0</v>
      </c>
      <c r="AG623" s="136">
        <f t="shared" si="157"/>
        <v>0</v>
      </c>
      <c r="AH623" s="136">
        <f t="shared" si="157"/>
        <v>0</v>
      </c>
      <c r="AI623" s="136">
        <f t="shared" si="157"/>
        <v>0</v>
      </c>
      <c r="AJ623" s="136">
        <f t="shared" si="157"/>
        <v>0</v>
      </c>
      <c r="AK623" s="136">
        <f t="shared" si="157"/>
        <v>0</v>
      </c>
      <c r="AL623" s="136">
        <f t="shared" si="157"/>
        <v>0</v>
      </c>
      <c r="AM623" s="136">
        <f t="shared" si="157"/>
        <v>0</v>
      </c>
      <c r="AN623" s="136">
        <f t="shared" si="157"/>
        <v>0</v>
      </c>
      <c r="AO623" s="136">
        <f t="shared" si="157"/>
        <v>0</v>
      </c>
      <c r="AP623" s="136">
        <f t="shared" si="157"/>
        <v>0</v>
      </c>
      <c r="AQ623" s="136">
        <f t="shared" si="157"/>
        <v>0</v>
      </c>
      <c r="AR623" s="136">
        <f t="shared" si="157"/>
        <v>0</v>
      </c>
      <c r="AS623" s="136">
        <f t="shared" si="157"/>
        <v>0</v>
      </c>
      <c r="AT623" s="136">
        <f t="shared" si="157"/>
        <v>0</v>
      </c>
      <c r="AU623" s="136">
        <f t="shared" si="157"/>
        <v>0</v>
      </c>
      <c r="AV623" s="136">
        <f t="shared" si="157"/>
        <v>0</v>
      </c>
      <c r="AW623" s="136">
        <f t="shared" si="157"/>
        <v>0</v>
      </c>
      <c r="AX623" s="136">
        <f t="shared" si="157"/>
        <v>0</v>
      </c>
      <c r="AY623" s="136">
        <f t="shared" si="157"/>
        <v>0</v>
      </c>
      <c r="AZ623" s="136">
        <f t="shared" si="157"/>
        <v>0</v>
      </c>
      <c r="BA623" s="136">
        <f t="shared" si="157"/>
        <v>0</v>
      </c>
      <c r="BB623" s="136">
        <f t="shared" si="157"/>
        <v>0</v>
      </c>
      <c r="BC623" s="136">
        <f t="shared" si="157"/>
        <v>0</v>
      </c>
      <c r="BD623" s="136">
        <f t="shared" si="157"/>
        <v>0</v>
      </c>
      <c r="BE623" s="136">
        <f t="shared" si="157"/>
        <v>0</v>
      </c>
      <c r="BF623" s="136">
        <f t="shared" si="157"/>
        <v>0</v>
      </c>
      <c r="BG623" s="136">
        <f t="shared" si="157"/>
        <v>0</v>
      </c>
      <c r="BH623" s="136">
        <f t="shared" si="157"/>
        <v>0</v>
      </c>
      <c r="BI623" s="136">
        <f t="shared" si="157"/>
        <v>0</v>
      </c>
      <c r="BJ623" s="136">
        <f t="shared" si="157"/>
        <v>0</v>
      </c>
      <c r="BK623" s="136">
        <f t="shared" si="157"/>
        <v>0</v>
      </c>
      <c r="BL623" s="136">
        <f t="shared" si="157"/>
        <v>0</v>
      </c>
      <c r="BM623" s="136">
        <f t="shared" si="157"/>
        <v>0</v>
      </c>
      <c r="BN623" s="136">
        <f t="shared" si="157"/>
        <v>0</v>
      </c>
      <c r="BO623" s="136">
        <f t="shared" si="157"/>
        <v>0</v>
      </c>
      <c r="BP623" s="136">
        <f t="shared" si="157"/>
        <v>0</v>
      </c>
      <c r="BQ623" s="136">
        <f t="shared" si="157"/>
        <v>0</v>
      </c>
      <c r="BR623" s="136">
        <f t="shared" si="155"/>
        <v>0</v>
      </c>
      <c r="BS623" s="136">
        <f t="shared" si="153"/>
        <v>0</v>
      </c>
      <c r="BT623" s="136">
        <f t="shared" si="153"/>
        <v>0</v>
      </c>
      <c r="BU623" s="136">
        <f t="shared" si="153"/>
        <v>0</v>
      </c>
      <c r="BV623" s="136">
        <f t="shared" si="153"/>
        <v>0</v>
      </c>
      <c r="BW623" s="136">
        <f t="shared" si="153"/>
        <v>0</v>
      </c>
      <c r="BX623" s="136">
        <f t="shared" si="153"/>
        <v>0</v>
      </c>
      <c r="BZ623" s="136">
        <f t="shared" si="154"/>
        <v>0</v>
      </c>
      <c r="CA623" s="136">
        <f t="shared" si="154"/>
        <v>0</v>
      </c>
    </row>
    <row r="624" spans="7:79" hidden="1" x14ac:dyDescent="0.3">
      <c r="G624" s="136">
        <f t="shared" si="158"/>
        <v>0</v>
      </c>
      <c r="H624" s="136">
        <f t="shared" si="158"/>
        <v>0</v>
      </c>
      <c r="I624" s="136">
        <f t="shared" si="158"/>
        <v>0</v>
      </c>
      <c r="J624" s="136">
        <f t="shared" si="157"/>
        <v>0</v>
      </c>
      <c r="K624" s="136">
        <f t="shared" si="157"/>
        <v>0</v>
      </c>
      <c r="L624" s="136">
        <f t="shared" si="157"/>
        <v>0</v>
      </c>
      <c r="M624" s="136">
        <f t="shared" si="157"/>
        <v>0</v>
      </c>
      <c r="N624" s="136">
        <f t="shared" si="157"/>
        <v>0</v>
      </c>
      <c r="O624" s="136">
        <f t="shared" si="157"/>
        <v>0</v>
      </c>
      <c r="P624" s="136">
        <f t="shared" si="157"/>
        <v>0</v>
      </c>
      <c r="Q624" s="136">
        <f t="shared" si="157"/>
        <v>0</v>
      </c>
      <c r="R624" s="136">
        <f t="shared" si="157"/>
        <v>0</v>
      </c>
      <c r="S624" s="136">
        <f t="shared" si="157"/>
        <v>0</v>
      </c>
      <c r="T624" s="136">
        <f t="shared" si="157"/>
        <v>0</v>
      </c>
      <c r="U624" s="136">
        <f t="shared" si="157"/>
        <v>0</v>
      </c>
      <c r="V624" s="136">
        <f t="shared" si="157"/>
        <v>0</v>
      </c>
      <c r="W624" s="136">
        <f t="shared" si="157"/>
        <v>0</v>
      </c>
      <c r="X624" s="136">
        <f t="shared" si="157"/>
        <v>0</v>
      </c>
      <c r="Y624" s="136">
        <f t="shared" si="157"/>
        <v>0</v>
      </c>
      <c r="Z624" s="136">
        <f t="shared" si="157"/>
        <v>0</v>
      </c>
      <c r="AA624" s="136">
        <f t="shared" si="157"/>
        <v>0</v>
      </c>
      <c r="AB624" s="136">
        <f t="shared" si="157"/>
        <v>0</v>
      </c>
      <c r="AC624" s="136">
        <f t="shared" si="157"/>
        <v>0</v>
      </c>
      <c r="AD624" s="136">
        <f t="shared" si="157"/>
        <v>0</v>
      </c>
      <c r="AE624" s="136">
        <f t="shared" si="157"/>
        <v>0</v>
      </c>
      <c r="AF624" s="136">
        <f t="shared" si="157"/>
        <v>0</v>
      </c>
      <c r="AG624" s="136">
        <f t="shared" si="157"/>
        <v>0</v>
      </c>
      <c r="AH624" s="136">
        <f t="shared" si="157"/>
        <v>0</v>
      </c>
      <c r="AI624" s="136">
        <f t="shared" si="157"/>
        <v>0</v>
      </c>
      <c r="AJ624" s="136">
        <f t="shared" si="157"/>
        <v>0</v>
      </c>
      <c r="AK624" s="136">
        <f t="shared" si="157"/>
        <v>0</v>
      </c>
      <c r="AL624" s="136">
        <f t="shared" si="157"/>
        <v>0</v>
      </c>
      <c r="AM624" s="136">
        <f t="shared" si="157"/>
        <v>0</v>
      </c>
      <c r="AN624" s="136">
        <f t="shared" si="157"/>
        <v>0</v>
      </c>
      <c r="AO624" s="136">
        <f t="shared" si="157"/>
        <v>0</v>
      </c>
      <c r="AP624" s="136">
        <f t="shared" si="157"/>
        <v>0</v>
      </c>
      <c r="AQ624" s="136">
        <f t="shared" si="157"/>
        <v>0</v>
      </c>
      <c r="AR624" s="136">
        <f t="shared" si="157"/>
        <v>0</v>
      </c>
      <c r="AS624" s="136">
        <f t="shared" si="157"/>
        <v>0</v>
      </c>
      <c r="AT624" s="136">
        <f t="shared" si="157"/>
        <v>0</v>
      </c>
      <c r="AU624" s="136">
        <f t="shared" si="157"/>
        <v>0</v>
      </c>
      <c r="AV624" s="136">
        <f t="shared" si="157"/>
        <v>0</v>
      </c>
      <c r="AW624" s="136">
        <f t="shared" si="157"/>
        <v>0</v>
      </c>
      <c r="AX624" s="136">
        <f t="shared" si="157"/>
        <v>0</v>
      </c>
      <c r="AY624" s="136">
        <f t="shared" si="157"/>
        <v>0</v>
      </c>
      <c r="AZ624" s="136">
        <f t="shared" si="157"/>
        <v>0</v>
      </c>
      <c r="BA624" s="136">
        <f t="shared" si="157"/>
        <v>0</v>
      </c>
      <c r="BB624" s="136">
        <f t="shared" si="157"/>
        <v>0</v>
      </c>
      <c r="BC624" s="136">
        <f t="shared" si="157"/>
        <v>0</v>
      </c>
      <c r="BD624" s="136">
        <f t="shared" si="157"/>
        <v>0</v>
      </c>
      <c r="BE624" s="136">
        <f t="shared" si="157"/>
        <v>0</v>
      </c>
      <c r="BF624" s="136">
        <f t="shared" si="157"/>
        <v>0</v>
      </c>
      <c r="BG624" s="136">
        <f t="shared" si="157"/>
        <v>0</v>
      </c>
      <c r="BH624" s="136">
        <f t="shared" si="157"/>
        <v>0</v>
      </c>
      <c r="BI624" s="136">
        <f t="shared" si="157"/>
        <v>0</v>
      </c>
      <c r="BJ624" s="136">
        <f t="shared" si="157"/>
        <v>0</v>
      </c>
      <c r="BK624" s="136">
        <f t="shared" si="157"/>
        <v>0</v>
      </c>
      <c r="BL624" s="136">
        <f t="shared" si="157"/>
        <v>0</v>
      </c>
      <c r="BM624" s="136">
        <f t="shared" si="157"/>
        <v>0</v>
      </c>
      <c r="BN624" s="136">
        <f t="shared" si="157"/>
        <v>0</v>
      </c>
      <c r="BO624" s="136">
        <f t="shared" si="157"/>
        <v>0</v>
      </c>
      <c r="BP624" s="136">
        <f t="shared" si="157"/>
        <v>0</v>
      </c>
      <c r="BQ624" s="136">
        <f t="shared" si="157"/>
        <v>0</v>
      </c>
      <c r="BR624" s="136">
        <f t="shared" si="155"/>
        <v>0</v>
      </c>
      <c r="BS624" s="136">
        <f t="shared" si="153"/>
        <v>0</v>
      </c>
      <c r="BT624" s="136">
        <f t="shared" si="153"/>
        <v>0</v>
      </c>
      <c r="BU624" s="136">
        <f t="shared" si="153"/>
        <v>0</v>
      </c>
      <c r="BV624" s="136">
        <f t="shared" si="153"/>
        <v>0</v>
      </c>
      <c r="BW624" s="136">
        <f t="shared" si="153"/>
        <v>0</v>
      </c>
      <c r="BX624" s="136">
        <f t="shared" si="153"/>
        <v>0</v>
      </c>
      <c r="BZ624" s="136">
        <f t="shared" si="154"/>
        <v>0</v>
      </c>
      <c r="CA624" s="136">
        <f t="shared" si="154"/>
        <v>0</v>
      </c>
    </row>
    <row r="625" spans="7:79" hidden="1" x14ac:dyDescent="0.3">
      <c r="G625" s="136">
        <f t="shared" ref="G625:BR629" si="159">G204-BY204</f>
        <v>0</v>
      </c>
      <c r="H625" s="136">
        <f t="shared" si="159"/>
        <v>0</v>
      </c>
      <c r="I625" s="136">
        <f t="shared" si="159"/>
        <v>0</v>
      </c>
      <c r="J625" s="136">
        <f t="shared" si="159"/>
        <v>0</v>
      </c>
      <c r="K625" s="136">
        <f t="shared" si="159"/>
        <v>0</v>
      </c>
      <c r="L625" s="136">
        <f t="shared" si="159"/>
        <v>0</v>
      </c>
      <c r="M625" s="136">
        <f t="shared" si="159"/>
        <v>0</v>
      </c>
      <c r="N625" s="136">
        <f t="shared" si="159"/>
        <v>0</v>
      </c>
      <c r="O625" s="136">
        <f t="shared" si="159"/>
        <v>0</v>
      </c>
      <c r="P625" s="136">
        <f t="shared" si="159"/>
        <v>0</v>
      </c>
      <c r="Q625" s="136">
        <f t="shared" si="159"/>
        <v>0</v>
      </c>
      <c r="R625" s="136">
        <f t="shared" si="159"/>
        <v>0</v>
      </c>
      <c r="S625" s="136">
        <f t="shared" si="159"/>
        <v>0</v>
      </c>
      <c r="T625" s="136">
        <f t="shared" si="159"/>
        <v>0</v>
      </c>
      <c r="U625" s="136">
        <f t="shared" si="159"/>
        <v>0</v>
      </c>
      <c r="V625" s="136">
        <f t="shared" si="159"/>
        <v>0</v>
      </c>
      <c r="W625" s="136">
        <f t="shared" si="159"/>
        <v>0</v>
      </c>
      <c r="X625" s="136">
        <f t="shared" si="159"/>
        <v>0</v>
      </c>
      <c r="Y625" s="136">
        <f t="shared" si="159"/>
        <v>0</v>
      </c>
      <c r="Z625" s="136">
        <f t="shared" si="159"/>
        <v>0</v>
      </c>
      <c r="AA625" s="136">
        <f t="shared" si="159"/>
        <v>0</v>
      </c>
      <c r="AB625" s="136">
        <f t="shared" si="159"/>
        <v>0</v>
      </c>
      <c r="AC625" s="136">
        <f t="shared" si="159"/>
        <v>0</v>
      </c>
      <c r="AD625" s="136">
        <f t="shared" si="159"/>
        <v>0</v>
      </c>
      <c r="AE625" s="136">
        <f t="shared" si="159"/>
        <v>0</v>
      </c>
      <c r="AF625" s="136">
        <f t="shared" si="159"/>
        <v>0</v>
      </c>
      <c r="AG625" s="136">
        <f t="shared" si="159"/>
        <v>0</v>
      </c>
      <c r="AH625" s="136">
        <f t="shared" si="159"/>
        <v>0</v>
      </c>
      <c r="AI625" s="136">
        <f t="shared" si="159"/>
        <v>0</v>
      </c>
      <c r="AJ625" s="136">
        <f t="shared" si="159"/>
        <v>0</v>
      </c>
      <c r="AK625" s="136">
        <f t="shared" si="159"/>
        <v>0</v>
      </c>
      <c r="AL625" s="136">
        <f t="shared" si="159"/>
        <v>0</v>
      </c>
      <c r="AM625" s="136">
        <f t="shared" si="159"/>
        <v>0</v>
      </c>
      <c r="AN625" s="136">
        <f t="shared" si="159"/>
        <v>0</v>
      </c>
      <c r="AO625" s="136">
        <f t="shared" si="159"/>
        <v>0</v>
      </c>
      <c r="AP625" s="136">
        <f t="shared" si="159"/>
        <v>0</v>
      </c>
      <c r="AQ625" s="136">
        <f t="shared" si="159"/>
        <v>0</v>
      </c>
      <c r="AR625" s="136">
        <f t="shared" si="159"/>
        <v>0</v>
      </c>
      <c r="AS625" s="136">
        <f t="shared" si="159"/>
        <v>0</v>
      </c>
      <c r="AT625" s="136">
        <f t="shared" si="159"/>
        <v>0</v>
      </c>
      <c r="AU625" s="136">
        <f t="shared" si="159"/>
        <v>0</v>
      </c>
      <c r="AV625" s="136">
        <f t="shared" si="159"/>
        <v>0</v>
      </c>
      <c r="AW625" s="136">
        <f t="shared" si="159"/>
        <v>0</v>
      </c>
      <c r="AX625" s="136">
        <f t="shared" si="159"/>
        <v>0</v>
      </c>
      <c r="AY625" s="136">
        <f t="shared" si="159"/>
        <v>0</v>
      </c>
      <c r="AZ625" s="136">
        <f t="shared" si="159"/>
        <v>0</v>
      </c>
      <c r="BA625" s="136">
        <f t="shared" si="159"/>
        <v>0</v>
      </c>
      <c r="BB625" s="136">
        <f t="shared" si="159"/>
        <v>0</v>
      </c>
      <c r="BC625" s="136">
        <f t="shared" si="159"/>
        <v>0</v>
      </c>
      <c r="BD625" s="136">
        <f t="shared" si="159"/>
        <v>0</v>
      </c>
      <c r="BE625" s="136">
        <f t="shared" si="159"/>
        <v>0</v>
      </c>
      <c r="BF625" s="136">
        <f t="shared" si="159"/>
        <v>0</v>
      </c>
      <c r="BG625" s="136">
        <f t="shared" si="159"/>
        <v>0</v>
      </c>
      <c r="BH625" s="136">
        <f t="shared" si="159"/>
        <v>0</v>
      </c>
      <c r="BI625" s="136">
        <f t="shared" si="159"/>
        <v>0</v>
      </c>
      <c r="BJ625" s="136">
        <f t="shared" si="159"/>
        <v>0</v>
      </c>
      <c r="BK625" s="136">
        <f t="shared" si="159"/>
        <v>0</v>
      </c>
      <c r="BL625" s="136">
        <f t="shared" si="159"/>
        <v>0</v>
      </c>
      <c r="BM625" s="136">
        <f t="shared" si="159"/>
        <v>0</v>
      </c>
      <c r="BN625" s="136">
        <f t="shared" si="159"/>
        <v>0</v>
      </c>
      <c r="BO625" s="136">
        <f t="shared" si="159"/>
        <v>0</v>
      </c>
      <c r="BP625" s="136">
        <f t="shared" si="159"/>
        <v>0</v>
      </c>
      <c r="BQ625" s="136">
        <f t="shared" si="159"/>
        <v>0</v>
      </c>
      <c r="BR625" s="136">
        <f t="shared" si="159"/>
        <v>0</v>
      </c>
      <c r="BS625" s="136">
        <f t="shared" ref="BO625:BX629" si="160">BS204-EK204</f>
        <v>0</v>
      </c>
      <c r="BT625" s="136">
        <f t="shared" si="160"/>
        <v>0</v>
      </c>
      <c r="BU625" s="136">
        <f t="shared" si="160"/>
        <v>0</v>
      </c>
      <c r="BV625" s="136">
        <f t="shared" si="160"/>
        <v>0</v>
      </c>
      <c r="BW625" s="136">
        <f t="shared" si="160"/>
        <v>0</v>
      </c>
      <c r="BX625" s="136">
        <f t="shared" si="160"/>
        <v>0</v>
      </c>
      <c r="BZ625" s="136">
        <f t="shared" ref="BZ625:CA629" si="161">BZ204-ER204</f>
        <v>0</v>
      </c>
      <c r="CA625" s="136">
        <f t="shared" si="161"/>
        <v>0</v>
      </c>
    </row>
    <row r="626" spans="7:79" hidden="1" x14ac:dyDescent="0.3">
      <c r="G626" s="136">
        <f t="shared" si="159"/>
        <v>0</v>
      </c>
      <c r="H626" s="136">
        <f t="shared" si="159"/>
        <v>0</v>
      </c>
      <c r="I626" s="136">
        <f t="shared" si="159"/>
        <v>0</v>
      </c>
      <c r="J626" s="136">
        <f t="shared" si="159"/>
        <v>0</v>
      </c>
      <c r="K626" s="136">
        <f t="shared" si="159"/>
        <v>0</v>
      </c>
      <c r="L626" s="136">
        <f t="shared" si="159"/>
        <v>0</v>
      </c>
      <c r="M626" s="136">
        <f t="shared" si="159"/>
        <v>0</v>
      </c>
      <c r="N626" s="136">
        <f t="shared" si="159"/>
        <v>0</v>
      </c>
      <c r="O626" s="136">
        <f t="shared" si="159"/>
        <v>0</v>
      </c>
      <c r="P626" s="136">
        <f t="shared" si="159"/>
        <v>0</v>
      </c>
      <c r="Q626" s="136">
        <f t="shared" si="159"/>
        <v>0</v>
      </c>
      <c r="R626" s="136">
        <f t="shared" si="159"/>
        <v>0</v>
      </c>
      <c r="S626" s="136">
        <f t="shared" si="159"/>
        <v>0</v>
      </c>
      <c r="T626" s="136">
        <f t="shared" si="159"/>
        <v>0</v>
      </c>
      <c r="U626" s="136">
        <f t="shared" si="159"/>
        <v>0</v>
      </c>
      <c r="V626" s="136">
        <f t="shared" si="159"/>
        <v>0</v>
      </c>
      <c r="W626" s="136">
        <f t="shared" si="159"/>
        <v>0</v>
      </c>
      <c r="X626" s="136">
        <f t="shared" si="159"/>
        <v>0</v>
      </c>
      <c r="Y626" s="136">
        <f t="shared" si="159"/>
        <v>0</v>
      </c>
      <c r="Z626" s="136">
        <f t="shared" si="159"/>
        <v>0</v>
      </c>
      <c r="AA626" s="136">
        <f t="shared" si="159"/>
        <v>0</v>
      </c>
      <c r="AB626" s="136">
        <f t="shared" si="159"/>
        <v>0</v>
      </c>
      <c r="AC626" s="136">
        <f t="shared" si="159"/>
        <v>0</v>
      </c>
      <c r="AD626" s="136">
        <f t="shared" si="159"/>
        <v>0</v>
      </c>
      <c r="AE626" s="136">
        <f t="shared" si="159"/>
        <v>0</v>
      </c>
      <c r="AF626" s="136">
        <f t="shared" si="159"/>
        <v>0</v>
      </c>
      <c r="AG626" s="136">
        <f t="shared" si="159"/>
        <v>0</v>
      </c>
      <c r="AH626" s="136">
        <f t="shared" si="159"/>
        <v>0</v>
      </c>
      <c r="AI626" s="136">
        <f t="shared" si="159"/>
        <v>0</v>
      </c>
      <c r="AJ626" s="136">
        <f t="shared" si="159"/>
        <v>0</v>
      </c>
      <c r="AK626" s="136">
        <f t="shared" si="159"/>
        <v>0</v>
      </c>
      <c r="AL626" s="136">
        <f t="shared" si="159"/>
        <v>0</v>
      </c>
      <c r="AM626" s="136">
        <f t="shared" si="159"/>
        <v>0</v>
      </c>
      <c r="AN626" s="136">
        <f t="shared" si="159"/>
        <v>0</v>
      </c>
      <c r="AO626" s="136">
        <f t="shared" si="159"/>
        <v>0</v>
      </c>
      <c r="AP626" s="136">
        <f t="shared" si="159"/>
        <v>0</v>
      </c>
      <c r="AQ626" s="136">
        <f t="shared" si="159"/>
        <v>0</v>
      </c>
      <c r="AR626" s="136">
        <f t="shared" si="159"/>
        <v>0</v>
      </c>
      <c r="AS626" s="136">
        <f t="shared" si="159"/>
        <v>0</v>
      </c>
      <c r="AT626" s="136">
        <f t="shared" si="159"/>
        <v>0</v>
      </c>
      <c r="AU626" s="136">
        <f t="shared" si="159"/>
        <v>0</v>
      </c>
      <c r="AV626" s="136">
        <f t="shared" si="159"/>
        <v>0</v>
      </c>
      <c r="AW626" s="136">
        <f t="shared" si="159"/>
        <v>0</v>
      </c>
      <c r="AX626" s="136">
        <f t="shared" si="159"/>
        <v>0</v>
      </c>
      <c r="AY626" s="136">
        <f t="shared" si="159"/>
        <v>0</v>
      </c>
      <c r="AZ626" s="136">
        <f t="shared" si="159"/>
        <v>0</v>
      </c>
      <c r="BA626" s="136">
        <f t="shared" si="159"/>
        <v>0</v>
      </c>
      <c r="BB626" s="136">
        <f t="shared" si="159"/>
        <v>0</v>
      </c>
      <c r="BC626" s="136">
        <f t="shared" si="159"/>
        <v>0</v>
      </c>
      <c r="BD626" s="136">
        <f t="shared" si="159"/>
        <v>0</v>
      </c>
      <c r="BE626" s="136">
        <f t="shared" si="159"/>
        <v>0</v>
      </c>
      <c r="BF626" s="136">
        <f t="shared" si="159"/>
        <v>0</v>
      </c>
      <c r="BG626" s="136">
        <f t="shared" si="159"/>
        <v>0</v>
      </c>
      <c r="BH626" s="136">
        <f t="shared" si="159"/>
        <v>0</v>
      </c>
      <c r="BI626" s="136">
        <f t="shared" si="159"/>
        <v>0</v>
      </c>
      <c r="BJ626" s="136">
        <f t="shared" si="159"/>
        <v>0</v>
      </c>
      <c r="BK626" s="136">
        <f t="shared" si="159"/>
        <v>0</v>
      </c>
      <c r="BL626" s="136">
        <f t="shared" si="159"/>
        <v>0</v>
      </c>
      <c r="BM626" s="136">
        <f t="shared" si="159"/>
        <v>0</v>
      </c>
      <c r="BN626" s="136">
        <f t="shared" si="159"/>
        <v>0</v>
      </c>
      <c r="BO626" s="136">
        <f t="shared" si="160"/>
        <v>0</v>
      </c>
      <c r="BP626" s="136">
        <f t="shared" si="160"/>
        <v>0</v>
      </c>
      <c r="BQ626" s="136">
        <f t="shared" si="160"/>
        <v>0</v>
      </c>
      <c r="BR626" s="136">
        <f t="shared" si="160"/>
        <v>0</v>
      </c>
      <c r="BS626" s="136">
        <f t="shared" si="160"/>
        <v>0</v>
      </c>
      <c r="BT626" s="136">
        <f t="shared" si="160"/>
        <v>0</v>
      </c>
      <c r="BU626" s="136">
        <f t="shared" si="160"/>
        <v>0</v>
      </c>
      <c r="BV626" s="136">
        <f t="shared" si="160"/>
        <v>0</v>
      </c>
      <c r="BW626" s="136">
        <f t="shared" si="160"/>
        <v>0</v>
      </c>
      <c r="BX626" s="136">
        <f t="shared" si="160"/>
        <v>0</v>
      </c>
      <c r="BZ626" s="136">
        <f t="shared" si="161"/>
        <v>0</v>
      </c>
      <c r="CA626" s="136">
        <f t="shared" si="161"/>
        <v>0</v>
      </c>
    </row>
    <row r="627" spans="7:79" hidden="1" x14ac:dyDescent="0.3">
      <c r="G627" s="136">
        <f t="shared" si="159"/>
        <v>0</v>
      </c>
      <c r="H627" s="136">
        <f t="shared" si="159"/>
        <v>0</v>
      </c>
      <c r="I627" s="136">
        <f t="shared" si="159"/>
        <v>0</v>
      </c>
      <c r="J627" s="136">
        <f t="shared" si="159"/>
        <v>0</v>
      </c>
      <c r="K627" s="136">
        <f t="shared" si="159"/>
        <v>0</v>
      </c>
      <c r="L627" s="136">
        <f t="shared" si="159"/>
        <v>0</v>
      </c>
      <c r="M627" s="136">
        <f t="shared" si="159"/>
        <v>0</v>
      </c>
      <c r="N627" s="136">
        <f t="shared" si="159"/>
        <v>0</v>
      </c>
      <c r="O627" s="136">
        <f t="shared" si="159"/>
        <v>0</v>
      </c>
      <c r="P627" s="136">
        <f t="shared" si="159"/>
        <v>0</v>
      </c>
      <c r="Q627" s="136">
        <f t="shared" si="159"/>
        <v>0</v>
      </c>
      <c r="R627" s="136">
        <f t="shared" si="159"/>
        <v>0</v>
      </c>
      <c r="S627" s="136">
        <f t="shared" si="159"/>
        <v>0</v>
      </c>
      <c r="T627" s="136">
        <f t="shared" si="159"/>
        <v>0</v>
      </c>
      <c r="U627" s="136">
        <f t="shared" si="159"/>
        <v>0</v>
      </c>
      <c r="V627" s="136">
        <f t="shared" si="159"/>
        <v>0</v>
      </c>
      <c r="W627" s="136">
        <f t="shared" si="159"/>
        <v>0</v>
      </c>
      <c r="X627" s="136">
        <f t="shared" si="159"/>
        <v>0</v>
      </c>
      <c r="Y627" s="136">
        <f t="shared" si="159"/>
        <v>0</v>
      </c>
      <c r="Z627" s="136">
        <f t="shared" si="159"/>
        <v>0</v>
      </c>
      <c r="AA627" s="136">
        <f t="shared" si="159"/>
        <v>0</v>
      </c>
      <c r="AB627" s="136">
        <f t="shared" si="159"/>
        <v>0</v>
      </c>
      <c r="AC627" s="136">
        <f t="shared" si="159"/>
        <v>0</v>
      </c>
      <c r="AD627" s="136">
        <f t="shared" si="159"/>
        <v>0</v>
      </c>
      <c r="AE627" s="136">
        <f t="shared" si="159"/>
        <v>0</v>
      </c>
      <c r="AF627" s="136">
        <f t="shared" si="159"/>
        <v>0</v>
      </c>
      <c r="AG627" s="136">
        <f t="shared" si="159"/>
        <v>0</v>
      </c>
      <c r="AH627" s="136">
        <f t="shared" si="159"/>
        <v>0</v>
      </c>
      <c r="AI627" s="136">
        <f t="shared" si="159"/>
        <v>0</v>
      </c>
      <c r="AJ627" s="136">
        <f t="shared" si="159"/>
        <v>0</v>
      </c>
      <c r="AK627" s="136">
        <f t="shared" si="159"/>
        <v>0</v>
      </c>
      <c r="AL627" s="136">
        <f t="shared" si="159"/>
        <v>0</v>
      </c>
      <c r="AM627" s="136">
        <f t="shared" si="159"/>
        <v>0</v>
      </c>
      <c r="AN627" s="136">
        <f t="shared" si="159"/>
        <v>0</v>
      </c>
      <c r="AO627" s="136">
        <f t="shared" si="159"/>
        <v>0</v>
      </c>
      <c r="AP627" s="136">
        <f t="shared" si="159"/>
        <v>0</v>
      </c>
      <c r="AQ627" s="136">
        <f t="shared" si="159"/>
        <v>0</v>
      </c>
      <c r="AR627" s="136">
        <f t="shared" si="159"/>
        <v>0</v>
      </c>
      <c r="AS627" s="136">
        <f t="shared" si="159"/>
        <v>0</v>
      </c>
      <c r="AT627" s="136">
        <f t="shared" si="159"/>
        <v>0</v>
      </c>
      <c r="AU627" s="136">
        <f t="shared" si="159"/>
        <v>0</v>
      </c>
      <c r="AV627" s="136">
        <f t="shared" si="159"/>
        <v>0</v>
      </c>
      <c r="AW627" s="136">
        <f t="shared" si="159"/>
        <v>0</v>
      </c>
      <c r="AX627" s="136">
        <f t="shared" si="159"/>
        <v>0</v>
      </c>
      <c r="AY627" s="136">
        <f t="shared" si="159"/>
        <v>0</v>
      </c>
      <c r="AZ627" s="136">
        <f t="shared" si="159"/>
        <v>0</v>
      </c>
      <c r="BA627" s="136">
        <f t="shared" si="159"/>
        <v>0</v>
      </c>
      <c r="BB627" s="136">
        <f t="shared" si="159"/>
        <v>0</v>
      </c>
      <c r="BC627" s="136">
        <f t="shared" si="159"/>
        <v>0</v>
      </c>
      <c r="BD627" s="136">
        <f t="shared" si="159"/>
        <v>0</v>
      </c>
      <c r="BE627" s="136">
        <f t="shared" si="159"/>
        <v>0</v>
      </c>
      <c r="BF627" s="136">
        <f t="shared" si="159"/>
        <v>0</v>
      </c>
      <c r="BG627" s="136">
        <f t="shared" si="159"/>
        <v>0</v>
      </c>
      <c r="BH627" s="136">
        <f t="shared" si="159"/>
        <v>0</v>
      </c>
      <c r="BI627" s="136">
        <f t="shared" si="159"/>
        <v>0</v>
      </c>
      <c r="BJ627" s="136">
        <f t="shared" si="159"/>
        <v>0</v>
      </c>
      <c r="BK627" s="136">
        <f t="shared" si="159"/>
        <v>0</v>
      </c>
      <c r="BL627" s="136">
        <f t="shared" si="159"/>
        <v>0</v>
      </c>
      <c r="BM627" s="136">
        <f t="shared" si="159"/>
        <v>0</v>
      </c>
      <c r="BN627" s="136">
        <f t="shared" si="159"/>
        <v>0</v>
      </c>
      <c r="BO627" s="136">
        <f t="shared" si="160"/>
        <v>0</v>
      </c>
      <c r="BP627" s="136">
        <f t="shared" si="160"/>
        <v>0</v>
      </c>
      <c r="BQ627" s="136">
        <f t="shared" si="160"/>
        <v>0</v>
      </c>
      <c r="BR627" s="136">
        <f t="shared" si="160"/>
        <v>0</v>
      </c>
      <c r="BS627" s="136">
        <f t="shared" si="160"/>
        <v>0</v>
      </c>
      <c r="BT627" s="136">
        <f t="shared" si="160"/>
        <v>0</v>
      </c>
      <c r="BU627" s="136">
        <f t="shared" si="160"/>
        <v>0</v>
      </c>
      <c r="BV627" s="136">
        <f t="shared" si="160"/>
        <v>0</v>
      </c>
      <c r="BW627" s="136">
        <f t="shared" si="160"/>
        <v>0</v>
      </c>
      <c r="BX627" s="136">
        <f t="shared" si="160"/>
        <v>0</v>
      </c>
      <c r="BZ627" s="136">
        <f t="shared" si="161"/>
        <v>0</v>
      </c>
      <c r="CA627" s="136">
        <f t="shared" si="161"/>
        <v>0</v>
      </c>
    </row>
    <row r="628" spans="7:79" hidden="1" x14ac:dyDescent="0.3">
      <c r="G628" s="136">
        <f t="shared" si="159"/>
        <v>0</v>
      </c>
      <c r="H628" s="136">
        <f t="shared" si="159"/>
        <v>0</v>
      </c>
      <c r="I628" s="136">
        <f t="shared" si="159"/>
        <v>0</v>
      </c>
      <c r="J628" s="136">
        <f t="shared" si="159"/>
        <v>0</v>
      </c>
      <c r="K628" s="136">
        <f t="shared" si="159"/>
        <v>0</v>
      </c>
      <c r="L628" s="136">
        <f t="shared" si="159"/>
        <v>0</v>
      </c>
      <c r="M628" s="136">
        <f t="shared" si="159"/>
        <v>0</v>
      </c>
      <c r="N628" s="136">
        <f t="shared" si="159"/>
        <v>0</v>
      </c>
      <c r="O628" s="136">
        <f t="shared" si="159"/>
        <v>0</v>
      </c>
      <c r="P628" s="136">
        <f t="shared" si="159"/>
        <v>0</v>
      </c>
      <c r="Q628" s="136">
        <f t="shared" si="159"/>
        <v>0</v>
      </c>
      <c r="R628" s="136">
        <f t="shared" si="159"/>
        <v>0</v>
      </c>
      <c r="S628" s="136">
        <f t="shared" si="159"/>
        <v>0</v>
      </c>
      <c r="T628" s="136">
        <f t="shared" si="159"/>
        <v>0</v>
      </c>
      <c r="U628" s="136">
        <f t="shared" si="159"/>
        <v>0</v>
      </c>
      <c r="V628" s="136">
        <f t="shared" si="159"/>
        <v>0</v>
      </c>
      <c r="W628" s="136">
        <f t="shared" si="159"/>
        <v>0</v>
      </c>
      <c r="X628" s="136">
        <f t="shared" si="159"/>
        <v>0</v>
      </c>
      <c r="Y628" s="136">
        <f t="shared" si="159"/>
        <v>0</v>
      </c>
      <c r="Z628" s="136">
        <f t="shared" si="159"/>
        <v>0</v>
      </c>
      <c r="AA628" s="136">
        <f t="shared" si="159"/>
        <v>0</v>
      </c>
      <c r="AB628" s="136">
        <f t="shared" si="159"/>
        <v>0</v>
      </c>
      <c r="AC628" s="136">
        <f t="shared" si="159"/>
        <v>0</v>
      </c>
      <c r="AD628" s="136">
        <f t="shared" si="159"/>
        <v>0</v>
      </c>
      <c r="AE628" s="136">
        <f t="shared" si="159"/>
        <v>0</v>
      </c>
      <c r="AF628" s="136">
        <f t="shared" si="159"/>
        <v>0</v>
      </c>
      <c r="AG628" s="136">
        <f t="shared" si="159"/>
        <v>0</v>
      </c>
      <c r="AH628" s="136">
        <f t="shared" si="159"/>
        <v>0</v>
      </c>
      <c r="AI628" s="136">
        <f t="shared" si="159"/>
        <v>0</v>
      </c>
      <c r="AJ628" s="136">
        <f t="shared" si="159"/>
        <v>0</v>
      </c>
      <c r="AK628" s="136">
        <f t="shared" si="159"/>
        <v>0</v>
      </c>
      <c r="AL628" s="136">
        <f t="shared" si="159"/>
        <v>0</v>
      </c>
      <c r="AM628" s="136">
        <f t="shared" si="159"/>
        <v>0</v>
      </c>
      <c r="AN628" s="136">
        <f t="shared" si="159"/>
        <v>0</v>
      </c>
      <c r="AO628" s="136">
        <f t="shared" si="159"/>
        <v>0</v>
      </c>
      <c r="AP628" s="136">
        <f t="shared" si="159"/>
        <v>0</v>
      </c>
      <c r="AQ628" s="136">
        <f t="shared" si="159"/>
        <v>0</v>
      </c>
      <c r="AR628" s="136">
        <f t="shared" si="159"/>
        <v>0</v>
      </c>
      <c r="AS628" s="136">
        <f t="shared" si="159"/>
        <v>0</v>
      </c>
      <c r="AT628" s="136">
        <f t="shared" si="159"/>
        <v>0</v>
      </c>
      <c r="AU628" s="136">
        <f t="shared" si="159"/>
        <v>0</v>
      </c>
      <c r="AV628" s="136">
        <f t="shared" si="159"/>
        <v>0</v>
      </c>
      <c r="AW628" s="136">
        <f t="shared" si="159"/>
        <v>0</v>
      </c>
      <c r="AX628" s="136">
        <f t="shared" si="159"/>
        <v>0</v>
      </c>
      <c r="AY628" s="136">
        <f t="shared" si="159"/>
        <v>0</v>
      </c>
      <c r="AZ628" s="136">
        <f t="shared" si="159"/>
        <v>0</v>
      </c>
      <c r="BA628" s="136">
        <f t="shared" si="159"/>
        <v>0</v>
      </c>
      <c r="BB628" s="136">
        <f t="shared" si="159"/>
        <v>0</v>
      </c>
      <c r="BC628" s="136">
        <f t="shared" si="159"/>
        <v>0</v>
      </c>
      <c r="BD628" s="136">
        <f t="shared" si="159"/>
        <v>0</v>
      </c>
      <c r="BE628" s="136">
        <f t="shared" si="159"/>
        <v>0</v>
      </c>
      <c r="BF628" s="136">
        <f t="shared" si="159"/>
        <v>0</v>
      </c>
      <c r="BG628" s="136">
        <f t="shared" si="159"/>
        <v>0</v>
      </c>
      <c r="BH628" s="136">
        <f t="shared" si="159"/>
        <v>0</v>
      </c>
      <c r="BI628" s="136">
        <f t="shared" si="159"/>
        <v>0</v>
      </c>
      <c r="BJ628" s="136">
        <f t="shared" si="159"/>
        <v>0</v>
      </c>
      <c r="BK628" s="136">
        <f t="shared" si="159"/>
        <v>0</v>
      </c>
      <c r="BL628" s="136">
        <f t="shared" si="159"/>
        <v>0</v>
      </c>
      <c r="BM628" s="136">
        <f t="shared" si="159"/>
        <v>0</v>
      </c>
      <c r="BN628" s="136">
        <f t="shared" si="159"/>
        <v>0</v>
      </c>
      <c r="BO628" s="136">
        <f t="shared" si="160"/>
        <v>0</v>
      </c>
      <c r="BP628" s="136">
        <f t="shared" si="160"/>
        <v>0</v>
      </c>
      <c r="BQ628" s="136">
        <f t="shared" si="160"/>
        <v>0</v>
      </c>
      <c r="BR628" s="136">
        <f t="shared" si="160"/>
        <v>0</v>
      </c>
      <c r="BS628" s="136">
        <f t="shared" si="160"/>
        <v>0</v>
      </c>
      <c r="BT628" s="136">
        <f t="shared" si="160"/>
        <v>0</v>
      </c>
      <c r="BU628" s="136">
        <f t="shared" si="160"/>
        <v>0</v>
      </c>
      <c r="BV628" s="136">
        <f t="shared" si="160"/>
        <v>0</v>
      </c>
      <c r="BW628" s="136">
        <f t="shared" si="160"/>
        <v>0</v>
      </c>
      <c r="BX628" s="136">
        <f t="shared" si="160"/>
        <v>0</v>
      </c>
      <c r="BZ628" s="136">
        <f t="shared" si="161"/>
        <v>0</v>
      </c>
      <c r="CA628" s="136">
        <f t="shared" si="161"/>
        <v>0</v>
      </c>
    </row>
    <row r="629" spans="7:79" hidden="1" x14ac:dyDescent="0.3">
      <c r="G629" s="136">
        <f t="shared" si="159"/>
        <v>0</v>
      </c>
      <c r="H629" s="136">
        <f t="shared" si="159"/>
        <v>0</v>
      </c>
      <c r="I629" s="136">
        <f t="shared" si="159"/>
        <v>0</v>
      </c>
      <c r="J629" s="136">
        <f t="shared" si="159"/>
        <v>0</v>
      </c>
      <c r="K629" s="136">
        <f t="shared" si="159"/>
        <v>0</v>
      </c>
      <c r="L629" s="136">
        <f t="shared" si="159"/>
        <v>0</v>
      </c>
      <c r="M629" s="136">
        <f t="shared" si="159"/>
        <v>0</v>
      </c>
      <c r="N629" s="136">
        <f t="shared" si="159"/>
        <v>0</v>
      </c>
      <c r="O629" s="136">
        <f t="shared" si="159"/>
        <v>0</v>
      </c>
      <c r="P629" s="136">
        <f t="shared" si="159"/>
        <v>0</v>
      </c>
      <c r="Q629" s="136">
        <f t="shared" si="159"/>
        <v>0</v>
      </c>
      <c r="R629" s="136">
        <f t="shared" ref="R629:BN629" si="162">R208-CJ208</f>
        <v>0</v>
      </c>
      <c r="S629" s="136">
        <f t="shared" si="162"/>
        <v>0</v>
      </c>
      <c r="T629" s="136">
        <f t="shared" si="162"/>
        <v>0</v>
      </c>
      <c r="U629" s="136">
        <f t="shared" si="162"/>
        <v>0</v>
      </c>
      <c r="V629" s="136">
        <f t="shared" si="162"/>
        <v>0</v>
      </c>
      <c r="W629" s="136">
        <f t="shared" si="162"/>
        <v>0</v>
      </c>
      <c r="X629" s="136">
        <f t="shared" si="162"/>
        <v>0</v>
      </c>
      <c r="Y629" s="136">
        <f t="shared" si="162"/>
        <v>0</v>
      </c>
      <c r="Z629" s="136">
        <f t="shared" si="162"/>
        <v>0</v>
      </c>
      <c r="AA629" s="136">
        <f t="shared" si="162"/>
        <v>0</v>
      </c>
      <c r="AB629" s="136">
        <f t="shared" si="162"/>
        <v>0</v>
      </c>
      <c r="AC629" s="136">
        <f t="shared" si="162"/>
        <v>0</v>
      </c>
      <c r="AD629" s="136">
        <f t="shared" si="162"/>
        <v>0</v>
      </c>
      <c r="AE629" s="136">
        <f t="shared" si="162"/>
        <v>0</v>
      </c>
      <c r="AF629" s="136">
        <f t="shared" si="162"/>
        <v>0</v>
      </c>
      <c r="AG629" s="136">
        <f t="shared" si="162"/>
        <v>0</v>
      </c>
      <c r="AH629" s="136">
        <f t="shared" si="162"/>
        <v>0</v>
      </c>
      <c r="AI629" s="136">
        <f t="shared" si="162"/>
        <v>0</v>
      </c>
      <c r="AJ629" s="136">
        <f t="shared" si="162"/>
        <v>0</v>
      </c>
      <c r="AK629" s="136">
        <f t="shared" si="162"/>
        <v>0</v>
      </c>
      <c r="AL629" s="136">
        <f t="shared" si="162"/>
        <v>0</v>
      </c>
      <c r="AM629" s="136">
        <f t="shared" si="162"/>
        <v>0</v>
      </c>
      <c r="AN629" s="136">
        <f t="shared" si="162"/>
        <v>0</v>
      </c>
      <c r="AO629" s="136">
        <f t="shared" si="162"/>
        <v>0</v>
      </c>
      <c r="AP629" s="136">
        <f t="shared" si="162"/>
        <v>0</v>
      </c>
      <c r="AQ629" s="136">
        <f t="shared" si="162"/>
        <v>0</v>
      </c>
      <c r="AR629" s="136">
        <f t="shared" si="162"/>
        <v>0</v>
      </c>
      <c r="AS629" s="136">
        <f t="shared" si="162"/>
        <v>0</v>
      </c>
      <c r="AT629" s="136">
        <f t="shared" si="162"/>
        <v>0</v>
      </c>
      <c r="AU629" s="136">
        <f t="shared" si="162"/>
        <v>0</v>
      </c>
      <c r="AV629" s="136">
        <f t="shared" si="162"/>
        <v>0</v>
      </c>
      <c r="AW629" s="136">
        <f t="shared" si="162"/>
        <v>0</v>
      </c>
      <c r="AX629" s="136">
        <f t="shared" si="162"/>
        <v>0</v>
      </c>
      <c r="AY629" s="136">
        <f t="shared" si="162"/>
        <v>0</v>
      </c>
      <c r="AZ629" s="136">
        <f t="shared" si="162"/>
        <v>0</v>
      </c>
      <c r="BA629" s="136">
        <f t="shared" si="162"/>
        <v>0</v>
      </c>
      <c r="BB629" s="136">
        <f t="shared" si="162"/>
        <v>0</v>
      </c>
      <c r="BC629" s="136">
        <f t="shared" si="162"/>
        <v>0</v>
      </c>
      <c r="BD629" s="136">
        <f t="shared" si="162"/>
        <v>0</v>
      </c>
      <c r="BE629" s="136">
        <f t="shared" si="162"/>
        <v>0</v>
      </c>
      <c r="BF629" s="136">
        <f t="shared" si="162"/>
        <v>0</v>
      </c>
      <c r="BG629" s="136">
        <f t="shared" si="162"/>
        <v>0</v>
      </c>
      <c r="BH629" s="136">
        <f t="shared" si="162"/>
        <v>0</v>
      </c>
      <c r="BI629" s="136">
        <f t="shared" si="162"/>
        <v>0</v>
      </c>
      <c r="BJ629" s="136">
        <f t="shared" si="162"/>
        <v>0</v>
      </c>
      <c r="BK629" s="136">
        <f t="shared" si="162"/>
        <v>0</v>
      </c>
      <c r="BL629" s="136">
        <f t="shared" si="162"/>
        <v>0</v>
      </c>
      <c r="BM629" s="136">
        <f t="shared" si="162"/>
        <v>0</v>
      </c>
      <c r="BN629" s="136">
        <f t="shared" si="162"/>
        <v>0</v>
      </c>
      <c r="BO629" s="136">
        <f t="shared" si="160"/>
        <v>0</v>
      </c>
      <c r="BP629" s="136">
        <f t="shared" si="160"/>
        <v>0</v>
      </c>
      <c r="BQ629" s="136">
        <f t="shared" si="160"/>
        <v>0</v>
      </c>
      <c r="BR629" s="136">
        <f t="shared" si="160"/>
        <v>0</v>
      </c>
      <c r="BS629" s="136">
        <f t="shared" si="160"/>
        <v>0</v>
      </c>
      <c r="BT629" s="136">
        <f t="shared" si="160"/>
        <v>0</v>
      </c>
      <c r="BU629" s="136">
        <f t="shared" si="160"/>
        <v>0</v>
      </c>
      <c r="BV629" s="136">
        <f t="shared" si="160"/>
        <v>0</v>
      </c>
      <c r="BW629" s="136">
        <f t="shared" si="160"/>
        <v>0</v>
      </c>
      <c r="BX629" s="136">
        <f t="shared" si="160"/>
        <v>0</v>
      </c>
      <c r="BZ629" s="136">
        <f t="shared" si="161"/>
        <v>0</v>
      </c>
      <c r="CA629" s="136">
        <f t="shared" si="161"/>
        <v>0</v>
      </c>
    </row>
    <row r="630" spans="7:79" hidden="1" x14ac:dyDescent="0.3">
      <c r="G630" s="136">
        <f t="shared" ref="G630:BR634" si="163">G210-BY210</f>
        <v>0</v>
      </c>
      <c r="H630" s="136">
        <f t="shared" si="163"/>
        <v>0</v>
      </c>
      <c r="I630" s="136">
        <f t="shared" si="163"/>
        <v>0</v>
      </c>
      <c r="J630" s="136">
        <f t="shared" si="163"/>
        <v>0</v>
      </c>
      <c r="K630" s="136">
        <f t="shared" si="163"/>
        <v>0</v>
      </c>
      <c r="L630" s="136">
        <f t="shared" si="163"/>
        <v>0</v>
      </c>
      <c r="M630" s="136">
        <f t="shared" si="163"/>
        <v>0</v>
      </c>
      <c r="N630" s="136">
        <f t="shared" si="163"/>
        <v>0</v>
      </c>
      <c r="O630" s="136">
        <f t="shared" si="163"/>
        <v>0</v>
      </c>
      <c r="P630" s="136">
        <f t="shared" si="163"/>
        <v>0</v>
      </c>
      <c r="Q630" s="136">
        <f t="shared" si="163"/>
        <v>0</v>
      </c>
      <c r="R630" s="136">
        <f t="shared" si="163"/>
        <v>0</v>
      </c>
      <c r="S630" s="136">
        <f t="shared" si="163"/>
        <v>0</v>
      </c>
      <c r="T630" s="136">
        <f t="shared" si="163"/>
        <v>0</v>
      </c>
      <c r="U630" s="136">
        <f t="shared" si="163"/>
        <v>0</v>
      </c>
      <c r="V630" s="136">
        <f t="shared" si="163"/>
        <v>0</v>
      </c>
      <c r="W630" s="136">
        <f t="shared" si="163"/>
        <v>0</v>
      </c>
      <c r="X630" s="136">
        <f t="shared" si="163"/>
        <v>0</v>
      </c>
      <c r="Y630" s="136">
        <f t="shared" si="163"/>
        <v>0</v>
      </c>
      <c r="Z630" s="136">
        <f t="shared" si="163"/>
        <v>0</v>
      </c>
      <c r="AA630" s="136">
        <f t="shared" si="163"/>
        <v>0</v>
      </c>
      <c r="AB630" s="136">
        <f t="shared" si="163"/>
        <v>0</v>
      </c>
      <c r="AC630" s="136">
        <f t="shared" si="163"/>
        <v>0</v>
      </c>
      <c r="AD630" s="136">
        <f t="shared" si="163"/>
        <v>0</v>
      </c>
      <c r="AE630" s="136">
        <f t="shared" si="163"/>
        <v>0</v>
      </c>
      <c r="AF630" s="136">
        <f t="shared" si="163"/>
        <v>0</v>
      </c>
      <c r="AG630" s="136">
        <f t="shared" si="163"/>
        <v>0</v>
      </c>
      <c r="AH630" s="136">
        <f t="shared" si="163"/>
        <v>0</v>
      </c>
      <c r="AI630" s="136">
        <f t="shared" si="163"/>
        <v>0</v>
      </c>
      <c r="AJ630" s="136">
        <f t="shared" si="163"/>
        <v>0</v>
      </c>
      <c r="AK630" s="136">
        <f t="shared" si="163"/>
        <v>0</v>
      </c>
      <c r="AL630" s="136">
        <f t="shared" si="163"/>
        <v>0</v>
      </c>
      <c r="AM630" s="136">
        <f t="shared" si="163"/>
        <v>0</v>
      </c>
      <c r="AN630" s="136">
        <f t="shared" si="163"/>
        <v>0</v>
      </c>
      <c r="AO630" s="136">
        <f t="shared" si="163"/>
        <v>0</v>
      </c>
      <c r="AP630" s="136">
        <f t="shared" si="163"/>
        <v>0</v>
      </c>
      <c r="AQ630" s="136">
        <f t="shared" si="163"/>
        <v>0</v>
      </c>
      <c r="AR630" s="136">
        <f t="shared" si="163"/>
        <v>0</v>
      </c>
      <c r="AS630" s="136">
        <f t="shared" si="163"/>
        <v>0</v>
      </c>
      <c r="AT630" s="136">
        <f t="shared" si="163"/>
        <v>0</v>
      </c>
      <c r="AU630" s="136">
        <f t="shared" si="163"/>
        <v>0</v>
      </c>
      <c r="AV630" s="136">
        <f t="shared" si="163"/>
        <v>0</v>
      </c>
      <c r="AW630" s="136">
        <f t="shared" si="163"/>
        <v>0</v>
      </c>
      <c r="AX630" s="136">
        <f t="shared" si="163"/>
        <v>0</v>
      </c>
      <c r="AY630" s="136">
        <f t="shared" si="163"/>
        <v>0</v>
      </c>
      <c r="AZ630" s="136">
        <f t="shared" si="163"/>
        <v>0</v>
      </c>
      <c r="BA630" s="136">
        <f t="shared" si="163"/>
        <v>0</v>
      </c>
      <c r="BB630" s="136">
        <f t="shared" si="163"/>
        <v>0</v>
      </c>
      <c r="BC630" s="136">
        <f t="shared" si="163"/>
        <v>0</v>
      </c>
      <c r="BD630" s="136">
        <f t="shared" si="163"/>
        <v>0</v>
      </c>
      <c r="BE630" s="136">
        <f t="shared" si="163"/>
        <v>0</v>
      </c>
      <c r="BF630" s="136">
        <f t="shared" si="163"/>
        <v>0</v>
      </c>
      <c r="BG630" s="136">
        <f t="shared" si="163"/>
        <v>0</v>
      </c>
      <c r="BH630" s="136">
        <f t="shared" si="163"/>
        <v>0</v>
      </c>
      <c r="BI630" s="136">
        <f t="shared" si="163"/>
        <v>0</v>
      </c>
      <c r="BJ630" s="136">
        <f t="shared" si="163"/>
        <v>0</v>
      </c>
      <c r="BK630" s="136">
        <f t="shared" si="163"/>
        <v>0</v>
      </c>
      <c r="BL630" s="136">
        <f t="shared" si="163"/>
        <v>0</v>
      </c>
      <c r="BM630" s="136">
        <f t="shared" si="163"/>
        <v>0</v>
      </c>
      <c r="BN630" s="136">
        <f t="shared" si="163"/>
        <v>0</v>
      </c>
      <c r="BO630" s="136">
        <f t="shared" si="163"/>
        <v>0</v>
      </c>
      <c r="BP630" s="136">
        <f t="shared" si="163"/>
        <v>0</v>
      </c>
      <c r="BQ630" s="136">
        <f t="shared" si="163"/>
        <v>0</v>
      </c>
      <c r="BR630" s="136">
        <f t="shared" si="163"/>
        <v>0</v>
      </c>
      <c r="BS630" s="136">
        <f t="shared" ref="BO630:BX634" si="164">BS210-EK210</f>
        <v>0</v>
      </c>
      <c r="BT630" s="136">
        <f t="shared" si="164"/>
        <v>0</v>
      </c>
      <c r="BU630" s="136">
        <f t="shared" si="164"/>
        <v>0</v>
      </c>
      <c r="BV630" s="136">
        <f t="shared" si="164"/>
        <v>0</v>
      </c>
      <c r="BW630" s="136">
        <f t="shared" si="164"/>
        <v>0</v>
      </c>
      <c r="BX630" s="136">
        <f t="shared" si="164"/>
        <v>0</v>
      </c>
      <c r="BZ630" s="136">
        <f t="shared" ref="BZ630:CA634" si="165">BZ210-ER210</f>
        <v>0</v>
      </c>
      <c r="CA630" s="136">
        <f t="shared" si="165"/>
        <v>0</v>
      </c>
    </row>
    <row r="631" spans="7:79" hidden="1" x14ac:dyDescent="0.3">
      <c r="G631" s="136">
        <f t="shared" si="163"/>
        <v>0</v>
      </c>
      <c r="H631" s="136">
        <f t="shared" si="163"/>
        <v>0</v>
      </c>
      <c r="I631" s="136">
        <f t="shared" si="163"/>
        <v>0</v>
      </c>
      <c r="J631" s="136">
        <f t="shared" si="163"/>
        <v>0</v>
      </c>
      <c r="K631" s="136">
        <f t="shared" si="163"/>
        <v>0</v>
      </c>
      <c r="L631" s="136">
        <f t="shared" si="163"/>
        <v>0</v>
      </c>
      <c r="M631" s="136">
        <f t="shared" si="163"/>
        <v>0</v>
      </c>
      <c r="N631" s="136">
        <f t="shared" si="163"/>
        <v>0</v>
      </c>
      <c r="O631" s="136">
        <f t="shared" si="163"/>
        <v>0</v>
      </c>
      <c r="P631" s="136">
        <f t="shared" si="163"/>
        <v>0</v>
      </c>
      <c r="Q631" s="136">
        <f t="shared" si="163"/>
        <v>0</v>
      </c>
      <c r="R631" s="136">
        <f t="shared" si="163"/>
        <v>0</v>
      </c>
      <c r="S631" s="136">
        <f t="shared" si="163"/>
        <v>0</v>
      </c>
      <c r="T631" s="136">
        <f t="shared" si="163"/>
        <v>0</v>
      </c>
      <c r="U631" s="136">
        <f t="shared" si="163"/>
        <v>0</v>
      </c>
      <c r="V631" s="136">
        <f t="shared" si="163"/>
        <v>0</v>
      </c>
      <c r="W631" s="136">
        <f t="shared" si="163"/>
        <v>0</v>
      </c>
      <c r="X631" s="136">
        <f t="shared" si="163"/>
        <v>0</v>
      </c>
      <c r="Y631" s="136">
        <f t="shared" si="163"/>
        <v>0</v>
      </c>
      <c r="Z631" s="136">
        <f t="shared" si="163"/>
        <v>0</v>
      </c>
      <c r="AA631" s="136">
        <f t="shared" si="163"/>
        <v>0</v>
      </c>
      <c r="AB631" s="136">
        <f t="shared" si="163"/>
        <v>0</v>
      </c>
      <c r="AC631" s="136">
        <f t="shared" si="163"/>
        <v>0</v>
      </c>
      <c r="AD631" s="136">
        <f t="shared" si="163"/>
        <v>0</v>
      </c>
      <c r="AE631" s="136">
        <f t="shared" si="163"/>
        <v>0</v>
      </c>
      <c r="AF631" s="136">
        <f t="shared" si="163"/>
        <v>0</v>
      </c>
      <c r="AG631" s="136">
        <f t="shared" si="163"/>
        <v>0</v>
      </c>
      <c r="AH631" s="136">
        <f t="shared" si="163"/>
        <v>0</v>
      </c>
      <c r="AI631" s="136">
        <f t="shared" si="163"/>
        <v>0</v>
      </c>
      <c r="AJ631" s="136">
        <f t="shared" si="163"/>
        <v>0</v>
      </c>
      <c r="AK631" s="136">
        <f t="shared" si="163"/>
        <v>0</v>
      </c>
      <c r="AL631" s="136">
        <f t="shared" si="163"/>
        <v>0</v>
      </c>
      <c r="AM631" s="136">
        <f t="shared" si="163"/>
        <v>0</v>
      </c>
      <c r="AN631" s="136">
        <f t="shared" si="163"/>
        <v>0</v>
      </c>
      <c r="AO631" s="136">
        <f t="shared" si="163"/>
        <v>0</v>
      </c>
      <c r="AP631" s="136">
        <f t="shared" si="163"/>
        <v>0</v>
      </c>
      <c r="AQ631" s="136">
        <f t="shared" si="163"/>
        <v>0</v>
      </c>
      <c r="AR631" s="136">
        <f t="shared" si="163"/>
        <v>0</v>
      </c>
      <c r="AS631" s="136">
        <f t="shared" si="163"/>
        <v>0</v>
      </c>
      <c r="AT631" s="136">
        <f t="shared" si="163"/>
        <v>0</v>
      </c>
      <c r="AU631" s="136">
        <f t="shared" si="163"/>
        <v>0</v>
      </c>
      <c r="AV631" s="136">
        <f t="shared" si="163"/>
        <v>0</v>
      </c>
      <c r="AW631" s="136">
        <f t="shared" si="163"/>
        <v>0</v>
      </c>
      <c r="AX631" s="136">
        <f t="shared" si="163"/>
        <v>0</v>
      </c>
      <c r="AY631" s="136">
        <f t="shared" si="163"/>
        <v>0</v>
      </c>
      <c r="AZ631" s="136">
        <f t="shared" si="163"/>
        <v>0</v>
      </c>
      <c r="BA631" s="136">
        <f t="shared" si="163"/>
        <v>0</v>
      </c>
      <c r="BB631" s="136">
        <f t="shared" si="163"/>
        <v>0</v>
      </c>
      <c r="BC631" s="136">
        <f t="shared" si="163"/>
        <v>0</v>
      </c>
      <c r="BD631" s="136">
        <f t="shared" si="163"/>
        <v>0</v>
      </c>
      <c r="BE631" s="136">
        <f t="shared" si="163"/>
        <v>0</v>
      </c>
      <c r="BF631" s="136">
        <f t="shared" si="163"/>
        <v>0</v>
      </c>
      <c r="BG631" s="136">
        <f t="shared" si="163"/>
        <v>0</v>
      </c>
      <c r="BH631" s="136">
        <f t="shared" si="163"/>
        <v>0</v>
      </c>
      <c r="BI631" s="136">
        <f t="shared" si="163"/>
        <v>0</v>
      </c>
      <c r="BJ631" s="136">
        <f t="shared" si="163"/>
        <v>0</v>
      </c>
      <c r="BK631" s="136">
        <f t="shared" si="163"/>
        <v>0</v>
      </c>
      <c r="BL631" s="136">
        <f t="shared" si="163"/>
        <v>0</v>
      </c>
      <c r="BM631" s="136">
        <f t="shared" si="163"/>
        <v>0</v>
      </c>
      <c r="BN631" s="136">
        <f t="shared" si="163"/>
        <v>0</v>
      </c>
      <c r="BO631" s="136">
        <f t="shared" si="164"/>
        <v>0</v>
      </c>
      <c r="BP631" s="136">
        <f t="shared" si="164"/>
        <v>0</v>
      </c>
      <c r="BQ631" s="136">
        <f t="shared" si="164"/>
        <v>0</v>
      </c>
      <c r="BR631" s="136">
        <f t="shared" si="164"/>
        <v>0</v>
      </c>
      <c r="BS631" s="136">
        <f t="shared" si="164"/>
        <v>0</v>
      </c>
      <c r="BT631" s="136">
        <f t="shared" si="164"/>
        <v>0</v>
      </c>
      <c r="BU631" s="136">
        <f t="shared" si="164"/>
        <v>0</v>
      </c>
      <c r="BV631" s="136">
        <f t="shared" si="164"/>
        <v>0</v>
      </c>
      <c r="BW631" s="136">
        <f t="shared" si="164"/>
        <v>0</v>
      </c>
      <c r="BX631" s="136">
        <f t="shared" si="164"/>
        <v>0</v>
      </c>
      <c r="BZ631" s="136">
        <f t="shared" si="165"/>
        <v>0</v>
      </c>
      <c r="CA631" s="136">
        <f t="shared" si="165"/>
        <v>0</v>
      </c>
    </row>
    <row r="632" spans="7:79" hidden="1" x14ac:dyDescent="0.3">
      <c r="G632" s="136">
        <f t="shared" si="163"/>
        <v>0</v>
      </c>
      <c r="H632" s="136">
        <f t="shared" si="163"/>
        <v>0</v>
      </c>
      <c r="I632" s="136">
        <f t="shared" si="163"/>
        <v>0</v>
      </c>
      <c r="J632" s="136">
        <f t="shared" si="163"/>
        <v>0</v>
      </c>
      <c r="K632" s="136">
        <f t="shared" si="163"/>
        <v>0</v>
      </c>
      <c r="L632" s="136">
        <f t="shared" si="163"/>
        <v>0</v>
      </c>
      <c r="M632" s="136">
        <f t="shared" si="163"/>
        <v>0</v>
      </c>
      <c r="N632" s="136">
        <f t="shared" si="163"/>
        <v>0</v>
      </c>
      <c r="O632" s="136">
        <f t="shared" si="163"/>
        <v>0</v>
      </c>
      <c r="P632" s="136">
        <f t="shared" si="163"/>
        <v>0</v>
      </c>
      <c r="Q632" s="136">
        <f t="shared" si="163"/>
        <v>0</v>
      </c>
      <c r="R632" s="136">
        <f t="shared" si="163"/>
        <v>0</v>
      </c>
      <c r="S632" s="136">
        <f t="shared" si="163"/>
        <v>0</v>
      </c>
      <c r="T632" s="136">
        <f t="shared" si="163"/>
        <v>0</v>
      </c>
      <c r="U632" s="136">
        <f t="shared" si="163"/>
        <v>0</v>
      </c>
      <c r="V632" s="136">
        <f t="shared" si="163"/>
        <v>0</v>
      </c>
      <c r="W632" s="136">
        <f t="shared" si="163"/>
        <v>0</v>
      </c>
      <c r="X632" s="136">
        <f t="shared" si="163"/>
        <v>0</v>
      </c>
      <c r="Y632" s="136">
        <f t="shared" si="163"/>
        <v>0</v>
      </c>
      <c r="Z632" s="136">
        <f t="shared" si="163"/>
        <v>0</v>
      </c>
      <c r="AA632" s="136">
        <f t="shared" si="163"/>
        <v>0</v>
      </c>
      <c r="AB632" s="136">
        <f t="shared" si="163"/>
        <v>0</v>
      </c>
      <c r="AC632" s="136">
        <f t="shared" si="163"/>
        <v>0</v>
      </c>
      <c r="AD632" s="136">
        <f t="shared" si="163"/>
        <v>0</v>
      </c>
      <c r="AE632" s="136">
        <f t="shared" si="163"/>
        <v>0</v>
      </c>
      <c r="AF632" s="136">
        <f t="shared" si="163"/>
        <v>0</v>
      </c>
      <c r="AG632" s="136">
        <f t="shared" si="163"/>
        <v>0</v>
      </c>
      <c r="AH632" s="136">
        <f t="shared" si="163"/>
        <v>0</v>
      </c>
      <c r="AI632" s="136">
        <f t="shared" si="163"/>
        <v>0</v>
      </c>
      <c r="AJ632" s="136">
        <f t="shared" si="163"/>
        <v>0</v>
      </c>
      <c r="AK632" s="136">
        <f t="shared" si="163"/>
        <v>0</v>
      </c>
      <c r="AL632" s="136">
        <f t="shared" si="163"/>
        <v>0</v>
      </c>
      <c r="AM632" s="136">
        <f t="shared" si="163"/>
        <v>0</v>
      </c>
      <c r="AN632" s="136">
        <f t="shared" si="163"/>
        <v>0</v>
      </c>
      <c r="AO632" s="136">
        <f t="shared" si="163"/>
        <v>0</v>
      </c>
      <c r="AP632" s="136">
        <f t="shared" si="163"/>
        <v>0</v>
      </c>
      <c r="AQ632" s="136">
        <f t="shared" si="163"/>
        <v>0</v>
      </c>
      <c r="AR632" s="136">
        <f t="shared" si="163"/>
        <v>0</v>
      </c>
      <c r="AS632" s="136">
        <f t="shared" si="163"/>
        <v>0</v>
      </c>
      <c r="AT632" s="136">
        <f t="shared" si="163"/>
        <v>0</v>
      </c>
      <c r="AU632" s="136">
        <f t="shared" si="163"/>
        <v>0</v>
      </c>
      <c r="AV632" s="136">
        <f t="shared" si="163"/>
        <v>0</v>
      </c>
      <c r="AW632" s="136">
        <f t="shared" si="163"/>
        <v>0</v>
      </c>
      <c r="AX632" s="136">
        <f t="shared" si="163"/>
        <v>0</v>
      </c>
      <c r="AY632" s="136">
        <f t="shared" si="163"/>
        <v>0</v>
      </c>
      <c r="AZ632" s="136">
        <f t="shared" si="163"/>
        <v>0</v>
      </c>
      <c r="BA632" s="136">
        <f t="shared" si="163"/>
        <v>0</v>
      </c>
      <c r="BB632" s="136">
        <f t="shared" si="163"/>
        <v>0</v>
      </c>
      <c r="BC632" s="136">
        <f t="shared" si="163"/>
        <v>0</v>
      </c>
      <c r="BD632" s="136">
        <f t="shared" si="163"/>
        <v>0</v>
      </c>
      <c r="BE632" s="136">
        <f t="shared" si="163"/>
        <v>0</v>
      </c>
      <c r="BF632" s="136">
        <f t="shared" si="163"/>
        <v>0</v>
      </c>
      <c r="BG632" s="136">
        <f t="shared" si="163"/>
        <v>0</v>
      </c>
      <c r="BH632" s="136">
        <f t="shared" si="163"/>
        <v>0</v>
      </c>
      <c r="BI632" s="136">
        <f t="shared" si="163"/>
        <v>0</v>
      </c>
      <c r="BJ632" s="136">
        <f t="shared" si="163"/>
        <v>0</v>
      </c>
      <c r="BK632" s="136">
        <f t="shared" si="163"/>
        <v>0</v>
      </c>
      <c r="BL632" s="136">
        <f t="shared" si="163"/>
        <v>0</v>
      </c>
      <c r="BM632" s="136">
        <f t="shared" si="163"/>
        <v>0</v>
      </c>
      <c r="BN632" s="136">
        <f t="shared" si="163"/>
        <v>0</v>
      </c>
      <c r="BO632" s="136">
        <f t="shared" si="164"/>
        <v>0</v>
      </c>
      <c r="BP632" s="136">
        <f t="shared" si="164"/>
        <v>0</v>
      </c>
      <c r="BQ632" s="136">
        <f t="shared" si="164"/>
        <v>0</v>
      </c>
      <c r="BR632" s="136">
        <f t="shared" si="164"/>
        <v>0</v>
      </c>
      <c r="BS632" s="136">
        <f t="shared" si="164"/>
        <v>0</v>
      </c>
      <c r="BT632" s="136">
        <f t="shared" si="164"/>
        <v>0</v>
      </c>
      <c r="BU632" s="136">
        <f t="shared" si="164"/>
        <v>0</v>
      </c>
      <c r="BV632" s="136">
        <f t="shared" si="164"/>
        <v>0</v>
      </c>
      <c r="BW632" s="136">
        <f t="shared" si="164"/>
        <v>0</v>
      </c>
      <c r="BX632" s="136">
        <f t="shared" si="164"/>
        <v>0</v>
      </c>
      <c r="BZ632" s="136">
        <f t="shared" si="165"/>
        <v>0</v>
      </c>
      <c r="CA632" s="136">
        <f t="shared" si="165"/>
        <v>0</v>
      </c>
    </row>
    <row r="633" spans="7:79" hidden="1" x14ac:dyDescent="0.3">
      <c r="G633" s="136">
        <f t="shared" si="163"/>
        <v>0</v>
      </c>
      <c r="H633" s="136">
        <f t="shared" si="163"/>
        <v>0</v>
      </c>
      <c r="I633" s="136">
        <f t="shared" si="163"/>
        <v>0</v>
      </c>
      <c r="J633" s="136">
        <f t="shared" si="163"/>
        <v>0</v>
      </c>
      <c r="K633" s="136">
        <f t="shared" si="163"/>
        <v>0</v>
      </c>
      <c r="L633" s="136">
        <f t="shared" si="163"/>
        <v>0</v>
      </c>
      <c r="M633" s="136">
        <f t="shared" si="163"/>
        <v>0</v>
      </c>
      <c r="N633" s="136">
        <f t="shared" si="163"/>
        <v>0</v>
      </c>
      <c r="O633" s="136">
        <f t="shared" si="163"/>
        <v>0</v>
      </c>
      <c r="P633" s="136">
        <f t="shared" si="163"/>
        <v>0</v>
      </c>
      <c r="Q633" s="136">
        <f t="shared" si="163"/>
        <v>0</v>
      </c>
      <c r="R633" s="136">
        <f t="shared" si="163"/>
        <v>0</v>
      </c>
      <c r="S633" s="136">
        <f t="shared" si="163"/>
        <v>0</v>
      </c>
      <c r="T633" s="136">
        <f t="shared" si="163"/>
        <v>0</v>
      </c>
      <c r="U633" s="136">
        <f t="shared" si="163"/>
        <v>0</v>
      </c>
      <c r="V633" s="136">
        <f t="shared" si="163"/>
        <v>0</v>
      </c>
      <c r="W633" s="136">
        <f t="shared" si="163"/>
        <v>0</v>
      </c>
      <c r="X633" s="136">
        <f t="shared" si="163"/>
        <v>0</v>
      </c>
      <c r="Y633" s="136">
        <f t="shared" si="163"/>
        <v>0</v>
      </c>
      <c r="Z633" s="136">
        <f t="shared" si="163"/>
        <v>0</v>
      </c>
      <c r="AA633" s="136">
        <f t="shared" si="163"/>
        <v>0</v>
      </c>
      <c r="AB633" s="136">
        <f t="shared" si="163"/>
        <v>0</v>
      </c>
      <c r="AC633" s="136">
        <f t="shared" si="163"/>
        <v>0</v>
      </c>
      <c r="AD633" s="136">
        <f t="shared" si="163"/>
        <v>0</v>
      </c>
      <c r="AE633" s="136">
        <f t="shared" si="163"/>
        <v>0</v>
      </c>
      <c r="AF633" s="136">
        <f t="shared" si="163"/>
        <v>0</v>
      </c>
      <c r="AG633" s="136">
        <f t="shared" si="163"/>
        <v>0</v>
      </c>
      <c r="AH633" s="136">
        <f t="shared" si="163"/>
        <v>0</v>
      </c>
      <c r="AI633" s="136">
        <f t="shared" si="163"/>
        <v>0</v>
      </c>
      <c r="AJ633" s="136">
        <f t="shared" si="163"/>
        <v>0</v>
      </c>
      <c r="AK633" s="136">
        <f t="shared" si="163"/>
        <v>0</v>
      </c>
      <c r="AL633" s="136">
        <f t="shared" si="163"/>
        <v>0</v>
      </c>
      <c r="AM633" s="136">
        <f t="shared" si="163"/>
        <v>0</v>
      </c>
      <c r="AN633" s="136">
        <f t="shared" si="163"/>
        <v>0</v>
      </c>
      <c r="AO633" s="136">
        <f t="shared" si="163"/>
        <v>0</v>
      </c>
      <c r="AP633" s="136">
        <f t="shared" si="163"/>
        <v>0</v>
      </c>
      <c r="AQ633" s="136">
        <f t="shared" si="163"/>
        <v>0</v>
      </c>
      <c r="AR633" s="136">
        <f t="shared" si="163"/>
        <v>0</v>
      </c>
      <c r="AS633" s="136">
        <f t="shared" si="163"/>
        <v>0</v>
      </c>
      <c r="AT633" s="136">
        <f t="shared" si="163"/>
        <v>0</v>
      </c>
      <c r="AU633" s="136">
        <f t="shared" si="163"/>
        <v>0</v>
      </c>
      <c r="AV633" s="136">
        <f t="shared" si="163"/>
        <v>0</v>
      </c>
      <c r="AW633" s="136">
        <f t="shared" si="163"/>
        <v>0</v>
      </c>
      <c r="AX633" s="136">
        <f t="shared" si="163"/>
        <v>0</v>
      </c>
      <c r="AY633" s="136">
        <f t="shared" si="163"/>
        <v>0</v>
      </c>
      <c r="AZ633" s="136">
        <f t="shared" si="163"/>
        <v>0</v>
      </c>
      <c r="BA633" s="136">
        <f t="shared" si="163"/>
        <v>0</v>
      </c>
      <c r="BB633" s="136">
        <f t="shared" si="163"/>
        <v>0</v>
      </c>
      <c r="BC633" s="136">
        <f t="shared" si="163"/>
        <v>0</v>
      </c>
      <c r="BD633" s="136">
        <f t="shared" si="163"/>
        <v>0</v>
      </c>
      <c r="BE633" s="136">
        <f t="shared" si="163"/>
        <v>0</v>
      </c>
      <c r="BF633" s="136">
        <f t="shared" si="163"/>
        <v>0</v>
      </c>
      <c r="BG633" s="136">
        <f t="shared" si="163"/>
        <v>0</v>
      </c>
      <c r="BH633" s="136">
        <f t="shared" si="163"/>
        <v>0</v>
      </c>
      <c r="BI633" s="136">
        <f t="shared" si="163"/>
        <v>0</v>
      </c>
      <c r="BJ633" s="136">
        <f t="shared" si="163"/>
        <v>0</v>
      </c>
      <c r="BK633" s="136">
        <f t="shared" si="163"/>
        <v>0</v>
      </c>
      <c r="BL633" s="136">
        <f t="shared" si="163"/>
        <v>0</v>
      </c>
      <c r="BM633" s="136">
        <f t="shared" si="163"/>
        <v>0</v>
      </c>
      <c r="BN633" s="136">
        <f t="shared" si="163"/>
        <v>0</v>
      </c>
      <c r="BO633" s="136">
        <f t="shared" si="164"/>
        <v>0</v>
      </c>
      <c r="BP633" s="136">
        <f t="shared" si="164"/>
        <v>0</v>
      </c>
      <c r="BQ633" s="136">
        <f t="shared" si="164"/>
        <v>0</v>
      </c>
      <c r="BR633" s="136">
        <f t="shared" si="164"/>
        <v>0</v>
      </c>
      <c r="BS633" s="136">
        <f t="shared" si="164"/>
        <v>0</v>
      </c>
      <c r="BT633" s="136">
        <f t="shared" si="164"/>
        <v>0</v>
      </c>
      <c r="BU633" s="136">
        <f t="shared" si="164"/>
        <v>0</v>
      </c>
      <c r="BV633" s="136">
        <f t="shared" si="164"/>
        <v>0</v>
      </c>
      <c r="BW633" s="136">
        <f t="shared" si="164"/>
        <v>0</v>
      </c>
      <c r="BX633" s="136">
        <f t="shared" si="164"/>
        <v>0</v>
      </c>
      <c r="BZ633" s="136">
        <f t="shared" si="165"/>
        <v>0</v>
      </c>
      <c r="CA633" s="136">
        <f t="shared" si="165"/>
        <v>0</v>
      </c>
    </row>
    <row r="634" spans="7:79" hidden="1" x14ac:dyDescent="0.3">
      <c r="G634" s="136">
        <f t="shared" si="163"/>
        <v>0</v>
      </c>
      <c r="H634" s="136">
        <f t="shared" si="163"/>
        <v>0</v>
      </c>
      <c r="I634" s="136">
        <f t="shared" si="163"/>
        <v>0</v>
      </c>
      <c r="J634" s="136">
        <f t="shared" si="163"/>
        <v>0</v>
      </c>
      <c r="K634" s="136">
        <f t="shared" si="163"/>
        <v>0</v>
      </c>
      <c r="L634" s="136">
        <f t="shared" si="163"/>
        <v>0</v>
      </c>
      <c r="M634" s="136">
        <f t="shared" si="163"/>
        <v>0</v>
      </c>
      <c r="N634" s="136">
        <f t="shared" si="163"/>
        <v>0</v>
      </c>
      <c r="O634" s="136">
        <f t="shared" si="163"/>
        <v>0</v>
      </c>
      <c r="P634" s="136">
        <f t="shared" si="163"/>
        <v>0</v>
      </c>
      <c r="Q634" s="136">
        <f t="shared" si="163"/>
        <v>0</v>
      </c>
      <c r="R634" s="136">
        <f t="shared" ref="R634:BN634" si="166">R214-CJ214</f>
        <v>0</v>
      </c>
      <c r="S634" s="136">
        <f t="shared" si="166"/>
        <v>0</v>
      </c>
      <c r="T634" s="136">
        <f t="shared" si="166"/>
        <v>0</v>
      </c>
      <c r="U634" s="136">
        <f t="shared" si="166"/>
        <v>0</v>
      </c>
      <c r="V634" s="136">
        <f t="shared" si="166"/>
        <v>0</v>
      </c>
      <c r="W634" s="136">
        <f t="shared" si="166"/>
        <v>0</v>
      </c>
      <c r="X634" s="136">
        <f t="shared" si="166"/>
        <v>0</v>
      </c>
      <c r="Y634" s="136">
        <f t="shared" si="166"/>
        <v>0</v>
      </c>
      <c r="Z634" s="136">
        <f t="shared" si="166"/>
        <v>0</v>
      </c>
      <c r="AA634" s="136">
        <f t="shared" si="166"/>
        <v>0</v>
      </c>
      <c r="AB634" s="136">
        <f t="shared" si="166"/>
        <v>0</v>
      </c>
      <c r="AC634" s="136">
        <f t="shared" si="166"/>
        <v>0</v>
      </c>
      <c r="AD634" s="136">
        <f t="shared" si="166"/>
        <v>0</v>
      </c>
      <c r="AE634" s="136">
        <f t="shared" si="166"/>
        <v>0</v>
      </c>
      <c r="AF634" s="136">
        <f t="shared" si="166"/>
        <v>0</v>
      </c>
      <c r="AG634" s="136">
        <f t="shared" si="166"/>
        <v>0</v>
      </c>
      <c r="AH634" s="136">
        <f t="shared" si="166"/>
        <v>0</v>
      </c>
      <c r="AI634" s="136">
        <f t="shared" si="166"/>
        <v>0</v>
      </c>
      <c r="AJ634" s="136">
        <f t="shared" si="166"/>
        <v>0</v>
      </c>
      <c r="AK634" s="136">
        <f t="shared" si="166"/>
        <v>0</v>
      </c>
      <c r="AL634" s="136">
        <f t="shared" si="166"/>
        <v>0</v>
      </c>
      <c r="AM634" s="136">
        <f t="shared" si="166"/>
        <v>0</v>
      </c>
      <c r="AN634" s="136">
        <f t="shared" si="166"/>
        <v>0</v>
      </c>
      <c r="AO634" s="136">
        <f t="shared" si="166"/>
        <v>0</v>
      </c>
      <c r="AP634" s="136">
        <f t="shared" si="166"/>
        <v>0</v>
      </c>
      <c r="AQ634" s="136">
        <f t="shared" si="166"/>
        <v>0</v>
      </c>
      <c r="AR634" s="136">
        <f t="shared" si="166"/>
        <v>0</v>
      </c>
      <c r="AS634" s="136">
        <f t="shared" si="166"/>
        <v>0</v>
      </c>
      <c r="AT634" s="136">
        <f t="shared" si="166"/>
        <v>0</v>
      </c>
      <c r="AU634" s="136">
        <f t="shared" si="166"/>
        <v>0</v>
      </c>
      <c r="AV634" s="136">
        <f t="shared" si="166"/>
        <v>0</v>
      </c>
      <c r="AW634" s="136">
        <f t="shared" si="166"/>
        <v>0</v>
      </c>
      <c r="AX634" s="136">
        <f t="shared" si="166"/>
        <v>0</v>
      </c>
      <c r="AY634" s="136">
        <f t="shared" si="166"/>
        <v>0</v>
      </c>
      <c r="AZ634" s="136">
        <f t="shared" si="166"/>
        <v>0</v>
      </c>
      <c r="BA634" s="136">
        <f t="shared" si="166"/>
        <v>0</v>
      </c>
      <c r="BB634" s="136">
        <f t="shared" si="166"/>
        <v>0</v>
      </c>
      <c r="BC634" s="136">
        <f t="shared" si="166"/>
        <v>0</v>
      </c>
      <c r="BD634" s="136">
        <f t="shared" si="166"/>
        <v>0</v>
      </c>
      <c r="BE634" s="136">
        <f t="shared" si="166"/>
        <v>0</v>
      </c>
      <c r="BF634" s="136">
        <f t="shared" si="166"/>
        <v>0</v>
      </c>
      <c r="BG634" s="136">
        <f t="shared" si="166"/>
        <v>0</v>
      </c>
      <c r="BH634" s="136">
        <f t="shared" si="166"/>
        <v>0</v>
      </c>
      <c r="BI634" s="136">
        <f t="shared" si="166"/>
        <v>0</v>
      </c>
      <c r="BJ634" s="136">
        <f t="shared" si="166"/>
        <v>0</v>
      </c>
      <c r="BK634" s="136">
        <f t="shared" si="166"/>
        <v>0</v>
      </c>
      <c r="BL634" s="136">
        <f t="shared" si="166"/>
        <v>0</v>
      </c>
      <c r="BM634" s="136">
        <f t="shared" si="166"/>
        <v>0</v>
      </c>
      <c r="BN634" s="136">
        <f t="shared" si="166"/>
        <v>0</v>
      </c>
      <c r="BO634" s="136">
        <f t="shared" si="164"/>
        <v>0</v>
      </c>
      <c r="BP634" s="136">
        <f t="shared" si="164"/>
        <v>0</v>
      </c>
      <c r="BQ634" s="136">
        <f t="shared" si="164"/>
        <v>0</v>
      </c>
      <c r="BR634" s="136">
        <f t="shared" si="164"/>
        <v>0</v>
      </c>
      <c r="BS634" s="136">
        <f t="shared" si="164"/>
        <v>0</v>
      </c>
      <c r="BT634" s="136">
        <f t="shared" si="164"/>
        <v>0</v>
      </c>
      <c r="BU634" s="136">
        <f t="shared" si="164"/>
        <v>0</v>
      </c>
      <c r="BV634" s="136">
        <f t="shared" si="164"/>
        <v>0</v>
      </c>
      <c r="BW634" s="136">
        <f t="shared" si="164"/>
        <v>0</v>
      </c>
      <c r="BX634" s="136">
        <f t="shared" si="164"/>
        <v>0</v>
      </c>
      <c r="BZ634" s="136">
        <f t="shared" si="165"/>
        <v>0</v>
      </c>
      <c r="CA634" s="136">
        <f t="shared" si="165"/>
        <v>0</v>
      </c>
    </row>
    <row r="635" spans="7:79" hidden="1" x14ac:dyDescent="0.3">
      <c r="G635" s="136">
        <f t="shared" ref="G635:BR639" si="167">G216-BY216</f>
        <v>0</v>
      </c>
      <c r="H635" s="136">
        <f t="shared" si="167"/>
        <v>0</v>
      </c>
      <c r="I635" s="136">
        <f t="shared" si="167"/>
        <v>0</v>
      </c>
      <c r="J635" s="136">
        <f t="shared" si="167"/>
        <v>0</v>
      </c>
      <c r="K635" s="136">
        <f t="shared" si="167"/>
        <v>0</v>
      </c>
      <c r="L635" s="136">
        <f t="shared" si="167"/>
        <v>0</v>
      </c>
      <c r="M635" s="136">
        <f t="shared" si="167"/>
        <v>0</v>
      </c>
      <c r="N635" s="136">
        <f t="shared" si="167"/>
        <v>0</v>
      </c>
      <c r="O635" s="136">
        <f t="shared" si="167"/>
        <v>0</v>
      </c>
      <c r="P635" s="136">
        <f t="shared" si="167"/>
        <v>0</v>
      </c>
      <c r="Q635" s="136">
        <f t="shared" si="167"/>
        <v>0</v>
      </c>
      <c r="R635" s="136">
        <f t="shared" si="167"/>
        <v>0</v>
      </c>
      <c r="S635" s="136">
        <f t="shared" si="167"/>
        <v>0</v>
      </c>
      <c r="T635" s="136">
        <f t="shared" si="167"/>
        <v>0</v>
      </c>
      <c r="U635" s="136">
        <f t="shared" si="167"/>
        <v>0</v>
      </c>
      <c r="V635" s="136">
        <f t="shared" si="167"/>
        <v>0</v>
      </c>
      <c r="W635" s="136">
        <f t="shared" si="167"/>
        <v>0</v>
      </c>
      <c r="X635" s="136">
        <f t="shared" si="167"/>
        <v>0</v>
      </c>
      <c r="Y635" s="136">
        <f t="shared" si="167"/>
        <v>0</v>
      </c>
      <c r="Z635" s="136">
        <f t="shared" si="167"/>
        <v>0</v>
      </c>
      <c r="AA635" s="136">
        <f t="shared" si="167"/>
        <v>0</v>
      </c>
      <c r="AB635" s="136">
        <f t="shared" si="167"/>
        <v>0</v>
      </c>
      <c r="AC635" s="136">
        <f t="shared" si="167"/>
        <v>0</v>
      </c>
      <c r="AD635" s="136">
        <f t="shared" si="167"/>
        <v>0</v>
      </c>
      <c r="AE635" s="136">
        <f t="shared" si="167"/>
        <v>0</v>
      </c>
      <c r="AF635" s="136">
        <f t="shared" si="167"/>
        <v>0</v>
      </c>
      <c r="AG635" s="136">
        <f t="shared" si="167"/>
        <v>0</v>
      </c>
      <c r="AH635" s="136">
        <f t="shared" si="167"/>
        <v>0</v>
      </c>
      <c r="AI635" s="136">
        <f t="shared" si="167"/>
        <v>0</v>
      </c>
      <c r="AJ635" s="136">
        <f t="shared" si="167"/>
        <v>0</v>
      </c>
      <c r="AK635" s="136">
        <f t="shared" si="167"/>
        <v>0</v>
      </c>
      <c r="AL635" s="136">
        <f t="shared" si="167"/>
        <v>0</v>
      </c>
      <c r="AM635" s="136">
        <f t="shared" si="167"/>
        <v>0</v>
      </c>
      <c r="AN635" s="136">
        <f t="shared" si="167"/>
        <v>0</v>
      </c>
      <c r="AO635" s="136">
        <f t="shared" si="167"/>
        <v>0</v>
      </c>
      <c r="AP635" s="136">
        <f t="shared" si="167"/>
        <v>0</v>
      </c>
      <c r="AQ635" s="136">
        <f t="shared" si="167"/>
        <v>0</v>
      </c>
      <c r="AR635" s="136">
        <f t="shared" si="167"/>
        <v>0</v>
      </c>
      <c r="AS635" s="136">
        <f t="shared" si="167"/>
        <v>0</v>
      </c>
      <c r="AT635" s="136">
        <f t="shared" si="167"/>
        <v>0</v>
      </c>
      <c r="AU635" s="136">
        <f t="shared" si="167"/>
        <v>0</v>
      </c>
      <c r="AV635" s="136">
        <f t="shared" si="167"/>
        <v>0</v>
      </c>
      <c r="AW635" s="136">
        <f t="shared" si="167"/>
        <v>0</v>
      </c>
      <c r="AX635" s="136">
        <f t="shared" si="167"/>
        <v>0</v>
      </c>
      <c r="AY635" s="136">
        <f t="shared" si="167"/>
        <v>0</v>
      </c>
      <c r="AZ635" s="136">
        <f t="shared" si="167"/>
        <v>0</v>
      </c>
      <c r="BA635" s="136">
        <f t="shared" si="167"/>
        <v>0</v>
      </c>
      <c r="BB635" s="136">
        <f t="shared" si="167"/>
        <v>0</v>
      </c>
      <c r="BC635" s="136">
        <f t="shared" si="167"/>
        <v>0</v>
      </c>
      <c r="BD635" s="136">
        <f t="shared" si="167"/>
        <v>0</v>
      </c>
      <c r="BE635" s="136">
        <f t="shared" si="167"/>
        <v>0</v>
      </c>
      <c r="BF635" s="136">
        <f t="shared" si="167"/>
        <v>0</v>
      </c>
      <c r="BG635" s="136">
        <f t="shared" si="167"/>
        <v>0</v>
      </c>
      <c r="BH635" s="136">
        <f t="shared" si="167"/>
        <v>0</v>
      </c>
      <c r="BI635" s="136">
        <f t="shared" si="167"/>
        <v>0</v>
      </c>
      <c r="BJ635" s="136">
        <f t="shared" si="167"/>
        <v>0</v>
      </c>
      <c r="BK635" s="136">
        <f t="shared" si="167"/>
        <v>0</v>
      </c>
      <c r="BL635" s="136">
        <f t="shared" si="167"/>
        <v>0</v>
      </c>
      <c r="BM635" s="136">
        <f t="shared" si="167"/>
        <v>0</v>
      </c>
      <c r="BN635" s="136">
        <f t="shared" si="167"/>
        <v>0</v>
      </c>
      <c r="BO635" s="136">
        <f t="shared" si="167"/>
        <v>0</v>
      </c>
      <c r="BP635" s="136">
        <f t="shared" si="167"/>
        <v>0</v>
      </c>
      <c r="BQ635" s="136">
        <f t="shared" si="167"/>
        <v>0</v>
      </c>
      <c r="BR635" s="136">
        <f t="shared" si="167"/>
        <v>0</v>
      </c>
      <c r="BS635" s="136">
        <f t="shared" ref="BO635:BX639" si="168">BS216-EK216</f>
        <v>0</v>
      </c>
      <c r="BT635" s="136">
        <f t="shared" si="168"/>
        <v>0</v>
      </c>
      <c r="BU635" s="136">
        <f t="shared" si="168"/>
        <v>0</v>
      </c>
      <c r="BV635" s="136">
        <f t="shared" si="168"/>
        <v>0</v>
      </c>
      <c r="BW635" s="136">
        <f t="shared" si="168"/>
        <v>0</v>
      </c>
      <c r="BX635" s="136">
        <f t="shared" si="168"/>
        <v>0</v>
      </c>
      <c r="BZ635" s="136">
        <f t="shared" ref="BZ635:CA639" si="169">BZ216-ER216</f>
        <v>0</v>
      </c>
      <c r="CA635" s="136">
        <f t="shared" si="169"/>
        <v>0</v>
      </c>
    </row>
    <row r="636" spans="7:79" hidden="1" x14ac:dyDescent="0.3">
      <c r="G636" s="136">
        <f t="shared" si="167"/>
        <v>0</v>
      </c>
      <c r="H636" s="136">
        <f t="shared" si="167"/>
        <v>0</v>
      </c>
      <c r="I636" s="136">
        <f t="shared" si="167"/>
        <v>0</v>
      </c>
      <c r="J636" s="136">
        <f t="shared" si="167"/>
        <v>0</v>
      </c>
      <c r="K636" s="136">
        <f t="shared" si="167"/>
        <v>0</v>
      </c>
      <c r="L636" s="136">
        <f t="shared" si="167"/>
        <v>0</v>
      </c>
      <c r="M636" s="136">
        <f t="shared" si="167"/>
        <v>0</v>
      </c>
      <c r="N636" s="136">
        <f t="shared" si="167"/>
        <v>0</v>
      </c>
      <c r="O636" s="136">
        <f t="shared" si="167"/>
        <v>0</v>
      </c>
      <c r="P636" s="136">
        <f t="shared" si="167"/>
        <v>0</v>
      </c>
      <c r="Q636" s="136">
        <f t="shared" si="167"/>
        <v>0</v>
      </c>
      <c r="R636" s="136">
        <f t="shared" si="167"/>
        <v>0</v>
      </c>
      <c r="S636" s="136">
        <f t="shared" si="167"/>
        <v>0</v>
      </c>
      <c r="T636" s="136">
        <f t="shared" si="167"/>
        <v>0</v>
      </c>
      <c r="U636" s="136">
        <f t="shared" si="167"/>
        <v>0</v>
      </c>
      <c r="V636" s="136">
        <f t="shared" si="167"/>
        <v>0</v>
      </c>
      <c r="W636" s="136">
        <f t="shared" si="167"/>
        <v>0</v>
      </c>
      <c r="X636" s="136">
        <f t="shared" si="167"/>
        <v>0</v>
      </c>
      <c r="Y636" s="136">
        <f t="shared" si="167"/>
        <v>0</v>
      </c>
      <c r="Z636" s="136">
        <f t="shared" si="167"/>
        <v>0</v>
      </c>
      <c r="AA636" s="136">
        <f t="shared" si="167"/>
        <v>0</v>
      </c>
      <c r="AB636" s="136">
        <f t="shared" si="167"/>
        <v>0</v>
      </c>
      <c r="AC636" s="136">
        <f t="shared" si="167"/>
        <v>0</v>
      </c>
      <c r="AD636" s="136">
        <f t="shared" si="167"/>
        <v>0</v>
      </c>
      <c r="AE636" s="136">
        <f t="shared" si="167"/>
        <v>0</v>
      </c>
      <c r="AF636" s="136">
        <f t="shared" si="167"/>
        <v>0</v>
      </c>
      <c r="AG636" s="136">
        <f t="shared" si="167"/>
        <v>0</v>
      </c>
      <c r="AH636" s="136">
        <f t="shared" si="167"/>
        <v>0</v>
      </c>
      <c r="AI636" s="136">
        <f t="shared" si="167"/>
        <v>0</v>
      </c>
      <c r="AJ636" s="136">
        <f t="shared" si="167"/>
        <v>0</v>
      </c>
      <c r="AK636" s="136">
        <f t="shared" si="167"/>
        <v>0</v>
      </c>
      <c r="AL636" s="136">
        <f t="shared" si="167"/>
        <v>0</v>
      </c>
      <c r="AM636" s="136">
        <f t="shared" si="167"/>
        <v>0</v>
      </c>
      <c r="AN636" s="136">
        <f t="shared" si="167"/>
        <v>0</v>
      </c>
      <c r="AO636" s="136">
        <f t="shared" si="167"/>
        <v>0</v>
      </c>
      <c r="AP636" s="136">
        <f t="shared" si="167"/>
        <v>0</v>
      </c>
      <c r="AQ636" s="136">
        <f t="shared" si="167"/>
        <v>0</v>
      </c>
      <c r="AR636" s="136">
        <f t="shared" si="167"/>
        <v>0</v>
      </c>
      <c r="AS636" s="136">
        <f t="shared" si="167"/>
        <v>0</v>
      </c>
      <c r="AT636" s="136">
        <f t="shared" si="167"/>
        <v>0</v>
      </c>
      <c r="AU636" s="136">
        <f t="shared" si="167"/>
        <v>0</v>
      </c>
      <c r="AV636" s="136">
        <f t="shared" si="167"/>
        <v>0</v>
      </c>
      <c r="AW636" s="136">
        <f t="shared" si="167"/>
        <v>0</v>
      </c>
      <c r="AX636" s="136">
        <f t="shared" si="167"/>
        <v>0</v>
      </c>
      <c r="AY636" s="136">
        <f t="shared" si="167"/>
        <v>0</v>
      </c>
      <c r="AZ636" s="136">
        <f t="shared" si="167"/>
        <v>0</v>
      </c>
      <c r="BA636" s="136">
        <f t="shared" si="167"/>
        <v>0</v>
      </c>
      <c r="BB636" s="136">
        <f t="shared" si="167"/>
        <v>0</v>
      </c>
      <c r="BC636" s="136">
        <f t="shared" si="167"/>
        <v>0</v>
      </c>
      <c r="BD636" s="136">
        <f t="shared" si="167"/>
        <v>0</v>
      </c>
      <c r="BE636" s="136">
        <f t="shared" si="167"/>
        <v>0</v>
      </c>
      <c r="BF636" s="136">
        <f t="shared" si="167"/>
        <v>0</v>
      </c>
      <c r="BG636" s="136">
        <f t="shared" si="167"/>
        <v>0</v>
      </c>
      <c r="BH636" s="136">
        <f t="shared" si="167"/>
        <v>0</v>
      </c>
      <c r="BI636" s="136">
        <f t="shared" si="167"/>
        <v>0</v>
      </c>
      <c r="BJ636" s="136">
        <f t="shared" si="167"/>
        <v>0</v>
      </c>
      <c r="BK636" s="136">
        <f t="shared" si="167"/>
        <v>0</v>
      </c>
      <c r="BL636" s="136">
        <f t="shared" si="167"/>
        <v>0</v>
      </c>
      <c r="BM636" s="136">
        <f t="shared" si="167"/>
        <v>0</v>
      </c>
      <c r="BN636" s="136">
        <f t="shared" si="167"/>
        <v>0</v>
      </c>
      <c r="BO636" s="136">
        <f t="shared" si="168"/>
        <v>0</v>
      </c>
      <c r="BP636" s="136">
        <f t="shared" si="168"/>
        <v>0</v>
      </c>
      <c r="BQ636" s="136">
        <f t="shared" si="168"/>
        <v>0</v>
      </c>
      <c r="BR636" s="136">
        <f t="shared" si="168"/>
        <v>0</v>
      </c>
      <c r="BS636" s="136">
        <f t="shared" si="168"/>
        <v>0</v>
      </c>
      <c r="BT636" s="136">
        <f t="shared" si="168"/>
        <v>0</v>
      </c>
      <c r="BU636" s="136">
        <f t="shared" si="168"/>
        <v>0</v>
      </c>
      <c r="BV636" s="136">
        <f t="shared" si="168"/>
        <v>0</v>
      </c>
      <c r="BW636" s="136">
        <f t="shared" si="168"/>
        <v>0</v>
      </c>
      <c r="BX636" s="136">
        <f t="shared" si="168"/>
        <v>0</v>
      </c>
      <c r="BZ636" s="136">
        <f t="shared" si="169"/>
        <v>0</v>
      </c>
      <c r="CA636" s="136">
        <f t="shared" si="169"/>
        <v>0</v>
      </c>
    </row>
    <row r="637" spans="7:79" hidden="1" x14ac:dyDescent="0.3">
      <c r="G637" s="136">
        <f t="shared" si="167"/>
        <v>0</v>
      </c>
      <c r="H637" s="136">
        <f t="shared" si="167"/>
        <v>0</v>
      </c>
      <c r="I637" s="136">
        <f t="shared" si="167"/>
        <v>0</v>
      </c>
      <c r="J637" s="136">
        <f t="shared" si="167"/>
        <v>0</v>
      </c>
      <c r="K637" s="136">
        <f t="shared" si="167"/>
        <v>0</v>
      </c>
      <c r="L637" s="136">
        <f t="shared" si="167"/>
        <v>0</v>
      </c>
      <c r="M637" s="136">
        <f t="shared" si="167"/>
        <v>0</v>
      </c>
      <c r="N637" s="136">
        <f t="shared" si="167"/>
        <v>0</v>
      </c>
      <c r="O637" s="136">
        <f t="shared" si="167"/>
        <v>0</v>
      </c>
      <c r="P637" s="136">
        <f t="shared" si="167"/>
        <v>0</v>
      </c>
      <c r="Q637" s="136">
        <f t="shared" si="167"/>
        <v>0</v>
      </c>
      <c r="R637" s="136">
        <f t="shared" si="167"/>
        <v>0</v>
      </c>
      <c r="S637" s="136">
        <f t="shared" si="167"/>
        <v>0</v>
      </c>
      <c r="T637" s="136">
        <f t="shared" si="167"/>
        <v>0</v>
      </c>
      <c r="U637" s="136">
        <f t="shared" si="167"/>
        <v>0</v>
      </c>
      <c r="V637" s="136">
        <f t="shared" si="167"/>
        <v>0</v>
      </c>
      <c r="W637" s="136">
        <f t="shared" si="167"/>
        <v>0</v>
      </c>
      <c r="X637" s="136">
        <f t="shared" si="167"/>
        <v>0</v>
      </c>
      <c r="Y637" s="136">
        <f t="shared" si="167"/>
        <v>0</v>
      </c>
      <c r="Z637" s="136">
        <f t="shared" si="167"/>
        <v>0</v>
      </c>
      <c r="AA637" s="136">
        <f t="shared" si="167"/>
        <v>0</v>
      </c>
      <c r="AB637" s="136">
        <f t="shared" si="167"/>
        <v>0</v>
      </c>
      <c r="AC637" s="136">
        <f t="shared" si="167"/>
        <v>0</v>
      </c>
      <c r="AD637" s="136">
        <f t="shared" si="167"/>
        <v>0</v>
      </c>
      <c r="AE637" s="136">
        <f t="shared" si="167"/>
        <v>0</v>
      </c>
      <c r="AF637" s="136">
        <f t="shared" si="167"/>
        <v>0</v>
      </c>
      <c r="AG637" s="136">
        <f t="shared" si="167"/>
        <v>0</v>
      </c>
      <c r="AH637" s="136">
        <f t="shared" si="167"/>
        <v>0</v>
      </c>
      <c r="AI637" s="136">
        <f t="shared" si="167"/>
        <v>0</v>
      </c>
      <c r="AJ637" s="136">
        <f t="shared" si="167"/>
        <v>0</v>
      </c>
      <c r="AK637" s="136">
        <f t="shared" si="167"/>
        <v>0</v>
      </c>
      <c r="AL637" s="136">
        <f t="shared" si="167"/>
        <v>0</v>
      </c>
      <c r="AM637" s="136">
        <f t="shared" si="167"/>
        <v>0</v>
      </c>
      <c r="AN637" s="136">
        <f t="shared" si="167"/>
        <v>0</v>
      </c>
      <c r="AO637" s="136">
        <f t="shared" si="167"/>
        <v>0</v>
      </c>
      <c r="AP637" s="136">
        <f t="shared" si="167"/>
        <v>0</v>
      </c>
      <c r="AQ637" s="136">
        <f t="shared" si="167"/>
        <v>0</v>
      </c>
      <c r="AR637" s="136">
        <f t="shared" si="167"/>
        <v>0</v>
      </c>
      <c r="AS637" s="136">
        <f t="shared" si="167"/>
        <v>0</v>
      </c>
      <c r="AT637" s="136">
        <f t="shared" si="167"/>
        <v>0</v>
      </c>
      <c r="AU637" s="136">
        <f t="shared" si="167"/>
        <v>0</v>
      </c>
      <c r="AV637" s="136">
        <f t="shared" si="167"/>
        <v>0</v>
      </c>
      <c r="AW637" s="136">
        <f t="shared" si="167"/>
        <v>0</v>
      </c>
      <c r="AX637" s="136">
        <f t="shared" si="167"/>
        <v>0</v>
      </c>
      <c r="AY637" s="136">
        <f t="shared" si="167"/>
        <v>0</v>
      </c>
      <c r="AZ637" s="136">
        <f t="shared" si="167"/>
        <v>0</v>
      </c>
      <c r="BA637" s="136">
        <f t="shared" si="167"/>
        <v>0</v>
      </c>
      <c r="BB637" s="136">
        <f t="shared" si="167"/>
        <v>0</v>
      </c>
      <c r="BC637" s="136">
        <f t="shared" si="167"/>
        <v>0</v>
      </c>
      <c r="BD637" s="136">
        <f t="shared" si="167"/>
        <v>0</v>
      </c>
      <c r="BE637" s="136">
        <f t="shared" si="167"/>
        <v>0</v>
      </c>
      <c r="BF637" s="136">
        <f t="shared" si="167"/>
        <v>0</v>
      </c>
      <c r="BG637" s="136">
        <f t="shared" si="167"/>
        <v>0</v>
      </c>
      <c r="BH637" s="136">
        <f t="shared" si="167"/>
        <v>0</v>
      </c>
      <c r="BI637" s="136">
        <f t="shared" si="167"/>
        <v>0</v>
      </c>
      <c r="BJ637" s="136">
        <f t="shared" si="167"/>
        <v>0</v>
      </c>
      <c r="BK637" s="136">
        <f t="shared" si="167"/>
        <v>0</v>
      </c>
      <c r="BL637" s="136">
        <f t="shared" si="167"/>
        <v>0</v>
      </c>
      <c r="BM637" s="136">
        <f t="shared" si="167"/>
        <v>0</v>
      </c>
      <c r="BN637" s="136">
        <f t="shared" si="167"/>
        <v>0</v>
      </c>
      <c r="BO637" s="136">
        <f t="shared" si="168"/>
        <v>0</v>
      </c>
      <c r="BP637" s="136">
        <f t="shared" si="168"/>
        <v>0</v>
      </c>
      <c r="BQ637" s="136">
        <f t="shared" si="168"/>
        <v>0</v>
      </c>
      <c r="BR637" s="136">
        <f t="shared" si="168"/>
        <v>0</v>
      </c>
      <c r="BS637" s="136">
        <f t="shared" si="168"/>
        <v>0</v>
      </c>
      <c r="BT637" s="136">
        <f t="shared" si="168"/>
        <v>0</v>
      </c>
      <c r="BU637" s="136">
        <f t="shared" si="168"/>
        <v>0</v>
      </c>
      <c r="BV637" s="136">
        <f t="shared" si="168"/>
        <v>0</v>
      </c>
      <c r="BW637" s="136">
        <f t="shared" si="168"/>
        <v>0</v>
      </c>
      <c r="BX637" s="136">
        <f t="shared" si="168"/>
        <v>0</v>
      </c>
      <c r="BZ637" s="136">
        <f t="shared" si="169"/>
        <v>0</v>
      </c>
      <c r="CA637" s="136">
        <f t="shared" si="169"/>
        <v>0</v>
      </c>
    </row>
    <row r="638" spans="7:79" hidden="1" x14ac:dyDescent="0.3">
      <c r="G638" s="136">
        <f t="shared" si="167"/>
        <v>0</v>
      </c>
      <c r="H638" s="136">
        <f t="shared" si="167"/>
        <v>0</v>
      </c>
      <c r="I638" s="136">
        <f t="shared" si="167"/>
        <v>0</v>
      </c>
      <c r="J638" s="136">
        <f t="shared" si="167"/>
        <v>0</v>
      </c>
      <c r="K638" s="136">
        <f t="shared" si="167"/>
        <v>0</v>
      </c>
      <c r="L638" s="136">
        <f t="shared" si="167"/>
        <v>0</v>
      </c>
      <c r="M638" s="136">
        <f t="shared" si="167"/>
        <v>0</v>
      </c>
      <c r="N638" s="136">
        <f t="shared" si="167"/>
        <v>0</v>
      </c>
      <c r="O638" s="136">
        <f t="shared" si="167"/>
        <v>0</v>
      </c>
      <c r="P638" s="136">
        <f t="shared" si="167"/>
        <v>0</v>
      </c>
      <c r="Q638" s="136">
        <f t="shared" si="167"/>
        <v>0</v>
      </c>
      <c r="R638" s="136">
        <f t="shared" si="167"/>
        <v>0</v>
      </c>
      <c r="S638" s="136">
        <f t="shared" si="167"/>
        <v>0</v>
      </c>
      <c r="T638" s="136">
        <f t="shared" si="167"/>
        <v>0</v>
      </c>
      <c r="U638" s="136">
        <f t="shared" si="167"/>
        <v>0</v>
      </c>
      <c r="V638" s="136">
        <f t="shared" si="167"/>
        <v>0</v>
      </c>
      <c r="W638" s="136">
        <f t="shared" si="167"/>
        <v>0</v>
      </c>
      <c r="X638" s="136">
        <f t="shared" si="167"/>
        <v>0</v>
      </c>
      <c r="Y638" s="136">
        <f t="shared" si="167"/>
        <v>0</v>
      </c>
      <c r="Z638" s="136">
        <f t="shared" si="167"/>
        <v>0</v>
      </c>
      <c r="AA638" s="136">
        <f t="shared" si="167"/>
        <v>0</v>
      </c>
      <c r="AB638" s="136">
        <f t="shared" si="167"/>
        <v>0</v>
      </c>
      <c r="AC638" s="136">
        <f t="shared" si="167"/>
        <v>0</v>
      </c>
      <c r="AD638" s="136">
        <f t="shared" si="167"/>
        <v>0</v>
      </c>
      <c r="AE638" s="136">
        <f t="shared" si="167"/>
        <v>0</v>
      </c>
      <c r="AF638" s="136">
        <f t="shared" si="167"/>
        <v>0</v>
      </c>
      <c r="AG638" s="136">
        <f t="shared" si="167"/>
        <v>0</v>
      </c>
      <c r="AH638" s="136">
        <f t="shared" si="167"/>
        <v>0</v>
      </c>
      <c r="AI638" s="136">
        <f t="shared" si="167"/>
        <v>0</v>
      </c>
      <c r="AJ638" s="136">
        <f t="shared" si="167"/>
        <v>0</v>
      </c>
      <c r="AK638" s="136">
        <f t="shared" si="167"/>
        <v>0</v>
      </c>
      <c r="AL638" s="136">
        <f t="shared" si="167"/>
        <v>0</v>
      </c>
      <c r="AM638" s="136">
        <f t="shared" si="167"/>
        <v>0</v>
      </c>
      <c r="AN638" s="136">
        <f t="shared" si="167"/>
        <v>0</v>
      </c>
      <c r="AO638" s="136">
        <f t="shared" si="167"/>
        <v>0</v>
      </c>
      <c r="AP638" s="136">
        <f t="shared" si="167"/>
        <v>0</v>
      </c>
      <c r="AQ638" s="136">
        <f t="shared" si="167"/>
        <v>0</v>
      </c>
      <c r="AR638" s="136">
        <f t="shared" si="167"/>
        <v>0</v>
      </c>
      <c r="AS638" s="136">
        <f t="shared" si="167"/>
        <v>0</v>
      </c>
      <c r="AT638" s="136">
        <f t="shared" si="167"/>
        <v>0</v>
      </c>
      <c r="AU638" s="136">
        <f t="shared" si="167"/>
        <v>0</v>
      </c>
      <c r="AV638" s="136">
        <f t="shared" si="167"/>
        <v>0</v>
      </c>
      <c r="AW638" s="136">
        <f t="shared" si="167"/>
        <v>0</v>
      </c>
      <c r="AX638" s="136">
        <f t="shared" si="167"/>
        <v>0</v>
      </c>
      <c r="AY638" s="136">
        <f t="shared" si="167"/>
        <v>0</v>
      </c>
      <c r="AZ638" s="136">
        <f t="shared" si="167"/>
        <v>0</v>
      </c>
      <c r="BA638" s="136">
        <f t="shared" si="167"/>
        <v>0</v>
      </c>
      <c r="BB638" s="136">
        <f t="shared" si="167"/>
        <v>0</v>
      </c>
      <c r="BC638" s="136">
        <f t="shared" si="167"/>
        <v>0</v>
      </c>
      <c r="BD638" s="136">
        <f t="shared" si="167"/>
        <v>0</v>
      </c>
      <c r="BE638" s="136">
        <f t="shared" si="167"/>
        <v>0</v>
      </c>
      <c r="BF638" s="136">
        <f t="shared" si="167"/>
        <v>0</v>
      </c>
      <c r="BG638" s="136">
        <f t="shared" si="167"/>
        <v>0</v>
      </c>
      <c r="BH638" s="136">
        <f t="shared" si="167"/>
        <v>0</v>
      </c>
      <c r="BI638" s="136">
        <f t="shared" si="167"/>
        <v>0</v>
      </c>
      <c r="BJ638" s="136">
        <f t="shared" si="167"/>
        <v>0</v>
      </c>
      <c r="BK638" s="136">
        <f t="shared" si="167"/>
        <v>0</v>
      </c>
      <c r="BL638" s="136">
        <f t="shared" si="167"/>
        <v>0</v>
      </c>
      <c r="BM638" s="136">
        <f t="shared" si="167"/>
        <v>0</v>
      </c>
      <c r="BN638" s="136">
        <f t="shared" si="167"/>
        <v>0</v>
      </c>
      <c r="BO638" s="136">
        <f t="shared" si="168"/>
        <v>0</v>
      </c>
      <c r="BP638" s="136">
        <f t="shared" si="168"/>
        <v>0</v>
      </c>
      <c r="BQ638" s="136">
        <f t="shared" si="168"/>
        <v>0</v>
      </c>
      <c r="BR638" s="136">
        <f t="shared" si="168"/>
        <v>0</v>
      </c>
      <c r="BS638" s="136">
        <f t="shared" si="168"/>
        <v>0</v>
      </c>
      <c r="BT638" s="136">
        <f t="shared" si="168"/>
        <v>0</v>
      </c>
      <c r="BU638" s="136">
        <f t="shared" si="168"/>
        <v>0</v>
      </c>
      <c r="BV638" s="136">
        <f t="shared" si="168"/>
        <v>0</v>
      </c>
      <c r="BW638" s="136">
        <f t="shared" si="168"/>
        <v>0</v>
      </c>
      <c r="BX638" s="136">
        <f t="shared" si="168"/>
        <v>0</v>
      </c>
      <c r="BZ638" s="136">
        <f t="shared" si="169"/>
        <v>0</v>
      </c>
      <c r="CA638" s="136">
        <f t="shared" si="169"/>
        <v>0</v>
      </c>
    </row>
    <row r="639" spans="7:79" hidden="1" x14ac:dyDescent="0.3">
      <c r="G639" s="136">
        <f t="shared" si="167"/>
        <v>0</v>
      </c>
      <c r="H639" s="136">
        <f t="shared" si="167"/>
        <v>0</v>
      </c>
      <c r="I639" s="136">
        <f t="shared" si="167"/>
        <v>0</v>
      </c>
      <c r="J639" s="136">
        <f t="shared" si="167"/>
        <v>0</v>
      </c>
      <c r="K639" s="136">
        <f t="shared" si="167"/>
        <v>0</v>
      </c>
      <c r="L639" s="136">
        <f t="shared" si="167"/>
        <v>0</v>
      </c>
      <c r="M639" s="136">
        <f t="shared" si="167"/>
        <v>0</v>
      </c>
      <c r="N639" s="136">
        <f t="shared" si="167"/>
        <v>0</v>
      </c>
      <c r="O639" s="136">
        <f t="shared" si="167"/>
        <v>0</v>
      </c>
      <c r="P639" s="136">
        <f t="shared" si="167"/>
        <v>0</v>
      </c>
      <c r="Q639" s="136">
        <f t="shared" si="167"/>
        <v>0</v>
      </c>
      <c r="R639" s="136">
        <f t="shared" ref="R639:BN639" si="170">R220-CJ220</f>
        <v>0</v>
      </c>
      <c r="S639" s="136">
        <f t="shared" si="170"/>
        <v>0</v>
      </c>
      <c r="T639" s="136">
        <f t="shared" si="170"/>
        <v>0</v>
      </c>
      <c r="U639" s="136">
        <f t="shared" si="170"/>
        <v>0</v>
      </c>
      <c r="V639" s="136">
        <f t="shared" si="170"/>
        <v>0</v>
      </c>
      <c r="W639" s="136">
        <f t="shared" si="170"/>
        <v>0</v>
      </c>
      <c r="X639" s="136">
        <f t="shared" si="170"/>
        <v>0</v>
      </c>
      <c r="Y639" s="136">
        <f t="shared" si="170"/>
        <v>0</v>
      </c>
      <c r="Z639" s="136">
        <f t="shared" si="170"/>
        <v>0</v>
      </c>
      <c r="AA639" s="136">
        <f t="shared" si="170"/>
        <v>0</v>
      </c>
      <c r="AB639" s="136">
        <f t="shared" si="170"/>
        <v>0</v>
      </c>
      <c r="AC639" s="136">
        <f t="shared" si="170"/>
        <v>0</v>
      </c>
      <c r="AD639" s="136">
        <f t="shared" si="170"/>
        <v>0</v>
      </c>
      <c r="AE639" s="136">
        <f t="shared" si="170"/>
        <v>0</v>
      </c>
      <c r="AF639" s="136">
        <f t="shared" si="170"/>
        <v>0</v>
      </c>
      <c r="AG639" s="136">
        <f t="shared" si="170"/>
        <v>0</v>
      </c>
      <c r="AH639" s="136">
        <f t="shared" si="170"/>
        <v>0</v>
      </c>
      <c r="AI639" s="136">
        <f t="shared" si="170"/>
        <v>0</v>
      </c>
      <c r="AJ639" s="136">
        <f t="shared" si="170"/>
        <v>0</v>
      </c>
      <c r="AK639" s="136">
        <f t="shared" si="170"/>
        <v>0</v>
      </c>
      <c r="AL639" s="136">
        <f t="shared" si="170"/>
        <v>0</v>
      </c>
      <c r="AM639" s="136">
        <f t="shared" si="170"/>
        <v>0</v>
      </c>
      <c r="AN639" s="136">
        <f t="shared" si="170"/>
        <v>0</v>
      </c>
      <c r="AO639" s="136">
        <f t="shared" si="170"/>
        <v>0</v>
      </c>
      <c r="AP639" s="136">
        <f t="shared" si="170"/>
        <v>0</v>
      </c>
      <c r="AQ639" s="136">
        <f t="shared" si="170"/>
        <v>0</v>
      </c>
      <c r="AR639" s="136">
        <f t="shared" si="170"/>
        <v>0</v>
      </c>
      <c r="AS639" s="136">
        <f t="shared" si="170"/>
        <v>0</v>
      </c>
      <c r="AT639" s="136">
        <f t="shared" si="170"/>
        <v>0</v>
      </c>
      <c r="AU639" s="136">
        <f t="shared" si="170"/>
        <v>0</v>
      </c>
      <c r="AV639" s="136">
        <f t="shared" si="170"/>
        <v>0</v>
      </c>
      <c r="AW639" s="136">
        <f t="shared" si="170"/>
        <v>0</v>
      </c>
      <c r="AX639" s="136">
        <f t="shared" si="170"/>
        <v>0</v>
      </c>
      <c r="AY639" s="136">
        <f t="shared" si="170"/>
        <v>0</v>
      </c>
      <c r="AZ639" s="136">
        <f t="shared" si="170"/>
        <v>0</v>
      </c>
      <c r="BA639" s="136">
        <f t="shared" si="170"/>
        <v>0</v>
      </c>
      <c r="BB639" s="136">
        <f t="shared" si="170"/>
        <v>0</v>
      </c>
      <c r="BC639" s="136">
        <f t="shared" si="170"/>
        <v>0</v>
      </c>
      <c r="BD639" s="136">
        <f t="shared" si="170"/>
        <v>0</v>
      </c>
      <c r="BE639" s="136">
        <f t="shared" si="170"/>
        <v>0</v>
      </c>
      <c r="BF639" s="136">
        <f t="shared" si="170"/>
        <v>0</v>
      </c>
      <c r="BG639" s="136">
        <f t="shared" si="170"/>
        <v>0</v>
      </c>
      <c r="BH639" s="136">
        <f t="shared" si="170"/>
        <v>0</v>
      </c>
      <c r="BI639" s="136">
        <f t="shared" si="170"/>
        <v>0</v>
      </c>
      <c r="BJ639" s="136">
        <f t="shared" si="170"/>
        <v>0</v>
      </c>
      <c r="BK639" s="136">
        <f t="shared" si="170"/>
        <v>0</v>
      </c>
      <c r="BL639" s="136">
        <f t="shared" si="170"/>
        <v>0</v>
      </c>
      <c r="BM639" s="136">
        <f t="shared" si="170"/>
        <v>0</v>
      </c>
      <c r="BN639" s="136">
        <f t="shared" si="170"/>
        <v>0</v>
      </c>
      <c r="BO639" s="136">
        <f t="shared" si="168"/>
        <v>0</v>
      </c>
      <c r="BP639" s="136">
        <f t="shared" si="168"/>
        <v>0</v>
      </c>
      <c r="BQ639" s="136">
        <f t="shared" si="168"/>
        <v>0</v>
      </c>
      <c r="BR639" s="136">
        <f t="shared" si="168"/>
        <v>0</v>
      </c>
      <c r="BS639" s="136">
        <f t="shared" si="168"/>
        <v>0</v>
      </c>
      <c r="BT639" s="136">
        <f t="shared" si="168"/>
        <v>0</v>
      </c>
      <c r="BU639" s="136">
        <f t="shared" si="168"/>
        <v>0</v>
      </c>
      <c r="BV639" s="136">
        <f t="shared" si="168"/>
        <v>0</v>
      </c>
      <c r="BW639" s="136">
        <f t="shared" si="168"/>
        <v>0</v>
      </c>
      <c r="BX639" s="136">
        <f t="shared" si="168"/>
        <v>0</v>
      </c>
      <c r="BZ639" s="136">
        <f t="shared" si="169"/>
        <v>0</v>
      </c>
      <c r="CA639" s="136">
        <f t="shared" si="169"/>
        <v>0</v>
      </c>
    </row>
    <row r="640" spans="7:79" hidden="1" x14ac:dyDescent="0.3">
      <c r="G640" s="136">
        <f t="shared" ref="G640:BR640" si="171">G222-BY222</f>
        <v>0</v>
      </c>
      <c r="H640" s="136">
        <f t="shared" si="171"/>
        <v>0</v>
      </c>
      <c r="I640" s="136">
        <f t="shared" si="171"/>
        <v>0</v>
      </c>
      <c r="J640" s="136">
        <f t="shared" si="171"/>
        <v>0</v>
      </c>
      <c r="K640" s="136">
        <f t="shared" si="171"/>
        <v>0</v>
      </c>
      <c r="L640" s="136">
        <f t="shared" si="171"/>
        <v>0</v>
      </c>
      <c r="M640" s="136">
        <f t="shared" si="171"/>
        <v>0</v>
      </c>
      <c r="N640" s="136">
        <f t="shared" si="171"/>
        <v>0</v>
      </c>
      <c r="O640" s="136">
        <f t="shared" si="171"/>
        <v>0</v>
      </c>
      <c r="P640" s="136">
        <f t="shared" si="171"/>
        <v>0</v>
      </c>
      <c r="Q640" s="136">
        <f t="shared" si="171"/>
        <v>0</v>
      </c>
      <c r="R640" s="136">
        <f t="shared" si="171"/>
        <v>0</v>
      </c>
      <c r="S640" s="136">
        <f t="shared" si="171"/>
        <v>0</v>
      </c>
      <c r="T640" s="136">
        <f t="shared" si="171"/>
        <v>0</v>
      </c>
      <c r="U640" s="136">
        <f t="shared" si="171"/>
        <v>0</v>
      </c>
      <c r="V640" s="136">
        <f t="shared" si="171"/>
        <v>0</v>
      </c>
      <c r="W640" s="136">
        <f t="shared" si="171"/>
        <v>0</v>
      </c>
      <c r="X640" s="136">
        <f t="shared" si="171"/>
        <v>0</v>
      </c>
      <c r="Y640" s="136">
        <f t="shared" si="171"/>
        <v>0</v>
      </c>
      <c r="Z640" s="136">
        <f t="shared" si="171"/>
        <v>0</v>
      </c>
      <c r="AA640" s="136">
        <f t="shared" si="171"/>
        <v>0</v>
      </c>
      <c r="AB640" s="136">
        <f t="shared" si="171"/>
        <v>0</v>
      </c>
      <c r="AC640" s="136">
        <f t="shared" si="171"/>
        <v>0</v>
      </c>
      <c r="AD640" s="136">
        <f t="shared" si="171"/>
        <v>0</v>
      </c>
      <c r="AE640" s="136">
        <f t="shared" si="171"/>
        <v>0</v>
      </c>
      <c r="AF640" s="136">
        <f t="shared" si="171"/>
        <v>0</v>
      </c>
      <c r="AG640" s="136">
        <f t="shared" si="171"/>
        <v>0</v>
      </c>
      <c r="AH640" s="136">
        <f t="shared" si="171"/>
        <v>0</v>
      </c>
      <c r="AI640" s="136">
        <f t="shared" si="171"/>
        <v>0</v>
      </c>
      <c r="AJ640" s="136">
        <f t="shared" si="171"/>
        <v>0</v>
      </c>
      <c r="AK640" s="136">
        <f t="shared" si="171"/>
        <v>0</v>
      </c>
      <c r="AL640" s="136">
        <f t="shared" si="171"/>
        <v>0</v>
      </c>
      <c r="AM640" s="136">
        <f t="shared" si="171"/>
        <v>0</v>
      </c>
      <c r="AN640" s="136">
        <f t="shared" si="171"/>
        <v>0</v>
      </c>
      <c r="AO640" s="136">
        <f t="shared" si="171"/>
        <v>0</v>
      </c>
      <c r="AP640" s="136">
        <f t="shared" si="171"/>
        <v>0</v>
      </c>
      <c r="AQ640" s="136">
        <f t="shared" si="171"/>
        <v>0</v>
      </c>
      <c r="AR640" s="136">
        <f t="shared" si="171"/>
        <v>0</v>
      </c>
      <c r="AS640" s="136">
        <f t="shared" si="171"/>
        <v>0</v>
      </c>
      <c r="AT640" s="136">
        <f t="shared" si="171"/>
        <v>0</v>
      </c>
      <c r="AU640" s="136">
        <f t="shared" si="171"/>
        <v>0</v>
      </c>
      <c r="AV640" s="136">
        <f t="shared" si="171"/>
        <v>0</v>
      </c>
      <c r="AW640" s="136">
        <f t="shared" si="171"/>
        <v>0</v>
      </c>
      <c r="AX640" s="136">
        <f t="shared" si="171"/>
        <v>0</v>
      </c>
      <c r="AY640" s="136">
        <f t="shared" si="171"/>
        <v>0</v>
      </c>
      <c r="AZ640" s="136">
        <f t="shared" si="171"/>
        <v>0</v>
      </c>
      <c r="BA640" s="136">
        <f t="shared" si="171"/>
        <v>0</v>
      </c>
      <c r="BB640" s="136">
        <f t="shared" si="171"/>
        <v>0</v>
      </c>
      <c r="BC640" s="136">
        <f t="shared" si="171"/>
        <v>0</v>
      </c>
      <c r="BD640" s="136">
        <f t="shared" si="171"/>
        <v>0</v>
      </c>
      <c r="BE640" s="136">
        <f t="shared" si="171"/>
        <v>0</v>
      </c>
      <c r="BF640" s="136">
        <f t="shared" si="171"/>
        <v>0</v>
      </c>
      <c r="BG640" s="136">
        <f t="shared" si="171"/>
        <v>0</v>
      </c>
      <c r="BH640" s="136">
        <f t="shared" si="171"/>
        <v>0</v>
      </c>
      <c r="BI640" s="136">
        <f t="shared" si="171"/>
        <v>0</v>
      </c>
      <c r="BJ640" s="136">
        <f t="shared" si="171"/>
        <v>0</v>
      </c>
      <c r="BK640" s="136">
        <f t="shared" si="171"/>
        <v>0</v>
      </c>
      <c r="BL640" s="136">
        <f t="shared" si="171"/>
        <v>0</v>
      </c>
      <c r="BM640" s="136">
        <f t="shared" si="171"/>
        <v>0</v>
      </c>
      <c r="BN640" s="136">
        <f t="shared" si="171"/>
        <v>0</v>
      </c>
      <c r="BO640" s="136">
        <f t="shared" si="171"/>
        <v>0</v>
      </c>
      <c r="BP640" s="136">
        <f t="shared" si="171"/>
        <v>0</v>
      </c>
      <c r="BQ640" s="136">
        <f t="shared" si="171"/>
        <v>0</v>
      </c>
      <c r="BR640" s="136">
        <f t="shared" si="171"/>
        <v>0</v>
      </c>
      <c r="BS640" s="136">
        <f t="shared" ref="BS640:BX640" si="172">BS222-EK222</f>
        <v>0</v>
      </c>
      <c r="BT640" s="136">
        <f t="shared" si="172"/>
        <v>0</v>
      </c>
      <c r="BU640" s="136">
        <f t="shared" si="172"/>
        <v>0</v>
      </c>
      <c r="BV640" s="136">
        <f t="shared" si="172"/>
        <v>0</v>
      </c>
      <c r="BW640" s="136">
        <f t="shared" si="172"/>
        <v>0</v>
      </c>
      <c r="BX640" s="136">
        <f t="shared" si="172"/>
        <v>0</v>
      </c>
      <c r="BZ640" s="136">
        <f>BZ222-ER222</f>
        <v>0</v>
      </c>
      <c r="CA640" s="136">
        <f>CA222-ES222</f>
        <v>0</v>
      </c>
    </row>
    <row r="641" spans="7:79" hidden="1" x14ac:dyDescent="0.3">
      <c r="G641" s="136" t="e">
        <f>#REF!-#REF!</f>
        <v>#REF!</v>
      </c>
      <c r="H641" s="136" t="e">
        <f>#REF!-#REF!</f>
        <v>#REF!</v>
      </c>
      <c r="I641" s="136" t="e">
        <f>#REF!-#REF!</f>
        <v>#REF!</v>
      </c>
      <c r="J641" s="136" t="e">
        <f>#REF!-#REF!</f>
        <v>#REF!</v>
      </c>
      <c r="K641" s="136" t="e">
        <f>#REF!-#REF!</f>
        <v>#REF!</v>
      </c>
      <c r="L641" s="136" t="e">
        <f>#REF!-#REF!</f>
        <v>#REF!</v>
      </c>
      <c r="M641" s="136" t="e">
        <f>#REF!-#REF!</f>
        <v>#REF!</v>
      </c>
      <c r="N641" s="136" t="e">
        <f>#REF!-#REF!</f>
        <v>#REF!</v>
      </c>
      <c r="O641" s="136" t="e">
        <f>#REF!-#REF!</f>
        <v>#REF!</v>
      </c>
      <c r="P641" s="136" t="e">
        <f>#REF!-#REF!</f>
        <v>#REF!</v>
      </c>
      <c r="Q641" s="136" t="e">
        <f>#REF!-#REF!</f>
        <v>#REF!</v>
      </c>
      <c r="R641" s="136" t="e">
        <f>#REF!-#REF!</f>
        <v>#REF!</v>
      </c>
      <c r="S641" s="136" t="e">
        <f>#REF!-#REF!</f>
        <v>#REF!</v>
      </c>
      <c r="T641" s="136" t="e">
        <f>#REF!-#REF!</f>
        <v>#REF!</v>
      </c>
      <c r="U641" s="136" t="e">
        <f>#REF!-#REF!</f>
        <v>#REF!</v>
      </c>
      <c r="V641" s="136" t="e">
        <f>#REF!-#REF!</f>
        <v>#REF!</v>
      </c>
      <c r="W641" s="136" t="e">
        <f>#REF!-#REF!</f>
        <v>#REF!</v>
      </c>
      <c r="X641" s="136" t="e">
        <f>#REF!-#REF!</f>
        <v>#REF!</v>
      </c>
      <c r="Y641" s="136" t="e">
        <f>#REF!-#REF!</f>
        <v>#REF!</v>
      </c>
      <c r="Z641" s="136" t="e">
        <f>#REF!-#REF!</f>
        <v>#REF!</v>
      </c>
      <c r="AA641" s="136" t="e">
        <f>#REF!-#REF!</f>
        <v>#REF!</v>
      </c>
      <c r="AB641" s="136" t="e">
        <f>#REF!-#REF!</f>
        <v>#REF!</v>
      </c>
      <c r="AC641" s="136" t="e">
        <f>#REF!-#REF!</f>
        <v>#REF!</v>
      </c>
      <c r="AD641" s="136" t="e">
        <f>#REF!-#REF!</f>
        <v>#REF!</v>
      </c>
      <c r="AE641" s="136" t="e">
        <f>#REF!-#REF!</f>
        <v>#REF!</v>
      </c>
      <c r="AF641" s="136" t="e">
        <f>#REF!-#REF!</f>
        <v>#REF!</v>
      </c>
      <c r="AG641" s="136" t="e">
        <f>#REF!-#REF!</f>
        <v>#REF!</v>
      </c>
      <c r="AH641" s="136" t="e">
        <f>#REF!-#REF!</f>
        <v>#REF!</v>
      </c>
      <c r="AI641" s="136" t="e">
        <f>#REF!-#REF!</f>
        <v>#REF!</v>
      </c>
      <c r="AJ641" s="136" t="e">
        <f>#REF!-#REF!</f>
        <v>#REF!</v>
      </c>
      <c r="AK641" s="136" t="e">
        <f>#REF!-#REF!</f>
        <v>#REF!</v>
      </c>
      <c r="AL641" s="136" t="e">
        <f>#REF!-#REF!</f>
        <v>#REF!</v>
      </c>
      <c r="AM641" s="136" t="e">
        <f>#REF!-#REF!</f>
        <v>#REF!</v>
      </c>
      <c r="AN641" s="136" t="e">
        <f>#REF!-#REF!</f>
        <v>#REF!</v>
      </c>
      <c r="AO641" s="136" t="e">
        <f>#REF!-#REF!</f>
        <v>#REF!</v>
      </c>
      <c r="AP641" s="136" t="e">
        <f>#REF!-#REF!</f>
        <v>#REF!</v>
      </c>
      <c r="AQ641" s="136" t="e">
        <f>#REF!-#REF!</f>
        <v>#REF!</v>
      </c>
      <c r="AR641" s="136" t="e">
        <f>#REF!-#REF!</f>
        <v>#REF!</v>
      </c>
      <c r="AS641" s="136" t="e">
        <f>#REF!-#REF!</f>
        <v>#REF!</v>
      </c>
      <c r="AT641" s="136" t="e">
        <f>#REF!-#REF!</f>
        <v>#REF!</v>
      </c>
      <c r="AU641" s="136" t="e">
        <f>#REF!-#REF!</f>
        <v>#REF!</v>
      </c>
      <c r="AV641" s="136" t="e">
        <f>#REF!-#REF!</f>
        <v>#REF!</v>
      </c>
      <c r="AW641" s="136" t="e">
        <f>#REF!-#REF!</f>
        <v>#REF!</v>
      </c>
      <c r="AX641" s="136" t="e">
        <f>#REF!-#REF!</f>
        <v>#REF!</v>
      </c>
      <c r="AY641" s="136" t="e">
        <f>#REF!-#REF!</f>
        <v>#REF!</v>
      </c>
      <c r="AZ641" s="136" t="e">
        <f>#REF!-#REF!</f>
        <v>#REF!</v>
      </c>
      <c r="BA641" s="136" t="e">
        <f>#REF!-#REF!</f>
        <v>#REF!</v>
      </c>
      <c r="BB641" s="136" t="e">
        <f>#REF!-#REF!</f>
        <v>#REF!</v>
      </c>
      <c r="BC641" s="136" t="e">
        <f>#REF!-#REF!</f>
        <v>#REF!</v>
      </c>
      <c r="BD641" s="136" t="e">
        <f>#REF!-#REF!</f>
        <v>#REF!</v>
      </c>
      <c r="BE641" s="136" t="e">
        <f>#REF!-#REF!</f>
        <v>#REF!</v>
      </c>
      <c r="BF641" s="136" t="e">
        <f>#REF!-#REF!</f>
        <v>#REF!</v>
      </c>
      <c r="BG641" s="136" t="e">
        <f>#REF!-#REF!</f>
        <v>#REF!</v>
      </c>
      <c r="BH641" s="136" t="e">
        <f>#REF!-#REF!</f>
        <v>#REF!</v>
      </c>
      <c r="BI641" s="136" t="e">
        <f>#REF!-#REF!</f>
        <v>#REF!</v>
      </c>
      <c r="BJ641" s="136" t="e">
        <f>#REF!-#REF!</f>
        <v>#REF!</v>
      </c>
      <c r="BK641" s="136" t="e">
        <f>#REF!-#REF!</f>
        <v>#REF!</v>
      </c>
      <c r="BL641" s="136" t="e">
        <f>#REF!-#REF!</f>
        <v>#REF!</v>
      </c>
      <c r="BM641" s="136" t="e">
        <f>#REF!-#REF!</f>
        <v>#REF!</v>
      </c>
      <c r="BN641" s="136" t="e">
        <f>#REF!-#REF!</f>
        <v>#REF!</v>
      </c>
      <c r="BO641" s="136" t="e">
        <f>#REF!-#REF!</f>
        <v>#REF!</v>
      </c>
      <c r="BP641" s="136" t="e">
        <f>#REF!-#REF!</f>
        <v>#REF!</v>
      </c>
      <c r="BQ641" s="136" t="e">
        <f>#REF!-#REF!</f>
        <v>#REF!</v>
      </c>
      <c r="BR641" s="136" t="e">
        <f>#REF!-#REF!</f>
        <v>#REF!</v>
      </c>
      <c r="BS641" s="136" t="e">
        <f>#REF!-#REF!</f>
        <v>#REF!</v>
      </c>
      <c r="BT641" s="136" t="e">
        <f>#REF!-#REF!</f>
        <v>#REF!</v>
      </c>
      <c r="BU641" s="136" t="e">
        <f>#REF!-#REF!</f>
        <v>#REF!</v>
      </c>
      <c r="BV641" s="136" t="e">
        <f>#REF!-#REF!</f>
        <v>#REF!</v>
      </c>
      <c r="BW641" s="136" t="e">
        <f>#REF!-#REF!</f>
        <v>#REF!</v>
      </c>
      <c r="BX641" s="136" t="e">
        <f>#REF!-#REF!</f>
        <v>#REF!</v>
      </c>
      <c r="BZ641" s="136" t="e">
        <f>#REF!-#REF!</f>
        <v>#REF!</v>
      </c>
      <c r="CA641" s="136" t="e">
        <f>#REF!-#REF!</f>
        <v>#REF!</v>
      </c>
    </row>
    <row r="642" spans="7:79" hidden="1" x14ac:dyDescent="0.3">
      <c r="G642" s="136">
        <f t="shared" ref="G642:BR645" si="173">G223-BY223</f>
        <v>0</v>
      </c>
      <c r="H642" s="136">
        <f t="shared" si="173"/>
        <v>0</v>
      </c>
      <c r="I642" s="136">
        <f t="shared" si="173"/>
        <v>0</v>
      </c>
      <c r="J642" s="136">
        <f t="shared" si="173"/>
        <v>0</v>
      </c>
      <c r="K642" s="136">
        <f t="shared" si="173"/>
        <v>0</v>
      </c>
      <c r="L642" s="136">
        <f t="shared" si="173"/>
        <v>0</v>
      </c>
      <c r="M642" s="136">
        <f t="shared" si="173"/>
        <v>0</v>
      </c>
      <c r="N642" s="136">
        <f t="shared" si="173"/>
        <v>0</v>
      </c>
      <c r="O642" s="136">
        <f t="shared" si="173"/>
        <v>0</v>
      </c>
      <c r="P642" s="136">
        <f t="shared" si="173"/>
        <v>0</v>
      </c>
      <c r="Q642" s="136">
        <f t="shared" si="173"/>
        <v>0</v>
      </c>
      <c r="R642" s="136">
        <f t="shared" si="173"/>
        <v>0</v>
      </c>
      <c r="S642" s="136">
        <f t="shared" si="173"/>
        <v>0</v>
      </c>
      <c r="T642" s="136">
        <f t="shared" si="173"/>
        <v>0</v>
      </c>
      <c r="U642" s="136">
        <f t="shared" si="173"/>
        <v>0</v>
      </c>
      <c r="V642" s="136">
        <f t="shared" si="173"/>
        <v>0</v>
      </c>
      <c r="W642" s="136">
        <f t="shared" si="173"/>
        <v>0</v>
      </c>
      <c r="X642" s="136">
        <f t="shared" si="173"/>
        <v>0</v>
      </c>
      <c r="Y642" s="136">
        <f t="shared" si="173"/>
        <v>0</v>
      </c>
      <c r="Z642" s="136">
        <f t="shared" si="173"/>
        <v>0</v>
      </c>
      <c r="AA642" s="136">
        <f t="shared" si="173"/>
        <v>0</v>
      </c>
      <c r="AB642" s="136">
        <f t="shared" si="173"/>
        <v>0</v>
      </c>
      <c r="AC642" s="136">
        <f t="shared" si="173"/>
        <v>0</v>
      </c>
      <c r="AD642" s="136">
        <f t="shared" si="173"/>
        <v>0</v>
      </c>
      <c r="AE642" s="136">
        <f t="shared" si="173"/>
        <v>0</v>
      </c>
      <c r="AF642" s="136">
        <f t="shared" si="173"/>
        <v>0</v>
      </c>
      <c r="AG642" s="136">
        <f t="shared" si="173"/>
        <v>0</v>
      </c>
      <c r="AH642" s="136">
        <f t="shared" si="173"/>
        <v>0</v>
      </c>
      <c r="AI642" s="136">
        <f t="shared" si="173"/>
        <v>0</v>
      </c>
      <c r="AJ642" s="136">
        <f t="shared" si="173"/>
        <v>0</v>
      </c>
      <c r="AK642" s="136">
        <f t="shared" si="173"/>
        <v>0</v>
      </c>
      <c r="AL642" s="136">
        <f t="shared" si="173"/>
        <v>0</v>
      </c>
      <c r="AM642" s="136">
        <f t="shared" si="173"/>
        <v>0</v>
      </c>
      <c r="AN642" s="136">
        <f t="shared" si="173"/>
        <v>0</v>
      </c>
      <c r="AO642" s="136">
        <f t="shared" si="173"/>
        <v>0</v>
      </c>
      <c r="AP642" s="136">
        <f t="shared" si="173"/>
        <v>0</v>
      </c>
      <c r="AQ642" s="136">
        <f t="shared" si="173"/>
        <v>0</v>
      </c>
      <c r="AR642" s="136">
        <f t="shared" si="173"/>
        <v>0</v>
      </c>
      <c r="AS642" s="136">
        <f t="shared" si="173"/>
        <v>0</v>
      </c>
      <c r="AT642" s="136">
        <f t="shared" si="173"/>
        <v>0</v>
      </c>
      <c r="AU642" s="136">
        <f t="shared" si="173"/>
        <v>0</v>
      </c>
      <c r="AV642" s="136">
        <f t="shared" si="173"/>
        <v>0</v>
      </c>
      <c r="AW642" s="136">
        <f t="shared" si="173"/>
        <v>0</v>
      </c>
      <c r="AX642" s="136">
        <f t="shared" si="173"/>
        <v>0</v>
      </c>
      <c r="AY642" s="136">
        <f t="shared" si="173"/>
        <v>0</v>
      </c>
      <c r="AZ642" s="136">
        <f t="shared" si="173"/>
        <v>0</v>
      </c>
      <c r="BA642" s="136">
        <f t="shared" si="173"/>
        <v>0</v>
      </c>
      <c r="BB642" s="136">
        <f t="shared" si="173"/>
        <v>0</v>
      </c>
      <c r="BC642" s="136">
        <f t="shared" si="173"/>
        <v>0</v>
      </c>
      <c r="BD642" s="136">
        <f t="shared" si="173"/>
        <v>0</v>
      </c>
      <c r="BE642" s="136">
        <f t="shared" si="173"/>
        <v>0</v>
      </c>
      <c r="BF642" s="136">
        <f t="shared" si="173"/>
        <v>0</v>
      </c>
      <c r="BG642" s="136">
        <f t="shared" si="173"/>
        <v>0</v>
      </c>
      <c r="BH642" s="136">
        <f t="shared" si="173"/>
        <v>0</v>
      </c>
      <c r="BI642" s="136">
        <f t="shared" si="173"/>
        <v>0</v>
      </c>
      <c r="BJ642" s="136">
        <f t="shared" si="173"/>
        <v>0</v>
      </c>
      <c r="BK642" s="136">
        <f t="shared" si="173"/>
        <v>0</v>
      </c>
      <c r="BL642" s="136">
        <f t="shared" si="173"/>
        <v>0</v>
      </c>
      <c r="BM642" s="136">
        <f t="shared" si="173"/>
        <v>0</v>
      </c>
      <c r="BN642" s="136">
        <f t="shared" si="173"/>
        <v>0</v>
      </c>
      <c r="BO642" s="136">
        <f t="shared" si="173"/>
        <v>0</v>
      </c>
      <c r="BP642" s="136">
        <f t="shared" si="173"/>
        <v>0</v>
      </c>
      <c r="BQ642" s="136">
        <f t="shared" si="173"/>
        <v>0</v>
      </c>
      <c r="BR642" s="136">
        <f t="shared" si="173"/>
        <v>0</v>
      </c>
      <c r="BS642" s="136">
        <f t="shared" ref="BS642:BX651" si="174">BS223-EK223</f>
        <v>0</v>
      </c>
      <c r="BT642" s="136">
        <f t="shared" si="174"/>
        <v>0</v>
      </c>
      <c r="BU642" s="136">
        <f t="shared" si="174"/>
        <v>0</v>
      </c>
      <c r="BV642" s="136">
        <f t="shared" si="174"/>
        <v>0</v>
      </c>
      <c r="BW642" s="136">
        <f t="shared" si="174"/>
        <v>0</v>
      </c>
      <c r="BX642" s="136">
        <f t="shared" si="174"/>
        <v>0</v>
      </c>
      <c r="BZ642" s="136">
        <f t="shared" ref="BZ642:CA651" si="175">BZ223-ER223</f>
        <v>0</v>
      </c>
      <c r="CA642" s="136">
        <f t="shared" si="175"/>
        <v>0</v>
      </c>
    </row>
    <row r="643" spans="7:79" hidden="1" x14ac:dyDescent="0.3">
      <c r="G643" s="136">
        <f t="shared" si="173"/>
        <v>0</v>
      </c>
      <c r="H643" s="136">
        <f t="shared" si="173"/>
        <v>0</v>
      </c>
      <c r="I643" s="136">
        <f t="shared" si="173"/>
        <v>0</v>
      </c>
      <c r="J643" s="136">
        <f t="shared" si="173"/>
        <v>0</v>
      </c>
      <c r="K643" s="136">
        <f t="shared" si="173"/>
        <v>0</v>
      </c>
      <c r="L643" s="136">
        <f t="shared" si="173"/>
        <v>0</v>
      </c>
      <c r="M643" s="136">
        <f t="shared" si="173"/>
        <v>0</v>
      </c>
      <c r="N643" s="136">
        <f t="shared" si="173"/>
        <v>0</v>
      </c>
      <c r="O643" s="136">
        <f t="shared" si="173"/>
        <v>0</v>
      </c>
      <c r="P643" s="136">
        <f t="shared" si="173"/>
        <v>0</v>
      </c>
      <c r="Q643" s="136">
        <f t="shared" si="173"/>
        <v>0</v>
      </c>
      <c r="R643" s="136">
        <f t="shared" si="173"/>
        <v>0</v>
      </c>
      <c r="S643" s="136">
        <f t="shared" si="173"/>
        <v>0</v>
      </c>
      <c r="T643" s="136">
        <f t="shared" si="173"/>
        <v>0</v>
      </c>
      <c r="U643" s="136">
        <f t="shared" si="173"/>
        <v>0</v>
      </c>
      <c r="V643" s="136">
        <f t="shared" si="173"/>
        <v>0</v>
      </c>
      <c r="W643" s="136">
        <f t="shared" si="173"/>
        <v>0</v>
      </c>
      <c r="X643" s="136">
        <f t="shared" si="173"/>
        <v>0</v>
      </c>
      <c r="Y643" s="136">
        <f t="shared" si="173"/>
        <v>0</v>
      </c>
      <c r="Z643" s="136">
        <f t="shared" si="173"/>
        <v>0</v>
      </c>
      <c r="AA643" s="136">
        <f t="shared" si="173"/>
        <v>0</v>
      </c>
      <c r="AB643" s="136">
        <f t="shared" si="173"/>
        <v>0</v>
      </c>
      <c r="AC643" s="136">
        <f t="shared" si="173"/>
        <v>0</v>
      </c>
      <c r="AD643" s="136">
        <f t="shared" si="173"/>
        <v>0</v>
      </c>
      <c r="AE643" s="136">
        <f t="shared" si="173"/>
        <v>0</v>
      </c>
      <c r="AF643" s="136">
        <f t="shared" si="173"/>
        <v>0</v>
      </c>
      <c r="AG643" s="136">
        <f t="shared" si="173"/>
        <v>0</v>
      </c>
      <c r="AH643" s="136">
        <f t="shared" si="173"/>
        <v>0</v>
      </c>
      <c r="AI643" s="136">
        <f t="shared" si="173"/>
        <v>0</v>
      </c>
      <c r="AJ643" s="136">
        <f t="shared" si="173"/>
        <v>0</v>
      </c>
      <c r="AK643" s="136">
        <f t="shared" si="173"/>
        <v>0</v>
      </c>
      <c r="AL643" s="136">
        <f t="shared" si="173"/>
        <v>0</v>
      </c>
      <c r="AM643" s="136">
        <f t="shared" si="173"/>
        <v>0</v>
      </c>
      <c r="AN643" s="136">
        <f t="shared" si="173"/>
        <v>0</v>
      </c>
      <c r="AO643" s="136">
        <f t="shared" si="173"/>
        <v>0</v>
      </c>
      <c r="AP643" s="136">
        <f t="shared" si="173"/>
        <v>0</v>
      </c>
      <c r="AQ643" s="136">
        <f t="shared" si="173"/>
        <v>0</v>
      </c>
      <c r="AR643" s="136">
        <f t="shared" si="173"/>
        <v>0</v>
      </c>
      <c r="AS643" s="136">
        <f t="shared" si="173"/>
        <v>0</v>
      </c>
      <c r="AT643" s="136">
        <f t="shared" si="173"/>
        <v>0</v>
      </c>
      <c r="AU643" s="136">
        <f t="shared" si="173"/>
        <v>0</v>
      </c>
      <c r="AV643" s="136">
        <f t="shared" si="173"/>
        <v>0</v>
      </c>
      <c r="AW643" s="136">
        <f t="shared" si="173"/>
        <v>0</v>
      </c>
      <c r="AX643" s="136">
        <f t="shared" si="173"/>
        <v>0</v>
      </c>
      <c r="AY643" s="136">
        <f t="shared" si="173"/>
        <v>0</v>
      </c>
      <c r="AZ643" s="136">
        <f t="shared" si="173"/>
        <v>0</v>
      </c>
      <c r="BA643" s="136">
        <f t="shared" si="173"/>
        <v>0</v>
      </c>
      <c r="BB643" s="136">
        <f t="shared" si="173"/>
        <v>0</v>
      </c>
      <c r="BC643" s="136">
        <f t="shared" si="173"/>
        <v>0</v>
      </c>
      <c r="BD643" s="136">
        <f t="shared" si="173"/>
        <v>0</v>
      </c>
      <c r="BE643" s="136">
        <f t="shared" si="173"/>
        <v>0</v>
      </c>
      <c r="BF643" s="136">
        <f t="shared" si="173"/>
        <v>0</v>
      </c>
      <c r="BG643" s="136">
        <f t="shared" si="173"/>
        <v>0</v>
      </c>
      <c r="BH643" s="136">
        <f t="shared" si="173"/>
        <v>0</v>
      </c>
      <c r="BI643" s="136">
        <f t="shared" si="173"/>
        <v>0</v>
      </c>
      <c r="BJ643" s="136">
        <f t="shared" si="173"/>
        <v>0</v>
      </c>
      <c r="BK643" s="136">
        <f t="shared" si="173"/>
        <v>0</v>
      </c>
      <c r="BL643" s="136">
        <f t="shared" si="173"/>
        <v>0</v>
      </c>
      <c r="BM643" s="136">
        <f t="shared" si="173"/>
        <v>0</v>
      </c>
      <c r="BN643" s="136">
        <f t="shared" si="173"/>
        <v>0</v>
      </c>
      <c r="BO643" s="136">
        <f t="shared" si="173"/>
        <v>0</v>
      </c>
      <c r="BP643" s="136">
        <f t="shared" si="173"/>
        <v>0</v>
      </c>
      <c r="BQ643" s="136">
        <f t="shared" si="173"/>
        <v>0</v>
      </c>
      <c r="BR643" s="136">
        <f t="shared" si="173"/>
        <v>0</v>
      </c>
      <c r="BS643" s="136">
        <f t="shared" si="174"/>
        <v>0</v>
      </c>
      <c r="BT643" s="136">
        <f t="shared" si="174"/>
        <v>0</v>
      </c>
      <c r="BU643" s="136">
        <f t="shared" si="174"/>
        <v>0</v>
      </c>
      <c r="BV643" s="136">
        <f t="shared" si="174"/>
        <v>0</v>
      </c>
      <c r="BW643" s="136">
        <f t="shared" si="174"/>
        <v>0</v>
      </c>
      <c r="BX643" s="136">
        <f t="shared" si="174"/>
        <v>0</v>
      </c>
      <c r="BZ643" s="136">
        <f t="shared" si="175"/>
        <v>0</v>
      </c>
      <c r="CA643" s="136">
        <f t="shared" si="175"/>
        <v>0</v>
      </c>
    </row>
    <row r="644" spans="7:79" hidden="1" x14ac:dyDescent="0.3">
      <c r="G644" s="136">
        <f t="shared" si="173"/>
        <v>0</v>
      </c>
      <c r="H644" s="136">
        <f t="shared" si="173"/>
        <v>0</v>
      </c>
      <c r="I644" s="136">
        <f t="shared" si="173"/>
        <v>0</v>
      </c>
      <c r="J644" s="136">
        <f t="shared" si="173"/>
        <v>0</v>
      </c>
      <c r="K644" s="136">
        <f t="shared" si="173"/>
        <v>0</v>
      </c>
      <c r="L644" s="136">
        <f t="shared" si="173"/>
        <v>0</v>
      </c>
      <c r="M644" s="136">
        <f t="shared" si="173"/>
        <v>0</v>
      </c>
      <c r="N644" s="136">
        <f t="shared" si="173"/>
        <v>0</v>
      </c>
      <c r="O644" s="136">
        <f t="shared" si="173"/>
        <v>0</v>
      </c>
      <c r="P644" s="136">
        <f t="shared" si="173"/>
        <v>0</v>
      </c>
      <c r="Q644" s="136">
        <f t="shared" si="173"/>
        <v>0</v>
      </c>
      <c r="R644" s="136">
        <f t="shared" si="173"/>
        <v>0</v>
      </c>
      <c r="S644" s="136">
        <f t="shared" si="173"/>
        <v>0</v>
      </c>
      <c r="T644" s="136">
        <f t="shared" si="173"/>
        <v>0</v>
      </c>
      <c r="U644" s="136">
        <f t="shared" si="173"/>
        <v>0</v>
      </c>
      <c r="V644" s="136">
        <f t="shared" si="173"/>
        <v>0</v>
      </c>
      <c r="W644" s="136">
        <f t="shared" si="173"/>
        <v>0</v>
      </c>
      <c r="X644" s="136">
        <f t="shared" si="173"/>
        <v>0</v>
      </c>
      <c r="Y644" s="136">
        <f t="shared" si="173"/>
        <v>0</v>
      </c>
      <c r="Z644" s="136">
        <f t="shared" si="173"/>
        <v>0</v>
      </c>
      <c r="AA644" s="136">
        <f t="shared" si="173"/>
        <v>0</v>
      </c>
      <c r="AB644" s="136">
        <f t="shared" si="173"/>
        <v>0</v>
      </c>
      <c r="AC644" s="136">
        <f t="shared" si="173"/>
        <v>0</v>
      </c>
      <c r="AD644" s="136">
        <f t="shared" si="173"/>
        <v>0</v>
      </c>
      <c r="AE644" s="136">
        <f t="shared" si="173"/>
        <v>0</v>
      </c>
      <c r="AF644" s="136">
        <f t="shared" si="173"/>
        <v>0</v>
      </c>
      <c r="AG644" s="136">
        <f t="shared" si="173"/>
        <v>0</v>
      </c>
      <c r="AH644" s="136">
        <f t="shared" si="173"/>
        <v>0</v>
      </c>
      <c r="AI644" s="136">
        <f t="shared" si="173"/>
        <v>0</v>
      </c>
      <c r="AJ644" s="136">
        <f t="shared" si="173"/>
        <v>0</v>
      </c>
      <c r="AK644" s="136">
        <f t="shared" si="173"/>
        <v>0</v>
      </c>
      <c r="AL644" s="136">
        <f t="shared" si="173"/>
        <v>0</v>
      </c>
      <c r="AM644" s="136">
        <f t="shared" si="173"/>
        <v>0</v>
      </c>
      <c r="AN644" s="136">
        <f t="shared" si="173"/>
        <v>0</v>
      </c>
      <c r="AO644" s="136">
        <f t="shared" si="173"/>
        <v>0</v>
      </c>
      <c r="AP644" s="136">
        <f t="shared" si="173"/>
        <v>0</v>
      </c>
      <c r="AQ644" s="136">
        <f t="shared" si="173"/>
        <v>0</v>
      </c>
      <c r="AR644" s="136">
        <f t="shared" si="173"/>
        <v>0</v>
      </c>
      <c r="AS644" s="136">
        <f t="shared" si="173"/>
        <v>0</v>
      </c>
      <c r="AT644" s="136">
        <f t="shared" si="173"/>
        <v>0</v>
      </c>
      <c r="AU644" s="136">
        <f t="shared" si="173"/>
        <v>0</v>
      </c>
      <c r="AV644" s="136">
        <f t="shared" si="173"/>
        <v>0</v>
      </c>
      <c r="AW644" s="136">
        <f t="shared" si="173"/>
        <v>0</v>
      </c>
      <c r="AX644" s="136">
        <f t="shared" si="173"/>
        <v>0</v>
      </c>
      <c r="AY644" s="136">
        <f t="shared" si="173"/>
        <v>0</v>
      </c>
      <c r="AZ644" s="136">
        <f t="shared" si="173"/>
        <v>0</v>
      </c>
      <c r="BA644" s="136">
        <f t="shared" si="173"/>
        <v>0</v>
      </c>
      <c r="BB644" s="136">
        <f t="shared" si="173"/>
        <v>0</v>
      </c>
      <c r="BC644" s="136">
        <f t="shared" si="173"/>
        <v>0</v>
      </c>
      <c r="BD644" s="136">
        <f t="shared" si="173"/>
        <v>0</v>
      </c>
      <c r="BE644" s="136">
        <f t="shared" si="173"/>
        <v>0</v>
      </c>
      <c r="BF644" s="136">
        <f t="shared" si="173"/>
        <v>0</v>
      </c>
      <c r="BG644" s="136">
        <f t="shared" si="173"/>
        <v>0</v>
      </c>
      <c r="BH644" s="136">
        <f t="shared" si="173"/>
        <v>0</v>
      </c>
      <c r="BI644" s="136">
        <f t="shared" si="173"/>
        <v>0</v>
      </c>
      <c r="BJ644" s="136">
        <f t="shared" si="173"/>
        <v>0</v>
      </c>
      <c r="BK644" s="136">
        <f t="shared" si="173"/>
        <v>0</v>
      </c>
      <c r="BL644" s="136">
        <f t="shared" si="173"/>
        <v>0</v>
      </c>
      <c r="BM644" s="136">
        <f t="shared" si="173"/>
        <v>0</v>
      </c>
      <c r="BN644" s="136">
        <f t="shared" si="173"/>
        <v>0</v>
      </c>
      <c r="BO644" s="136">
        <f t="shared" si="173"/>
        <v>0</v>
      </c>
      <c r="BP644" s="136">
        <f t="shared" si="173"/>
        <v>0</v>
      </c>
      <c r="BQ644" s="136">
        <f t="shared" si="173"/>
        <v>0</v>
      </c>
      <c r="BR644" s="136">
        <f t="shared" si="173"/>
        <v>0</v>
      </c>
      <c r="BS644" s="136">
        <f t="shared" si="174"/>
        <v>0</v>
      </c>
      <c r="BT644" s="136">
        <f t="shared" si="174"/>
        <v>0</v>
      </c>
      <c r="BU644" s="136">
        <f t="shared" si="174"/>
        <v>0</v>
      </c>
      <c r="BV644" s="136">
        <f t="shared" si="174"/>
        <v>0</v>
      </c>
      <c r="BW644" s="136">
        <f t="shared" si="174"/>
        <v>0</v>
      </c>
      <c r="BX644" s="136">
        <f t="shared" si="174"/>
        <v>0</v>
      </c>
      <c r="BZ644" s="136">
        <f t="shared" si="175"/>
        <v>0</v>
      </c>
      <c r="CA644" s="136">
        <f t="shared" si="175"/>
        <v>0</v>
      </c>
    </row>
    <row r="645" spans="7:79" hidden="1" x14ac:dyDescent="0.3">
      <c r="G645" s="136">
        <f t="shared" si="173"/>
        <v>0</v>
      </c>
      <c r="H645" s="136">
        <f t="shared" si="173"/>
        <v>0</v>
      </c>
      <c r="I645" s="136">
        <f t="shared" si="173"/>
        <v>0</v>
      </c>
      <c r="J645" s="136">
        <f t="shared" si="173"/>
        <v>0</v>
      </c>
      <c r="K645" s="136">
        <f t="shared" si="173"/>
        <v>0</v>
      </c>
      <c r="L645" s="136">
        <f t="shared" si="173"/>
        <v>0</v>
      </c>
      <c r="M645" s="136">
        <f t="shared" si="173"/>
        <v>0</v>
      </c>
      <c r="N645" s="136">
        <f t="shared" si="173"/>
        <v>0</v>
      </c>
      <c r="O645" s="136">
        <f t="shared" si="173"/>
        <v>0</v>
      </c>
      <c r="P645" s="136">
        <f t="shared" si="173"/>
        <v>0</v>
      </c>
      <c r="Q645" s="136">
        <f t="shared" si="173"/>
        <v>0</v>
      </c>
      <c r="R645" s="136">
        <f t="shared" si="173"/>
        <v>0</v>
      </c>
      <c r="S645" s="136">
        <f t="shared" si="173"/>
        <v>0</v>
      </c>
      <c r="T645" s="136">
        <f t="shared" si="173"/>
        <v>0</v>
      </c>
      <c r="U645" s="136">
        <f t="shared" si="173"/>
        <v>0</v>
      </c>
      <c r="V645" s="136">
        <f t="shared" si="173"/>
        <v>0</v>
      </c>
      <c r="W645" s="136">
        <f t="shared" si="173"/>
        <v>0</v>
      </c>
      <c r="X645" s="136">
        <f t="shared" si="173"/>
        <v>0</v>
      </c>
      <c r="Y645" s="136">
        <f t="shared" si="173"/>
        <v>0</v>
      </c>
      <c r="Z645" s="136">
        <f t="shared" si="173"/>
        <v>0</v>
      </c>
      <c r="AA645" s="136">
        <f t="shared" si="173"/>
        <v>0</v>
      </c>
      <c r="AB645" s="136">
        <f t="shared" si="173"/>
        <v>0</v>
      </c>
      <c r="AC645" s="136">
        <f t="shared" si="173"/>
        <v>0</v>
      </c>
      <c r="AD645" s="136">
        <f t="shared" si="173"/>
        <v>0</v>
      </c>
      <c r="AE645" s="136">
        <f t="shared" si="173"/>
        <v>0</v>
      </c>
      <c r="AF645" s="136">
        <f t="shared" si="173"/>
        <v>0</v>
      </c>
      <c r="AG645" s="136">
        <f t="shared" si="173"/>
        <v>0</v>
      </c>
      <c r="AH645" s="136">
        <f t="shared" si="173"/>
        <v>0</v>
      </c>
      <c r="AI645" s="136">
        <f t="shared" si="173"/>
        <v>0</v>
      </c>
      <c r="AJ645" s="136">
        <f t="shared" si="173"/>
        <v>0</v>
      </c>
      <c r="AK645" s="136">
        <f t="shared" si="173"/>
        <v>0</v>
      </c>
      <c r="AL645" s="136">
        <f t="shared" si="173"/>
        <v>0</v>
      </c>
      <c r="AM645" s="136">
        <f t="shared" si="173"/>
        <v>0</v>
      </c>
      <c r="AN645" s="136">
        <f t="shared" si="173"/>
        <v>0</v>
      </c>
      <c r="AO645" s="136">
        <f t="shared" si="173"/>
        <v>0</v>
      </c>
      <c r="AP645" s="136">
        <f t="shared" si="173"/>
        <v>0</v>
      </c>
      <c r="AQ645" s="136">
        <f t="shared" si="173"/>
        <v>0</v>
      </c>
      <c r="AR645" s="136">
        <f t="shared" si="173"/>
        <v>0</v>
      </c>
      <c r="AS645" s="136">
        <f t="shared" si="173"/>
        <v>0</v>
      </c>
      <c r="AT645" s="136">
        <f t="shared" si="173"/>
        <v>0</v>
      </c>
      <c r="AU645" s="136">
        <f t="shared" si="173"/>
        <v>0</v>
      </c>
      <c r="AV645" s="136">
        <f t="shared" si="173"/>
        <v>0</v>
      </c>
      <c r="AW645" s="136">
        <f t="shared" si="173"/>
        <v>0</v>
      </c>
      <c r="AX645" s="136">
        <f t="shared" si="173"/>
        <v>0</v>
      </c>
      <c r="AY645" s="136">
        <f t="shared" si="173"/>
        <v>0</v>
      </c>
      <c r="AZ645" s="136">
        <f t="shared" si="173"/>
        <v>0</v>
      </c>
      <c r="BA645" s="136">
        <f t="shared" si="173"/>
        <v>0</v>
      </c>
      <c r="BB645" s="136">
        <f t="shared" si="173"/>
        <v>0</v>
      </c>
      <c r="BC645" s="136">
        <f t="shared" si="173"/>
        <v>0</v>
      </c>
      <c r="BD645" s="136">
        <f t="shared" si="173"/>
        <v>0</v>
      </c>
      <c r="BE645" s="136">
        <f t="shared" si="173"/>
        <v>0</v>
      </c>
      <c r="BF645" s="136">
        <f t="shared" si="173"/>
        <v>0</v>
      </c>
      <c r="BG645" s="136">
        <f t="shared" si="173"/>
        <v>0</v>
      </c>
      <c r="BH645" s="136">
        <f t="shared" si="173"/>
        <v>0</v>
      </c>
      <c r="BI645" s="136">
        <f t="shared" si="173"/>
        <v>0</v>
      </c>
      <c r="BJ645" s="136">
        <f t="shared" si="173"/>
        <v>0</v>
      </c>
      <c r="BK645" s="136">
        <f t="shared" si="173"/>
        <v>0</v>
      </c>
      <c r="BL645" s="136">
        <f t="shared" si="173"/>
        <v>0</v>
      </c>
      <c r="BM645" s="136">
        <f t="shared" si="173"/>
        <v>0</v>
      </c>
      <c r="BN645" s="136">
        <f t="shared" si="173"/>
        <v>0</v>
      </c>
      <c r="BO645" s="136">
        <f t="shared" si="173"/>
        <v>0</v>
      </c>
      <c r="BP645" s="136">
        <f t="shared" si="173"/>
        <v>0</v>
      </c>
      <c r="BQ645" s="136">
        <f t="shared" si="173"/>
        <v>0</v>
      </c>
      <c r="BR645" s="136">
        <f t="shared" ref="BR645:BR651" si="176">BR226-EJ226</f>
        <v>0</v>
      </c>
      <c r="BS645" s="136">
        <f t="shared" si="174"/>
        <v>0</v>
      </c>
      <c r="BT645" s="136">
        <f t="shared" si="174"/>
        <v>0</v>
      </c>
      <c r="BU645" s="136">
        <f t="shared" si="174"/>
        <v>0</v>
      </c>
      <c r="BV645" s="136">
        <f t="shared" si="174"/>
        <v>0</v>
      </c>
      <c r="BW645" s="136">
        <f t="shared" si="174"/>
        <v>0</v>
      </c>
      <c r="BX645" s="136">
        <f t="shared" si="174"/>
        <v>0</v>
      </c>
      <c r="BZ645" s="136">
        <f t="shared" si="175"/>
        <v>0</v>
      </c>
      <c r="CA645" s="136">
        <f t="shared" si="175"/>
        <v>0</v>
      </c>
    </row>
    <row r="646" spans="7:79" hidden="1" x14ac:dyDescent="0.3">
      <c r="G646" s="136">
        <f t="shared" ref="G646:BQ650" si="177">G227-BY227</f>
        <v>0</v>
      </c>
      <c r="H646" s="136">
        <f t="shared" si="177"/>
        <v>0</v>
      </c>
      <c r="I646" s="136">
        <f t="shared" si="177"/>
        <v>0</v>
      </c>
      <c r="J646" s="136">
        <f t="shared" si="177"/>
        <v>0</v>
      </c>
      <c r="K646" s="136">
        <f t="shared" si="177"/>
        <v>0</v>
      </c>
      <c r="L646" s="136">
        <f t="shared" si="177"/>
        <v>0</v>
      </c>
      <c r="M646" s="136">
        <f t="shared" si="177"/>
        <v>0</v>
      </c>
      <c r="N646" s="136">
        <f t="shared" si="177"/>
        <v>0</v>
      </c>
      <c r="O646" s="136">
        <f t="shared" si="177"/>
        <v>0</v>
      </c>
      <c r="P646" s="136">
        <f t="shared" si="177"/>
        <v>0</v>
      </c>
      <c r="Q646" s="136">
        <f t="shared" si="177"/>
        <v>0</v>
      </c>
      <c r="R646" s="136">
        <f t="shared" si="177"/>
        <v>0</v>
      </c>
      <c r="S646" s="136">
        <f t="shared" si="177"/>
        <v>0</v>
      </c>
      <c r="T646" s="136">
        <f t="shared" si="177"/>
        <v>0</v>
      </c>
      <c r="U646" s="136">
        <f t="shared" si="177"/>
        <v>0</v>
      </c>
      <c r="V646" s="136">
        <f t="shared" si="177"/>
        <v>0</v>
      </c>
      <c r="W646" s="136">
        <f t="shared" si="177"/>
        <v>0</v>
      </c>
      <c r="X646" s="136">
        <f t="shared" si="177"/>
        <v>0</v>
      </c>
      <c r="Y646" s="136">
        <f t="shared" si="177"/>
        <v>0</v>
      </c>
      <c r="Z646" s="136">
        <f t="shared" si="177"/>
        <v>0</v>
      </c>
      <c r="AA646" s="136">
        <f t="shared" si="177"/>
        <v>0</v>
      </c>
      <c r="AB646" s="136">
        <f t="shared" si="177"/>
        <v>0</v>
      </c>
      <c r="AC646" s="136">
        <f t="shared" si="177"/>
        <v>0</v>
      </c>
      <c r="AD646" s="136">
        <f t="shared" si="177"/>
        <v>0</v>
      </c>
      <c r="AE646" s="136">
        <f t="shared" si="177"/>
        <v>0</v>
      </c>
      <c r="AF646" s="136">
        <f t="shared" si="177"/>
        <v>0</v>
      </c>
      <c r="AG646" s="136">
        <f t="shared" si="177"/>
        <v>0</v>
      </c>
      <c r="AH646" s="136">
        <f t="shared" si="177"/>
        <v>0</v>
      </c>
      <c r="AI646" s="136">
        <f t="shared" si="177"/>
        <v>0</v>
      </c>
      <c r="AJ646" s="136">
        <f t="shared" si="177"/>
        <v>0</v>
      </c>
      <c r="AK646" s="136">
        <f t="shared" si="177"/>
        <v>0</v>
      </c>
      <c r="AL646" s="136">
        <f t="shared" si="177"/>
        <v>0</v>
      </c>
      <c r="AM646" s="136">
        <f t="shared" si="177"/>
        <v>0</v>
      </c>
      <c r="AN646" s="136">
        <f t="shared" si="177"/>
        <v>0</v>
      </c>
      <c r="AO646" s="136">
        <f t="shared" si="177"/>
        <v>0</v>
      </c>
      <c r="AP646" s="136">
        <f t="shared" si="177"/>
        <v>0</v>
      </c>
      <c r="AQ646" s="136">
        <f t="shared" si="177"/>
        <v>0</v>
      </c>
      <c r="AR646" s="136">
        <f t="shared" si="177"/>
        <v>0</v>
      </c>
      <c r="AS646" s="136">
        <f t="shared" si="177"/>
        <v>0</v>
      </c>
      <c r="AT646" s="136">
        <f t="shared" si="177"/>
        <v>0</v>
      </c>
      <c r="AU646" s="136">
        <f t="shared" si="177"/>
        <v>0</v>
      </c>
      <c r="AV646" s="136">
        <f t="shared" si="177"/>
        <v>0</v>
      </c>
      <c r="AW646" s="136">
        <f t="shared" si="177"/>
        <v>0</v>
      </c>
      <c r="AX646" s="136">
        <f t="shared" si="177"/>
        <v>0</v>
      </c>
      <c r="AY646" s="136">
        <f t="shared" si="177"/>
        <v>0</v>
      </c>
      <c r="AZ646" s="136">
        <f t="shared" si="177"/>
        <v>0</v>
      </c>
      <c r="BA646" s="136">
        <f t="shared" si="177"/>
        <v>0</v>
      </c>
      <c r="BB646" s="136">
        <f t="shared" si="177"/>
        <v>0</v>
      </c>
      <c r="BC646" s="136">
        <f t="shared" si="177"/>
        <v>0</v>
      </c>
      <c r="BD646" s="136">
        <f t="shared" si="177"/>
        <v>0</v>
      </c>
      <c r="BE646" s="136">
        <f t="shared" si="177"/>
        <v>0</v>
      </c>
      <c r="BF646" s="136">
        <f t="shared" si="177"/>
        <v>0</v>
      </c>
      <c r="BG646" s="136">
        <f t="shared" si="177"/>
        <v>0</v>
      </c>
      <c r="BH646" s="136">
        <f t="shared" si="177"/>
        <v>0</v>
      </c>
      <c r="BI646" s="136">
        <f t="shared" si="177"/>
        <v>0</v>
      </c>
      <c r="BJ646" s="136">
        <f t="shared" si="177"/>
        <v>0</v>
      </c>
      <c r="BK646" s="136">
        <f t="shared" si="177"/>
        <v>0</v>
      </c>
      <c r="BL646" s="136">
        <f t="shared" si="177"/>
        <v>0</v>
      </c>
      <c r="BM646" s="136">
        <f t="shared" si="177"/>
        <v>0</v>
      </c>
      <c r="BN646" s="136">
        <f t="shared" si="177"/>
        <v>0</v>
      </c>
      <c r="BO646" s="136">
        <f t="shared" si="177"/>
        <v>0</v>
      </c>
      <c r="BP646" s="136">
        <f t="shared" si="177"/>
        <v>0</v>
      </c>
      <c r="BQ646" s="136">
        <f t="shared" si="177"/>
        <v>0</v>
      </c>
      <c r="BR646" s="136">
        <f t="shared" si="176"/>
        <v>0</v>
      </c>
      <c r="BS646" s="136">
        <f t="shared" si="174"/>
        <v>0</v>
      </c>
      <c r="BT646" s="136">
        <f t="shared" si="174"/>
        <v>0</v>
      </c>
      <c r="BU646" s="136">
        <f t="shared" si="174"/>
        <v>0</v>
      </c>
      <c r="BV646" s="136">
        <f t="shared" si="174"/>
        <v>0</v>
      </c>
      <c r="BW646" s="136">
        <f t="shared" si="174"/>
        <v>0</v>
      </c>
      <c r="BX646" s="136">
        <f t="shared" si="174"/>
        <v>0</v>
      </c>
      <c r="BZ646" s="136">
        <f t="shared" si="175"/>
        <v>0</v>
      </c>
      <c r="CA646" s="136">
        <f t="shared" si="175"/>
        <v>0</v>
      </c>
    </row>
    <row r="647" spans="7:79" hidden="1" x14ac:dyDescent="0.3">
      <c r="G647" s="136">
        <f t="shared" si="177"/>
        <v>0</v>
      </c>
      <c r="H647" s="136">
        <f t="shared" si="177"/>
        <v>0</v>
      </c>
      <c r="I647" s="136">
        <f t="shared" si="177"/>
        <v>0</v>
      </c>
      <c r="J647" s="136">
        <f t="shared" si="177"/>
        <v>0</v>
      </c>
      <c r="K647" s="136">
        <f t="shared" si="177"/>
        <v>0</v>
      </c>
      <c r="L647" s="136">
        <f t="shared" si="177"/>
        <v>0</v>
      </c>
      <c r="M647" s="136">
        <f t="shared" si="177"/>
        <v>0</v>
      </c>
      <c r="N647" s="136">
        <f t="shared" si="177"/>
        <v>0</v>
      </c>
      <c r="O647" s="136">
        <f t="shared" si="177"/>
        <v>0</v>
      </c>
      <c r="P647" s="136">
        <f t="shared" si="177"/>
        <v>0</v>
      </c>
      <c r="Q647" s="136">
        <f t="shared" si="177"/>
        <v>0</v>
      </c>
      <c r="R647" s="136">
        <f t="shared" si="177"/>
        <v>0</v>
      </c>
      <c r="S647" s="136">
        <f t="shared" si="177"/>
        <v>0</v>
      </c>
      <c r="T647" s="136">
        <f t="shared" si="177"/>
        <v>0</v>
      </c>
      <c r="U647" s="136">
        <f t="shared" si="177"/>
        <v>0</v>
      </c>
      <c r="V647" s="136">
        <f t="shared" si="177"/>
        <v>0</v>
      </c>
      <c r="W647" s="136">
        <f t="shared" si="177"/>
        <v>0</v>
      </c>
      <c r="X647" s="136">
        <f t="shared" si="177"/>
        <v>0</v>
      </c>
      <c r="Y647" s="136">
        <f t="shared" si="177"/>
        <v>0</v>
      </c>
      <c r="Z647" s="136">
        <f t="shared" si="177"/>
        <v>0</v>
      </c>
      <c r="AA647" s="136">
        <f t="shared" si="177"/>
        <v>0</v>
      </c>
      <c r="AB647" s="136">
        <f t="shared" si="177"/>
        <v>0</v>
      </c>
      <c r="AC647" s="136">
        <f t="shared" si="177"/>
        <v>0</v>
      </c>
      <c r="AD647" s="136">
        <f t="shared" si="177"/>
        <v>0</v>
      </c>
      <c r="AE647" s="136">
        <f t="shared" si="177"/>
        <v>0</v>
      </c>
      <c r="AF647" s="136">
        <f t="shared" si="177"/>
        <v>0</v>
      </c>
      <c r="AG647" s="136">
        <f t="shared" si="177"/>
        <v>0</v>
      </c>
      <c r="AH647" s="136">
        <f t="shared" si="177"/>
        <v>0</v>
      </c>
      <c r="AI647" s="136">
        <f t="shared" si="177"/>
        <v>0</v>
      </c>
      <c r="AJ647" s="136">
        <f t="shared" si="177"/>
        <v>0</v>
      </c>
      <c r="AK647" s="136">
        <f t="shared" si="177"/>
        <v>0</v>
      </c>
      <c r="AL647" s="136">
        <f t="shared" si="177"/>
        <v>0</v>
      </c>
      <c r="AM647" s="136">
        <f t="shared" si="177"/>
        <v>0</v>
      </c>
      <c r="AN647" s="136">
        <f t="shared" si="177"/>
        <v>0</v>
      </c>
      <c r="AO647" s="136">
        <f t="shared" si="177"/>
        <v>0</v>
      </c>
      <c r="AP647" s="136">
        <f t="shared" si="177"/>
        <v>0</v>
      </c>
      <c r="AQ647" s="136">
        <f t="shared" si="177"/>
        <v>0</v>
      </c>
      <c r="AR647" s="136">
        <f t="shared" si="177"/>
        <v>0</v>
      </c>
      <c r="AS647" s="136">
        <f t="shared" si="177"/>
        <v>0</v>
      </c>
      <c r="AT647" s="136">
        <f t="shared" si="177"/>
        <v>0</v>
      </c>
      <c r="AU647" s="136">
        <f t="shared" si="177"/>
        <v>0</v>
      </c>
      <c r="AV647" s="136">
        <f t="shared" si="177"/>
        <v>0</v>
      </c>
      <c r="AW647" s="136">
        <f t="shared" si="177"/>
        <v>0</v>
      </c>
      <c r="AX647" s="136">
        <f t="shared" si="177"/>
        <v>0</v>
      </c>
      <c r="AY647" s="136">
        <f t="shared" si="177"/>
        <v>0</v>
      </c>
      <c r="AZ647" s="136">
        <f t="shared" si="177"/>
        <v>0</v>
      </c>
      <c r="BA647" s="136">
        <f t="shared" si="177"/>
        <v>0</v>
      </c>
      <c r="BB647" s="136">
        <f t="shared" si="177"/>
        <v>0</v>
      </c>
      <c r="BC647" s="136">
        <f t="shared" si="177"/>
        <v>0</v>
      </c>
      <c r="BD647" s="136">
        <f t="shared" si="177"/>
        <v>0</v>
      </c>
      <c r="BE647" s="136">
        <f t="shared" si="177"/>
        <v>0</v>
      </c>
      <c r="BF647" s="136">
        <f t="shared" si="177"/>
        <v>0</v>
      </c>
      <c r="BG647" s="136">
        <f t="shared" si="177"/>
        <v>0</v>
      </c>
      <c r="BH647" s="136">
        <f t="shared" si="177"/>
        <v>0</v>
      </c>
      <c r="BI647" s="136">
        <f t="shared" si="177"/>
        <v>0</v>
      </c>
      <c r="BJ647" s="136">
        <f t="shared" si="177"/>
        <v>0</v>
      </c>
      <c r="BK647" s="136">
        <f t="shared" si="177"/>
        <v>0</v>
      </c>
      <c r="BL647" s="136">
        <f t="shared" si="177"/>
        <v>0</v>
      </c>
      <c r="BM647" s="136">
        <f t="shared" si="177"/>
        <v>0</v>
      </c>
      <c r="BN647" s="136">
        <f t="shared" si="177"/>
        <v>0</v>
      </c>
      <c r="BO647" s="136">
        <f t="shared" si="177"/>
        <v>0</v>
      </c>
      <c r="BP647" s="136">
        <f t="shared" si="177"/>
        <v>0</v>
      </c>
      <c r="BQ647" s="136">
        <f t="shared" si="177"/>
        <v>0</v>
      </c>
      <c r="BR647" s="136">
        <f t="shared" si="176"/>
        <v>0</v>
      </c>
      <c r="BS647" s="136">
        <f t="shared" si="174"/>
        <v>0</v>
      </c>
      <c r="BT647" s="136">
        <f t="shared" si="174"/>
        <v>0</v>
      </c>
      <c r="BU647" s="136">
        <f t="shared" si="174"/>
        <v>0</v>
      </c>
      <c r="BV647" s="136">
        <f t="shared" si="174"/>
        <v>0</v>
      </c>
      <c r="BW647" s="136">
        <f t="shared" si="174"/>
        <v>0</v>
      </c>
      <c r="BX647" s="136">
        <f t="shared" si="174"/>
        <v>0</v>
      </c>
      <c r="BZ647" s="136">
        <f t="shared" si="175"/>
        <v>0</v>
      </c>
      <c r="CA647" s="136">
        <f t="shared" si="175"/>
        <v>0</v>
      </c>
    </row>
    <row r="648" spans="7:79" hidden="1" x14ac:dyDescent="0.3">
      <c r="G648" s="136">
        <f t="shared" si="177"/>
        <v>0</v>
      </c>
      <c r="H648" s="136">
        <f t="shared" si="177"/>
        <v>0</v>
      </c>
      <c r="I648" s="136">
        <f t="shared" si="177"/>
        <v>0</v>
      </c>
      <c r="J648" s="136">
        <f t="shared" si="177"/>
        <v>0</v>
      </c>
      <c r="K648" s="136">
        <f t="shared" si="177"/>
        <v>0</v>
      </c>
      <c r="L648" s="136">
        <f t="shared" si="177"/>
        <v>0</v>
      </c>
      <c r="M648" s="136">
        <f t="shared" si="177"/>
        <v>0</v>
      </c>
      <c r="N648" s="136">
        <f t="shared" si="177"/>
        <v>0</v>
      </c>
      <c r="O648" s="136">
        <f t="shared" si="177"/>
        <v>0</v>
      </c>
      <c r="P648" s="136">
        <f t="shared" si="177"/>
        <v>0</v>
      </c>
      <c r="Q648" s="136">
        <f t="shared" si="177"/>
        <v>0</v>
      </c>
      <c r="R648" s="136">
        <f t="shared" si="177"/>
        <v>0</v>
      </c>
      <c r="S648" s="136">
        <f t="shared" si="177"/>
        <v>0</v>
      </c>
      <c r="T648" s="136">
        <f t="shared" si="177"/>
        <v>0</v>
      </c>
      <c r="U648" s="136">
        <f t="shared" si="177"/>
        <v>0</v>
      </c>
      <c r="V648" s="136">
        <f t="shared" si="177"/>
        <v>0</v>
      </c>
      <c r="W648" s="136">
        <f t="shared" si="177"/>
        <v>0</v>
      </c>
      <c r="X648" s="136">
        <f t="shared" si="177"/>
        <v>0</v>
      </c>
      <c r="Y648" s="136">
        <f t="shared" si="177"/>
        <v>0</v>
      </c>
      <c r="Z648" s="136">
        <f t="shared" si="177"/>
        <v>0</v>
      </c>
      <c r="AA648" s="136">
        <f t="shared" si="177"/>
        <v>0</v>
      </c>
      <c r="AB648" s="136">
        <f t="shared" si="177"/>
        <v>0</v>
      </c>
      <c r="AC648" s="136">
        <f t="shared" si="177"/>
        <v>0</v>
      </c>
      <c r="AD648" s="136">
        <f t="shared" si="177"/>
        <v>0</v>
      </c>
      <c r="AE648" s="136">
        <f t="shared" si="177"/>
        <v>0</v>
      </c>
      <c r="AF648" s="136">
        <f t="shared" si="177"/>
        <v>0</v>
      </c>
      <c r="AG648" s="136">
        <f t="shared" si="177"/>
        <v>0</v>
      </c>
      <c r="AH648" s="136">
        <f t="shared" si="177"/>
        <v>0</v>
      </c>
      <c r="AI648" s="136">
        <f t="shared" si="177"/>
        <v>0</v>
      </c>
      <c r="AJ648" s="136">
        <f t="shared" si="177"/>
        <v>0</v>
      </c>
      <c r="AK648" s="136">
        <f t="shared" si="177"/>
        <v>0</v>
      </c>
      <c r="AL648" s="136">
        <f t="shared" si="177"/>
        <v>0</v>
      </c>
      <c r="AM648" s="136">
        <f t="shared" si="177"/>
        <v>0</v>
      </c>
      <c r="AN648" s="136">
        <f t="shared" si="177"/>
        <v>0</v>
      </c>
      <c r="AO648" s="136">
        <f t="shared" si="177"/>
        <v>0</v>
      </c>
      <c r="AP648" s="136">
        <f t="shared" si="177"/>
        <v>0</v>
      </c>
      <c r="AQ648" s="136">
        <f t="shared" si="177"/>
        <v>0</v>
      </c>
      <c r="AR648" s="136">
        <f t="shared" si="177"/>
        <v>0</v>
      </c>
      <c r="AS648" s="136">
        <f t="shared" si="177"/>
        <v>0</v>
      </c>
      <c r="AT648" s="136">
        <f t="shared" si="177"/>
        <v>0</v>
      </c>
      <c r="AU648" s="136">
        <f t="shared" si="177"/>
        <v>0</v>
      </c>
      <c r="AV648" s="136">
        <f t="shared" si="177"/>
        <v>0</v>
      </c>
      <c r="AW648" s="136">
        <f t="shared" si="177"/>
        <v>0</v>
      </c>
      <c r="AX648" s="136">
        <f t="shared" si="177"/>
        <v>0</v>
      </c>
      <c r="AY648" s="136">
        <f t="shared" si="177"/>
        <v>0</v>
      </c>
      <c r="AZ648" s="136">
        <f t="shared" si="177"/>
        <v>0</v>
      </c>
      <c r="BA648" s="136">
        <f t="shared" si="177"/>
        <v>0</v>
      </c>
      <c r="BB648" s="136">
        <f t="shared" si="177"/>
        <v>0</v>
      </c>
      <c r="BC648" s="136">
        <f t="shared" si="177"/>
        <v>0</v>
      </c>
      <c r="BD648" s="136">
        <f t="shared" si="177"/>
        <v>0</v>
      </c>
      <c r="BE648" s="136">
        <f t="shared" si="177"/>
        <v>0</v>
      </c>
      <c r="BF648" s="136">
        <f t="shared" si="177"/>
        <v>0</v>
      </c>
      <c r="BG648" s="136">
        <f t="shared" si="177"/>
        <v>0</v>
      </c>
      <c r="BH648" s="136">
        <f t="shared" si="177"/>
        <v>0</v>
      </c>
      <c r="BI648" s="136">
        <f t="shared" si="177"/>
        <v>0</v>
      </c>
      <c r="BJ648" s="136">
        <f t="shared" si="177"/>
        <v>0</v>
      </c>
      <c r="BK648" s="136">
        <f t="shared" si="177"/>
        <v>0</v>
      </c>
      <c r="BL648" s="136">
        <f t="shared" si="177"/>
        <v>0</v>
      </c>
      <c r="BM648" s="136">
        <f t="shared" si="177"/>
        <v>0</v>
      </c>
      <c r="BN648" s="136">
        <f t="shared" si="177"/>
        <v>0</v>
      </c>
      <c r="BO648" s="136">
        <f t="shared" si="177"/>
        <v>0</v>
      </c>
      <c r="BP648" s="136">
        <f t="shared" si="177"/>
        <v>0</v>
      </c>
      <c r="BQ648" s="136">
        <f t="shared" si="177"/>
        <v>0</v>
      </c>
      <c r="BR648" s="136">
        <f t="shared" si="176"/>
        <v>0</v>
      </c>
      <c r="BS648" s="136">
        <f t="shared" si="174"/>
        <v>0</v>
      </c>
      <c r="BT648" s="136">
        <f t="shared" si="174"/>
        <v>0</v>
      </c>
      <c r="BU648" s="136">
        <f t="shared" si="174"/>
        <v>0</v>
      </c>
      <c r="BV648" s="136">
        <f t="shared" si="174"/>
        <v>0</v>
      </c>
      <c r="BW648" s="136">
        <f t="shared" si="174"/>
        <v>0</v>
      </c>
      <c r="BX648" s="136">
        <f t="shared" si="174"/>
        <v>0</v>
      </c>
      <c r="BZ648" s="136">
        <f t="shared" si="175"/>
        <v>0</v>
      </c>
      <c r="CA648" s="136">
        <f t="shared" si="175"/>
        <v>0</v>
      </c>
    </row>
    <row r="649" spans="7:79" hidden="1" x14ac:dyDescent="0.3">
      <c r="G649" s="136">
        <f t="shared" si="177"/>
        <v>0</v>
      </c>
      <c r="H649" s="136">
        <f t="shared" si="177"/>
        <v>0</v>
      </c>
      <c r="I649" s="136">
        <f t="shared" si="177"/>
        <v>0</v>
      </c>
      <c r="J649" s="136">
        <f t="shared" si="177"/>
        <v>0</v>
      </c>
      <c r="K649" s="136">
        <f t="shared" si="177"/>
        <v>0</v>
      </c>
      <c r="L649" s="136">
        <f t="shared" si="177"/>
        <v>0</v>
      </c>
      <c r="M649" s="136">
        <f t="shared" si="177"/>
        <v>0</v>
      </c>
      <c r="N649" s="136">
        <f t="shared" si="177"/>
        <v>0</v>
      </c>
      <c r="O649" s="136">
        <f t="shared" si="177"/>
        <v>0</v>
      </c>
      <c r="P649" s="136">
        <f t="shared" si="177"/>
        <v>0</v>
      </c>
      <c r="Q649" s="136">
        <f t="shared" si="177"/>
        <v>0</v>
      </c>
      <c r="R649" s="136">
        <f t="shared" si="177"/>
        <v>0</v>
      </c>
      <c r="S649" s="136">
        <f t="shared" si="177"/>
        <v>0</v>
      </c>
      <c r="T649" s="136">
        <f t="shared" si="177"/>
        <v>0</v>
      </c>
      <c r="U649" s="136">
        <f t="shared" si="177"/>
        <v>0</v>
      </c>
      <c r="V649" s="136">
        <f t="shared" si="177"/>
        <v>0</v>
      </c>
      <c r="W649" s="136">
        <f t="shared" si="177"/>
        <v>0</v>
      </c>
      <c r="X649" s="136">
        <f t="shared" si="177"/>
        <v>0</v>
      </c>
      <c r="Y649" s="136">
        <f t="shared" si="177"/>
        <v>0</v>
      </c>
      <c r="Z649" s="136">
        <f t="shared" si="177"/>
        <v>0</v>
      </c>
      <c r="AA649" s="136">
        <f t="shared" si="177"/>
        <v>0</v>
      </c>
      <c r="AB649" s="136">
        <f t="shared" si="177"/>
        <v>0</v>
      </c>
      <c r="AC649" s="136">
        <f t="shared" si="177"/>
        <v>0</v>
      </c>
      <c r="AD649" s="136">
        <f t="shared" si="177"/>
        <v>0</v>
      </c>
      <c r="AE649" s="136">
        <f t="shared" si="177"/>
        <v>0</v>
      </c>
      <c r="AF649" s="136">
        <f t="shared" si="177"/>
        <v>0</v>
      </c>
      <c r="AG649" s="136">
        <f t="shared" si="177"/>
        <v>0</v>
      </c>
      <c r="AH649" s="136">
        <f t="shared" si="177"/>
        <v>0</v>
      </c>
      <c r="AI649" s="136">
        <f t="shared" si="177"/>
        <v>0</v>
      </c>
      <c r="AJ649" s="136">
        <f t="shared" si="177"/>
        <v>0</v>
      </c>
      <c r="AK649" s="136">
        <f t="shared" si="177"/>
        <v>0</v>
      </c>
      <c r="AL649" s="136">
        <f t="shared" si="177"/>
        <v>0</v>
      </c>
      <c r="AM649" s="136">
        <f t="shared" si="177"/>
        <v>0</v>
      </c>
      <c r="AN649" s="136">
        <f t="shared" si="177"/>
        <v>0</v>
      </c>
      <c r="AO649" s="136">
        <f t="shared" si="177"/>
        <v>0</v>
      </c>
      <c r="AP649" s="136">
        <f t="shared" si="177"/>
        <v>0</v>
      </c>
      <c r="AQ649" s="136">
        <f t="shared" si="177"/>
        <v>0</v>
      </c>
      <c r="AR649" s="136">
        <f t="shared" si="177"/>
        <v>0</v>
      </c>
      <c r="AS649" s="136">
        <f t="shared" si="177"/>
        <v>0</v>
      </c>
      <c r="AT649" s="136">
        <f t="shared" si="177"/>
        <v>0</v>
      </c>
      <c r="AU649" s="136">
        <f t="shared" si="177"/>
        <v>0</v>
      </c>
      <c r="AV649" s="136">
        <f t="shared" si="177"/>
        <v>0</v>
      </c>
      <c r="AW649" s="136">
        <f t="shared" si="177"/>
        <v>0</v>
      </c>
      <c r="AX649" s="136">
        <f t="shared" si="177"/>
        <v>0</v>
      </c>
      <c r="AY649" s="136">
        <f t="shared" si="177"/>
        <v>0</v>
      </c>
      <c r="AZ649" s="136">
        <f t="shared" si="177"/>
        <v>0</v>
      </c>
      <c r="BA649" s="136">
        <f t="shared" si="177"/>
        <v>0</v>
      </c>
      <c r="BB649" s="136">
        <f t="shared" si="177"/>
        <v>0</v>
      </c>
      <c r="BC649" s="136">
        <f t="shared" si="177"/>
        <v>0</v>
      </c>
      <c r="BD649" s="136">
        <f t="shared" si="177"/>
        <v>0</v>
      </c>
      <c r="BE649" s="136">
        <f t="shared" si="177"/>
        <v>0</v>
      </c>
      <c r="BF649" s="136">
        <f t="shared" si="177"/>
        <v>0</v>
      </c>
      <c r="BG649" s="136">
        <f t="shared" si="177"/>
        <v>0</v>
      </c>
      <c r="BH649" s="136">
        <f t="shared" si="177"/>
        <v>0</v>
      </c>
      <c r="BI649" s="136">
        <f t="shared" si="177"/>
        <v>0</v>
      </c>
      <c r="BJ649" s="136">
        <f t="shared" si="177"/>
        <v>0</v>
      </c>
      <c r="BK649" s="136">
        <f t="shared" si="177"/>
        <v>0</v>
      </c>
      <c r="BL649" s="136">
        <f t="shared" si="177"/>
        <v>0</v>
      </c>
      <c r="BM649" s="136">
        <f t="shared" si="177"/>
        <v>0</v>
      </c>
      <c r="BN649" s="136">
        <f t="shared" si="177"/>
        <v>0</v>
      </c>
      <c r="BO649" s="136">
        <f t="shared" si="177"/>
        <v>0</v>
      </c>
      <c r="BP649" s="136">
        <f t="shared" si="177"/>
        <v>0</v>
      </c>
      <c r="BQ649" s="136">
        <f t="shared" si="177"/>
        <v>0</v>
      </c>
      <c r="BR649" s="136">
        <f t="shared" si="176"/>
        <v>0</v>
      </c>
      <c r="BS649" s="136">
        <f t="shared" si="174"/>
        <v>0</v>
      </c>
      <c r="BT649" s="136">
        <f t="shared" si="174"/>
        <v>0</v>
      </c>
      <c r="BU649" s="136">
        <f t="shared" si="174"/>
        <v>0</v>
      </c>
      <c r="BV649" s="136">
        <f t="shared" si="174"/>
        <v>0</v>
      </c>
      <c r="BW649" s="136">
        <f t="shared" si="174"/>
        <v>0</v>
      </c>
      <c r="BX649" s="136">
        <f t="shared" si="174"/>
        <v>0</v>
      </c>
      <c r="BZ649" s="136">
        <f t="shared" si="175"/>
        <v>0</v>
      </c>
      <c r="CA649" s="136">
        <f t="shared" si="175"/>
        <v>0</v>
      </c>
    </row>
    <row r="650" spans="7:79" hidden="1" x14ac:dyDescent="0.3">
      <c r="G650" s="136">
        <f t="shared" si="177"/>
        <v>0</v>
      </c>
      <c r="H650" s="136">
        <f t="shared" si="177"/>
        <v>0</v>
      </c>
      <c r="I650" s="136">
        <f t="shared" si="177"/>
        <v>0</v>
      </c>
      <c r="J650" s="136">
        <f t="shared" ref="J650:BQ651" si="178">J231-CB231</f>
        <v>0</v>
      </c>
      <c r="K650" s="136">
        <f t="shared" si="178"/>
        <v>0</v>
      </c>
      <c r="L650" s="136">
        <f t="shared" si="178"/>
        <v>0</v>
      </c>
      <c r="M650" s="136">
        <f t="shared" si="178"/>
        <v>0</v>
      </c>
      <c r="N650" s="136">
        <f t="shared" si="178"/>
        <v>0</v>
      </c>
      <c r="O650" s="136">
        <f t="shared" si="178"/>
        <v>0</v>
      </c>
      <c r="P650" s="136">
        <f t="shared" si="178"/>
        <v>0</v>
      </c>
      <c r="Q650" s="136">
        <f t="shared" si="178"/>
        <v>0</v>
      </c>
      <c r="R650" s="136">
        <f t="shared" si="178"/>
        <v>0</v>
      </c>
      <c r="S650" s="136">
        <f t="shared" si="178"/>
        <v>0</v>
      </c>
      <c r="T650" s="136">
        <f t="shared" si="178"/>
        <v>0</v>
      </c>
      <c r="U650" s="136">
        <f t="shared" si="178"/>
        <v>0</v>
      </c>
      <c r="V650" s="136">
        <f t="shared" si="178"/>
        <v>0</v>
      </c>
      <c r="W650" s="136">
        <f t="shared" si="178"/>
        <v>0</v>
      </c>
      <c r="X650" s="136">
        <f t="shared" si="178"/>
        <v>0</v>
      </c>
      <c r="Y650" s="136">
        <f t="shared" si="178"/>
        <v>0</v>
      </c>
      <c r="Z650" s="136">
        <f t="shared" si="178"/>
        <v>0</v>
      </c>
      <c r="AA650" s="136">
        <f t="shared" si="178"/>
        <v>0</v>
      </c>
      <c r="AB650" s="136">
        <f t="shared" si="178"/>
        <v>0</v>
      </c>
      <c r="AC650" s="136">
        <f t="shared" si="178"/>
        <v>0</v>
      </c>
      <c r="AD650" s="136">
        <f t="shared" si="178"/>
        <v>0</v>
      </c>
      <c r="AE650" s="136">
        <f t="shared" si="178"/>
        <v>0</v>
      </c>
      <c r="AF650" s="136">
        <f t="shared" si="178"/>
        <v>0</v>
      </c>
      <c r="AG650" s="136">
        <f t="shared" si="178"/>
        <v>0</v>
      </c>
      <c r="AH650" s="136">
        <f t="shared" si="178"/>
        <v>0</v>
      </c>
      <c r="AI650" s="136">
        <f t="shared" si="178"/>
        <v>0</v>
      </c>
      <c r="AJ650" s="136">
        <f t="shared" si="178"/>
        <v>0</v>
      </c>
      <c r="AK650" s="136">
        <f t="shared" si="178"/>
        <v>0</v>
      </c>
      <c r="AL650" s="136">
        <f t="shared" si="178"/>
        <v>0</v>
      </c>
      <c r="AM650" s="136">
        <f t="shared" si="178"/>
        <v>0</v>
      </c>
      <c r="AN650" s="136">
        <f t="shared" si="178"/>
        <v>0</v>
      </c>
      <c r="AO650" s="136">
        <f t="shared" si="178"/>
        <v>0</v>
      </c>
      <c r="AP650" s="136">
        <f t="shared" si="178"/>
        <v>0</v>
      </c>
      <c r="AQ650" s="136">
        <f t="shared" si="178"/>
        <v>0</v>
      </c>
      <c r="AR650" s="136">
        <f t="shared" si="178"/>
        <v>0</v>
      </c>
      <c r="AS650" s="136">
        <f t="shared" si="178"/>
        <v>0</v>
      </c>
      <c r="AT650" s="136">
        <f t="shared" si="178"/>
        <v>0</v>
      </c>
      <c r="AU650" s="136">
        <f t="shared" si="178"/>
        <v>0</v>
      </c>
      <c r="AV650" s="136">
        <f t="shared" si="178"/>
        <v>0</v>
      </c>
      <c r="AW650" s="136">
        <f t="shared" si="178"/>
        <v>0</v>
      </c>
      <c r="AX650" s="136">
        <f t="shared" si="178"/>
        <v>0</v>
      </c>
      <c r="AY650" s="136">
        <f t="shared" si="178"/>
        <v>0</v>
      </c>
      <c r="AZ650" s="136">
        <f t="shared" si="178"/>
        <v>0</v>
      </c>
      <c r="BA650" s="136">
        <f t="shared" si="178"/>
        <v>0</v>
      </c>
      <c r="BB650" s="136">
        <f t="shared" si="178"/>
        <v>0</v>
      </c>
      <c r="BC650" s="136">
        <f t="shared" si="178"/>
        <v>0</v>
      </c>
      <c r="BD650" s="136">
        <f t="shared" si="178"/>
        <v>0</v>
      </c>
      <c r="BE650" s="136">
        <f t="shared" si="178"/>
        <v>0</v>
      </c>
      <c r="BF650" s="136">
        <f t="shared" si="178"/>
        <v>0</v>
      </c>
      <c r="BG650" s="136">
        <f t="shared" si="178"/>
        <v>0</v>
      </c>
      <c r="BH650" s="136">
        <f t="shared" si="178"/>
        <v>0</v>
      </c>
      <c r="BI650" s="136">
        <f t="shared" si="178"/>
        <v>0</v>
      </c>
      <c r="BJ650" s="136">
        <f t="shared" si="178"/>
        <v>0</v>
      </c>
      <c r="BK650" s="136">
        <f t="shared" si="178"/>
        <v>0</v>
      </c>
      <c r="BL650" s="136">
        <f t="shared" si="178"/>
        <v>0</v>
      </c>
      <c r="BM650" s="136">
        <f t="shared" si="178"/>
        <v>0</v>
      </c>
      <c r="BN650" s="136">
        <f t="shared" si="178"/>
        <v>0</v>
      </c>
      <c r="BO650" s="136">
        <f t="shared" si="178"/>
        <v>0</v>
      </c>
      <c r="BP650" s="136">
        <f t="shared" si="178"/>
        <v>0</v>
      </c>
      <c r="BQ650" s="136">
        <f t="shared" si="178"/>
        <v>0</v>
      </c>
      <c r="BR650" s="136">
        <f t="shared" si="176"/>
        <v>0</v>
      </c>
      <c r="BS650" s="136">
        <f t="shared" si="174"/>
        <v>0</v>
      </c>
      <c r="BT650" s="136">
        <f t="shared" si="174"/>
        <v>0</v>
      </c>
      <c r="BU650" s="136">
        <f t="shared" si="174"/>
        <v>0</v>
      </c>
      <c r="BV650" s="136">
        <f t="shared" si="174"/>
        <v>0</v>
      </c>
      <c r="BW650" s="136">
        <f t="shared" si="174"/>
        <v>0</v>
      </c>
      <c r="BX650" s="136">
        <f t="shared" si="174"/>
        <v>0</v>
      </c>
      <c r="BZ650" s="136">
        <f t="shared" si="175"/>
        <v>0</v>
      </c>
      <c r="CA650" s="136">
        <f t="shared" si="175"/>
        <v>0</v>
      </c>
    </row>
    <row r="651" spans="7:79" hidden="1" x14ac:dyDescent="0.3">
      <c r="G651" s="136">
        <f t="shared" ref="G651:I651" si="179">G232-BY232</f>
        <v>0</v>
      </c>
      <c r="H651" s="136">
        <f t="shared" si="179"/>
        <v>0</v>
      </c>
      <c r="I651" s="136">
        <f t="shared" si="179"/>
        <v>0</v>
      </c>
      <c r="J651" s="136">
        <f t="shared" si="178"/>
        <v>0</v>
      </c>
      <c r="K651" s="136">
        <f t="shared" si="178"/>
        <v>0</v>
      </c>
      <c r="L651" s="136">
        <f t="shared" si="178"/>
        <v>0</v>
      </c>
      <c r="M651" s="136">
        <f t="shared" si="178"/>
        <v>0</v>
      </c>
      <c r="N651" s="136">
        <f t="shared" si="178"/>
        <v>0</v>
      </c>
      <c r="O651" s="136">
        <f t="shared" si="178"/>
        <v>0</v>
      </c>
      <c r="P651" s="136">
        <f t="shared" si="178"/>
        <v>0</v>
      </c>
      <c r="Q651" s="136">
        <f t="shared" si="178"/>
        <v>0</v>
      </c>
      <c r="R651" s="136">
        <f t="shared" si="178"/>
        <v>0</v>
      </c>
      <c r="S651" s="136">
        <f t="shared" si="178"/>
        <v>0</v>
      </c>
      <c r="T651" s="136">
        <f t="shared" si="178"/>
        <v>0</v>
      </c>
      <c r="U651" s="136">
        <f t="shared" si="178"/>
        <v>0</v>
      </c>
      <c r="V651" s="136">
        <f t="shared" si="178"/>
        <v>0</v>
      </c>
      <c r="W651" s="136">
        <f t="shared" si="178"/>
        <v>0</v>
      </c>
      <c r="X651" s="136">
        <f t="shared" si="178"/>
        <v>0</v>
      </c>
      <c r="Y651" s="136">
        <f t="shared" si="178"/>
        <v>0</v>
      </c>
      <c r="Z651" s="136">
        <f t="shared" si="178"/>
        <v>0</v>
      </c>
      <c r="AA651" s="136">
        <f t="shared" si="178"/>
        <v>0</v>
      </c>
      <c r="AB651" s="136">
        <f t="shared" si="178"/>
        <v>0</v>
      </c>
      <c r="AC651" s="136">
        <f t="shared" si="178"/>
        <v>0</v>
      </c>
      <c r="AD651" s="136">
        <f t="shared" si="178"/>
        <v>0</v>
      </c>
      <c r="AE651" s="136">
        <f t="shared" si="178"/>
        <v>0</v>
      </c>
      <c r="AF651" s="136">
        <f t="shared" si="178"/>
        <v>0</v>
      </c>
      <c r="AG651" s="136">
        <f t="shared" si="178"/>
        <v>0</v>
      </c>
      <c r="AH651" s="136">
        <f t="shared" si="178"/>
        <v>0</v>
      </c>
      <c r="AI651" s="136">
        <f t="shared" si="178"/>
        <v>0</v>
      </c>
      <c r="AJ651" s="136">
        <f t="shared" si="178"/>
        <v>0</v>
      </c>
      <c r="AK651" s="136">
        <f t="shared" si="178"/>
        <v>0</v>
      </c>
      <c r="AL651" s="136">
        <f t="shared" si="178"/>
        <v>0</v>
      </c>
      <c r="AM651" s="136">
        <f t="shared" si="178"/>
        <v>0</v>
      </c>
      <c r="AN651" s="136">
        <f t="shared" si="178"/>
        <v>0</v>
      </c>
      <c r="AO651" s="136">
        <f t="shared" si="178"/>
        <v>0</v>
      </c>
      <c r="AP651" s="136">
        <f t="shared" si="178"/>
        <v>0</v>
      </c>
      <c r="AQ651" s="136">
        <f t="shared" si="178"/>
        <v>0</v>
      </c>
      <c r="AR651" s="136">
        <f t="shared" si="178"/>
        <v>0</v>
      </c>
      <c r="AS651" s="136">
        <f t="shared" si="178"/>
        <v>0</v>
      </c>
      <c r="AT651" s="136">
        <f t="shared" si="178"/>
        <v>0</v>
      </c>
      <c r="AU651" s="136">
        <f t="shared" si="178"/>
        <v>0</v>
      </c>
      <c r="AV651" s="136">
        <f t="shared" si="178"/>
        <v>0</v>
      </c>
      <c r="AW651" s="136">
        <f t="shared" si="178"/>
        <v>0</v>
      </c>
      <c r="AX651" s="136">
        <f t="shared" si="178"/>
        <v>0</v>
      </c>
      <c r="AY651" s="136">
        <f t="shared" si="178"/>
        <v>0</v>
      </c>
      <c r="AZ651" s="136">
        <f t="shared" si="178"/>
        <v>0</v>
      </c>
      <c r="BA651" s="136">
        <f t="shared" si="178"/>
        <v>0</v>
      </c>
      <c r="BB651" s="136">
        <f t="shared" si="178"/>
        <v>0</v>
      </c>
      <c r="BC651" s="136">
        <f t="shared" si="178"/>
        <v>0</v>
      </c>
      <c r="BD651" s="136">
        <f t="shared" si="178"/>
        <v>0</v>
      </c>
      <c r="BE651" s="136">
        <f t="shared" si="178"/>
        <v>0</v>
      </c>
      <c r="BF651" s="136">
        <f t="shared" si="178"/>
        <v>0</v>
      </c>
      <c r="BG651" s="136">
        <f t="shared" si="178"/>
        <v>0</v>
      </c>
      <c r="BH651" s="136">
        <f t="shared" si="178"/>
        <v>0</v>
      </c>
      <c r="BI651" s="136">
        <f t="shared" si="178"/>
        <v>0</v>
      </c>
      <c r="BJ651" s="136">
        <f t="shared" si="178"/>
        <v>0</v>
      </c>
      <c r="BK651" s="136">
        <f t="shared" si="178"/>
        <v>0</v>
      </c>
      <c r="BL651" s="136">
        <f t="shared" si="178"/>
        <v>0</v>
      </c>
      <c r="BM651" s="136">
        <f t="shared" si="178"/>
        <v>0</v>
      </c>
      <c r="BN651" s="136">
        <f t="shared" si="178"/>
        <v>0</v>
      </c>
      <c r="BO651" s="136">
        <f t="shared" si="178"/>
        <v>0</v>
      </c>
      <c r="BP651" s="136">
        <f t="shared" si="178"/>
        <v>0</v>
      </c>
      <c r="BQ651" s="136">
        <f t="shared" si="178"/>
        <v>0</v>
      </c>
      <c r="BR651" s="136">
        <f t="shared" si="176"/>
        <v>0</v>
      </c>
      <c r="BS651" s="136">
        <f t="shared" si="174"/>
        <v>0</v>
      </c>
      <c r="BT651" s="136">
        <f t="shared" si="174"/>
        <v>0</v>
      </c>
      <c r="BU651" s="136">
        <f t="shared" si="174"/>
        <v>0</v>
      </c>
      <c r="BV651" s="136">
        <f t="shared" si="174"/>
        <v>0</v>
      </c>
      <c r="BW651" s="136">
        <f t="shared" si="174"/>
        <v>0</v>
      </c>
      <c r="BX651" s="136">
        <f t="shared" si="174"/>
        <v>0</v>
      </c>
      <c r="BZ651" s="136">
        <f t="shared" si="175"/>
        <v>0</v>
      </c>
      <c r="CA651" s="136">
        <f t="shared" si="175"/>
        <v>0</v>
      </c>
    </row>
    <row r="652" spans="7:79" hidden="1" x14ac:dyDescent="0.3">
      <c r="G652" s="136">
        <f t="shared" ref="G652:BR652" si="180">G234-BY234</f>
        <v>0</v>
      </c>
      <c r="H652" s="136">
        <f t="shared" si="180"/>
        <v>0</v>
      </c>
      <c r="I652" s="136">
        <f t="shared" si="180"/>
        <v>0</v>
      </c>
      <c r="J652" s="136">
        <f t="shared" si="180"/>
        <v>0</v>
      </c>
      <c r="K652" s="136">
        <f t="shared" si="180"/>
        <v>0</v>
      </c>
      <c r="L652" s="136">
        <f t="shared" si="180"/>
        <v>0</v>
      </c>
      <c r="M652" s="136">
        <f t="shared" si="180"/>
        <v>0</v>
      </c>
      <c r="N652" s="136">
        <f t="shared" si="180"/>
        <v>0</v>
      </c>
      <c r="O652" s="136">
        <f t="shared" si="180"/>
        <v>0</v>
      </c>
      <c r="P652" s="136">
        <f t="shared" si="180"/>
        <v>0</v>
      </c>
      <c r="Q652" s="136">
        <f t="shared" si="180"/>
        <v>0</v>
      </c>
      <c r="R652" s="136">
        <f t="shared" si="180"/>
        <v>0</v>
      </c>
      <c r="S652" s="136">
        <f t="shared" si="180"/>
        <v>0</v>
      </c>
      <c r="T652" s="136">
        <f t="shared" si="180"/>
        <v>0</v>
      </c>
      <c r="U652" s="136">
        <f t="shared" si="180"/>
        <v>0</v>
      </c>
      <c r="V652" s="136">
        <f t="shared" si="180"/>
        <v>0</v>
      </c>
      <c r="W652" s="136">
        <f t="shared" si="180"/>
        <v>0</v>
      </c>
      <c r="X652" s="136">
        <f t="shared" si="180"/>
        <v>0</v>
      </c>
      <c r="Y652" s="136">
        <f t="shared" si="180"/>
        <v>0</v>
      </c>
      <c r="Z652" s="136">
        <f t="shared" si="180"/>
        <v>0</v>
      </c>
      <c r="AA652" s="136">
        <f t="shared" si="180"/>
        <v>0</v>
      </c>
      <c r="AB652" s="136">
        <f t="shared" si="180"/>
        <v>0</v>
      </c>
      <c r="AC652" s="136">
        <f t="shared" si="180"/>
        <v>0</v>
      </c>
      <c r="AD652" s="136">
        <f t="shared" si="180"/>
        <v>0</v>
      </c>
      <c r="AE652" s="136">
        <f t="shared" si="180"/>
        <v>0</v>
      </c>
      <c r="AF652" s="136">
        <f t="shared" si="180"/>
        <v>0</v>
      </c>
      <c r="AG652" s="136">
        <f t="shared" si="180"/>
        <v>0</v>
      </c>
      <c r="AH652" s="136">
        <f t="shared" si="180"/>
        <v>0</v>
      </c>
      <c r="AI652" s="136">
        <f t="shared" si="180"/>
        <v>0</v>
      </c>
      <c r="AJ652" s="136">
        <f t="shared" si="180"/>
        <v>0</v>
      </c>
      <c r="AK652" s="136">
        <f t="shared" si="180"/>
        <v>0</v>
      </c>
      <c r="AL652" s="136">
        <f t="shared" si="180"/>
        <v>0</v>
      </c>
      <c r="AM652" s="136">
        <f t="shared" si="180"/>
        <v>0</v>
      </c>
      <c r="AN652" s="136">
        <f t="shared" si="180"/>
        <v>0</v>
      </c>
      <c r="AO652" s="136">
        <f t="shared" si="180"/>
        <v>0</v>
      </c>
      <c r="AP652" s="136">
        <f t="shared" si="180"/>
        <v>0</v>
      </c>
      <c r="AQ652" s="136">
        <f t="shared" si="180"/>
        <v>0</v>
      </c>
      <c r="AR652" s="136">
        <f t="shared" si="180"/>
        <v>0</v>
      </c>
      <c r="AS652" s="136">
        <f t="shared" si="180"/>
        <v>0</v>
      </c>
      <c r="AT652" s="136">
        <f t="shared" si="180"/>
        <v>0</v>
      </c>
      <c r="AU652" s="136">
        <f t="shared" si="180"/>
        <v>0</v>
      </c>
      <c r="AV652" s="136">
        <f t="shared" si="180"/>
        <v>0</v>
      </c>
      <c r="AW652" s="136">
        <f t="shared" si="180"/>
        <v>0</v>
      </c>
      <c r="AX652" s="136">
        <f t="shared" si="180"/>
        <v>0</v>
      </c>
      <c r="AY652" s="136">
        <f t="shared" si="180"/>
        <v>0</v>
      </c>
      <c r="AZ652" s="136">
        <f t="shared" si="180"/>
        <v>0</v>
      </c>
      <c r="BA652" s="136">
        <f t="shared" si="180"/>
        <v>0</v>
      </c>
      <c r="BB652" s="136">
        <f t="shared" si="180"/>
        <v>0</v>
      </c>
      <c r="BC652" s="136">
        <f t="shared" si="180"/>
        <v>0</v>
      </c>
      <c r="BD652" s="136">
        <f t="shared" si="180"/>
        <v>0</v>
      </c>
      <c r="BE652" s="136">
        <f t="shared" si="180"/>
        <v>0</v>
      </c>
      <c r="BF652" s="136">
        <f t="shared" si="180"/>
        <v>0</v>
      </c>
      <c r="BG652" s="136">
        <f t="shared" si="180"/>
        <v>0</v>
      </c>
      <c r="BH652" s="136">
        <f t="shared" si="180"/>
        <v>0</v>
      </c>
      <c r="BI652" s="136">
        <f t="shared" si="180"/>
        <v>0</v>
      </c>
      <c r="BJ652" s="136">
        <f t="shared" si="180"/>
        <v>0</v>
      </c>
      <c r="BK652" s="136">
        <f t="shared" si="180"/>
        <v>0</v>
      </c>
      <c r="BL652" s="136">
        <f t="shared" si="180"/>
        <v>0</v>
      </c>
      <c r="BM652" s="136">
        <f t="shared" si="180"/>
        <v>0</v>
      </c>
      <c r="BN652" s="136">
        <f t="shared" si="180"/>
        <v>0</v>
      </c>
      <c r="BO652" s="136">
        <f t="shared" si="180"/>
        <v>0</v>
      </c>
      <c r="BP652" s="136">
        <f t="shared" si="180"/>
        <v>0</v>
      </c>
      <c r="BQ652" s="136">
        <f t="shared" si="180"/>
        <v>0</v>
      </c>
      <c r="BR652" s="136">
        <f t="shared" si="180"/>
        <v>0</v>
      </c>
      <c r="BS652" s="136">
        <f t="shared" ref="BS652:BX652" si="181">BS234-EK234</f>
        <v>0</v>
      </c>
      <c r="BT652" s="136">
        <f t="shared" si="181"/>
        <v>0</v>
      </c>
      <c r="BU652" s="136">
        <f t="shared" si="181"/>
        <v>0</v>
      </c>
      <c r="BV652" s="136">
        <f t="shared" si="181"/>
        <v>0</v>
      </c>
      <c r="BW652" s="136">
        <f t="shared" si="181"/>
        <v>0</v>
      </c>
      <c r="BX652" s="136">
        <f t="shared" si="181"/>
        <v>0</v>
      </c>
      <c r="BZ652" s="136">
        <f>BZ234-ER234</f>
        <v>0</v>
      </c>
      <c r="CA652" s="136">
        <f>CA234-ES234</f>
        <v>0</v>
      </c>
    </row>
    <row r="653" spans="7:79" hidden="1" x14ac:dyDescent="0.3">
      <c r="G653" s="136" t="e">
        <f>#REF!-#REF!</f>
        <v>#REF!</v>
      </c>
      <c r="H653" s="136" t="e">
        <f>#REF!-#REF!</f>
        <v>#REF!</v>
      </c>
      <c r="I653" s="136" t="e">
        <f>#REF!-#REF!</f>
        <v>#REF!</v>
      </c>
      <c r="J653" s="136" t="e">
        <f>#REF!-#REF!</f>
        <v>#REF!</v>
      </c>
      <c r="K653" s="136" t="e">
        <f>#REF!-#REF!</f>
        <v>#REF!</v>
      </c>
      <c r="L653" s="136" t="e">
        <f>#REF!-#REF!</f>
        <v>#REF!</v>
      </c>
      <c r="M653" s="136" t="e">
        <f>#REF!-#REF!</f>
        <v>#REF!</v>
      </c>
      <c r="N653" s="136" t="e">
        <f>#REF!-#REF!</f>
        <v>#REF!</v>
      </c>
      <c r="O653" s="136" t="e">
        <f>#REF!-#REF!</f>
        <v>#REF!</v>
      </c>
      <c r="P653" s="136" t="e">
        <f>#REF!-#REF!</f>
        <v>#REF!</v>
      </c>
      <c r="Q653" s="136" t="e">
        <f>#REF!-#REF!</f>
        <v>#REF!</v>
      </c>
      <c r="R653" s="136" t="e">
        <f>#REF!-#REF!</f>
        <v>#REF!</v>
      </c>
      <c r="S653" s="136" t="e">
        <f>#REF!-#REF!</f>
        <v>#REF!</v>
      </c>
      <c r="T653" s="136" t="e">
        <f>#REF!-#REF!</f>
        <v>#REF!</v>
      </c>
      <c r="U653" s="136" t="e">
        <f>#REF!-#REF!</f>
        <v>#REF!</v>
      </c>
      <c r="V653" s="136" t="e">
        <f>#REF!-#REF!</f>
        <v>#REF!</v>
      </c>
      <c r="W653" s="136" t="e">
        <f>#REF!-#REF!</f>
        <v>#REF!</v>
      </c>
      <c r="X653" s="136" t="e">
        <f>#REF!-#REF!</f>
        <v>#REF!</v>
      </c>
      <c r="Y653" s="136" t="e">
        <f>#REF!-#REF!</f>
        <v>#REF!</v>
      </c>
      <c r="Z653" s="136" t="e">
        <f>#REF!-#REF!</f>
        <v>#REF!</v>
      </c>
      <c r="AA653" s="136" t="e">
        <f>#REF!-#REF!</f>
        <v>#REF!</v>
      </c>
      <c r="AB653" s="136" t="e">
        <f>#REF!-#REF!</f>
        <v>#REF!</v>
      </c>
      <c r="AC653" s="136" t="e">
        <f>#REF!-#REF!</f>
        <v>#REF!</v>
      </c>
      <c r="AD653" s="136" t="e">
        <f>#REF!-#REF!</f>
        <v>#REF!</v>
      </c>
      <c r="AE653" s="136" t="e">
        <f>#REF!-#REF!</f>
        <v>#REF!</v>
      </c>
      <c r="AF653" s="136" t="e">
        <f>#REF!-#REF!</f>
        <v>#REF!</v>
      </c>
      <c r="AG653" s="136" t="e">
        <f>#REF!-#REF!</f>
        <v>#REF!</v>
      </c>
      <c r="AH653" s="136" t="e">
        <f>#REF!-#REF!</f>
        <v>#REF!</v>
      </c>
      <c r="AI653" s="136" t="e">
        <f>#REF!-#REF!</f>
        <v>#REF!</v>
      </c>
      <c r="AJ653" s="136" t="e">
        <f>#REF!-#REF!</f>
        <v>#REF!</v>
      </c>
      <c r="AK653" s="136" t="e">
        <f>#REF!-#REF!</f>
        <v>#REF!</v>
      </c>
      <c r="AL653" s="136" t="e">
        <f>#REF!-#REF!</f>
        <v>#REF!</v>
      </c>
      <c r="AM653" s="136" t="e">
        <f>#REF!-#REF!</f>
        <v>#REF!</v>
      </c>
      <c r="AN653" s="136" t="e">
        <f>#REF!-#REF!</f>
        <v>#REF!</v>
      </c>
      <c r="AO653" s="136" t="e">
        <f>#REF!-#REF!</f>
        <v>#REF!</v>
      </c>
      <c r="AP653" s="136" t="e">
        <f>#REF!-#REF!</f>
        <v>#REF!</v>
      </c>
      <c r="AQ653" s="136" t="e">
        <f>#REF!-#REF!</f>
        <v>#REF!</v>
      </c>
      <c r="AR653" s="136" t="e">
        <f>#REF!-#REF!</f>
        <v>#REF!</v>
      </c>
      <c r="AS653" s="136" t="e">
        <f>#REF!-#REF!</f>
        <v>#REF!</v>
      </c>
      <c r="AT653" s="136" t="e">
        <f>#REF!-#REF!</f>
        <v>#REF!</v>
      </c>
      <c r="AU653" s="136" t="e">
        <f>#REF!-#REF!</f>
        <v>#REF!</v>
      </c>
      <c r="AV653" s="136" t="e">
        <f>#REF!-#REF!</f>
        <v>#REF!</v>
      </c>
      <c r="AW653" s="136" t="e">
        <f>#REF!-#REF!</f>
        <v>#REF!</v>
      </c>
      <c r="AX653" s="136" t="e">
        <f>#REF!-#REF!</f>
        <v>#REF!</v>
      </c>
      <c r="AY653" s="136" t="e">
        <f>#REF!-#REF!</f>
        <v>#REF!</v>
      </c>
      <c r="AZ653" s="136" t="e">
        <f>#REF!-#REF!</f>
        <v>#REF!</v>
      </c>
      <c r="BA653" s="136" t="e">
        <f>#REF!-#REF!</f>
        <v>#REF!</v>
      </c>
      <c r="BB653" s="136" t="e">
        <f>#REF!-#REF!</f>
        <v>#REF!</v>
      </c>
      <c r="BC653" s="136" t="e">
        <f>#REF!-#REF!</f>
        <v>#REF!</v>
      </c>
      <c r="BD653" s="136" t="e">
        <f>#REF!-#REF!</f>
        <v>#REF!</v>
      </c>
      <c r="BE653" s="136" t="e">
        <f>#REF!-#REF!</f>
        <v>#REF!</v>
      </c>
      <c r="BF653" s="136" t="e">
        <f>#REF!-#REF!</f>
        <v>#REF!</v>
      </c>
      <c r="BG653" s="136" t="e">
        <f>#REF!-#REF!</f>
        <v>#REF!</v>
      </c>
      <c r="BH653" s="136" t="e">
        <f>#REF!-#REF!</f>
        <v>#REF!</v>
      </c>
      <c r="BI653" s="136" t="e">
        <f>#REF!-#REF!</f>
        <v>#REF!</v>
      </c>
      <c r="BJ653" s="136" t="e">
        <f>#REF!-#REF!</f>
        <v>#REF!</v>
      </c>
      <c r="BK653" s="136" t="e">
        <f>#REF!-#REF!</f>
        <v>#REF!</v>
      </c>
      <c r="BL653" s="136" t="e">
        <f>#REF!-#REF!</f>
        <v>#REF!</v>
      </c>
      <c r="BM653" s="136" t="e">
        <f>#REF!-#REF!</f>
        <v>#REF!</v>
      </c>
      <c r="BN653" s="136" t="e">
        <f>#REF!-#REF!</f>
        <v>#REF!</v>
      </c>
      <c r="BO653" s="136" t="e">
        <f>#REF!-#REF!</f>
        <v>#REF!</v>
      </c>
      <c r="BP653" s="136" t="e">
        <f>#REF!-#REF!</f>
        <v>#REF!</v>
      </c>
      <c r="BQ653" s="136" t="e">
        <f>#REF!-#REF!</f>
        <v>#REF!</v>
      </c>
      <c r="BR653" s="136" t="e">
        <f>#REF!-#REF!</f>
        <v>#REF!</v>
      </c>
      <c r="BS653" s="136" t="e">
        <f>#REF!-#REF!</f>
        <v>#REF!</v>
      </c>
      <c r="BT653" s="136" t="e">
        <f>#REF!-#REF!</f>
        <v>#REF!</v>
      </c>
      <c r="BU653" s="136" t="e">
        <f>#REF!-#REF!</f>
        <v>#REF!</v>
      </c>
      <c r="BV653" s="136" t="e">
        <f>#REF!-#REF!</f>
        <v>#REF!</v>
      </c>
      <c r="BW653" s="136" t="e">
        <f>#REF!-#REF!</f>
        <v>#REF!</v>
      </c>
      <c r="BX653" s="136" t="e">
        <f>#REF!-#REF!</f>
        <v>#REF!</v>
      </c>
      <c r="BZ653" s="136" t="e">
        <f>#REF!-#REF!</f>
        <v>#REF!</v>
      </c>
      <c r="CA653" s="136" t="e">
        <f>#REF!-#REF!</f>
        <v>#REF!</v>
      </c>
    </row>
    <row r="654" spans="7:79" hidden="1" x14ac:dyDescent="0.3">
      <c r="G654" s="136">
        <f t="shared" ref="G654:BR657" si="182">G235-BY235</f>
        <v>0</v>
      </c>
      <c r="H654" s="136">
        <f t="shared" si="182"/>
        <v>0</v>
      </c>
      <c r="I654" s="136">
        <f t="shared" si="182"/>
        <v>0</v>
      </c>
      <c r="J654" s="136">
        <f t="shared" si="182"/>
        <v>0</v>
      </c>
      <c r="K654" s="136">
        <f t="shared" si="182"/>
        <v>0</v>
      </c>
      <c r="L654" s="136">
        <f t="shared" si="182"/>
        <v>0</v>
      </c>
      <c r="M654" s="136">
        <f t="shared" si="182"/>
        <v>0</v>
      </c>
      <c r="N654" s="136">
        <f t="shared" si="182"/>
        <v>0</v>
      </c>
      <c r="O654" s="136">
        <f t="shared" si="182"/>
        <v>0</v>
      </c>
      <c r="P654" s="136">
        <f t="shared" si="182"/>
        <v>0</v>
      </c>
      <c r="Q654" s="136">
        <f t="shared" si="182"/>
        <v>0</v>
      </c>
      <c r="R654" s="136">
        <f t="shared" si="182"/>
        <v>0</v>
      </c>
      <c r="S654" s="136">
        <f t="shared" si="182"/>
        <v>0</v>
      </c>
      <c r="T654" s="136">
        <f t="shared" si="182"/>
        <v>0</v>
      </c>
      <c r="U654" s="136">
        <f t="shared" si="182"/>
        <v>0</v>
      </c>
      <c r="V654" s="136">
        <f t="shared" si="182"/>
        <v>0</v>
      </c>
      <c r="W654" s="136">
        <f t="shared" si="182"/>
        <v>0</v>
      </c>
      <c r="X654" s="136">
        <f t="shared" si="182"/>
        <v>0</v>
      </c>
      <c r="Y654" s="136">
        <f t="shared" si="182"/>
        <v>0</v>
      </c>
      <c r="Z654" s="136">
        <f t="shared" si="182"/>
        <v>0</v>
      </c>
      <c r="AA654" s="136">
        <f t="shared" si="182"/>
        <v>0</v>
      </c>
      <c r="AB654" s="136">
        <f t="shared" si="182"/>
        <v>0</v>
      </c>
      <c r="AC654" s="136">
        <f t="shared" si="182"/>
        <v>0</v>
      </c>
      <c r="AD654" s="136">
        <f t="shared" si="182"/>
        <v>0</v>
      </c>
      <c r="AE654" s="136">
        <f t="shared" si="182"/>
        <v>0</v>
      </c>
      <c r="AF654" s="136">
        <f t="shared" si="182"/>
        <v>0</v>
      </c>
      <c r="AG654" s="136">
        <f t="shared" si="182"/>
        <v>0</v>
      </c>
      <c r="AH654" s="136">
        <f t="shared" si="182"/>
        <v>0</v>
      </c>
      <c r="AI654" s="136">
        <f t="shared" si="182"/>
        <v>0</v>
      </c>
      <c r="AJ654" s="136">
        <f t="shared" si="182"/>
        <v>0</v>
      </c>
      <c r="AK654" s="136">
        <f t="shared" si="182"/>
        <v>0</v>
      </c>
      <c r="AL654" s="136">
        <f t="shared" si="182"/>
        <v>0</v>
      </c>
      <c r="AM654" s="136">
        <f t="shared" si="182"/>
        <v>0</v>
      </c>
      <c r="AN654" s="136">
        <f t="shared" si="182"/>
        <v>0</v>
      </c>
      <c r="AO654" s="136">
        <f t="shared" si="182"/>
        <v>0</v>
      </c>
      <c r="AP654" s="136">
        <f t="shared" si="182"/>
        <v>0</v>
      </c>
      <c r="AQ654" s="136">
        <f t="shared" si="182"/>
        <v>0</v>
      </c>
      <c r="AR654" s="136">
        <f t="shared" si="182"/>
        <v>0</v>
      </c>
      <c r="AS654" s="136">
        <f t="shared" si="182"/>
        <v>0</v>
      </c>
      <c r="AT654" s="136">
        <f t="shared" si="182"/>
        <v>0</v>
      </c>
      <c r="AU654" s="136">
        <f t="shared" si="182"/>
        <v>0</v>
      </c>
      <c r="AV654" s="136">
        <f t="shared" si="182"/>
        <v>0</v>
      </c>
      <c r="AW654" s="136">
        <f t="shared" si="182"/>
        <v>0</v>
      </c>
      <c r="AX654" s="136">
        <f t="shared" si="182"/>
        <v>0</v>
      </c>
      <c r="AY654" s="136">
        <f t="shared" si="182"/>
        <v>0</v>
      </c>
      <c r="AZ654" s="136">
        <f t="shared" si="182"/>
        <v>0</v>
      </c>
      <c r="BA654" s="136">
        <f t="shared" si="182"/>
        <v>0</v>
      </c>
      <c r="BB654" s="136">
        <f t="shared" si="182"/>
        <v>0</v>
      </c>
      <c r="BC654" s="136">
        <f t="shared" si="182"/>
        <v>0</v>
      </c>
      <c r="BD654" s="136">
        <f t="shared" si="182"/>
        <v>0</v>
      </c>
      <c r="BE654" s="136">
        <f t="shared" si="182"/>
        <v>0</v>
      </c>
      <c r="BF654" s="136">
        <f t="shared" si="182"/>
        <v>0</v>
      </c>
      <c r="BG654" s="136">
        <f t="shared" si="182"/>
        <v>0</v>
      </c>
      <c r="BH654" s="136">
        <f t="shared" si="182"/>
        <v>0</v>
      </c>
      <c r="BI654" s="136">
        <f t="shared" si="182"/>
        <v>0</v>
      </c>
      <c r="BJ654" s="136">
        <f t="shared" si="182"/>
        <v>0</v>
      </c>
      <c r="BK654" s="136">
        <f t="shared" si="182"/>
        <v>0</v>
      </c>
      <c r="BL654" s="136">
        <f t="shared" si="182"/>
        <v>0</v>
      </c>
      <c r="BM654" s="136">
        <f t="shared" si="182"/>
        <v>0</v>
      </c>
      <c r="BN654" s="136">
        <f t="shared" si="182"/>
        <v>0</v>
      </c>
      <c r="BO654" s="136">
        <f t="shared" si="182"/>
        <v>0</v>
      </c>
      <c r="BP654" s="136">
        <f t="shared" si="182"/>
        <v>0</v>
      </c>
      <c r="BQ654" s="136">
        <f t="shared" si="182"/>
        <v>0</v>
      </c>
      <c r="BR654" s="136">
        <f t="shared" si="182"/>
        <v>0</v>
      </c>
      <c r="BS654" s="136">
        <f t="shared" ref="BO654:BX657" si="183">BS235-EK235</f>
        <v>0</v>
      </c>
      <c r="BT654" s="136">
        <f t="shared" si="183"/>
        <v>0</v>
      </c>
      <c r="BU654" s="136">
        <f t="shared" si="183"/>
        <v>0</v>
      </c>
      <c r="BV654" s="136">
        <f t="shared" si="183"/>
        <v>0</v>
      </c>
      <c r="BW654" s="136">
        <f t="shared" si="183"/>
        <v>0</v>
      </c>
      <c r="BX654" s="136">
        <f t="shared" si="183"/>
        <v>0</v>
      </c>
      <c r="BZ654" s="136">
        <f t="shared" ref="BZ654:CA657" si="184">BZ235-ER235</f>
        <v>0</v>
      </c>
      <c r="CA654" s="136">
        <f t="shared" si="184"/>
        <v>0</v>
      </c>
    </row>
    <row r="655" spans="7:79" hidden="1" x14ac:dyDescent="0.3">
      <c r="G655" s="136">
        <f t="shared" si="182"/>
        <v>0</v>
      </c>
      <c r="H655" s="136">
        <f t="shared" si="182"/>
        <v>0</v>
      </c>
      <c r="I655" s="136">
        <f t="shared" si="182"/>
        <v>0</v>
      </c>
      <c r="J655" s="136">
        <f t="shared" si="182"/>
        <v>0</v>
      </c>
      <c r="K655" s="136">
        <f t="shared" si="182"/>
        <v>0</v>
      </c>
      <c r="L655" s="136">
        <f t="shared" si="182"/>
        <v>0</v>
      </c>
      <c r="M655" s="136">
        <f t="shared" si="182"/>
        <v>0</v>
      </c>
      <c r="N655" s="136">
        <f t="shared" si="182"/>
        <v>0</v>
      </c>
      <c r="O655" s="136">
        <f t="shared" si="182"/>
        <v>0</v>
      </c>
      <c r="P655" s="136">
        <f t="shared" si="182"/>
        <v>0</v>
      </c>
      <c r="Q655" s="136">
        <f t="shared" si="182"/>
        <v>0</v>
      </c>
      <c r="R655" s="136">
        <f t="shared" si="182"/>
        <v>0</v>
      </c>
      <c r="S655" s="136">
        <f t="shared" si="182"/>
        <v>0</v>
      </c>
      <c r="T655" s="136">
        <f t="shared" si="182"/>
        <v>0</v>
      </c>
      <c r="U655" s="136">
        <f t="shared" si="182"/>
        <v>0</v>
      </c>
      <c r="V655" s="136">
        <f t="shared" si="182"/>
        <v>0</v>
      </c>
      <c r="W655" s="136">
        <f t="shared" si="182"/>
        <v>0</v>
      </c>
      <c r="X655" s="136">
        <f t="shared" si="182"/>
        <v>0</v>
      </c>
      <c r="Y655" s="136">
        <f t="shared" si="182"/>
        <v>0</v>
      </c>
      <c r="Z655" s="136">
        <f t="shared" si="182"/>
        <v>0</v>
      </c>
      <c r="AA655" s="136">
        <f t="shared" si="182"/>
        <v>0</v>
      </c>
      <c r="AB655" s="136">
        <f t="shared" si="182"/>
        <v>0</v>
      </c>
      <c r="AC655" s="136">
        <f t="shared" si="182"/>
        <v>0</v>
      </c>
      <c r="AD655" s="136">
        <f t="shared" si="182"/>
        <v>0</v>
      </c>
      <c r="AE655" s="136">
        <f t="shared" si="182"/>
        <v>0</v>
      </c>
      <c r="AF655" s="136">
        <f t="shared" si="182"/>
        <v>0</v>
      </c>
      <c r="AG655" s="136">
        <f t="shared" si="182"/>
        <v>0</v>
      </c>
      <c r="AH655" s="136">
        <f t="shared" si="182"/>
        <v>0</v>
      </c>
      <c r="AI655" s="136">
        <f t="shared" si="182"/>
        <v>0</v>
      </c>
      <c r="AJ655" s="136">
        <f t="shared" si="182"/>
        <v>0</v>
      </c>
      <c r="AK655" s="136">
        <f t="shared" si="182"/>
        <v>0</v>
      </c>
      <c r="AL655" s="136">
        <f t="shared" si="182"/>
        <v>0</v>
      </c>
      <c r="AM655" s="136">
        <f t="shared" si="182"/>
        <v>0</v>
      </c>
      <c r="AN655" s="136">
        <f t="shared" si="182"/>
        <v>0</v>
      </c>
      <c r="AO655" s="136">
        <f t="shared" si="182"/>
        <v>0</v>
      </c>
      <c r="AP655" s="136">
        <f t="shared" si="182"/>
        <v>0</v>
      </c>
      <c r="AQ655" s="136">
        <f t="shared" si="182"/>
        <v>0</v>
      </c>
      <c r="AR655" s="136">
        <f t="shared" si="182"/>
        <v>0</v>
      </c>
      <c r="AS655" s="136">
        <f t="shared" si="182"/>
        <v>0</v>
      </c>
      <c r="AT655" s="136">
        <f t="shared" si="182"/>
        <v>0</v>
      </c>
      <c r="AU655" s="136">
        <f t="shared" si="182"/>
        <v>0</v>
      </c>
      <c r="AV655" s="136">
        <f t="shared" si="182"/>
        <v>0</v>
      </c>
      <c r="AW655" s="136">
        <f t="shared" si="182"/>
        <v>0</v>
      </c>
      <c r="AX655" s="136">
        <f t="shared" si="182"/>
        <v>0</v>
      </c>
      <c r="AY655" s="136">
        <f t="shared" si="182"/>
        <v>0</v>
      </c>
      <c r="AZ655" s="136">
        <f t="shared" si="182"/>
        <v>0</v>
      </c>
      <c r="BA655" s="136">
        <f t="shared" si="182"/>
        <v>0</v>
      </c>
      <c r="BB655" s="136">
        <f t="shared" si="182"/>
        <v>0</v>
      </c>
      <c r="BC655" s="136">
        <f t="shared" si="182"/>
        <v>0</v>
      </c>
      <c r="BD655" s="136">
        <f t="shared" si="182"/>
        <v>0</v>
      </c>
      <c r="BE655" s="136">
        <f t="shared" si="182"/>
        <v>0</v>
      </c>
      <c r="BF655" s="136">
        <f t="shared" si="182"/>
        <v>0</v>
      </c>
      <c r="BG655" s="136">
        <f t="shared" si="182"/>
        <v>0</v>
      </c>
      <c r="BH655" s="136">
        <f t="shared" si="182"/>
        <v>0</v>
      </c>
      <c r="BI655" s="136">
        <f t="shared" si="182"/>
        <v>0</v>
      </c>
      <c r="BJ655" s="136">
        <f t="shared" si="182"/>
        <v>0</v>
      </c>
      <c r="BK655" s="136">
        <f t="shared" si="182"/>
        <v>0</v>
      </c>
      <c r="BL655" s="136">
        <f t="shared" si="182"/>
        <v>0</v>
      </c>
      <c r="BM655" s="136">
        <f t="shared" si="182"/>
        <v>0</v>
      </c>
      <c r="BN655" s="136">
        <f t="shared" si="182"/>
        <v>0</v>
      </c>
      <c r="BO655" s="136">
        <f t="shared" si="183"/>
        <v>0</v>
      </c>
      <c r="BP655" s="136">
        <f t="shared" si="183"/>
        <v>0</v>
      </c>
      <c r="BQ655" s="136">
        <f t="shared" si="183"/>
        <v>0</v>
      </c>
      <c r="BR655" s="136">
        <f t="shared" si="183"/>
        <v>0</v>
      </c>
      <c r="BS655" s="136">
        <f t="shared" si="183"/>
        <v>0</v>
      </c>
      <c r="BT655" s="136">
        <f t="shared" si="183"/>
        <v>0</v>
      </c>
      <c r="BU655" s="136">
        <f t="shared" si="183"/>
        <v>0</v>
      </c>
      <c r="BV655" s="136">
        <f t="shared" si="183"/>
        <v>0</v>
      </c>
      <c r="BW655" s="136">
        <f t="shared" si="183"/>
        <v>0</v>
      </c>
      <c r="BX655" s="136">
        <f t="shared" si="183"/>
        <v>0</v>
      </c>
      <c r="BZ655" s="136">
        <f t="shared" si="184"/>
        <v>0</v>
      </c>
      <c r="CA655" s="136">
        <f t="shared" si="184"/>
        <v>0</v>
      </c>
    </row>
    <row r="656" spans="7:79" hidden="1" x14ac:dyDescent="0.3">
      <c r="G656" s="136">
        <f t="shared" si="182"/>
        <v>0</v>
      </c>
      <c r="H656" s="136">
        <f t="shared" si="182"/>
        <v>0</v>
      </c>
      <c r="I656" s="136">
        <f t="shared" si="182"/>
        <v>0</v>
      </c>
      <c r="J656" s="136">
        <f t="shared" si="182"/>
        <v>0</v>
      </c>
      <c r="K656" s="136">
        <f t="shared" si="182"/>
        <v>0</v>
      </c>
      <c r="L656" s="136">
        <f t="shared" si="182"/>
        <v>0</v>
      </c>
      <c r="M656" s="136">
        <f t="shared" si="182"/>
        <v>0</v>
      </c>
      <c r="N656" s="136">
        <f t="shared" si="182"/>
        <v>0</v>
      </c>
      <c r="O656" s="136">
        <f t="shared" si="182"/>
        <v>0</v>
      </c>
      <c r="P656" s="136">
        <f t="shared" si="182"/>
        <v>0</v>
      </c>
      <c r="Q656" s="136">
        <f t="shared" si="182"/>
        <v>0</v>
      </c>
      <c r="R656" s="136">
        <f t="shared" si="182"/>
        <v>0</v>
      </c>
      <c r="S656" s="136">
        <f t="shared" si="182"/>
        <v>0</v>
      </c>
      <c r="T656" s="136">
        <f t="shared" si="182"/>
        <v>0</v>
      </c>
      <c r="U656" s="136">
        <f t="shared" si="182"/>
        <v>0</v>
      </c>
      <c r="V656" s="136">
        <f t="shared" si="182"/>
        <v>0</v>
      </c>
      <c r="W656" s="136">
        <f t="shared" si="182"/>
        <v>0</v>
      </c>
      <c r="X656" s="136">
        <f t="shared" si="182"/>
        <v>0</v>
      </c>
      <c r="Y656" s="136">
        <f t="shared" si="182"/>
        <v>0</v>
      </c>
      <c r="Z656" s="136">
        <f t="shared" si="182"/>
        <v>0</v>
      </c>
      <c r="AA656" s="136">
        <f t="shared" si="182"/>
        <v>0</v>
      </c>
      <c r="AB656" s="136">
        <f t="shared" si="182"/>
        <v>0</v>
      </c>
      <c r="AC656" s="136">
        <f t="shared" si="182"/>
        <v>0</v>
      </c>
      <c r="AD656" s="136">
        <f t="shared" si="182"/>
        <v>0</v>
      </c>
      <c r="AE656" s="136">
        <f t="shared" si="182"/>
        <v>0</v>
      </c>
      <c r="AF656" s="136">
        <f t="shared" si="182"/>
        <v>0</v>
      </c>
      <c r="AG656" s="136">
        <f t="shared" si="182"/>
        <v>0</v>
      </c>
      <c r="AH656" s="136">
        <f t="shared" si="182"/>
        <v>0</v>
      </c>
      <c r="AI656" s="136">
        <f t="shared" si="182"/>
        <v>0</v>
      </c>
      <c r="AJ656" s="136">
        <f t="shared" si="182"/>
        <v>0</v>
      </c>
      <c r="AK656" s="136">
        <f t="shared" si="182"/>
        <v>0</v>
      </c>
      <c r="AL656" s="136">
        <f t="shared" si="182"/>
        <v>0</v>
      </c>
      <c r="AM656" s="136">
        <f t="shared" si="182"/>
        <v>0</v>
      </c>
      <c r="AN656" s="136">
        <f t="shared" si="182"/>
        <v>0</v>
      </c>
      <c r="AO656" s="136">
        <f t="shared" si="182"/>
        <v>0</v>
      </c>
      <c r="AP656" s="136">
        <f t="shared" si="182"/>
        <v>0</v>
      </c>
      <c r="AQ656" s="136">
        <f t="shared" si="182"/>
        <v>0</v>
      </c>
      <c r="AR656" s="136">
        <f t="shared" si="182"/>
        <v>0</v>
      </c>
      <c r="AS656" s="136">
        <f t="shared" si="182"/>
        <v>0</v>
      </c>
      <c r="AT656" s="136">
        <f t="shared" si="182"/>
        <v>0</v>
      </c>
      <c r="AU656" s="136">
        <f t="shared" si="182"/>
        <v>0</v>
      </c>
      <c r="AV656" s="136">
        <f t="shared" si="182"/>
        <v>0</v>
      </c>
      <c r="AW656" s="136">
        <f t="shared" si="182"/>
        <v>0</v>
      </c>
      <c r="AX656" s="136">
        <f t="shared" si="182"/>
        <v>0</v>
      </c>
      <c r="AY656" s="136">
        <f t="shared" si="182"/>
        <v>0</v>
      </c>
      <c r="AZ656" s="136">
        <f t="shared" si="182"/>
        <v>0</v>
      </c>
      <c r="BA656" s="136">
        <f t="shared" si="182"/>
        <v>0</v>
      </c>
      <c r="BB656" s="136">
        <f t="shared" si="182"/>
        <v>0</v>
      </c>
      <c r="BC656" s="136">
        <f t="shared" si="182"/>
        <v>0</v>
      </c>
      <c r="BD656" s="136">
        <f t="shared" si="182"/>
        <v>0</v>
      </c>
      <c r="BE656" s="136">
        <f t="shared" si="182"/>
        <v>0</v>
      </c>
      <c r="BF656" s="136">
        <f t="shared" si="182"/>
        <v>0</v>
      </c>
      <c r="BG656" s="136">
        <f t="shared" si="182"/>
        <v>0</v>
      </c>
      <c r="BH656" s="136">
        <f t="shared" si="182"/>
        <v>0</v>
      </c>
      <c r="BI656" s="136">
        <f t="shared" si="182"/>
        <v>0</v>
      </c>
      <c r="BJ656" s="136">
        <f t="shared" si="182"/>
        <v>0</v>
      </c>
      <c r="BK656" s="136">
        <f t="shared" si="182"/>
        <v>0</v>
      </c>
      <c r="BL656" s="136">
        <f t="shared" si="182"/>
        <v>0</v>
      </c>
      <c r="BM656" s="136">
        <f t="shared" si="182"/>
        <v>0</v>
      </c>
      <c r="BN656" s="136">
        <f t="shared" si="182"/>
        <v>0</v>
      </c>
      <c r="BO656" s="136">
        <f t="shared" si="183"/>
        <v>0</v>
      </c>
      <c r="BP656" s="136">
        <f t="shared" si="183"/>
        <v>0</v>
      </c>
      <c r="BQ656" s="136">
        <f t="shared" si="183"/>
        <v>0</v>
      </c>
      <c r="BR656" s="136">
        <f t="shared" si="183"/>
        <v>0</v>
      </c>
      <c r="BS656" s="136">
        <f t="shared" si="183"/>
        <v>0</v>
      </c>
      <c r="BT656" s="136">
        <f t="shared" si="183"/>
        <v>0</v>
      </c>
      <c r="BU656" s="136">
        <f t="shared" si="183"/>
        <v>0</v>
      </c>
      <c r="BV656" s="136">
        <f t="shared" si="183"/>
        <v>0</v>
      </c>
      <c r="BW656" s="136">
        <f t="shared" si="183"/>
        <v>0</v>
      </c>
      <c r="BX656" s="136">
        <f t="shared" si="183"/>
        <v>0</v>
      </c>
      <c r="BZ656" s="136">
        <f t="shared" si="184"/>
        <v>0</v>
      </c>
      <c r="CA656" s="136">
        <f t="shared" si="184"/>
        <v>0</v>
      </c>
    </row>
    <row r="657" spans="7:79" hidden="1" x14ac:dyDescent="0.3">
      <c r="G657" s="136">
        <f t="shared" si="182"/>
        <v>0</v>
      </c>
      <c r="H657" s="136">
        <f t="shared" si="182"/>
        <v>0</v>
      </c>
      <c r="I657" s="136">
        <f t="shared" si="182"/>
        <v>0</v>
      </c>
      <c r="J657" s="136">
        <f t="shared" si="182"/>
        <v>0</v>
      </c>
      <c r="K657" s="136">
        <f t="shared" si="182"/>
        <v>0</v>
      </c>
      <c r="L657" s="136">
        <f t="shared" si="182"/>
        <v>0</v>
      </c>
      <c r="M657" s="136">
        <f t="shared" si="182"/>
        <v>0</v>
      </c>
      <c r="N657" s="136">
        <f t="shared" si="182"/>
        <v>0</v>
      </c>
      <c r="O657" s="136">
        <f t="shared" si="182"/>
        <v>0</v>
      </c>
      <c r="P657" s="136">
        <f t="shared" si="182"/>
        <v>0</v>
      </c>
      <c r="Q657" s="136">
        <f t="shared" si="182"/>
        <v>0</v>
      </c>
      <c r="R657" s="136">
        <f t="shared" si="182"/>
        <v>0</v>
      </c>
      <c r="S657" s="136">
        <f t="shared" si="182"/>
        <v>0</v>
      </c>
      <c r="T657" s="136">
        <f t="shared" si="182"/>
        <v>0</v>
      </c>
      <c r="U657" s="136">
        <f t="shared" si="182"/>
        <v>0</v>
      </c>
      <c r="V657" s="136">
        <f t="shared" si="182"/>
        <v>0</v>
      </c>
      <c r="W657" s="136">
        <f t="shared" si="182"/>
        <v>0</v>
      </c>
      <c r="X657" s="136">
        <f t="shared" si="182"/>
        <v>0</v>
      </c>
      <c r="Y657" s="136">
        <f t="shared" si="182"/>
        <v>0</v>
      </c>
      <c r="Z657" s="136">
        <f t="shared" si="182"/>
        <v>0</v>
      </c>
      <c r="AA657" s="136">
        <f t="shared" si="182"/>
        <v>0</v>
      </c>
      <c r="AB657" s="136">
        <f t="shared" si="182"/>
        <v>0</v>
      </c>
      <c r="AC657" s="136">
        <f t="shared" si="182"/>
        <v>0</v>
      </c>
      <c r="AD657" s="136">
        <f t="shared" si="182"/>
        <v>0</v>
      </c>
      <c r="AE657" s="136">
        <f t="shared" si="182"/>
        <v>0</v>
      </c>
      <c r="AF657" s="136">
        <f t="shared" si="182"/>
        <v>0</v>
      </c>
      <c r="AG657" s="136">
        <f t="shared" si="182"/>
        <v>0</v>
      </c>
      <c r="AH657" s="136">
        <f t="shared" si="182"/>
        <v>0</v>
      </c>
      <c r="AI657" s="136">
        <f t="shared" si="182"/>
        <v>0</v>
      </c>
      <c r="AJ657" s="136">
        <f t="shared" si="182"/>
        <v>0</v>
      </c>
      <c r="AK657" s="136">
        <f t="shared" si="182"/>
        <v>0</v>
      </c>
      <c r="AL657" s="136">
        <f t="shared" si="182"/>
        <v>0</v>
      </c>
      <c r="AM657" s="136">
        <f t="shared" si="182"/>
        <v>0</v>
      </c>
      <c r="AN657" s="136">
        <f t="shared" si="182"/>
        <v>0</v>
      </c>
      <c r="AO657" s="136">
        <f t="shared" si="182"/>
        <v>0</v>
      </c>
      <c r="AP657" s="136">
        <f t="shared" si="182"/>
        <v>0</v>
      </c>
      <c r="AQ657" s="136">
        <f t="shared" si="182"/>
        <v>0</v>
      </c>
      <c r="AR657" s="136">
        <f t="shared" si="182"/>
        <v>0</v>
      </c>
      <c r="AS657" s="136">
        <f t="shared" si="182"/>
        <v>0</v>
      </c>
      <c r="AT657" s="136">
        <f t="shared" si="182"/>
        <v>0</v>
      </c>
      <c r="AU657" s="136">
        <f t="shared" si="182"/>
        <v>0</v>
      </c>
      <c r="AV657" s="136">
        <f t="shared" si="182"/>
        <v>0</v>
      </c>
      <c r="AW657" s="136">
        <f t="shared" si="182"/>
        <v>0</v>
      </c>
      <c r="AX657" s="136">
        <f t="shared" si="182"/>
        <v>0</v>
      </c>
      <c r="AY657" s="136">
        <f t="shared" si="182"/>
        <v>0</v>
      </c>
      <c r="AZ657" s="136">
        <f t="shared" si="182"/>
        <v>0</v>
      </c>
      <c r="BA657" s="136">
        <f t="shared" si="182"/>
        <v>0</v>
      </c>
      <c r="BB657" s="136">
        <f t="shared" si="182"/>
        <v>0</v>
      </c>
      <c r="BC657" s="136">
        <f t="shared" si="182"/>
        <v>0</v>
      </c>
      <c r="BD657" s="136">
        <f t="shared" si="182"/>
        <v>0</v>
      </c>
      <c r="BE657" s="136">
        <f t="shared" si="182"/>
        <v>0</v>
      </c>
      <c r="BF657" s="136">
        <f t="shared" si="182"/>
        <v>0</v>
      </c>
      <c r="BG657" s="136">
        <f t="shared" si="182"/>
        <v>0</v>
      </c>
      <c r="BH657" s="136">
        <f t="shared" si="182"/>
        <v>0</v>
      </c>
      <c r="BI657" s="136">
        <f t="shared" si="182"/>
        <v>0</v>
      </c>
      <c r="BJ657" s="136">
        <f t="shared" si="182"/>
        <v>0</v>
      </c>
      <c r="BK657" s="136">
        <f t="shared" si="182"/>
        <v>0</v>
      </c>
      <c r="BL657" s="136">
        <f t="shared" si="182"/>
        <v>0</v>
      </c>
      <c r="BM657" s="136">
        <f t="shared" si="182"/>
        <v>0</v>
      </c>
      <c r="BN657" s="136">
        <f t="shared" si="182"/>
        <v>0</v>
      </c>
      <c r="BO657" s="136">
        <f t="shared" si="183"/>
        <v>0</v>
      </c>
      <c r="BP657" s="136">
        <f t="shared" si="183"/>
        <v>0</v>
      </c>
      <c r="BQ657" s="136">
        <f t="shared" si="183"/>
        <v>0</v>
      </c>
      <c r="BR657" s="136">
        <f t="shared" si="183"/>
        <v>0</v>
      </c>
      <c r="BS657" s="136">
        <f t="shared" si="183"/>
        <v>0</v>
      </c>
      <c r="BT657" s="136">
        <f t="shared" si="183"/>
        <v>0</v>
      </c>
      <c r="BU657" s="136">
        <f t="shared" si="183"/>
        <v>0</v>
      </c>
      <c r="BV657" s="136">
        <f t="shared" si="183"/>
        <v>0</v>
      </c>
      <c r="BW657" s="136">
        <f t="shared" si="183"/>
        <v>0</v>
      </c>
      <c r="BX657" s="136">
        <f t="shared" si="183"/>
        <v>0</v>
      </c>
      <c r="BZ657" s="136">
        <f t="shared" si="184"/>
        <v>0</v>
      </c>
      <c r="CA657" s="136">
        <f t="shared" si="184"/>
        <v>0</v>
      </c>
    </row>
    <row r="658" spans="7:79" hidden="1" x14ac:dyDescent="0.3">
      <c r="G658" s="136">
        <f t="shared" ref="G658:BR658" si="185">G240-BY240</f>
        <v>0</v>
      </c>
      <c r="H658" s="136">
        <f t="shared" si="185"/>
        <v>0</v>
      </c>
      <c r="I658" s="136">
        <f t="shared" si="185"/>
        <v>0</v>
      </c>
      <c r="J658" s="136">
        <f t="shared" si="185"/>
        <v>0</v>
      </c>
      <c r="K658" s="136">
        <f t="shared" si="185"/>
        <v>0</v>
      </c>
      <c r="L658" s="136">
        <f t="shared" si="185"/>
        <v>0</v>
      </c>
      <c r="M658" s="136">
        <f t="shared" si="185"/>
        <v>0</v>
      </c>
      <c r="N658" s="136">
        <f t="shared" si="185"/>
        <v>0</v>
      </c>
      <c r="O658" s="136">
        <f t="shared" si="185"/>
        <v>0</v>
      </c>
      <c r="P658" s="136">
        <f t="shared" si="185"/>
        <v>0</v>
      </c>
      <c r="Q658" s="136">
        <f t="shared" si="185"/>
        <v>0</v>
      </c>
      <c r="R658" s="136">
        <f t="shared" si="185"/>
        <v>0</v>
      </c>
      <c r="S658" s="136">
        <f t="shared" si="185"/>
        <v>0</v>
      </c>
      <c r="T658" s="136">
        <f t="shared" si="185"/>
        <v>0</v>
      </c>
      <c r="U658" s="136">
        <f t="shared" si="185"/>
        <v>0</v>
      </c>
      <c r="V658" s="136">
        <f t="shared" si="185"/>
        <v>0</v>
      </c>
      <c r="W658" s="136">
        <f t="shared" si="185"/>
        <v>0</v>
      </c>
      <c r="X658" s="136">
        <f t="shared" si="185"/>
        <v>0</v>
      </c>
      <c r="Y658" s="136">
        <f t="shared" si="185"/>
        <v>0</v>
      </c>
      <c r="Z658" s="136">
        <f t="shared" si="185"/>
        <v>0</v>
      </c>
      <c r="AA658" s="136">
        <f t="shared" si="185"/>
        <v>0</v>
      </c>
      <c r="AB658" s="136">
        <f t="shared" si="185"/>
        <v>0</v>
      </c>
      <c r="AC658" s="136">
        <f t="shared" si="185"/>
        <v>0</v>
      </c>
      <c r="AD658" s="136">
        <f t="shared" si="185"/>
        <v>0</v>
      </c>
      <c r="AE658" s="136">
        <f t="shared" si="185"/>
        <v>0</v>
      </c>
      <c r="AF658" s="136">
        <f t="shared" si="185"/>
        <v>0</v>
      </c>
      <c r="AG658" s="136">
        <f t="shared" si="185"/>
        <v>0</v>
      </c>
      <c r="AH658" s="136">
        <f t="shared" si="185"/>
        <v>0</v>
      </c>
      <c r="AI658" s="136">
        <f t="shared" si="185"/>
        <v>0</v>
      </c>
      <c r="AJ658" s="136">
        <f t="shared" si="185"/>
        <v>0</v>
      </c>
      <c r="AK658" s="136">
        <f t="shared" si="185"/>
        <v>0</v>
      </c>
      <c r="AL658" s="136">
        <f t="shared" si="185"/>
        <v>0</v>
      </c>
      <c r="AM658" s="136">
        <f t="shared" si="185"/>
        <v>0</v>
      </c>
      <c r="AN658" s="136">
        <f t="shared" si="185"/>
        <v>0</v>
      </c>
      <c r="AO658" s="136">
        <f t="shared" si="185"/>
        <v>0</v>
      </c>
      <c r="AP658" s="136">
        <f t="shared" si="185"/>
        <v>0</v>
      </c>
      <c r="AQ658" s="136">
        <f t="shared" si="185"/>
        <v>0</v>
      </c>
      <c r="AR658" s="136">
        <f t="shared" si="185"/>
        <v>0</v>
      </c>
      <c r="AS658" s="136">
        <f t="shared" si="185"/>
        <v>0</v>
      </c>
      <c r="AT658" s="136">
        <f t="shared" si="185"/>
        <v>0</v>
      </c>
      <c r="AU658" s="136">
        <f t="shared" si="185"/>
        <v>0</v>
      </c>
      <c r="AV658" s="136">
        <f t="shared" si="185"/>
        <v>0</v>
      </c>
      <c r="AW658" s="136">
        <f t="shared" si="185"/>
        <v>0</v>
      </c>
      <c r="AX658" s="136">
        <f t="shared" si="185"/>
        <v>0</v>
      </c>
      <c r="AY658" s="136">
        <f t="shared" si="185"/>
        <v>0</v>
      </c>
      <c r="AZ658" s="136">
        <f t="shared" si="185"/>
        <v>0</v>
      </c>
      <c r="BA658" s="136">
        <f t="shared" si="185"/>
        <v>0</v>
      </c>
      <c r="BB658" s="136">
        <f t="shared" si="185"/>
        <v>0</v>
      </c>
      <c r="BC658" s="136">
        <f t="shared" si="185"/>
        <v>0</v>
      </c>
      <c r="BD658" s="136">
        <f t="shared" si="185"/>
        <v>0</v>
      </c>
      <c r="BE658" s="136">
        <f t="shared" si="185"/>
        <v>0</v>
      </c>
      <c r="BF658" s="136">
        <f t="shared" si="185"/>
        <v>0</v>
      </c>
      <c r="BG658" s="136">
        <f t="shared" si="185"/>
        <v>0</v>
      </c>
      <c r="BH658" s="136">
        <f t="shared" si="185"/>
        <v>0</v>
      </c>
      <c r="BI658" s="136">
        <f t="shared" si="185"/>
        <v>0</v>
      </c>
      <c r="BJ658" s="136">
        <f t="shared" si="185"/>
        <v>0</v>
      </c>
      <c r="BK658" s="136">
        <f t="shared" si="185"/>
        <v>0</v>
      </c>
      <c r="BL658" s="136">
        <f t="shared" si="185"/>
        <v>0</v>
      </c>
      <c r="BM658" s="136">
        <f t="shared" si="185"/>
        <v>0</v>
      </c>
      <c r="BN658" s="136">
        <f t="shared" si="185"/>
        <v>0</v>
      </c>
      <c r="BO658" s="136">
        <f t="shared" si="185"/>
        <v>0</v>
      </c>
      <c r="BP658" s="136">
        <f t="shared" si="185"/>
        <v>0</v>
      </c>
      <c r="BQ658" s="136">
        <f t="shared" si="185"/>
        <v>0</v>
      </c>
      <c r="BR658" s="136">
        <f t="shared" si="185"/>
        <v>0</v>
      </c>
      <c r="BS658" s="136">
        <f t="shared" ref="BS658:BX658" si="186">BS240-EK240</f>
        <v>0</v>
      </c>
      <c r="BT658" s="136">
        <f t="shared" si="186"/>
        <v>0</v>
      </c>
      <c r="BU658" s="136">
        <f t="shared" si="186"/>
        <v>0</v>
      </c>
      <c r="BV658" s="136">
        <f t="shared" si="186"/>
        <v>0</v>
      </c>
      <c r="BW658" s="136">
        <f t="shared" si="186"/>
        <v>0</v>
      </c>
      <c r="BX658" s="136">
        <f t="shared" si="186"/>
        <v>0</v>
      </c>
      <c r="BZ658" s="136">
        <f>BZ240-ER240</f>
        <v>0</v>
      </c>
      <c r="CA658" s="136">
        <f>CA240-ES240</f>
        <v>0</v>
      </c>
    </row>
    <row r="659" spans="7:79" hidden="1" x14ac:dyDescent="0.3">
      <c r="G659" s="136">
        <f t="shared" ref="G659:BR662" si="187">G247-BY247</f>
        <v>0</v>
      </c>
      <c r="H659" s="136">
        <f t="shared" si="187"/>
        <v>0</v>
      </c>
      <c r="I659" s="136">
        <f t="shared" si="187"/>
        <v>0</v>
      </c>
      <c r="J659" s="136">
        <f t="shared" si="187"/>
        <v>0</v>
      </c>
      <c r="K659" s="136">
        <f t="shared" si="187"/>
        <v>0</v>
      </c>
      <c r="L659" s="136">
        <f t="shared" si="187"/>
        <v>0</v>
      </c>
      <c r="M659" s="136">
        <f t="shared" si="187"/>
        <v>0</v>
      </c>
      <c r="N659" s="136">
        <f t="shared" si="187"/>
        <v>0</v>
      </c>
      <c r="O659" s="136">
        <f t="shared" si="187"/>
        <v>0</v>
      </c>
      <c r="P659" s="136">
        <f t="shared" si="187"/>
        <v>0</v>
      </c>
      <c r="Q659" s="136">
        <f t="shared" si="187"/>
        <v>0</v>
      </c>
      <c r="R659" s="136">
        <f t="shared" si="187"/>
        <v>0</v>
      </c>
      <c r="S659" s="136">
        <f t="shared" si="187"/>
        <v>0</v>
      </c>
      <c r="T659" s="136">
        <f t="shared" si="187"/>
        <v>0</v>
      </c>
      <c r="U659" s="136">
        <f t="shared" si="187"/>
        <v>0</v>
      </c>
      <c r="V659" s="136">
        <f t="shared" si="187"/>
        <v>0</v>
      </c>
      <c r="W659" s="136">
        <f t="shared" si="187"/>
        <v>0</v>
      </c>
      <c r="X659" s="136">
        <f t="shared" si="187"/>
        <v>0</v>
      </c>
      <c r="Y659" s="136">
        <f t="shared" si="187"/>
        <v>0</v>
      </c>
      <c r="Z659" s="136">
        <f t="shared" si="187"/>
        <v>0</v>
      </c>
      <c r="AA659" s="136">
        <f t="shared" si="187"/>
        <v>0</v>
      </c>
      <c r="AB659" s="136">
        <f t="shared" si="187"/>
        <v>0</v>
      </c>
      <c r="AC659" s="136">
        <f t="shared" si="187"/>
        <v>0</v>
      </c>
      <c r="AD659" s="136">
        <f t="shared" si="187"/>
        <v>0</v>
      </c>
      <c r="AE659" s="136">
        <f t="shared" si="187"/>
        <v>0</v>
      </c>
      <c r="AF659" s="136">
        <f t="shared" si="187"/>
        <v>0</v>
      </c>
      <c r="AG659" s="136">
        <f t="shared" si="187"/>
        <v>0</v>
      </c>
      <c r="AH659" s="136">
        <f t="shared" si="187"/>
        <v>0</v>
      </c>
      <c r="AI659" s="136">
        <f t="shared" si="187"/>
        <v>0</v>
      </c>
      <c r="AJ659" s="136">
        <f t="shared" si="187"/>
        <v>0</v>
      </c>
      <c r="AK659" s="136">
        <f t="shared" si="187"/>
        <v>0</v>
      </c>
      <c r="AL659" s="136">
        <f t="shared" si="187"/>
        <v>0</v>
      </c>
      <c r="AM659" s="136">
        <f t="shared" si="187"/>
        <v>0</v>
      </c>
      <c r="AN659" s="136">
        <f t="shared" si="187"/>
        <v>0</v>
      </c>
      <c r="AO659" s="136">
        <f t="shared" si="187"/>
        <v>0</v>
      </c>
      <c r="AP659" s="136">
        <f t="shared" si="187"/>
        <v>0</v>
      </c>
      <c r="AQ659" s="136">
        <f t="shared" si="187"/>
        <v>0</v>
      </c>
      <c r="AR659" s="136">
        <f t="shared" si="187"/>
        <v>0</v>
      </c>
      <c r="AS659" s="136">
        <f t="shared" si="187"/>
        <v>0</v>
      </c>
      <c r="AT659" s="136">
        <f t="shared" si="187"/>
        <v>0</v>
      </c>
      <c r="AU659" s="136">
        <f t="shared" si="187"/>
        <v>0</v>
      </c>
      <c r="AV659" s="136">
        <f t="shared" si="187"/>
        <v>0</v>
      </c>
      <c r="AW659" s="136">
        <f t="shared" si="187"/>
        <v>0</v>
      </c>
      <c r="AX659" s="136">
        <f t="shared" si="187"/>
        <v>0</v>
      </c>
      <c r="AY659" s="136">
        <f t="shared" si="187"/>
        <v>0</v>
      </c>
      <c r="AZ659" s="136">
        <f t="shared" si="187"/>
        <v>0</v>
      </c>
      <c r="BA659" s="136">
        <f t="shared" si="187"/>
        <v>0</v>
      </c>
      <c r="BB659" s="136">
        <f t="shared" si="187"/>
        <v>0</v>
      </c>
      <c r="BC659" s="136">
        <f t="shared" si="187"/>
        <v>0</v>
      </c>
      <c r="BD659" s="136">
        <f t="shared" si="187"/>
        <v>0</v>
      </c>
      <c r="BE659" s="136">
        <f t="shared" si="187"/>
        <v>0</v>
      </c>
      <c r="BF659" s="136">
        <f t="shared" si="187"/>
        <v>0</v>
      </c>
      <c r="BG659" s="136">
        <f t="shared" si="187"/>
        <v>0</v>
      </c>
      <c r="BH659" s="136">
        <f t="shared" si="187"/>
        <v>0</v>
      </c>
      <c r="BI659" s="136">
        <f t="shared" si="187"/>
        <v>0</v>
      </c>
      <c r="BJ659" s="136">
        <f t="shared" si="187"/>
        <v>0</v>
      </c>
      <c r="BK659" s="136">
        <f t="shared" si="187"/>
        <v>0</v>
      </c>
      <c r="BL659" s="136">
        <f t="shared" si="187"/>
        <v>0</v>
      </c>
      <c r="BM659" s="136">
        <f t="shared" si="187"/>
        <v>0</v>
      </c>
      <c r="BN659" s="136">
        <f t="shared" si="187"/>
        <v>0</v>
      </c>
      <c r="BO659" s="136">
        <f t="shared" si="187"/>
        <v>0</v>
      </c>
      <c r="BP659" s="136">
        <f t="shared" si="187"/>
        <v>0</v>
      </c>
      <c r="BQ659" s="136">
        <f t="shared" si="187"/>
        <v>0</v>
      </c>
      <c r="BR659" s="136">
        <f t="shared" si="187"/>
        <v>0</v>
      </c>
      <c r="BS659" s="136">
        <f t="shared" ref="BS659:BX668" si="188">BS247-EK247</f>
        <v>0</v>
      </c>
      <c r="BT659" s="136">
        <f t="shared" si="188"/>
        <v>0</v>
      </c>
      <c r="BU659" s="136">
        <f t="shared" si="188"/>
        <v>0</v>
      </c>
      <c r="BV659" s="136">
        <f t="shared" si="188"/>
        <v>0</v>
      </c>
      <c r="BW659" s="136">
        <f t="shared" si="188"/>
        <v>0</v>
      </c>
      <c r="BX659" s="136">
        <f t="shared" si="188"/>
        <v>0</v>
      </c>
      <c r="BZ659" s="136">
        <f t="shared" ref="BZ659:CA668" si="189">BZ247-ER247</f>
        <v>0</v>
      </c>
      <c r="CA659" s="136">
        <f t="shared" si="189"/>
        <v>0</v>
      </c>
    </row>
    <row r="660" spans="7:79" hidden="1" x14ac:dyDescent="0.3">
      <c r="G660" s="136">
        <f t="shared" si="187"/>
        <v>-10134767</v>
      </c>
      <c r="H660" s="136">
        <f t="shared" si="187"/>
        <v>0</v>
      </c>
      <c r="I660" s="136">
        <f t="shared" si="187"/>
        <v>0</v>
      </c>
      <c r="J660" s="136">
        <f t="shared" si="187"/>
        <v>0</v>
      </c>
      <c r="K660" s="136">
        <f t="shared" si="187"/>
        <v>0</v>
      </c>
      <c r="L660" s="136">
        <f t="shared" si="187"/>
        <v>-2013939</v>
      </c>
      <c r="M660" s="136">
        <f t="shared" si="187"/>
        <v>0</v>
      </c>
      <c r="N660" s="136">
        <f t="shared" si="187"/>
        <v>0</v>
      </c>
      <c r="O660" s="136">
        <f t="shared" si="187"/>
        <v>0</v>
      </c>
      <c r="P660" s="136">
        <f t="shared" si="187"/>
        <v>0</v>
      </c>
      <c r="Q660" s="136">
        <f t="shared" si="187"/>
        <v>-468022</v>
      </c>
      <c r="R660" s="136">
        <f t="shared" si="187"/>
        <v>0</v>
      </c>
      <c r="S660" s="136">
        <f t="shared" si="187"/>
        <v>0</v>
      </c>
      <c r="T660" s="136">
        <f t="shared" si="187"/>
        <v>0</v>
      </c>
      <c r="U660" s="136">
        <f t="shared" si="187"/>
        <v>0</v>
      </c>
      <c r="V660" s="136">
        <f t="shared" si="187"/>
        <v>-1476097</v>
      </c>
      <c r="W660" s="136">
        <f t="shared" si="187"/>
        <v>0</v>
      </c>
      <c r="X660" s="136">
        <f t="shared" si="187"/>
        <v>0</v>
      </c>
      <c r="Y660" s="136">
        <f t="shared" si="187"/>
        <v>0</v>
      </c>
      <c r="Z660" s="136">
        <f t="shared" si="187"/>
        <v>0</v>
      </c>
      <c r="AA660" s="136">
        <f t="shared" si="187"/>
        <v>-866869</v>
      </c>
      <c r="AB660" s="136">
        <f t="shared" si="187"/>
        <v>0</v>
      </c>
      <c r="AC660" s="136">
        <f t="shared" si="187"/>
        <v>0</v>
      </c>
      <c r="AD660" s="136">
        <f t="shared" si="187"/>
        <v>0</v>
      </c>
      <c r="AE660" s="136">
        <f t="shared" si="187"/>
        <v>0</v>
      </c>
      <c r="AF660" s="136">
        <f t="shared" si="187"/>
        <v>-839811</v>
      </c>
      <c r="AG660" s="136">
        <f t="shared" si="187"/>
        <v>0</v>
      </c>
      <c r="AH660" s="136">
        <f t="shared" si="187"/>
        <v>0</v>
      </c>
      <c r="AI660" s="136">
        <f t="shared" si="187"/>
        <v>0</v>
      </c>
      <c r="AJ660" s="136">
        <f t="shared" si="187"/>
        <v>0</v>
      </c>
      <c r="AK660" s="136">
        <f t="shared" si="187"/>
        <v>-1526908</v>
      </c>
      <c r="AL660" s="136">
        <f t="shared" si="187"/>
        <v>0</v>
      </c>
      <c r="AM660" s="136">
        <f t="shared" si="187"/>
        <v>0</v>
      </c>
      <c r="AN660" s="136">
        <f t="shared" si="187"/>
        <v>0</v>
      </c>
      <c r="AO660" s="136">
        <f t="shared" si="187"/>
        <v>0</v>
      </c>
      <c r="AP660" s="136">
        <f t="shared" si="187"/>
        <v>-181902</v>
      </c>
      <c r="AQ660" s="136">
        <f t="shared" si="187"/>
        <v>0</v>
      </c>
      <c r="AR660" s="136">
        <f t="shared" si="187"/>
        <v>0</v>
      </c>
      <c r="AS660" s="136">
        <f t="shared" si="187"/>
        <v>0</v>
      </c>
      <c r="AT660" s="136">
        <f t="shared" si="187"/>
        <v>0</v>
      </c>
      <c r="AU660" s="136">
        <f t="shared" si="187"/>
        <v>-229813</v>
      </c>
      <c r="AV660" s="136">
        <f t="shared" si="187"/>
        <v>0</v>
      </c>
      <c r="AW660" s="136">
        <f t="shared" si="187"/>
        <v>0</v>
      </c>
      <c r="AX660" s="136">
        <f t="shared" si="187"/>
        <v>0</v>
      </c>
      <c r="AY660" s="136">
        <f t="shared" si="187"/>
        <v>0</v>
      </c>
      <c r="AZ660" s="136">
        <f t="shared" si="187"/>
        <v>-779474</v>
      </c>
      <c r="BA660" s="136">
        <f t="shared" si="187"/>
        <v>0</v>
      </c>
      <c r="BB660" s="136">
        <f t="shared" si="187"/>
        <v>0</v>
      </c>
      <c r="BC660" s="136">
        <f t="shared" si="187"/>
        <v>0</v>
      </c>
      <c r="BD660" s="136">
        <f t="shared" si="187"/>
        <v>0</v>
      </c>
      <c r="BE660" s="136">
        <f t="shared" si="187"/>
        <v>-284285</v>
      </c>
      <c r="BF660" s="136">
        <f t="shared" si="187"/>
        <v>0</v>
      </c>
      <c r="BG660" s="136">
        <f t="shared" si="187"/>
        <v>0</v>
      </c>
      <c r="BH660" s="136">
        <f t="shared" si="187"/>
        <v>0</v>
      </c>
      <c r="BI660" s="136">
        <f t="shared" si="187"/>
        <v>0</v>
      </c>
      <c r="BJ660" s="136">
        <f t="shared" si="187"/>
        <v>-187248</v>
      </c>
      <c r="BK660" s="136">
        <f t="shared" si="187"/>
        <v>0</v>
      </c>
      <c r="BL660" s="136">
        <f t="shared" si="187"/>
        <v>0</v>
      </c>
      <c r="BM660" s="136">
        <f t="shared" si="187"/>
        <v>0</v>
      </c>
      <c r="BN660" s="136">
        <f t="shared" si="187"/>
        <v>0</v>
      </c>
      <c r="BO660" s="136">
        <f t="shared" si="187"/>
        <v>-1280399</v>
      </c>
      <c r="BP660" s="136">
        <f t="shared" si="187"/>
        <v>0</v>
      </c>
      <c r="BQ660" s="136">
        <f t="shared" si="187"/>
        <v>0</v>
      </c>
      <c r="BR660" s="136">
        <f t="shared" si="187"/>
        <v>0</v>
      </c>
      <c r="BS660" s="136">
        <f t="shared" si="188"/>
        <v>0</v>
      </c>
      <c r="BT660" s="136">
        <f t="shared" si="188"/>
        <v>-8667120</v>
      </c>
      <c r="BU660" s="136">
        <f t="shared" si="188"/>
        <v>0</v>
      </c>
      <c r="BV660" s="136">
        <f t="shared" si="188"/>
        <v>0</v>
      </c>
      <c r="BW660" s="136">
        <f t="shared" si="188"/>
        <v>0</v>
      </c>
      <c r="BX660" s="136">
        <f t="shared" si="188"/>
        <v>0</v>
      </c>
      <c r="BZ660" s="136">
        <f t="shared" si="189"/>
        <v>0</v>
      </c>
      <c r="CA660" s="136">
        <f t="shared" si="189"/>
        <v>0</v>
      </c>
    </row>
    <row r="661" spans="7:79" hidden="1" x14ac:dyDescent="0.3">
      <c r="G661" s="136">
        <f t="shared" si="187"/>
        <v>-11448027</v>
      </c>
      <c r="H661" s="136">
        <f t="shared" si="187"/>
        <v>0</v>
      </c>
      <c r="I661" s="136">
        <f t="shared" si="187"/>
        <v>0</v>
      </c>
      <c r="J661" s="136">
        <f t="shared" si="187"/>
        <v>0</v>
      </c>
      <c r="K661" s="136">
        <f t="shared" si="187"/>
        <v>0</v>
      </c>
      <c r="L661" s="136">
        <f t="shared" si="187"/>
        <v>-2304855</v>
      </c>
      <c r="M661" s="136">
        <f t="shared" si="187"/>
        <v>0</v>
      </c>
      <c r="N661" s="136">
        <f t="shared" si="187"/>
        <v>0</v>
      </c>
      <c r="O661" s="136">
        <f t="shared" si="187"/>
        <v>0</v>
      </c>
      <c r="P661" s="136">
        <f t="shared" si="187"/>
        <v>0</v>
      </c>
      <c r="Q661" s="136">
        <f t="shared" si="187"/>
        <v>-536430</v>
      </c>
      <c r="R661" s="136">
        <f t="shared" si="187"/>
        <v>0</v>
      </c>
      <c r="S661" s="136">
        <f t="shared" si="187"/>
        <v>0</v>
      </c>
      <c r="T661" s="136">
        <f t="shared" si="187"/>
        <v>0</v>
      </c>
      <c r="U661" s="136">
        <f t="shared" si="187"/>
        <v>0</v>
      </c>
      <c r="V661" s="136">
        <f t="shared" si="187"/>
        <v>-1689261</v>
      </c>
      <c r="W661" s="136">
        <f t="shared" si="187"/>
        <v>0</v>
      </c>
      <c r="X661" s="136">
        <f t="shared" si="187"/>
        <v>0</v>
      </c>
      <c r="Y661" s="136">
        <f t="shared" si="187"/>
        <v>0</v>
      </c>
      <c r="Z661" s="136">
        <f t="shared" si="187"/>
        <v>0</v>
      </c>
      <c r="AA661" s="136">
        <f t="shared" si="187"/>
        <v>-982389</v>
      </c>
      <c r="AB661" s="136">
        <f t="shared" si="187"/>
        <v>0</v>
      </c>
      <c r="AC661" s="136">
        <f t="shared" si="187"/>
        <v>0</v>
      </c>
      <c r="AD661" s="136">
        <f t="shared" si="187"/>
        <v>0</v>
      </c>
      <c r="AE661" s="136">
        <f t="shared" si="187"/>
        <v>0</v>
      </c>
      <c r="AF661" s="136">
        <f t="shared" si="187"/>
        <v>-955502</v>
      </c>
      <c r="AG661" s="136">
        <f t="shared" si="187"/>
        <v>0</v>
      </c>
      <c r="AH661" s="136">
        <f t="shared" si="187"/>
        <v>0</v>
      </c>
      <c r="AI661" s="136">
        <f t="shared" si="187"/>
        <v>0</v>
      </c>
      <c r="AJ661" s="136">
        <f t="shared" si="187"/>
        <v>0</v>
      </c>
      <c r="AK661" s="136">
        <f t="shared" si="187"/>
        <v>-1737636</v>
      </c>
      <c r="AL661" s="136">
        <f t="shared" si="187"/>
        <v>0</v>
      </c>
      <c r="AM661" s="136">
        <f t="shared" si="187"/>
        <v>0</v>
      </c>
      <c r="AN661" s="136">
        <f t="shared" si="187"/>
        <v>0</v>
      </c>
      <c r="AO661" s="136">
        <f t="shared" si="187"/>
        <v>0</v>
      </c>
      <c r="AP661" s="136">
        <f t="shared" si="187"/>
        <v>-202729</v>
      </c>
      <c r="AQ661" s="136">
        <f t="shared" si="187"/>
        <v>0</v>
      </c>
      <c r="AR661" s="136">
        <f t="shared" si="187"/>
        <v>0</v>
      </c>
      <c r="AS661" s="136">
        <f t="shared" si="187"/>
        <v>0</v>
      </c>
      <c r="AT661" s="136">
        <f t="shared" si="187"/>
        <v>0</v>
      </c>
      <c r="AU661" s="136">
        <f t="shared" si="187"/>
        <v>-251520</v>
      </c>
      <c r="AV661" s="136">
        <f t="shared" si="187"/>
        <v>0</v>
      </c>
      <c r="AW661" s="136">
        <f t="shared" si="187"/>
        <v>0</v>
      </c>
      <c r="AX661" s="136">
        <f t="shared" si="187"/>
        <v>0</v>
      </c>
      <c r="AY661" s="136">
        <f t="shared" si="187"/>
        <v>0</v>
      </c>
      <c r="AZ661" s="136">
        <f t="shared" si="187"/>
        <v>-857990</v>
      </c>
      <c r="BA661" s="136">
        <f t="shared" si="187"/>
        <v>0</v>
      </c>
      <c r="BB661" s="136">
        <f t="shared" si="187"/>
        <v>0</v>
      </c>
      <c r="BC661" s="136">
        <f t="shared" si="187"/>
        <v>0</v>
      </c>
      <c r="BD661" s="136">
        <f t="shared" si="187"/>
        <v>0</v>
      </c>
      <c r="BE661" s="136">
        <f t="shared" si="187"/>
        <v>-315142</v>
      </c>
      <c r="BF661" s="136">
        <f t="shared" si="187"/>
        <v>0</v>
      </c>
      <c r="BG661" s="136">
        <f t="shared" si="187"/>
        <v>0</v>
      </c>
      <c r="BH661" s="136">
        <f t="shared" si="187"/>
        <v>0</v>
      </c>
      <c r="BI661" s="136">
        <f t="shared" si="187"/>
        <v>0</v>
      </c>
      <c r="BJ661" s="136">
        <f t="shared" si="187"/>
        <v>-209126</v>
      </c>
      <c r="BK661" s="136">
        <f t="shared" si="187"/>
        <v>0</v>
      </c>
      <c r="BL661" s="136">
        <f t="shared" si="187"/>
        <v>0</v>
      </c>
      <c r="BM661" s="136">
        <f t="shared" si="187"/>
        <v>0</v>
      </c>
      <c r="BN661" s="136">
        <f t="shared" si="187"/>
        <v>0</v>
      </c>
      <c r="BO661" s="136">
        <f t="shared" si="187"/>
        <v>-1405447</v>
      </c>
      <c r="BP661" s="136">
        <f t="shared" si="187"/>
        <v>0</v>
      </c>
      <c r="BQ661" s="136">
        <f t="shared" si="187"/>
        <v>0</v>
      </c>
      <c r="BR661" s="136">
        <f t="shared" si="187"/>
        <v>0</v>
      </c>
      <c r="BS661" s="136">
        <f t="shared" si="188"/>
        <v>0</v>
      </c>
      <c r="BT661" s="136">
        <f t="shared" si="188"/>
        <v>-9833454</v>
      </c>
      <c r="BU661" s="136">
        <f t="shared" si="188"/>
        <v>0</v>
      </c>
      <c r="BV661" s="136">
        <f t="shared" si="188"/>
        <v>0</v>
      </c>
      <c r="BW661" s="136">
        <f t="shared" si="188"/>
        <v>0</v>
      </c>
      <c r="BX661" s="136">
        <f t="shared" si="188"/>
        <v>0</v>
      </c>
      <c r="BZ661" s="136">
        <f t="shared" si="189"/>
        <v>0</v>
      </c>
      <c r="CA661" s="136">
        <f t="shared" si="189"/>
        <v>0</v>
      </c>
    </row>
    <row r="662" spans="7:79" hidden="1" x14ac:dyDescent="0.3">
      <c r="G662" s="136">
        <f t="shared" si="187"/>
        <v>0</v>
      </c>
      <c r="H662" s="136">
        <f t="shared" si="187"/>
        <v>0</v>
      </c>
      <c r="I662" s="136">
        <f t="shared" si="187"/>
        <v>0</v>
      </c>
      <c r="J662" s="136">
        <f t="shared" si="187"/>
        <v>0</v>
      </c>
      <c r="K662" s="136">
        <f t="shared" si="187"/>
        <v>0</v>
      </c>
      <c r="L662" s="136">
        <f t="shared" si="187"/>
        <v>0</v>
      </c>
      <c r="M662" s="136">
        <f t="shared" si="187"/>
        <v>0</v>
      </c>
      <c r="N662" s="136">
        <f t="shared" si="187"/>
        <v>0</v>
      </c>
      <c r="O662" s="136">
        <f t="shared" si="187"/>
        <v>0</v>
      </c>
      <c r="P662" s="136">
        <f t="shared" si="187"/>
        <v>0</v>
      </c>
      <c r="Q662" s="136">
        <f t="shared" si="187"/>
        <v>0</v>
      </c>
      <c r="R662" s="136">
        <f t="shared" si="187"/>
        <v>0</v>
      </c>
      <c r="S662" s="136">
        <f t="shared" si="187"/>
        <v>0</v>
      </c>
      <c r="T662" s="136">
        <f t="shared" si="187"/>
        <v>0</v>
      </c>
      <c r="U662" s="136">
        <f t="shared" si="187"/>
        <v>0</v>
      </c>
      <c r="V662" s="136">
        <f t="shared" si="187"/>
        <v>0</v>
      </c>
      <c r="W662" s="136">
        <f t="shared" si="187"/>
        <v>0</v>
      </c>
      <c r="X662" s="136">
        <f t="shared" si="187"/>
        <v>0</v>
      </c>
      <c r="Y662" s="136">
        <f t="shared" si="187"/>
        <v>0</v>
      </c>
      <c r="Z662" s="136">
        <f t="shared" si="187"/>
        <v>0</v>
      </c>
      <c r="AA662" s="136">
        <f t="shared" si="187"/>
        <v>0</v>
      </c>
      <c r="AB662" s="136">
        <f t="shared" si="187"/>
        <v>0</v>
      </c>
      <c r="AC662" s="136">
        <f t="shared" si="187"/>
        <v>0</v>
      </c>
      <c r="AD662" s="136">
        <f t="shared" si="187"/>
        <v>0</v>
      </c>
      <c r="AE662" s="136">
        <f t="shared" si="187"/>
        <v>0</v>
      </c>
      <c r="AF662" s="136">
        <f t="shared" si="187"/>
        <v>0</v>
      </c>
      <c r="AG662" s="136">
        <f t="shared" si="187"/>
        <v>0</v>
      </c>
      <c r="AH662" s="136">
        <f t="shared" si="187"/>
        <v>0</v>
      </c>
      <c r="AI662" s="136">
        <f t="shared" si="187"/>
        <v>0</v>
      </c>
      <c r="AJ662" s="136">
        <f t="shared" si="187"/>
        <v>0</v>
      </c>
      <c r="AK662" s="136">
        <f t="shared" si="187"/>
        <v>0</v>
      </c>
      <c r="AL662" s="136">
        <f t="shared" si="187"/>
        <v>0</v>
      </c>
      <c r="AM662" s="136">
        <f t="shared" si="187"/>
        <v>0</v>
      </c>
      <c r="AN662" s="136">
        <f t="shared" si="187"/>
        <v>0</v>
      </c>
      <c r="AO662" s="136">
        <f t="shared" si="187"/>
        <v>0</v>
      </c>
      <c r="AP662" s="136">
        <f t="shared" si="187"/>
        <v>0</v>
      </c>
      <c r="AQ662" s="136">
        <f t="shared" si="187"/>
        <v>0</v>
      </c>
      <c r="AR662" s="136">
        <f t="shared" si="187"/>
        <v>0</v>
      </c>
      <c r="AS662" s="136">
        <f t="shared" si="187"/>
        <v>0</v>
      </c>
      <c r="AT662" s="136">
        <f t="shared" si="187"/>
        <v>0</v>
      </c>
      <c r="AU662" s="136">
        <f t="shared" si="187"/>
        <v>0</v>
      </c>
      <c r="AV662" s="136">
        <f t="shared" si="187"/>
        <v>0</v>
      </c>
      <c r="AW662" s="136">
        <f t="shared" si="187"/>
        <v>0</v>
      </c>
      <c r="AX662" s="136">
        <f t="shared" si="187"/>
        <v>0</v>
      </c>
      <c r="AY662" s="136">
        <f t="shared" si="187"/>
        <v>0</v>
      </c>
      <c r="AZ662" s="136">
        <f t="shared" si="187"/>
        <v>0</v>
      </c>
      <c r="BA662" s="136">
        <f t="shared" si="187"/>
        <v>0</v>
      </c>
      <c r="BB662" s="136">
        <f t="shared" si="187"/>
        <v>0</v>
      </c>
      <c r="BC662" s="136">
        <f t="shared" si="187"/>
        <v>0</v>
      </c>
      <c r="BD662" s="136">
        <f t="shared" si="187"/>
        <v>0</v>
      </c>
      <c r="BE662" s="136">
        <f t="shared" si="187"/>
        <v>0</v>
      </c>
      <c r="BF662" s="136">
        <f t="shared" si="187"/>
        <v>0</v>
      </c>
      <c r="BG662" s="136">
        <f t="shared" si="187"/>
        <v>0</v>
      </c>
      <c r="BH662" s="136">
        <f t="shared" si="187"/>
        <v>0</v>
      </c>
      <c r="BI662" s="136">
        <f t="shared" si="187"/>
        <v>0</v>
      </c>
      <c r="BJ662" s="136">
        <f t="shared" si="187"/>
        <v>0</v>
      </c>
      <c r="BK662" s="136">
        <f t="shared" si="187"/>
        <v>0</v>
      </c>
      <c r="BL662" s="136">
        <f t="shared" si="187"/>
        <v>0</v>
      </c>
      <c r="BM662" s="136">
        <f t="shared" si="187"/>
        <v>0</v>
      </c>
      <c r="BN662" s="136">
        <f t="shared" si="187"/>
        <v>0</v>
      </c>
      <c r="BO662" s="136">
        <f t="shared" si="187"/>
        <v>0</v>
      </c>
      <c r="BP662" s="136">
        <f t="shared" si="187"/>
        <v>0</v>
      </c>
      <c r="BQ662" s="136">
        <f t="shared" si="187"/>
        <v>0</v>
      </c>
      <c r="BR662" s="136">
        <f t="shared" ref="BR662:BR668" si="190">BR250-EJ250</f>
        <v>0</v>
      </c>
      <c r="BS662" s="136">
        <f t="shared" si="188"/>
        <v>0</v>
      </c>
      <c r="BT662" s="136">
        <f t="shared" si="188"/>
        <v>0</v>
      </c>
      <c r="BU662" s="136">
        <f t="shared" si="188"/>
        <v>0</v>
      </c>
      <c r="BV662" s="136">
        <f t="shared" si="188"/>
        <v>0</v>
      </c>
      <c r="BW662" s="136">
        <f t="shared" si="188"/>
        <v>0</v>
      </c>
      <c r="BX662" s="136">
        <f t="shared" si="188"/>
        <v>0</v>
      </c>
      <c r="BZ662" s="136">
        <f t="shared" si="189"/>
        <v>0</v>
      </c>
      <c r="CA662" s="136">
        <f t="shared" si="189"/>
        <v>0</v>
      </c>
    </row>
    <row r="663" spans="7:79" hidden="1" x14ac:dyDescent="0.3">
      <c r="G663" s="136">
        <f t="shared" ref="G663:BQ667" si="191">G251-BY251</f>
        <v>1313260</v>
      </c>
      <c r="H663" s="136">
        <f t="shared" si="191"/>
        <v>0</v>
      </c>
      <c r="I663" s="136">
        <f t="shared" si="191"/>
        <v>0</v>
      </c>
      <c r="J663" s="136">
        <f t="shared" si="191"/>
        <v>0</v>
      </c>
      <c r="K663" s="136">
        <f t="shared" si="191"/>
        <v>0</v>
      </c>
      <c r="L663" s="136">
        <f t="shared" si="191"/>
        <v>290916</v>
      </c>
      <c r="M663" s="136">
        <f t="shared" si="191"/>
        <v>0</v>
      </c>
      <c r="N663" s="136">
        <f t="shared" si="191"/>
        <v>0</v>
      </c>
      <c r="O663" s="136">
        <f t="shared" si="191"/>
        <v>0</v>
      </c>
      <c r="P663" s="136">
        <f t="shared" si="191"/>
        <v>0</v>
      </c>
      <c r="Q663" s="136">
        <f t="shared" si="191"/>
        <v>68408</v>
      </c>
      <c r="R663" s="136">
        <f t="shared" si="191"/>
        <v>0</v>
      </c>
      <c r="S663" s="136">
        <f t="shared" si="191"/>
        <v>0</v>
      </c>
      <c r="T663" s="136">
        <f t="shared" si="191"/>
        <v>0</v>
      </c>
      <c r="U663" s="136">
        <f t="shared" si="191"/>
        <v>0</v>
      </c>
      <c r="V663" s="136">
        <f t="shared" si="191"/>
        <v>213164</v>
      </c>
      <c r="W663" s="136">
        <f t="shared" si="191"/>
        <v>0</v>
      </c>
      <c r="X663" s="136">
        <f t="shared" si="191"/>
        <v>0</v>
      </c>
      <c r="Y663" s="136">
        <f t="shared" si="191"/>
        <v>0</v>
      </c>
      <c r="Z663" s="136">
        <f t="shared" si="191"/>
        <v>0</v>
      </c>
      <c r="AA663" s="136">
        <f t="shared" si="191"/>
        <v>115520</v>
      </c>
      <c r="AB663" s="136">
        <f t="shared" si="191"/>
        <v>0</v>
      </c>
      <c r="AC663" s="136">
        <f t="shared" si="191"/>
        <v>0</v>
      </c>
      <c r="AD663" s="136">
        <f t="shared" si="191"/>
        <v>0</v>
      </c>
      <c r="AE663" s="136">
        <f t="shared" si="191"/>
        <v>0</v>
      </c>
      <c r="AF663" s="136">
        <f t="shared" si="191"/>
        <v>115691</v>
      </c>
      <c r="AG663" s="136">
        <f t="shared" si="191"/>
        <v>0</v>
      </c>
      <c r="AH663" s="136">
        <f t="shared" si="191"/>
        <v>0</v>
      </c>
      <c r="AI663" s="136">
        <f t="shared" si="191"/>
        <v>0</v>
      </c>
      <c r="AJ663" s="136">
        <f t="shared" si="191"/>
        <v>0</v>
      </c>
      <c r="AK663" s="136">
        <f t="shared" si="191"/>
        <v>210728</v>
      </c>
      <c r="AL663" s="136">
        <f t="shared" si="191"/>
        <v>0</v>
      </c>
      <c r="AM663" s="136">
        <f t="shared" si="191"/>
        <v>0</v>
      </c>
      <c r="AN663" s="136">
        <f t="shared" si="191"/>
        <v>0</v>
      </c>
      <c r="AO663" s="136">
        <f t="shared" si="191"/>
        <v>0</v>
      </c>
      <c r="AP663" s="136">
        <f t="shared" si="191"/>
        <v>20827</v>
      </c>
      <c r="AQ663" s="136">
        <f t="shared" si="191"/>
        <v>0</v>
      </c>
      <c r="AR663" s="136">
        <f t="shared" si="191"/>
        <v>0</v>
      </c>
      <c r="AS663" s="136">
        <f t="shared" si="191"/>
        <v>0</v>
      </c>
      <c r="AT663" s="136">
        <f t="shared" si="191"/>
        <v>0</v>
      </c>
      <c r="AU663" s="136">
        <f t="shared" si="191"/>
        <v>21707</v>
      </c>
      <c r="AV663" s="136">
        <f t="shared" si="191"/>
        <v>0</v>
      </c>
      <c r="AW663" s="136">
        <f t="shared" si="191"/>
        <v>0</v>
      </c>
      <c r="AX663" s="136">
        <f t="shared" si="191"/>
        <v>0</v>
      </c>
      <c r="AY663" s="136">
        <f t="shared" si="191"/>
        <v>0</v>
      </c>
      <c r="AZ663" s="136">
        <f t="shared" si="191"/>
        <v>78516</v>
      </c>
      <c r="BA663" s="136">
        <f t="shared" si="191"/>
        <v>0</v>
      </c>
      <c r="BB663" s="136">
        <f t="shared" si="191"/>
        <v>0</v>
      </c>
      <c r="BC663" s="136">
        <f t="shared" si="191"/>
        <v>0</v>
      </c>
      <c r="BD663" s="136">
        <f t="shared" si="191"/>
        <v>0</v>
      </c>
      <c r="BE663" s="136">
        <f t="shared" si="191"/>
        <v>30857</v>
      </c>
      <c r="BF663" s="136">
        <f t="shared" si="191"/>
        <v>0</v>
      </c>
      <c r="BG663" s="136">
        <f t="shared" si="191"/>
        <v>0</v>
      </c>
      <c r="BH663" s="136">
        <f t="shared" si="191"/>
        <v>0</v>
      </c>
      <c r="BI663" s="136">
        <f t="shared" si="191"/>
        <v>0</v>
      </c>
      <c r="BJ663" s="136">
        <f t="shared" si="191"/>
        <v>21878</v>
      </c>
      <c r="BK663" s="136">
        <f t="shared" si="191"/>
        <v>0</v>
      </c>
      <c r="BL663" s="136">
        <f t="shared" si="191"/>
        <v>0</v>
      </c>
      <c r="BM663" s="136">
        <f t="shared" si="191"/>
        <v>0</v>
      </c>
      <c r="BN663" s="136">
        <f t="shared" si="191"/>
        <v>0</v>
      </c>
      <c r="BO663" s="136">
        <f t="shared" si="191"/>
        <v>125048</v>
      </c>
      <c r="BP663" s="136">
        <f t="shared" si="191"/>
        <v>0</v>
      </c>
      <c r="BQ663" s="136">
        <f t="shared" si="191"/>
        <v>0</v>
      </c>
      <c r="BR663" s="136">
        <f t="shared" si="190"/>
        <v>0</v>
      </c>
      <c r="BS663" s="136">
        <f t="shared" si="188"/>
        <v>0</v>
      </c>
      <c r="BT663" s="136">
        <f t="shared" si="188"/>
        <v>1166334</v>
      </c>
      <c r="BU663" s="136">
        <f t="shared" si="188"/>
        <v>0</v>
      </c>
      <c r="BV663" s="136">
        <f t="shared" si="188"/>
        <v>0</v>
      </c>
      <c r="BW663" s="136">
        <f t="shared" si="188"/>
        <v>0</v>
      </c>
      <c r="BX663" s="136">
        <f t="shared" si="188"/>
        <v>0</v>
      </c>
      <c r="BZ663" s="136">
        <f t="shared" si="189"/>
        <v>0</v>
      </c>
      <c r="CA663" s="136">
        <f t="shared" si="189"/>
        <v>0</v>
      </c>
    </row>
    <row r="664" spans="7:79" hidden="1" x14ac:dyDescent="0.3">
      <c r="G664" s="136">
        <f t="shared" si="191"/>
        <v>0</v>
      </c>
      <c r="H664" s="136">
        <f t="shared" si="191"/>
        <v>0</v>
      </c>
      <c r="I664" s="136">
        <f t="shared" si="191"/>
        <v>0</v>
      </c>
      <c r="J664" s="136">
        <f t="shared" si="191"/>
        <v>0</v>
      </c>
      <c r="K664" s="136">
        <f t="shared" si="191"/>
        <v>0</v>
      </c>
      <c r="L664" s="136">
        <f t="shared" si="191"/>
        <v>0</v>
      </c>
      <c r="M664" s="136">
        <f t="shared" si="191"/>
        <v>0</v>
      </c>
      <c r="N664" s="136">
        <f t="shared" si="191"/>
        <v>0</v>
      </c>
      <c r="O664" s="136">
        <f t="shared" si="191"/>
        <v>0</v>
      </c>
      <c r="P664" s="136">
        <f t="shared" si="191"/>
        <v>0</v>
      </c>
      <c r="Q664" s="136">
        <f t="shared" si="191"/>
        <v>0</v>
      </c>
      <c r="R664" s="136">
        <f t="shared" si="191"/>
        <v>0</v>
      </c>
      <c r="S664" s="136">
        <f t="shared" si="191"/>
        <v>0</v>
      </c>
      <c r="T664" s="136">
        <f t="shared" si="191"/>
        <v>0</v>
      </c>
      <c r="U664" s="136">
        <f t="shared" si="191"/>
        <v>0</v>
      </c>
      <c r="V664" s="136">
        <f t="shared" si="191"/>
        <v>0</v>
      </c>
      <c r="W664" s="136">
        <f t="shared" si="191"/>
        <v>0</v>
      </c>
      <c r="X664" s="136">
        <f t="shared" si="191"/>
        <v>0</v>
      </c>
      <c r="Y664" s="136">
        <f t="shared" si="191"/>
        <v>0</v>
      </c>
      <c r="Z664" s="136">
        <f t="shared" si="191"/>
        <v>0</v>
      </c>
      <c r="AA664" s="136">
        <f t="shared" si="191"/>
        <v>0</v>
      </c>
      <c r="AB664" s="136">
        <f t="shared" si="191"/>
        <v>0</v>
      </c>
      <c r="AC664" s="136">
        <f t="shared" si="191"/>
        <v>0</v>
      </c>
      <c r="AD664" s="136">
        <f t="shared" si="191"/>
        <v>0</v>
      </c>
      <c r="AE664" s="136">
        <f t="shared" si="191"/>
        <v>0</v>
      </c>
      <c r="AF664" s="136">
        <f t="shared" si="191"/>
        <v>0</v>
      </c>
      <c r="AG664" s="136">
        <f t="shared" si="191"/>
        <v>0</v>
      </c>
      <c r="AH664" s="136">
        <f t="shared" si="191"/>
        <v>0</v>
      </c>
      <c r="AI664" s="136">
        <f t="shared" si="191"/>
        <v>0</v>
      </c>
      <c r="AJ664" s="136">
        <f t="shared" si="191"/>
        <v>0</v>
      </c>
      <c r="AK664" s="136">
        <f t="shared" si="191"/>
        <v>0</v>
      </c>
      <c r="AL664" s="136">
        <f t="shared" si="191"/>
        <v>0</v>
      </c>
      <c r="AM664" s="136">
        <f t="shared" si="191"/>
        <v>0</v>
      </c>
      <c r="AN664" s="136">
        <f t="shared" si="191"/>
        <v>0</v>
      </c>
      <c r="AO664" s="136">
        <f t="shared" si="191"/>
        <v>0</v>
      </c>
      <c r="AP664" s="136">
        <f t="shared" si="191"/>
        <v>0</v>
      </c>
      <c r="AQ664" s="136">
        <f t="shared" si="191"/>
        <v>0</v>
      </c>
      <c r="AR664" s="136">
        <f t="shared" si="191"/>
        <v>0</v>
      </c>
      <c r="AS664" s="136">
        <f t="shared" si="191"/>
        <v>0</v>
      </c>
      <c r="AT664" s="136">
        <f t="shared" si="191"/>
        <v>0</v>
      </c>
      <c r="AU664" s="136">
        <f t="shared" si="191"/>
        <v>0</v>
      </c>
      <c r="AV664" s="136">
        <f t="shared" si="191"/>
        <v>0</v>
      </c>
      <c r="AW664" s="136">
        <f t="shared" si="191"/>
        <v>0</v>
      </c>
      <c r="AX664" s="136">
        <f t="shared" si="191"/>
        <v>0</v>
      </c>
      <c r="AY664" s="136">
        <f t="shared" si="191"/>
        <v>0</v>
      </c>
      <c r="AZ664" s="136">
        <f t="shared" si="191"/>
        <v>0</v>
      </c>
      <c r="BA664" s="136">
        <f t="shared" si="191"/>
        <v>0</v>
      </c>
      <c r="BB664" s="136">
        <f t="shared" si="191"/>
        <v>0</v>
      </c>
      <c r="BC664" s="136">
        <f t="shared" si="191"/>
        <v>0</v>
      </c>
      <c r="BD664" s="136">
        <f t="shared" si="191"/>
        <v>0</v>
      </c>
      <c r="BE664" s="136">
        <f t="shared" si="191"/>
        <v>0</v>
      </c>
      <c r="BF664" s="136">
        <f t="shared" si="191"/>
        <v>0</v>
      </c>
      <c r="BG664" s="136">
        <f t="shared" si="191"/>
        <v>0</v>
      </c>
      <c r="BH664" s="136">
        <f t="shared" si="191"/>
        <v>0</v>
      </c>
      <c r="BI664" s="136">
        <f t="shared" si="191"/>
        <v>0</v>
      </c>
      <c r="BJ664" s="136">
        <f t="shared" si="191"/>
        <v>0</v>
      </c>
      <c r="BK664" s="136">
        <f t="shared" si="191"/>
        <v>0</v>
      </c>
      <c r="BL664" s="136">
        <f t="shared" si="191"/>
        <v>0</v>
      </c>
      <c r="BM664" s="136">
        <f t="shared" si="191"/>
        <v>0</v>
      </c>
      <c r="BN664" s="136">
        <f t="shared" si="191"/>
        <v>0</v>
      </c>
      <c r="BO664" s="136">
        <f t="shared" si="191"/>
        <v>0</v>
      </c>
      <c r="BP664" s="136">
        <f t="shared" si="191"/>
        <v>0</v>
      </c>
      <c r="BQ664" s="136">
        <f t="shared" si="191"/>
        <v>0</v>
      </c>
      <c r="BR664" s="136">
        <f t="shared" si="190"/>
        <v>0</v>
      </c>
      <c r="BS664" s="136">
        <f t="shared" si="188"/>
        <v>0</v>
      </c>
      <c r="BT664" s="136">
        <f t="shared" si="188"/>
        <v>0</v>
      </c>
      <c r="BU664" s="136">
        <f t="shared" si="188"/>
        <v>0</v>
      </c>
      <c r="BV664" s="136">
        <f t="shared" si="188"/>
        <v>0</v>
      </c>
      <c r="BW664" s="136">
        <f t="shared" si="188"/>
        <v>0</v>
      </c>
      <c r="BX664" s="136">
        <f t="shared" si="188"/>
        <v>0</v>
      </c>
      <c r="BZ664" s="136">
        <f t="shared" si="189"/>
        <v>0</v>
      </c>
      <c r="CA664" s="136">
        <f t="shared" si="189"/>
        <v>0</v>
      </c>
    </row>
    <row r="665" spans="7:79" hidden="1" x14ac:dyDescent="0.3">
      <c r="G665" s="136">
        <f t="shared" si="191"/>
        <v>-5224760</v>
      </c>
      <c r="H665" s="136">
        <f t="shared" si="191"/>
        <v>0</v>
      </c>
      <c r="I665" s="136">
        <f t="shared" si="191"/>
        <v>0</v>
      </c>
      <c r="J665" s="136">
        <f t="shared" si="191"/>
        <v>0</v>
      </c>
      <c r="K665" s="136">
        <f t="shared" si="191"/>
        <v>0</v>
      </c>
      <c r="L665" s="136">
        <f t="shared" si="191"/>
        <v>-55625</v>
      </c>
      <c r="M665" s="136">
        <f t="shared" si="191"/>
        <v>0</v>
      </c>
      <c r="N665" s="136">
        <f t="shared" si="191"/>
        <v>0</v>
      </c>
      <c r="O665" s="136">
        <f t="shared" si="191"/>
        <v>0</v>
      </c>
      <c r="P665" s="136">
        <f t="shared" si="191"/>
        <v>0</v>
      </c>
      <c r="Q665" s="136">
        <f t="shared" si="191"/>
        <v>0</v>
      </c>
      <c r="R665" s="136">
        <f t="shared" si="191"/>
        <v>0</v>
      </c>
      <c r="S665" s="136">
        <f t="shared" si="191"/>
        <v>0</v>
      </c>
      <c r="T665" s="136">
        <f t="shared" si="191"/>
        <v>0</v>
      </c>
      <c r="U665" s="136">
        <f t="shared" si="191"/>
        <v>0</v>
      </c>
      <c r="V665" s="136">
        <f t="shared" si="191"/>
        <v>67095</v>
      </c>
      <c r="W665" s="136">
        <f t="shared" si="191"/>
        <v>0</v>
      </c>
      <c r="X665" s="136">
        <f t="shared" si="191"/>
        <v>0</v>
      </c>
      <c r="Y665" s="136">
        <f t="shared" si="191"/>
        <v>0</v>
      </c>
      <c r="Z665" s="136">
        <f t="shared" si="191"/>
        <v>0</v>
      </c>
      <c r="AA665" s="136">
        <f t="shared" si="191"/>
        <v>0</v>
      </c>
      <c r="AB665" s="136">
        <f t="shared" si="191"/>
        <v>0</v>
      </c>
      <c r="AC665" s="136">
        <f t="shared" si="191"/>
        <v>0</v>
      </c>
      <c r="AD665" s="136">
        <f t="shared" si="191"/>
        <v>0</v>
      </c>
      <c r="AE665" s="136">
        <f t="shared" si="191"/>
        <v>0</v>
      </c>
      <c r="AF665" s="136">
        <f t="shared" si="191"/>
        <v>-1604249</v>
      </c>
      <c r="AG665" s="136">
        <f t="shared" si="191"/>
        <v>0</v>
      </c>
      <c r="AH665" s="136">
        <f t="shared" si="191"/>
        <v>0</v>
      </c>
      <c r="AI665" s="136">
        <f t="shared" si="191"/>
        <v>0</v>
      </c>
      <c r="AJ665" s="136">
        <f t="shared" si="191"/>
        <v>0</v>
      </c>
      <c r="AK665" s="136">
        <f t="shared" si="191"/>
        <v>0</v>
      </c>
      <c r="AL665" s="136">
        <f t="shared" si="191"/>
        <v>0</v>
      </c>
      <c r="AM665" s="136">
        <f t="shared" si="191"/>
        <v>0</v>
      </c>
      <c r="AN665" s="136">
        <f t="shared" si="191"/>
        <v>0</v>
      </c>
      <c r="AO665" s="136">
        <f t="shared" si="191"/>
        <v>0</v>
      </c>
      <c r="AP665" s="136">
        <f t="shared" si="191"/>
        <v>-1060430</v>
      </c>
      <c r="AQ665" s="136">
        <f t="shared" si="191"/>
        <v>0</v>
      </c>
      <c r="AR665" s="136">
        <f t="shared" si="191"/>
        <v>0</v>
      </c>
      <c r="AS665" s="136">
        <f t="shared" si="191"/>
        <v>0</v>
      </c>
      <c r="AT665" s="136">
        <f t="shared" si="191"/>
        <v>0</v>
      </c>
      <c r="AU665" s="136">
        <f t="shared" si="191"/>
        <v>-756410</v>
      </c>
      <c r="AV665" s="136">
        <f t="shared" si="191"/>
        <v>0</v>
      </c>
      <c r="AW665" s="136">
        <f t="shared" si="191"/>
        <v>0</v>
      </c>
      <c r="AX665" s="136">
        <f t="shared" si="191"/>
        <v>0</v>
      </c>
      <c r="AY665" s="136">
        <f t="shared" si="191"/>
        <v>0</v>
      </c>
      <c r="AZ665" s="136">
        <f t="shared" si="191"/>
        <v>0</v>
      </c>
      <c r="BA665" s="136">
        <f t="shared" si="191"/>
        <v>0</v>
      </c>
      <c r="BB665" s="136">
        <f t="shared" si="191"/>
        <v>0</v>
      </c>
      <c r="BC665" s="136">
        <f t="shared" si="191"/>
        <v>0</v>
      </c>
      <c r="BD665" s="136">
        <f t="shared" si="191"/>
        <v>0</v>
      </c>
      <c r="BE665" s="136">
        <f t="shared" si="191"/>
        <v>-684561</v>
      </c>
      <c r="BF665" s="136">
        <f t="shared" si="191"/>
        <v>0</v>
      </c>
      <c r="BG665" s="136">
        <f t="shared" si="191"/>
        <v>0</v>
      </c>
      <c r="BH665" s="136">
        <f t="shared" si="191"/>
        <v>0</v>
      </c>
      <c r="BI665" s="136">
        <f t="shared" si="191"/>
        <v>0</v>
      </c>
      <c r="BJ665" s="136">
        <f t="shared" si="191"/>
        <v>-1130580</v>
      </c>
      <c r="BK665" s="136">
        <f t="shared" si="191"/>
        <v>0</v>
      </c>
      <c r="BL665" s="136">
        <f t="shared" si="191"/>
        <v>0</v>
      </c>
      <c r="BM665" s="136">
        <f t="shared" si="191"/>
        <v>0</v>
      </c>
      <c r="BN665" s="136">
        <f t="shared" si="191"/>
        <v>0</v>
      </c>
      <c r="BO665" s="136">
        <f t="shared" si="191"/>
        <v>0</v>
      </c>
      <c r="BP665" s="136">
        <f t="shared" si="191"/>
        <v>0</v>
      </c>
      <c r="BQ665" s="136">
        <f t="shared" si="191"/>
        <v>0</v>
      </c>
      <c r="BR665" s="136">
        <f t="shared" si="190"/>
        <v>0</v>
      </c>
      <c r="BS665" s="136">
        <f t="shared" si="188"/>
        <v>0</v>
      </c>
      <c r="BT665" s="136">
        <f t="shared" si="188"/>
        <v>-4094180</v>
      </c>
      <c r="BU665" s="136">
        <f t="shared" si="188"/>
        <v>0</v>
      </c>
      <c r="BV665" s="136">
        <f t="shared" si="188"/>
        <v>0</v>
      </c>
      <c r="BW665" s="136">
        <f t="shared" si="188"/>
        <v>0</v>
      </c>
      <c r="BX665" s="136">
        <f t="shared" si="188"/>
        <v>0</v>
      </c>
      <c r="BZ665" s="136">
        <f t="shared" si="189"/>
        <v>0</v>
      </c>
      <c r="CA665" s="136">
        <f t="shared" si="189"/>
        <v>0</v>
      </c>
    </row>
    <row r="666" spans="7:79" hidden="1" x14ac:dyDescent="0.3">
      <c r="G666" s="136">
        <f t="shared" si="191"/>
        <v>-4893204</v>
      </c>
      <c r="H666" s="136">
        <f t="shared" si="191"/>
        <v>0</v>
      </c>
      <c r="I666" s="136">
        <f t="shared" si="191"/>
        <v>0</v>
      </c>
      <c r="J666" s="136">
        <f t="shared" si="191"/>
        <v>0</v>
      </c>
      <c r="K666" s="136">
        <f t="shared" si="191"/>
        <v>0</v>
      </c>
      <c r="L666" s="136">
        <f t="shared" si="191"/>
        <v>-34406</v>
      </c>
      <c r="M666" s="136">
        <f t="shared" si="191"/>
        <v>0</v>
      </c>
      <c r="N666" s="136">
        <f t="shared" si="191"/>
        <v>0</v>
      </c>
      <c r="O666" s="136">
        <f t="shared" si="191"/>
        <v>0</v>
      </c>
      <c r="P666" s="136">
        <f t="shared" si="191"/>
        <v>0</v>
      </c>
      <c r="Q666" s="136">
        <f t="shared" si="191"/>
        <v>0</v>
      </c>
      <c r="R666" s="136">
        <f t="shared" si="191"/>
        <v>0</v>
      </c>
      <c r="S666" s="136">
        <f t="shared" si="191"/>
        <v>0</v>
      </c>
      <c r="T666" s="136">
        <f t="shared" si="191"/>
        <v>0</v>
      </c>
      <c r="U666" s="136">
        <f t="shared" si="191"/>
        <v>0</v>
      </c>
      <c r="V666" s="136">
        <f t="shared" si="191"/>
        <v>13175</v>
      </c>
      <c r="W666" s="136">
        <f t="shared" si="191"/>
        <v>0</v>
      </c>
      <c r="X666" s="136">
        <f t="shared" si="191"/>
        <v>0</v>
      </c>
      <c r="Y666" s="136">
        <f t="shared" si="191"/>
        <v>0</v>
      </c>
      <c r="Z666" s="136">
        <f t="shared" si="191"/>
        <v>0</v>
      </c>
      <c r="AA666" s="136">
        <f t="shared" si="191"/>
        <v>0</v>
      </c>
      <c r="AB666" s="136">
        <f t="shared" si="191"/>
        <v>0</v>
      </c>
      <c r="AC666" s="136">
        <f t="shared" si="191"/>
        <v>0</v>
      </c>
      <c r="AD666" s="136">
        <f t="shared" si="191"/>
        <v>0</v>
      </c>
      <c r="AE666" s="136">
        <f t="shared" si="191"/>
        <v>0</v>
      </c>
      <c r="AF666" s="136">
        <f t="shared" si="191"/>
        <v>-1523142</v>
      </c>
      <c r="AG666" s="136">
        <f t="shared" si="191"/>
        <v>0</v>
      </c>
      <c r="AH666" s="136">
        <f t="shared" si="191"/>
        <v>0</v>
      </c>
      <c r="AI666" s="136">
        <f t="shared" si="191"/>
        <v>0</v>
      </c>
      <c r="AJ666" s="136">
        <f t="shared" si="191"/>
        <v>0</v>
      </c>
      <c r="AK666" s="136">
        <f t="shared" si="191"/>
        <v>0</v>
      </c>
      <c r="AL666" s="136">
        <f t="shared" si="191"/>
        <v>0</v>
      </c>
      <c r="AM666" s="136">
        <f t="shared" si="191"/>
        <v>0</v>
      </c>
      <c r="AN666" s="136">
        <f t="shared" si="191"/>
        <v>0</v>
      </c>
      <c r="AO666" s="136">
        <f t="shared" si="191"/>
        <v>0</v>
      </c>
      <c r="AP666" s="136">
        <f t="shared" si="191"/>
        <v>-974084</v>
      </c>
      <c r="AQ666" s="136">
        <f t="shared" si="191"/>
        <v>0</v>
      </c>
      <c r="AR666" s="136">
        <f t="shared" si="191"/>
        <v>0</v>
      </c>
      <c r="AS666" s="136">
        <f t="shared" si="191"/>
        <v>0</v>
      </c>
      <c r="AT666" s="136">
        <f t="shared" si="191"/>
        <v>0</v>
      </c>
      <c r="AU666" s="136">
        <f t="shared" si="191"/>
        <v>-687528</v>
      </c>
      <c r="AV666" s="136">
        <f t="shared" si="191"/>
        <v>0</v>
      </c>
      <c r="AW666" s="136">
        <f t="shared" si="191"/>
        <v>0</v>
      </c>
      <c r="AX666" s="136">
        <f t="shared" si="191"/>
        <v>0</v>
      </c>
      <c r="AY666" s="136">
        <f t="shared" si="191"/>
        <v>0</v>
      </c>
      <c r="AZ666" s="136">
        <f t="shared" si="191"/>
        <v>0</v>
      </c>
      <c r="BA666" s="136">
        <f t="shared" si="191"/>
        <v>0</v>
      </c>
      <c r="BB666" s="136">
        <f t="shared" si="191"/>
        <v>0</v>
      </c>
      <c r="BC666" s="136">
        <f t="shared" si="191"/>
        <v>0</v>
      </c>
      <c r="BD666" s="136">
        <f t="shared" si="191"/>
        <v>0</v>
      </c>
      <c r="BE666" s="136">
        <f t="shared" si="191"/>
        <v>-630370</v>
      </c>
      <c r="BF666" s="136">
        <f t="shared" si="191"/>
        <v>0</v>
      </c>
      <c r="BG666" s="136">
        <f t="shared" si="191"/>
        <v>0</v>
      </c>
      <c r="BH666" s="136">
        <f t="shared" si="191"/>
        <v>0</v>
      </c>
      <c r="BI666" s="136">
        <f t="shared" si="191"/>
        <v>0</v>
      </c>
      <c r="BJ666" s="136">
        <f t="shared" si="191"/>
        <v>-1056849</v>
      </c>
      <c r="BK666" s="136">
        <f t="shared" si="191"/>
        <v>0</v>
      </c>
      <c r="BL666" s="136">
        <f t="shared" si="191"/>
        <v>0</v>
      </c>
      <c r="BM666" s="136">
        <f t="shared" si="191"/>
        <v>0</v>
      </c>
      <c r="BN666" s="136">
        <f t="shared" si="191"/>
        <v>0</v>
      </c>
      <c r="BO666" s="136">
        <f t="shared" si="191"/>
        <v>0</v>
      </c>
      <c r="BP666" s="136">
        <f t="shared" si="191"/>
        <v>0</v>
      </c>
      <c r="BQ666" s="136">
        <f t="shared" si="191"/>
        <v>0</v>
      </c>
      <c r="BR666" s="136">
        <f t="shared" si="190"/>
        <v>0</v>
      </c>
      <c r="BS666" s="136">
        <f t="shared" si="188"/>
        <v>0</v>
      </c>
      <c r="BT666" s="136">
        <f t="shared" si="188"/>
        <v>-3836355</v>
      </c>
      <c r="BU666" s="136">
        <f t="shared" si="188"/>
        <v>0</v>
      </c>
      <c r="BV666" s="136">
        <f t="shared" si="188"/>
        <v>0</v>
      </c>
      <c r="BW666" s="136">
        <f t="shared" si="188"/>
        <v>0</v>
      </c>
      <c r="BX666" s="136">
        <f t="shared" si="188"/>
        <v>0</v>
      </c>
      <c r="BZ666" s="136">
        <f t="shared" si="189"/>
        <v>0</v>
      </c>
      <c r="CA666" s="136">
        <f t="shared" si="189"/>
        <v>0</v>
      </c>
    </row>
    <row r="667" spans="7:79" hidden="1" x14ac:dyDescent="0.3">
      <c r="G667" s="136">
        <f t="shared" si="191"/>
        <v>-331556</v>
      </c>
      <c r="H667" s="136">
        <f t="shared" si="191"/>
        <v>0</v>
      </c>
      <c r="I667" s="136">
        <f t="shared" si="191"/>
        <v>0</v>
      </c>
      <c r="J667" s="136">
        <f t="shared" ref="J667:BQ668" si="192">J255-CB255</f>
        <v>0</v>
      </c>
      <c r="K667" s="136">
        <f t="shared" si="192"/>
        <v>0</v>
      </c>
      <c r="L667" s="136">
        <f t="shared" si="192"/>
        <v>-21219</v>
      </c>
      <c r="M667" s="136">
        <f t="shared" si="192"/>
        <v>0</v>
      </c>
      <c r="N667" s="136">
        <f t="shared" si="192"/>
        <v>0</v>
      </c>
      <c r="O667" s="136">
        <f t="shared" si="192"/>
        <v>0</v>
      </c>
      <c r="P667" s="136">
        <f t="shared" si="192"/>
        <v>0</v>
      </c>
      <c r="Q667" s="136">
        <f t="shared" si="192"/>
        <v>0</v>
      </c>
      <c r="R667" s="136">
        <f t="shared" si="192"/>
        <v>0</v>
      </c>
      <c r="S667" s="136">
        <f t="shared" si="192"/>
        <v>0</v>
      </c>
      <c r="T667" s="136">
        <f t="shared" si="192"/>
        <v>0</v>
      </c>
      <c r="U667" s="136">
        <f t="shared" si="192"/>
        <v>0</v>
      </c>
      <c r="V667" s="136">
        <f t="shared" si="192"/>
        <v>53920</v>
      </c>
      <c r="W667" s="136">
        <f t="shared" si="192"/>
        <v>0</v>
      </c>
      <c r="X667" s="136">
        <f t="shared" si="192"/>
        <v>0</v>
      </c>
      <c r="Y667" s="136">
        <f t="shared" si="192"/>
        <v>0</v>
      </c>
      <c r="Z667" s="136">
        <f t="shared" si="192"/>
        <v>0</v>
      </c>
      <c r="AA667" s="136">
        <f t="shared" si="192"/>
        <v>0</v>
      </c>
      <c r="AB667" s="136">
        <f t="shared" si="192"/>
        <v>0</v>
      </c>
      <c r="AC667" s="136">
        <f t="shared" si="192"/>
        <v>0</v>
      </c>
      <c r="AD667" s="136">
        <f t="shared" si="192"/>
        <v>0</v>
      </c>
      <c r="AE667" s="136">
        <f t="shared" si="192"/>
        <v>0</v>
      </c>
      <c r="AF667" s="136">
        <f t="shared" si="192"/>
        <v>-81107</v>
      </c>
      <c r="AG667" s="136">
        <f t="shared" si="192"/>
        <v>0</v>
      </c>
      <c r="AH667" s="136">
        <f t="shared" si="192"/>
        <v>0</v>
      </c>
      <c r="AI667" s="136">
        <f t="shared" si="192"/>
        <v>0</v>
      </c>
      <c r="AJ667" s="136">
        <f t="shared" si="192"/>
        <v>0</v>
      </c>
      <c r="AK667" s="136">
        <f t="shared" si="192"/>
        <v>0</v>
      </c>
      <c r="AL667" s="136">
        <f t="shared" si="192"/>
        <v>0</v>
      </c>
      <c r="AM667" s="136">
        <f t="shared" si="192"/>
        <v>0</v>
      </c>
      <c r="AN667" s="136">
        <f t="shared" si="192"/>
        <v>0</v>
      </c>
      <c r="AO667" s="136">
        <f t="shared" si="192"/>
        <v>0</v>
      </c>
      <c r="AP667" s="136">
        <f t="shared" si="192"/>
        <v>-86346</v>
      </c>
      <c r="AQ667" s="136">
        <f t="shared" si="192"/>
        <v>0</v>
      </c>
      <c r="AR667" s="136">
        <f t="shared" si="192"/>
        <v>0</v>
      </c>
      <c r="AS667" s="136">
        <f t="shared" si="192"/>
        <v>0</v>
      </c>
      <c r="AT667" s="136">
        <f t="shared" si="192"/>
        <v>0</v>
      </c>
      <c r="AU667" s="136">
        <f t="shared" si="192"/>
        <v>-68882</v>
      </c>
      <c r="AV667" s="136">
        <f t="shared" si="192"/>
        <v>0</v>
      </c>
      <c r="AW667" s="136">
        <f t="shared" si="192"/>
        <v>0</v>
      </c>
      <c r="AX667" s="136">
        <f t="shared" si="192"/>
        <v>0</v>
      </c>
      <c r="AY667" s="136">
        <f t="shared" si="192"/>
        <v>0</v>
      </c>
      <c r="AZ667" s="136">
        <f t="shared" si="192"/>
        <v>0</v>
      </c>
      <c r="BA667" s="136">
        <f t="shared" si="192"/>
        <v>0</v>
      </c>
      <c r="BB667" s="136">
        <f t="shared" si="192"/>
        <v>0</v>
      </c>
      <c r="BC667" s="136">
        <f t="shared" si="192"/>
        <v>0</v>
      </c>
      <c r="BD667" s="136">
        <f t="shared" si="192"/>
        <v>0</v>
      </c>
      <c r="BE667" s="136">
        <f t="shared" si="192"/>
        <v>-54191</v>
      </c>
      <c r="BF667" s="136">
        <f t="shared" si="192"/>
        <v>0</v>
      </c>
      <c r="BG667" s="136">
        <f t="shared" si="192"/>
        <v>0</v>
      </c>
      <c r="BH667" s="136">
        <f t="shared" si="192"/>
        <v>0</v>
      </c>
      <c r="BI667" s="136">
        <f t="shared" si="192"/>
        <v>0</v>
      </c>
      <c r="BJ667" s="136">
        <f t="shared" si="192"/>
        <v>-73731</v>
      </c>
      <c r="BK667" s="136">
        <f t="shared" si="192"/>
        <v>0</v>
      </c>
      <c r="BL667" s="136">
        <f t="shared" si="192"/>
        <v>0</v>
      </c>
      <c r="BM667" s="136">
        <f t="shared" si="192"/>
        <v>0</v>
      </c>
      <c r="BN667" s="136">
        <f t="shared" si="192"/>
        <v>0</v>
      </c>
      <c r="BO667" s="136">
        <f t="shared" si="192"/>
        <v>0</v>
      </c>
      <c r="BP667" s="136">
        <f t="shared" si="192"/>
        <v>0</v>
      </c>
      <c r="BQ667" s="136">
        <f t="shared" si="192"/>
        <v>0</v>
      </c>
      <c r="BR667" s="136">
        <f t="shared" si="190"/>
        <v>0</v>
      </c>
      <c r="BS667" s="136">
        <f t="shared" si="188"/>
        <v>0</v>
      </c>
      <c r="BT667" s="136">
        <f t="shared" si="188"/>
        <v>-257825</v>
      </c>
      <c r="BU667" s="136">
        <f t="shared" si="188"/>
        <v>0</v>
      </c>
      <c r="BV667" s="136">
        <f t="shared" si="188"/>
        <v>0</v>
      </c>
      <c r="BW667" s="136">
        <f t="shared" si="188"/>
        <v>0</v>
      </c>
      <c r="BX667" s="136">
        <f t="shared" si="188"/>
        <v>0</v>
      </c>
      <c r="BZ667" s="136">
        <f t="shared" si="189"/>
        <v>0</v>
      </c>
      <c r="CA667" s="136">
        <f t="shared" si="189"/>
        <v>0</v>
      </c>
    </row>
    <row r="668" spans="7:79" hidden="1" x14ac:dyDescent="0.3">
      <c r="G668" s="136">
        <f t="shared" ref="G668:I668" si="193">G256-BY256</f>
        <v>0</v>
      </c>
      <c r="H668" s="136">
        <f t="shared" si="193"/>
        <v>0</v>
      </c>
      <c r="I668" s="136">
        <f t="shared" si="193"/>
        <v>0</v>
      </c>
      <c r="J668" s="136">
        <f t="shared" si="192"/>
        <v>0</v>
      </c>
      <c r="K668" s="136">
        <f t="shared" si="192"/>
        <v>0</v>
      </c>
      <c r="L668" s="136">
        <f t="shared" si="192"/>
        <v>0</v>
      </c>
      <c r="M668" s="136">
        <f t="shared" si="192"/>
        <v>0</v>
      </c>
      <c r="N668" s="136">
        <f t="shared" si="192"/>
        <v>0</v>
      </c>
      <c r="O668" s="136">
        <f t="shared" si="192"/>
        <v>0</v>
      </c>
      <c r="P668" s="136">
        <f t="shared" si="192"/>
        <v>0</v>
      </c>
      <c r="Q668" s="136">
        <f t="shared" si="192"/>
        <v>0</v>
      </c>
      <c r="R668" s="136">
        <f t="shared" si="192"/>
        <v>0</v>
      </c>
      <c r="S668" s="136">
        <f t="shared" si="192"/>
        <v>0</v>
      </c>
      <c r="T668" s="136">
        <f t="shared" si="192"/>
        <v>0</v>
      </c>
      <c r="U668" s="136">
        <f t="shared" si="192"/>
        <v>0</v>
      </c>
      <c r="V668" s="136">
        <f t="shared" si="192"/>
        <v>0</v>
      </c>
      <c r="W668" s="136">
        <f t="shared" si="192"/>
        <v>0</v>
      </c>
      <c r="X668" s="136">
        <f t="shared" si="192"/>
        <v>0</v>
      </c>
      <c r="Y668" s="136">
        <f t="shared" si="192"/>
        <v>0</v>
      </c>
      <c r="Z668" s="136">
        <f t="shared" si="192"/>
        <v>0</v>
      </c>
      <c r="AA668" s="136">
        <f t="shared" si="192"/>
        <v>0</v>
      </c>
      <c r="AB668" s="136">
        <f t="shared" si="192"/>
        <v>0</v>
      </c>
      <c r="AC668" s="136">
        <f t="shared" si="192"/>
        <v>0</v>
      </c>
      <c r="AD668" s="136">
        <f t="shared" si="192"/>
        <v>0</v>
      </c>
      <c r="AE668" s="136">
        <f t="shared" si="192"/>
        <v>0</v>
      </c>
      <c r="AF668" s="136">
        <f t="shared" si="192"/>
        <v>0</v>
      </c>
      <c r="AG668" s="136">
        <f t="shared" si="192"/>
        <v>0</v>
      </c>
      <c r="AH668" s="136">
        <f t="shared" si="192"/>
        <v>0</v>
      </c>
      <c r="AI668" s="136">
        <f t="shared" si="192"/>
        <v>0</v>
      </c>
      <c r="AJ668" s="136">
        <f t="shared" si="192"/>
        <v>0</v>
      </c>
      <c r="AK668" s="136">
        <f t="shared" si="192"/>
        <v>0</v>
      </c>
      <c r="AL668" s="136">
        <f t="shared" si="192"/>
        <v>0</v>
      </c>
      <c r="AM668" s="136">
        <f t="shared" si="192"/>
        <v>0</v>
      </c>
      <c r="AN668" s="136">
        <f t="shared" si="192"/>
        <v>0</v>
      </c>
      <c r="AO668" s="136">
        <f t="shared" si="192"/>
        <v>0</v>
      </c>
      <c r="AP668" s="136">
        <f t="shared" si="192"/>
        <v>0</v>
      </c>
      <c r="AQ668" s="136">
        <f t="shared" si="192"/>
        <v>0</v>
      </c>
      <c r="AR668" s="136">
        <f t="shared" si="192"/>
        <v>0</v>
      </c>
      <c r="AS668" s="136">
        <f t="shared" si="192"/>
        <v>0</v>
      </c>
      <c r="AT668" s="136">
        <f t="shared" si="192"/>
        <v>0</v>
      </c>
      <c r="AU668" s="136">
        <f t="shared" si="192"/>
        <v>0</v>
      </c>
      <c r="AV668" s="136">
        <f t="shared" si="192"/>
        <v>0</v>
      </c>
      <c r="AW668" s="136">
        <f t="shared" si="192"/>
        <v>0</v>
      </c>
      <c r="AX668" s="136">
        <f t="shared" si="192"/>
        <v>0</v>
      </c>
      <c r="AY668" s="136">
        <f t="shared" si="192"/>
        <v>0</v>
      </c>
      <c r="AZ668" s="136">
        <f t="shared" si="192"/>
        <v>0</v>
      </c>
      <c r="BA668" s="136">
        <f t="shared" si="192"/>
        <v>0</v>
      </c>
      <c r="BB668" s="136">
        <f t="shared" si="192"/>
        <v>0</v>
      </c>
      <c r="BC668" s="136">
        <f t="shared" si="192"/>
        <v>0</v>
      </c>
      <c r="BD668" s="136">
        <f t="shared" si="192"/>
        <v>0</v>
      </c>
      <c r="BE668" s="136">
        <f t="shared" si="192"/>
        <v>0</v>
      </c>
      <c r="BF668" s="136">
        <f t="shared" si="192"/>
        <v>0</v>
      </c>
      <c r="BG668" s="136">
        <f t="shared" si="192"/>
        <v>0</v>
      </c>
      <c r="BH668" s="136">
        <f t="shared" si="192"/>
        <v>0</v>
      </c>
      <c r="BI668" s="136">
        <f t="shared" si="192"/>
        <v>0</v>
      </c>
      <c r="BJ668" s="136">
        <f t="shared" si="192"/>
        <v>0</v>
      </c>
      <c r="BK668" s="136">
        <f t="shared" si="192"/>
        <v>0</v>
      </c>
      <c r="BL668" s="136">
        <f t="shared" si="192"/>
        <v>0</v>
      </c>
      <c r="BM668" s="136">
        <f t="shared" si="192"/>
        <v>0</v>
      </c>
      <c r="BN668" s="136">
        <f t="shared" si="192"/>
        <v>0</v>
      </c>
      <c r="BO668" s="136">
        <f t="shared" si="192"/>
        <v>0</v>
      </c>
      <c r="BP668" s="136">
        <f t="shared" si="192"/>
        <v>0</v>
      </c>
      <c r="BQ668" s="136">
        <f t="shared" si="192"/>
        <v>0</v>
      </c>
      <c r="BR668" s="136">
        <f t="shared" si="190"/>
        <v>0</v>
      </c>
      <c r="BS668" s="136">
        <f t="shared" si="188"/>
        <v>0</v>
      </c>
      <c r="BT668" s="136">
        <f t="shared" si="188"/>
        <v>0</v>
      </c>
      <c r="BU668" s="136">
        <f t="shared" si="188"/>
        <v>0</v>
      </c>
      <c r="BV668" s="136">
        <f t="shared" si="188"/>
        <v>0</v>
      </c>
      <c r="BW668" s="136">
        <f t="shared" si="188"/>
        <v>0</v>
      </c>
      <c r="BX668" s="136">
        <f t="shared" si="188"/>
        <v>0</v>
      </c>
      <c r="BZ668" s="136">
        <f t="shared" si="189"/>
        <v>0</v>
      </c>
      <c r="CA668" s="136">
        <f t="shared" si="189"/>
        <v>0</v>
      </c>
    </row>
    <row r="669" spans="7:79" hidden="1" x14ac:dyDescent="0.3">
      <c r="G669" s="136" t="e">
        <f>#REF!-#REF!</f>
        <v>#REF!</v>
      </c>
      <c r="H669" s="136" t="e">
        <f>#REF!-#REF!</f>
        <v>#REF!</v>
      </c>
      <c r="I669" s="136" t="e">
        <f>#REF!-#REF!</f>
        <v>#REF!</v>
      </c>
      <c r="J669" s="136" t="e">
        <f>#REF!-#REF!</f>
        <v>#REF!</v>
      </c>
      <c r="K669" s="136" t="e">
        <f>#REF!-#REF!</f>
        <v>#REF!</v>
      </c>
      <c r="L669" s="136" t="e">
        <f>#REF!-#REF!</f>
        <v>#REF!</v>
      </c>
      <c r="M669" s="136" t="e">
        <f>#REF!-#REF!</f>
        <v>#REF!</v>
      </c>
      <c r="N669" s="136" t="e">
        <f>#REF!-#REF!</f>
        <v>#REF!</v>
      </c>
      <c r="O669" s="136" t="e">
        <f>#REF!-#REF!</f>
        <v>#REF!</v>
      </c>
      <c r="P669" s="136" t="e">
        <f>#REF!-#REF!</f>
        <v>#REF!</v>
      </c>
      <c r="Q669" s="136" t="e">
        <f>#REF!-#REF!</f>
        <v>#REF!</v>
      </c>
      <c r="R669" s="136" t="e">
        <f>#REF!-#REF!</f>
        <v>#REF!</v>
      </c>
      <c r="S669" s="136" t="e">
        <f>#REF!-#REF!</f>
        <v>#REF!</v>
      </c>
      <c r="T669" s="136" t="e">
        <f>#REF!-#REF!</f>
        <v>#REF!</v>
      </c>
      <c r="U669" s="136" t="e">
        <f>#REF!-#REF!</f>
        <v>#REF!</v>
      </c>
      <c r="V669" s="136" t="e">
        <f>#REF!-#REF!</f>
        <v>#REF!</v>
      </c>
      <c r="W669" s="136" t="e">
        <f>#REF!-#REF!</f>
        <v>#REF!</v>
      </c>
      <c r="X669" s="136" t="e">
        <f>#REF!-#REF!</f>
        <v>#REF!</v>
      </c>
      <c r="Y669" s="136" t="e">
        <f>#REF!-#REF!</f>
        <v>#REF!</v>
      </c>
      <c r="Z669" s="136" t="e">
        <f>#REF!-#REF!</f>
        <v>#REF!</v>
      </c>
      <c r="AA669" s="136" t="e">
        <f>#REF!-#REF!</f>
        <v>#REF!</v>
      </c>
      <c r="AB669" s="136" t="e">
        <f>#REF!-#REF!</f>
        <v>#REF!</v>
      </c>
      <c r="AC669" s="136" t="e">
        <f>#REF!-#REF!</f>
        <v>#REF!</v>
      </c>
      <c r="AD669" s="136" t="e">
        <f>#REF!-#REF!</f>
        <v>#REF!</v>
      </c>
      <c r="AE669" s="136" t="e">
        <f>#REF!-#REF!</f>
        <v>#REF!</v>
      </c>
      <c r="AF669" s="136" t="e">
        <f>#REF!-#REF!</f>
        <v>#REF!</v>
      </c>
      <c r="AG669" s="136" t="e">
        <f>#REF!-#REF!</f>
        <v>#REF!</v>
      </c>
      <c r="AH669" s="136" t="e">
        <f>#REF!-#REF!</f>
        <v>#REF!</v>
      </c>
      <c r="AI669" s="136" t="e">
        <f>#REF!-#REF!</f>
        <v>#REF!</v>
      </c>
      <c r="AJ669" s="136" t="e">
        <f>#REF!-#REF!</f>
        <v>#REF!</v>
      </c>
      <c r="AK669" s="136" t="e">
        <f>#REF!-#REF!</f>
        <v>#REF!</v>
      </c>
      <c r="AL669" s="136" t="e">
        <f>#REF!-#REF!</f>
        <v>#REF!</v>
      </c>
      <c r="AM669" s="136" t="e">
        <f>#REF!-#REF!</f>
        <v>#REF!</v>
      </c>
      <c r="AN669" s="136" t="e">
        <f>#REF!-#REF!</f>
        <v>#REF!</v>
      </c>
      <c r="AO669" s="136" t="e">
        <f>#REF!-#REF!</f>
        <v>#REF!</v>
      </c>
      <c r="AP669" s="136" t="e">
        <f>#REF!-#REF!</f>
        <v>#REF!</v>
      </c>
      <c r="AQ669" s="136" t="e">
        <f>#REF!-#REF!</f>
        <v>#REF!</v>
      </c>
      <c r="AR669" s="136" t="e">
        <f>#REF!-#REF!</f>
        <v>#REF!</v>
      </c>
      <c r="AS669" s="136" t="e">
        <f>#REF!-#REF!</f>
        <v>#REF!</v>
      </c>
      <c r="AT669" s="136" t="e">
        <f>#REF!-#REF!</f>
        <v>#REF!</v>
      </c>
      <c r="AU669" s="136" t="e">
        <f>#REF!-#REF!</f>
        <v>#REF!</v>
      </c>
      <c r="AV669" s="136" t="e">
        <f>#REF!-#REF!</f>
        <v>#REF!</v>
      </c>
      <c r="AW669" s="136" t="e">
        <f>#REF!-#REF!</f>
        <v>#REF!</v>
      </c>
      <c r="AX669" s="136" t="e">
        <f>#REF!-#REF!</f>
        <v>#REF!</v>
      </c>
      <c r="AY669" s="136" t="e">
        <f>#REF!-#REF!</f>
        <v>#REF!</v>
      </c>
      <c r="AZ669" s="136" t="e">
        <f>#REF!-#REF!</f>
        <v>#REF!</v>
      </c>
      <c r="BA669" s="136" t="e">
        <f>#REF!-#REF!</f>
        <v>#REF!</v>
      </c>
      <c r="BB669" s="136" t="e">
        <f>#REF!-#REF!</f>
        <v>#REF!</v>
      </c>
      <c r="BC669" s="136" t="e">
        <f>#REF!-#REF!</f>
        <v>#REF!</v>
      </c>
      <c r="BD669" s="136" t="e">
        <f>#REF!-#REF!</f>
        <v>#REF!</v>
      </c>
      <c r="BE669" s="136" t="e">
        <f>#REF!-#REF!</f>
        <v>#REF!</v>
      </c>
      <c r="BF669" s="136" t="e">
        <f>#REF!-#REF!</f>
        <v>#REF!</v>
      </c>
      <c r="BG669" s="136" t="e">
        <f>#REF!-#REF!</f>
        <v>#REF!</v>
      </c>
      <c r="BH669" s="136" t="e">
        <f>#REF!-#REF!</f>
        <v>#REF!</v>
      </c>
      <c r="BI669" s="136" t="e">
        <f>#REF!-#REF!</f>
        <v>#REF!</v>
      </c>
      <c r="BJ669" s="136" t="e">
        <f>#REF!-#REF!</f>
        <v>#REF!</v>
      </c>
      <c r="BK669" s="136" t="e">
        <f>#REF!-#REF!</f>
        <v>#REF!</v>
      </c>
      <c r="BL669" s="136" t="e">
        <f>#REF!-#REF!</f>
        <v>#REF!</v>
      </c>
      <c r="BM669" s="136" t="e">
        <f>#REF!-#REF!</f>
        <v>#REF!</v>
      </c>
      <c r="BN669" s="136" t="e">
        <f>#REF!-#REF!</f>
        <v>#REF!</v>
      </c>
      <c r="BO669" s="136" t="e">
        <f>#REF!-#REF!</f>
        <v>#REF!</v>
      </c>
      <c r="BP669" s="136" t="e">
        <f>#REF!-#REF!</f>
        <v>#REF!</v>
      </c>
      <c r="BQ669" s="136" t="e">
        <f>#REF!-#REF!</f>
        <v>#REF!</v>
      </c>
      <c r="BR669" s="136" t="e">
        <f>#REF!-#REF!</f>
        <v>#REF!</v>
      </c>
      <c r="BS669" s="136" t="e">
        <f>#REF!-#REF!</f>
        <v>#REF!</v>
      </c>
      <c r="BT669" s="136" t="e">
        <f>#REF!-#REF!</f>
        <v>#REF!</v>
      </c>
      <c r="BU669" s="136" t="e">
        <f>#REF!-#REF!</f>
        <v>#REF!</v>
      </c>
      <c r="BV669" s="136" t="e">
        <f>#REF!-#REF!</f>
        <v>#REF!</v>
      </c>
      <c r="BW669" s="136" t="e">
        <f>#REF!-#REF!</f>
        <v>#REF!</v>
      </c>
      <c r="BX669" s="136" t="e">
        <f>#REF!-#REF!</f>
        <v>#REF!</v>
      </c>
      <c r="BZ669" s="136" t="e">
        <f>#REF!-#REF!</f>
        <v>#REF!</v>
      </c>
      <c r="CA669" s="136" t="e">
        <f>#REF!-#REF!</f>
        <v>#REF!</v>
      </c>
    </row>
    <row r="670" spans="7:79" hidden="1" x14ac:dyDescent="0.3">
      <c r="G670" s="136">
        <f t="shared" ref="G670:BR673" si="194">G313-BY313</f>
        <v>872697</v>
      </c>
      <c r="H670" s="136">
        <f t="shared" si="194"/>
        <v>0</v>
      </c>
      <c r="I670" s="136">
        <f t="shared" si="194"/>
        <v>0</v>
      </c>
      <c r="J670" s="136">
        <f t="shared" si="194"/>
        <v>0</v>
      </c>
      <c r="K670" s="136">
        <f t="shared" si="194"/>
        <v>0</v>
      </c>
      <c r="L670" s="136">
        <f t="shared" si="194"/>
        <v>632137</v>
      </c>
      <c r="M670" s="136">
        <f t="shared" si="194"/>
        <v>0</v>
      </c>
      <c r="N670" s="136">
        <f t="shared" si="194"/>
        <v>0</v>
      </c>
      <c r="O670" s="136">
        <f t="shared" si="194"/>
        <v>0</v>
      </c>
      <c r="P670" s="136">
        <f t="shared" si="194"/>
        <v>0</v>
      </c>
      <c r="Q670" s="136">
        <f t="shared" si="194"/>
        <v>3114442</v>
      </c>
      <c r="R670" s="136">
        <f t="shared" si="194"/>
        <v>0</v>
      </c>
      <c r="S670" s="136">
        <f t="shared" si="194"/>
        <v>0</v>
      </c>
      <c r="T670" s="136">
        <f t="shared" si="194"/>
        <v>0</v>
      </c>
      <c r="U670" s="136">
        <f t="shared" si="194"/>
        <v>0</v>
      </c>
      <c r="V670" s="136">
        <f t="shared" si="194"/>
        <v>-95175</v>
      </c>
      <c r="W670" s="136">
        <f t="shared" si="194"/>
        <v>0</v>
      </c>
      <c r="X670" s="136">
        <f t="shared" si="194"/>
        <v>0</v>
      </c>
      <c r="Y670" s="136">
        <f t="shared" si="194"/>
        <v>0</v>
      </c>
      <c r="Z670" s="136">
        <f t="shared" si="194"/>
        <v>0</v>
      </c>
      <c r="AA670" s="136">
        <f t="shared" si="194"/>
        <v>-285032</v>
      </c>
      <c r="AB670" s="136">
        <f t="shared" si="194"/>
        <v>0</v>
      </c>
      <c r="AC670" s="136">
        <f t="shared" si="194"/>
        <v>0</v>
      </c>
      <c r="AD670" s="136">
        <f t="shared" si="194"/>
        <v>0</v>
      </c>
      <c r="AE670" s="136">
        <f t="shared" si="194"/>
        <v>0</v>
      </c>
      <c r="AF670" s="136">
        <f t="shared" si="194"/>
        <v>2861562</v>
      </c>
      <c r="AG670" s="136">
        <f t="shared" si="194"/>
        <v>0</v>
      </c>
      <c r="AH670" s="136">
        <f t="shared" si="194"/>
        <v>0</v>
      </c>
      <c r="AI670" s="136">
        <f t="shared" si="194"/>
        <v>0</v>
      </c>
      <c r="AJ670" s="136">
        <f t="shared" si="194"/>
        <v>0</v>
      </c>
      <c r="AK670" s="136">
        <f t="shared" si="194"/>
        <v>478696</v>
      </c>
      <c r="AL670" s="136">
        <f t="shared" si="194"/>
        <v>0</v>
      </c>
      <c r="AM670" s="136">
        <f t="shared" si="194"/>
        <v>0</v>
      </c>
      <c r="AN670" s="136">
        <f t="shared" si="194"/>
        <v>0</v>
      </c>
      <c r="AO670" s="136">
        <f t="shared" si="194"/>
        <v>0</v>
      </c>
      <c r="AP670" s="136">
        <f t="shared" si="194"/>
        <v>31624</v>
      </c>
      <c r="AQ670" s="136">
        <f t="shared" si="194"/>
        <v>0</v>
      </c>
      <c r="AR670" s="136">
        <f t="shared" si="194"/>
        <v>0</v>
      </c>
      <c r="AS670" s="136">
        <f t="shared" si="194"/>
        <v>0</v>
      </c>
      <c r="AT670" s="136">
        <f t="shared" si="194"/>
        <v>0</v>
      </c>
      <c r="AU670" s="136">
        <f t="shared" si="194"/>
        <v>-671356</v>
      </c>
      <c r="AV670" s="136">
        <f t="shared" si="194"/>
        <v>0</v>
      </c>
      <c r="AW670" s="136">
        <f t="shared" si="194"/>
        <v>0</v>
      </c>
      <c r="AX670" s="136">
        <f t="shared" si="194"/>
        <v>0</v>
      </c>
      <c r="AY670" s="136">
        <f t="shared" si="194"/>
        <v>0</v>
      </c>
      <c r="AZ670" s="136">
        <f t="shared" si="194"/>
        <v>-14524</v>
      </c>
      <c r="BA670" s="136">
        <f t="shared" si="194"/>
        <v>0</v>
      </c>
      <c r="BB670" s="136">
        <f t="shared" si="194"/>
        <v>0</v>
      </c>
      <c r="BC670" s="136">
        <f t="shared" si="194"/>
        <v>0</v>
      </c>
      <c r="BD670" s="136">
        <f t="shared" si="194"/>
        <v>0</v>
      </c>
      <c r="BE670" s="136">
        <f t="shared" si="194"/>
        <v>29969</v>
      </c>
      <c r="BF670" s="136">
        <f t="shared" si="194"/>
        <v>0</v>
      </c>
      <c r="BG670" s="136">
        <f t="shared" si="194"/>
        <v>0</v>
      </c>
      <c r="BH670" s="136">
        <f t="shared" si="194"/>
        <v>0</v>
      </c>
      <c r="BI670" s="136">
        <f t="shared" si="194"/>
        <v>0</v>
      </c>
      <c r="BJ670" s="136">
        <f t="shared" si="194"/>
        <v>-772365</v>
      </c>
      <c r="BK670" s="136">
        <f t="shared" si="194"/>
        <v>0</v>
      </c>
      <c r="BL670" s="136">
        <f t="shared" si="194"/>
        <v>0</v>
      </c>
      <c r="BM670" s="136">
        <f t="shared" si="194"/>
        <v>0</v>
      </c>
      <c r="BN670" s="136">
        <f t="shared" si="194"/>
        <v>0</v>
      </c>
      <c r="BO670" s="136">
        <f t="shared" si="194"/>
        <v>-3033077</v>
      </c>
      <c r="BP670" s="136">
        <f t="shared" si="194"/>
        <v>0</v>
      </c>
      <c r="BQ670" s="136">
        <f t="shared" si="194"/>
        <v>0</v>
      </c>
      <c r="BR670" s="136">
        <f t="shared" si="194"/>
        <v>0</v>
      </c>
      <c r="BS670" s="136">
        <f t="shared" ref="BS670:BX685" si="195">BS313-EK313</f>
        <v>0</v>
      </c>
      <c r="BT670" s="136">
        <f t="shared" si="195"/>
        <v>6082343</v>
      </c>
      <c r="BU670" s="136">
        <f t="shared" si="195"/>
        <v>0</v>
      </c>
      <c r="BV670" s="136">
        <f t="shared" si="195"/>
        <v>0</v>
      </c>
      <c r="BW670" s="136">
        <f t="shared" si="195"/>
        <v>0</v>
      </c>
      <c r="BX670" s="136">
        <f t="shared" si="195"/>
        <v>0</v>
      </c>
      <c r="BZ670" s="136">
        <f t="shared" ref="BZ670:CA685" si="196">BZ313-ER313</f>
        <v>0</v>
      </c>
      <c r="CA670" s="136">
        <f t="shared" si="196"/>
        <v>0</v>
      </c>
    </row>
    <row r="671" spans="7:79" hidden="1" x14ac:dyDescent="0.3">
      <c r="G671" s="136">
        <f t="shared" si="194"/>
        <v>872697</v>
      </c>
      <c r="H671" s="136">
        <f t="shared" si="194"/>
        <v>0</v>
      </c>
      <c r="I671" s="136">
        <f t="shared" si="194"/>
        <v>0</v>
      </c>
      <c r="J671" s="136">
        <f t="shared" si="194"/>
        <v>0</v>
      </c>
      <c r="K671" s="136">
        <f t="shared" si="194"/>
        <v>0</v>
      </c>
      <c r="L671" s="136">
        <f t="shared" si="194"/>
        <v>632137</v>
      </c>
      <c r="M671" s="136">
        <f t="shared" si="194"/>
        <v>0</v>
      </c>
      <c r="N671" s="136">
        <f t="shared" si="194"/>
        <v>0</v>
      </c>
      <c r="O671" s="136">
        <f t="shared" si="194"/>
        <v>0</v>
      </c>
      <c r="P671" s="136">
        <f t="shared" si="194"/>
        <v>0</v>
      </c>
      <c r="Q671" s="136">
        <f t="shared" si="194"/>
        <v>3114442</v>
      </c>
      <c r="R671" s="136">
        <f t="shared" si="194"/>
        <v>0</v>
      </c>
      <c r="S671" s="136">
        <f t="shared" si="194"/>
        <v>0</v>
      </c>
      <c r="T671" s="136">
        <f t="shared" si="194"/>
        <v>0</v>
      </c>
      <c r="U671" s="136">
        <f t="shared" si="194"/>
        <v>0</v>
      </c>
      <c r="V671" s="136">
        <f t="shared" si="194"/>
        <v>-95175</v>
      </c>
      <c r="W671" s="136">
        <f t="shared" si="194"/>
        <v>0</v>
      </c>
      <c r="X671" s="136">
        <f t="shared" si="194"/>
        <v>0</v>
      </c>
      <c r="Y671" s="136">
        <f t="shared" si="194"/>
        <v>0</v>
      </c>
      <c r="Z671" s="136">
        <f t="shared" si="194"/>
        <v>0</v>
      </c>
      <c r="AA671" s="136">
        <f t="shared" si="194"/>
        <v>-285032</v>
      </c>
      <c r="AB671" s="136">
        <f t="shared" si="194"/>
        <v>0</v>
      </c>
      <c r="AC671" s="136">
        <f t="shared" si="194"/>
        <v>0</v>
      </c>
      <c r="AD671" s="136">
        <f t="shared" si="194"/>
        <v>0</v>
      </c>
      <c r="AE671" s="136">
        <f t="shared" si="194"/>
        <v>0</v>
      </c>
      <c r="AF671" s="136">
        <f t="shared" si="194"/>
        <v>2861562</v>
      </c>
      <c r="AG671" s="136">
        <f t="shared" si="194"/>
        <v>0</v>
      </c>
      <c r="AH671" s="136">
        <f t="shared" si="194"/>
        <v>0</v>
      </c>
      <c r="AI671" s="136">
        <f t="shared" si="194"/>
        <v>0</v>
      </c>
      <c r="AJ671" s="136">
        <f t="shared" si="194"/>
        <v>0</v>
      </c>
      <c r="AK671" s="136">
        <f t="shared" si="194"/>
        <v>478696</v>
      </c>
      <c r="AL671" s="136">
        <f t="shared" si="194"/>
        <v>0</v>
      </c>
      <c r="AM671" s="136">
        <f t="shared" si="194"/>
        <v>0</v>
      </c>
      <c r="AN671" s="136">
        <f t="shared" si="194"/>
        <v>0</v>
      </c>
      <c r="AO671" s="136">
        <f t="shared" si="194"/>
        <v>0</v>
      </c>
      <c r="AP671" s="136">
        <f t="shared" si="194"/>
        <v>31624</v>
      </c>
      <c r="AQ671" s="136">
        <f t="shared" si="194"/>
        <v>0</v>
      </c>
      <c r="AR671" s="136">
        <f t="shared" si="194"/>
        <v>0</v>
      </c>
      <c r="AS671" s="136">
        <f t="shared" si="194"/>
        <v>0</v>
      </c>
      <c r="AT671" s="136">
        <f t="shared" si="194"/>
        <v>0</v>
      </c>
      <c r="AU671" s="136">
        <f t="shared" si="194"/>
        <v>-671356</v>
      </c>
      <c r="AV671" s="136">
        <f t="shared" si="194"/>
        <v>0</v>
      </c>
      <c r="AW671" s="136">
        <f t="shared" si="194"/>
        <v>0</v>
      </c>
      <c r="AX671" s="136">
        <f t="shared" si="194"/>
        <v>0</v>
      </c>
      <c r="AY671" s="136">
        <f t="shared" si="194"/>
        <v>0</v>
      </c>
      <c r="AZ671" s="136">
        <f t="shared" si="194"/>
        <v>-14524</v>
      </c>
      <c r="BA671" s="136">
        <f t="shared" si="194"/>
        <v>0</v>
      </c>
      <c r="BB671" s="136">
        <f t="shared" si="194"/>
        <v>0</v>
      </c>
      <c r="BC671" s="136">
        <f t="shared" si="194"/>
        <v>0</v>
      </c>
      <c r="BD671" s="136">
        <f t="shared" si="194"/>
        <v>0</v>
      </c>
      <c r="BE671" s="136">
        <f t="shared" si="194"/>
        <v>29969</v>
      </c>
      <c r="BF671" s="136">
        <f t="shared" si="194"/>
        <v>0</v>
      </c>
      <c r="BG671" s="136">
        <f t="shared" si="194"/>
        <v>0</v>
      </c>
      <c r="BH671" s="136">
        <f t="shared" si="194"/>
        <v>0</v>
      </c>
      <c r="BI671" s="136">
        <f t="shared" si="194"/>
        <v>0</v>
      </c>
      <c r="BJ671" s="136">
        <f t="shared" si="194"/>
        <v>-772365</v>
      </c>
      <c r="BK671" s="136">
        <f t="shared" si="194"/>
        <v>0</v>
      </c>
      <c r="BL671" s="136">
        <f t="shared" si="194"/>
        <v>0</v>
      </c>
      <c r="BM671" s="136">
        <f t="shared" si="194"/>
        <v>0</v>
      </c>
      <c r="BN671" s="136">
        <f t="shared" si="194"/>
        <v>0</v>
      </c>
      <c r="BO671" s="136">
        <f t="shared" si="194"/>
        <v>-3033077</v>
      </c>
      <c r="BP671" s="136">
        <f t="shared" si="194"/>
        <v>0</v>
      </c>
      <c r="BQ671" s="136">
        <f t="shared" si="194"/>
        <v>0</v>
      </c>
      <c r="BR671" s="136">
        <f t="shared" si="194"/>
        <v>0</v>
      </c>
      <c r="BS671" s="136">
        <f t="shared" si="195"/>
        <v>0</v>
      </c>
      <c r="BT671" s="136">
        <f t="shared" si="195"/>
        <v>6082343</v>
      </c>
      <c r="BU671" s="136">
        <f t="shared" si="195"/>
        <v>0</v>
      </c>
      <c r="BV671" s="136">
        <f t="shared" si="195"/>
        <v>0</v>
      </c>
      <c r="BW671" s="136">
        <f t="shared" si="195"/>
        <v>0</v>
      </c>
      <c r="BX671" s="136">
        <f t="shared" si="195"/>
        <v>0</v>
      </c>
      <c r="BZ671" s="136">
        <f t="shared" si="196"/>
        <v>0</v>
      </c>
      <c r="CA671" s="136">
        <f t="shared" si="196"/>
        <v>0</v>
      </c>
    </row>
    <row r="672" spans="7:79" hidden="1" x14ac:dyDescent="0.3">
      <c r="G672" s="136">
        <f t="shared" si="194"/>
        <v>0</v>
      </c>
      <c r="H672" s="136">
        <f t="shared" si="194"/>
        <v>0</v>
      </c>
      <c r="I672" s="136">
        <f t="shared" si="194"/>
        <v>0</v>
      </c>
      <c r="J672" s="136">
        <f t="shared" si="194"/>
        <v>0</v>
      </c>
      <c r="K672" s="136">
        <f t="shared" si="194"/>
        <v>0</v>
      </c>
      <c r="L672" s="136">
        <f t="shared" si="194"/>
        <v>0</v>
      </c>
      <c r="M672" s="136">
        <f t="shared" si="194"/>
        <v>0</v>
      </c>
      <c r="N672" s="136">
        <f t="shared" si="194"/>
        <v>0</v>
      </c>
      <c r="O672" s="136">
        <f t="shared" si="194"/>
        <v>0</v>
      </c>
      <c r="P672" s="136">
        <f t="shared" si="194"/>
        <v>0</v>
      </c>
      <c r="Q672" s="136">
        <f t="shared" si="194"/>
        <v>0</v>
      </c>
      <c r="R672" s="136">
        <f t="shared" si="194"/>
        <v>0</v>
      </c>
      <c r="S672" s="136">
        <f t="shared" si="194"/>
        <v>0</v>
      </c>
      <c r="T672" s="136">
        <f t="shared" si="194"/>
        <v>0</v>
      </c>
      <c r="U672" s="136">
        <f t="shared" si="194"/>
        <v>0</v>
      </c>
      <c r="V672" s="136">
        <f t="shared" si="194"/>
        <v>0</v>
      </c>
      <c r="W672" s="136">
        <f t="shared" si="194"/>
        <v>0</v>
      </c>
      <c r="X672" s="136">
        <f t="shared" si="194"/>
        <v>0</v>
      </c>
      <c r="Y672" s="136">
        <f t="shared" si="194"/>
        <v>0</v>
      </c>
      <c r="Z672" s="136">
        <f t="shared" si="194"/>
        <v>0</v>
      </c>
      <c r="AA672" s="136">
        <f t="shared" si="194"/>
        <v>0</v>
      </c>
      <c r="AB672" s="136">
        <f t="shared" si="194"/>
        <v>0</v>
      </c>
      <c r="AC672" s="136">
        <f t="shared" si="194"/>
        <v>0</v>
      </c>
      <c r="AD672" s="136">
        <f t="shared" si="194"/>
        <v>0</v>
      </c>
      <c r="AE672" s="136">
        <f t="shared" si="194"/>
        <v>0</v>
      </c>
      <c r="AF672" s="136">
        <f t="shared" si="194"/>
        <v>0</v>
      </c>
      <c r="AG672" s="136">
        <f t="shared" si="194"/>
        <v>0</v>
      </c>
      <c r="AH672" s="136">
        <f t="shared" si="194"/>
        <v>0</v>
      </c>
      <c r="AI672" s="136">
        <f t="shared" si="194"/>
        <v>0</v>
      </c>
      <c r="AJ672" s="136">
        <f t="shared" si="194"/>
        <v>0</v>
      </c>
      <c r="AK672" s="136">
        <f t="shared" si="194"/>
        <v>0</v>
      </c>
      <c r="AL672" s="136">
        <f t="shared" si="194"/>
        <v>0</v>
      </c>
      <c r="AM672" s="136">
        <f t="shared" si="194"/>
        <v>0</v>
      </c>
      <c r="AN672" s="136">
        <f t="shared" si="194"/>
        <v>0</v>
      </c>
      <c r="AO672" s="136">
        <f t="shared" si="194"/>
        <v>0</v>
      </c>
      <c r="AP672" s="136">
        <f t="shared" si="194"/>
        <v>0</v>
      </c>
      <c r="AQ672" s="136">
        <f t="shared" si="194"/>
        <v>0</v>
      </c>
      <c r="AR672" s="136">
        <f t="shared" si="194"/>
        <v>0</v>
      </c>
      <c r="AS672" s="136">
        <f t="shared" si="194"/>
        <v>0</v>
      </c>
      <c r="AT672" s="136">
        <f t="shared" si="194"/>
        <v>0</v>
      </c>
      <c r="AU672" s="136">
        <f t="shared" si="194"/>
        <v>0</v>
      </c>
      <c r="AV672" s="136">
        <f t="shared" si="194"/>
        <v>0</v>
      </c>
      <c r="AW672" s="136">
        <f t="shared" si="194"/>
        <v>0</v>
      </c>
      <c r="AX672" s="136">
        <f t="shared" si="194"/>
        <v>0</v>
      </c>
      <c r="AY672" s="136">
        <f t="shared" si="194"/>
        <v>0</v>
      </c>
      <c r="AZ672" s="136">
        <f t="shared" si="194"/>
        <v>0</v>
      </c>
      <c r="BA672" s="136">
        <f t="shared" si="194"/>
        <v>0</v>
      </c>
      <c r="BB672" s="136">
        <f t="shared" si="194"/>
        <v>0</v>
      </c>
      <c r="BC672" s="136">
        <f t="shared" si="194"/>
        <v>0</v>
      </c>
      <c r="BD672" s="136">
        <f t="shared" si="194"/>
        <v>0</v>
      </c>
      <c r="BE672" s="136">
        <f t="shared" si="194"/>
        <v>0</v>
      </c>
      <c r="BF672" s="136">
        <f t="shared" si="194"/>
        <v>0</v>
      </c>
      <c r="BG672" s="136">
        <f t="shared" si="194"/>
        <v>0</v>
      </c>
      <c r="BH672" s="136">
        <f t="shared" si="194"/>
        <v>0</v>
      </c>
      <c r="BI672" s="136">
        <f t="shared" si="194"/>
        <v>0</v>
      </c>
      <c r="BJ672" s="136">
        <f t="shared" si="194"/>
        <v>0</v>
      </c>
      <c r="BK672" s="136">
        <f t="shared" si="194"/>
        <v>0</v>
      </c>
      <c r="BL672" s="136">
        <f t="shared" si="194"/>
        <v>0</v>
      </c>
      <c r="BM672" s="136">
        <f t="shared" si="194"/>
        <v>0</v>
      </c>
      <c r="BN672" s="136">
        <f t="shared" si="194"/>
        <v>0</v>
      </c>
      <c r="BO672" s="136">
        <f t="shared" si="194"/>
        <v>0</v>
      </c>
      <c r="BP672" s="136">
        <f t="shared" si="194"/>
        <v>0</v>
      </c>
      <c r="BQ672" s="136">
        <f t="shared" si="194"/>
        <v>0</v>
      </c>
      <c r="BR672" s="136">
        <f t="shared" si="194"/>
        <v>0</v>
      </c>
      <c r="BS672" s="136">
        <f t="shared" si="195"/>
        <v>0</v>
      </c>
      <c r="BT672" s="136">
        <f t="shared" si="195"/>
        <v>0</v>
      </c>
      <c r="BU672" s="136">
        <f t="shared" si="195"/>
        <v>0</v>
      </c>
      <c r="BV672" s="136">
        <f t="shared" si="195"/>
        <v>0</v>
      </c>
      <c r="BW672" s="136">
        <f t="shared" si="195"/>
        <v>0</v>
      </c>
      <c r="BX672" s="136">
        <f t="shared" si="195"/>
        <v>0</v>
      </c>
      <c r="BZ672" s="136">
        <f t="shared" si="196"/>
        <v>0</v>
      </c>
      <c r="CA672" s="136">
        <f t="shared" si="196"/>
        <v>0</v>
      </c>
    </row>
    <row r="673" spans="7:79" hidden="1" x14ac:dyDescent="0.3">
      <c r="G673" s="136">
        <f t="shared" si="194"/>
        <v>0</v>
      </c>
      <c r="H673" s="136">
        <f t="shared" si="194"/>
        <v>0</v>
      </c>
      <c r="I673" s="136">
        <f t="shared" si="194"/>
        <v>0</v>
      </c>
      <c r="J673" s="136">
        <f t="shared" si="194"/>
        <v>0</v>
      </c>
      <c r="K673" s="136">
        <f t="shared" si="194"/>
        <v>0</v>
      </c>
      <c r="L673" s="136">
        <f t="shared" si="194"/>
        <v>0</v>
      </c>
      <c r="M673" s="136">
        <f t="shared" si="194"/>
        <v>0</v>
      </c>
      <c r="N673" s="136">
        <f t="shared" si="194"/>
        <v>0</v>
      </c>
      <c r="O673" s="136">
        <f t="shared" si="194"/>
        <v>0</v>
      </c>
      <c r="P673" s="136">
        <f t="shared" si="194"/>
        <v>0</v>
      </c>
      <c r="Q673" s="136">
        <f t="shared" si="194"/>
        <v>0</v>
      </c>
      <c r="R673" s="136">
        <f t="shared" si="194"/>
        <v>0</v>
      </c>
      <c r="S673" s="136">
        <f t="shared" si="194"/>
        <v>0</v>
      </c>
      <c r="T673" s="136">
        <f t="shared" si="194"/>
        <v>0</v>
      </c>
      <c r="U673" s="136">
        <f t="shared" si="194"/>
        <v>0</v>
      </c>
      <c r="V673" s="136">
        <f t="shared" si="194"/>
        <v>0</v>
      </c>
      <c r="W673" s="136">
        <f t="shared" si="194"/>
        <v>0</v>
      </c>
      <c r="X673" s="136">
        <f t="shared" si="194"/>
        <v>0</v>
      </c>
      <c r="Y673" s="136">
        <f t="shared" si="194"/>
        <v>0</v>
      </c>
      <c r="Z673" s="136">
        <f t="shared" si="194"/>
        <v>0</v>
      </c>
      <c r="AA673" s="136">
        <f t="shared" si="194"/>
        <v>0</v>
      </c>
      <c r="AB673" s="136">
        <f t="shared" si="194"/>
        <v>0</v>
      </c>
      <c r="AC673" s="136">
        <f t="shared" si="194"/>
        <v>0</v>
      </c>
      <c r="AD673" s="136">
        <f t="shared" si="194"/>
        <v>0</v>
      </c>
      <c r="AE673" s="136">
        <f t="shared" si="194"/>
        <v>0</v>
      </c>
      <c r="AF673" s="136">
        <f t="shared" si="194"/>
        <v>0</v>
      </c>
      <c r="AG673" s="136">
        <f t="shared" si="194"/>
        <v>0</v>
      </c>
      <c r="AH673" s="136">
        <f t="shared" si="194"/>
        <v>0</v>
      </c>
      <c r="AI673" s="136">
        <f t="shared" si="194"/>
        <v>0</v>
      </c>
      <c r="AJ673" s="136">
        <f t="shared" si="194"/>
        <v>0</v>
      </c>
      <c r="AK673" s="136">
        <f t="shared" si="194"/>
        <v>0</v>
      </c>
      <c r="AL673" s="136">
        <f t="shared" si="194"/>
        <v>0</v>
      </c>
      <c r="AM673" s="136">
        <f t="shared" si="194"/>
        <v>0</v>
      </c>
      <c r="AN673" s="136">
        <f t="shared" si="194"/>
        <v>0</v>
      </c>
      <c r="AO673" s="136">
        <f t="shared" si="194"/>
        <v>0</v>
      </c>
      <c r="AP673" s="136">
        <f t="shared" si="194"/>
        <v>0</v>
      </c>
      <c r="AQ673" s="136">
        <f t="shared" si="194"/>
        <v>0</v>
      </c>
      <c r="AR673" s="136">
        <f t="shared" si="194"/>
        <v>0</v>
      </c>
      <c r="AS673" s="136">
        <f t="shared" si="194"/>
        <v>0</v>
      </c>
      <c r="AT673" s="136">
        <f t="shared" si="194"/>
        <v>0</v>
      </c>
      <c r="AU673" s="136">
        <f t="shared" si="194"/>
        <v>0</v>
      </c>
      <c r="AV673" s="136">
        <f t="shared" si="194"/>
        <v>0</v>
      </c>
      <c r="AW673" s="136">
        <f t="shared" si="194"/>
        <v>0</v>
      </c>
      <c r="AX673" s="136">
        <f t="shared" si="194"/>
        <v>0</v>
      </c>
      <c r="AY673" s="136">
        <f t="shared" si="194"/>
        <v>0</v>
      </c>
      <c r="AZ673" s="136">
        <f t="shared" si="194"/>
        <v>0</v>
      </c>
      <c r="BA673" s="136">
        <f t="shared" si="194"/>
        <v>0</v>
      </c>
      <c r="BB673" s="136">
        <f t="shared" si="194"/>
        <v>0</v>
      </c>
      <c r="BC673" s="136">
        <f t="shared" si="194"/>
        <v>0</v>
      </c>
      <c r="BD673" s="136">
        <f t="shared" si="194"/>
        <v>0</v>
      </c>
      <c r="BE673" s="136">
        <f t="shared" si="194"/>
        <v>0</v>
      </c>
      <c r="BF673" s="136">
        <f t="shared" si="194"/>
        <v>0</v>
      </c>
      <c r="BG673" s="136">
        <f t="shared" si="194"/>
        <v>0</v>
      </c>
      <c r="BH673" s="136">
        <f t="shared" si="194"/>
        <v>0</v>
      </c>
      <c r="BI673" s="136">
        <f t="shared" si="194"/>
        <v>0</v>
      </c>
      <c r="BJ673" s="136">
        <f t="shared" si="194"/>
        <v>0</v>
      </c>
      <c r="BK673" s="136">
        <f t="shared" si="194"/>
        <v>0</v>
      </c>
      <c r="BL673" s="136">
        <f t="shared" si="194"/>
        <v>0</v>
      </c>
      <c r="BM673" s="136">
        <f t="shared" si="194"/>
        <v>0</v>
      </c>
      <c r="BN673" s="136">
        <f t="shared" si="194"/>
        <v>0</v>
      </c>
      <c r="BO673" s="136">
        <f t="shared" si="194"/>
        <v>0</v>
      </c>
      <c r="BP673" s="136">
        <f t="shared" si="194"/>
        <v>0</v>
      </c>
      <c r="BQ673" s="136">
        <f t="shared" si="194"/>
        <v>0</v>
      </c>
      <c r="BR673" s="136">
        <f t="shared" ref="BR673:BX688" si="197">BR316-EJ316</f>
        <v>0</v>
      </c>
      <c r="BS673" s="136">
        <f t="shared" si="195"/>
        <v>0</v>
      </c>
      <c r="BT673" s="136">
        <f t="shared" si="195"/>
        <v>0</v>
      </c>
      <c r="BU673" s="136">
        <f t="shared" si="195"/>
        <v>0</v>
      </c>
      <c r="BV673" s="136">
        <f t="shared" si="195"/>
        <v>0</v>
      </c>
      <c r="BW673" s="136">
        <f t="shared" si="195"/>
        <v>0</v>
      </c>
      <c r="BX673" s="136">
        <f t="shared" si="195"/>
        <v>0</v>
      </c>
      <c r="BZ673" s="136">
        <f t="shared" si="196"/>
        <v>0</v>
      </c>
      <c r="CA673" s="136">
        <f t="shared" si="196"/>
        <v>0</v>
      </c>
    </row>
    <row r="674" spans="7:79" hidden="1" x14ac:dyDescent="0.3">
      <c r="G674" s="136">
        <f t="shared" ref="G674:BQ678" si="198">G317-BY317</f>
        <v>0</v>
      </c>
      <c r="H674" s="136">
        <f t="shared" si="198"/>
        <v>0</v>
      </c>
      <c r="I674" s="136">
        <f t="shared" si="198"/>
        <v>0</v>
      </c>
      <c r="J674" s="136">
        <f t="shared" si="198"/>
        <v>0</v>
      </c>
      <c r="K674" s="136">
        <f t="shared" si="198"/>
        <v>0</v>
      </c>
      <c r="L674" s="136">
        <f t="shared" si="198"/>
        <v>0</v>
      </c>
      <c r="M674" s="136">
        <f t="shared" si="198"/>
        <v>0</v>
      </c>
      <c r="N674" s="136">
        <f t="shared" si="198"/>
        <v>0</v>
      </c>
      <c r="O674" s="136">
        <f t="shared" si="198"/>
        <v>0</v>
      </c>
      <c r="P674" s="136">
        <f t="shared" si="198"/>
        <v>0</v>
      </c>
      <c r="Q674" s="136">
        <f t="shared" si="198"/>
        <v>0</v>
      </c>
      <c r="R674" s="136">
        <f t="shared" si="198"/>
        <v>0</v>
      </c>
      <c r="S674" s="136">
        <f t="shared" si="198"/>
        <v>0</v>
      </c>
      <c r="T674" s="136">
        <f t="shared" si="198"/>
        <v>0</v>
      </c>
      <c r="U674" s="136">
        <f t="shared" si="198"/>
        <v>0</v>
      </c>
      <c r="V674" s="136">
        <f t="shared" si="198"/>
        <v>0</v>
      </c>
      <c r="W674" s="136">
        <f t="shared" si="198"/>
        <v>0</v>
      </c>
      <c r="X674" s="136">
        <f t="shared" si="198"/>
        <v>0</v>
      </c>
      <c r="Y674" s="136">
        <f t="shared" si="198"/>
        <v>0</v>
      </c>
      <c r="Z674" s="136">
        <f t="shared" si="198"/>
        <v>0</v>
      </c>
      <c r="AA674" s="136">
        <f t="shared" si="198"/>
        <v>0</v>
      </c>
      <c r="AB674" s="136">
        <f t="shared" si="198"/>
        <v>0</v>
      </c>
      <c r="AC674" s="136">
        <f t="shared" si="198"/>
        <v>0</v>
      </c>
      <c r="AD674" s="136">
        <f t="shared" si="198"/>
        <v>0</v>
      </c>
      <c r="AE674" s="136">
        <f t="shared" si="198"/>
        <v>0</v>
      </c>
      <c r="AF674" s="136">
        <f t="shared" si="198"/>
        <v>0</v>
      </c>
      <c r="AG674" s="136">
        <f t="shared" si="198"/>
        <v>0</v>
      </c>
      <c r="AH674" s="136">
        <f t="shared" si="198"/>
        <v>0</v>
      </c>
      <c r="AI674" s="136">
        <f t="shared" si="198"/>
        <v>0</v>
      </c>
      <c r="AJ674" s="136">
        <f t="shared" si="198"/>
        <v>0</v>
      </c>
      <c r="AK674" s="136">
        <f t="shared" si="198"/>
        <v>0</v>
      </c>
      <c r="AL674" s="136">
        <f t="shared" si="198"/>
        <v>0</v>
      </c>
      <c r="AM674" s="136">
        <f t="shared" si="198"/>
        <v>0</v>
      </c>
      <c r="AN674" s="136">
        <f t="shared" si="198"/>
        <v>0</v>
      </c>
      <c r="AO674" s="136">
        <f t="shared" si="198"/>
        <v>0</v>
      </c>
      <c r="AP674" s="136">
        <f t="shared" si="198"/>
        <v>0</v>
      </c>
      <c r="AQ674" s="136">
        <f t="shared" si="198"/>
        <v>0</v>
      </c>
      <c r="AR674" s="136">
        <f t="shared" si="198"/>
        <v>0</v>
      </c>
      <c r="AS674" s="136">
        <f t="shared" si="198"/>
        <v>0</v>
      </c>
      <c r="AT674" s="136">
        <f t="shared" si="198"/>
        <v>0</v>
      </c>
      <c r="AU674" s="136">
        <f t="shared" si="198"/>
        <v>0</v>
      </c>
      <c r="AV674" s="136">
        <f t="shared" si="198"/>
        <v>0</v>
      </c>
      <c r="AW674" s="136">
        <f t="shared" si="198"/>
        <v>0</v>
      </c>
      <c r="AX674" s="136">
        <f t="shared" si="198"/>
        <v>0</v>
      </c>
      <c r="AY674" s="136">
        <f t="shared" si="198"/>
        <v>0</v>
      </c>
      <c r="AZ674" s="136">
        <f t="shared" si="198"/>
        <v>0</v>
      </c>
      <c r="BA674" s="136">
        <f t="shared" si="198"/>
        <v>0</v>
      </c>
      <c r="BB674" s="136">
        <f t="shared" si="198"/>
        <v>0</v>
      </c>
      <c r="BC674" s="136">
        <f t="shared" si="198"/>
        <v>0</v>
      </c>
      <c r="BD674" s="136">
        <f t="shared" si="198"/>
        <v>0</v>
      </c>
      <c r="BE674" s="136">
        <f t="shared" si="198"/>
        <v>0</v>
      </c>
      <c r="BF674" s="136">
        <f t="shared" si="198"/>
        <v>0</v>
      </c>
      <c r="BG674" s="136">
        <f t="shared" si="198"/>
        <v>0</v>
      </c>
      <c r="BH674" s="136">
        <f t="shared" si="198"/>
        <v>0</v>
      </c>
      <c r="BI674" s="136">
        <f t="shared" si="198"/>
        <v>0</v>
      </c>
      <c r="BJ674" s="136">
        <f t="shared" si="198"/>
        <v>0</v>
      </c>
      <c r="BK674" s="136">
        <f t="shared" si="198"/>
        <v>0</v>
      </c>
      <c r="BL674" s="136">
        <f t="shared" si="198"/>
        <v>0</v>
      </c>
      <c r="BM674" s="136">
        <f t="shared" si="198"/>
        <v>0</v>
      </c>
      <c r="BN674" s="136">
        <f t="shared" si="198"/>
        <v>0</v>
      </c>
      <c r="BO674" s="136">
        <f t="shared" si="198"/>
        <v>0</v>
      </c>
      <c r="BP674" s="136">
        <f t="shared" si="198"/>
        <v>0</v>
      </c>
      <c r="BQ674" s="136">
        <f t="shared" si="198"/>
        <v>0</v>
      </c>
      <c r="BR674" s="136">
        <f t="shared" si="197"/>
        <v>0</v>
      </c>
      <c r="BS674" s="136">
        <f t="shared" si="195"/>
        <v>0</v>
      </c>
      <c r="BT674" s="136">
        <f t="shared" si="195"/>
        <v>0</v>
      </c>
      <c r="BU674" s="136">
        <f t="shared" si="195"/>
        <v>0</v>
      </c>
      <c r="BV674" s="136">
        <f t="shared" si="195"/>
        <v>0</v>
      </c>
      <c r="BW674" s="136">
        <f t="shared" si="195"/>
        <v>0</v>
      </c>
      <c r="BX674" s="136">
        <f t="shared" si="195"/>
        <v>0</v>
      </c>
      <c r="BZ674" s="136">
        <f t="shared" si="196"/>
        <v>0</v>
      </c>
      <c r="CA674" s="136">
        <f t="shared" si="196"/>
        <v>0</v>
      </c>
    </row>
    <row r="675" spans="7:79" hidden="1" x14ac:dyDescent="0.3">
      <c r="G675" s="136">
        <f t="shared" si="198"/>
        <v>0</v>
      </c>
      <c r="H675" s="136">
        <f t="shared" si="198"/>
        <v>0</v>
      </c>
      <c r="I675" s="136">
        <f t="shared" si="198"/>
        <v>0</v>
      </c>
      <c r="J675" s="136">
        <f t="shared" si="198"/>
        <v>0</v>
      </c>
      <c r="K675" s="136">
        <f t="shared" si="198"/>
        <v>0</v>
      </c>
      <c r="L675" s="136">
        <f t="shared" si="198"/>
        <v>0</v>
      </c>
      <c r="M675" s="136">
        <f t="shared" si="198"/>
        <v>0</v>
      </c>
      <c r="N675" s="136">
        <f t="shared" si="198"/>
        <v>0</v>
      </c>
      <c r="O675" s="136">
        <f t="shared" si="198"/>
        <v>0</v>
      </c>
      <c r="P675" s="136">
        <f t="shared" si="198"/>
        <v>0</v>
      </c>
      <c r="Q675" s="136">
        <f t="shared" si="198"/>
        <v>0</v>
      </c>
      <c r="R675" s="136">
        <f t="shared" si="198"/>
        <v>0</v>
      </c>
      <c r="S675" s="136">
        <f t="shared" si="198"/>
        <v>0</v>
      </c>
      <c r="T675" s="136">
        <f t="shared" si="198"/>
        <v>0</v>
      </c>
      <c r="U675" s="136">
        <f t="shared" si="198"/>
        <v>0</v>
      </c>
      <c r="V675" s="136">
        <f t="shared" si="198"/>
        <v>0</v>
      </c>
      <c r="W675" s="136">
        <f t="shared" si="198"/>
        <v>0</v>
      </c>
      <c r="X675" s="136">
        <f t="shared" si="198"/>
        <v>0</v>
      </c>
      <c r="Y675" s="136">
        <f t="shared" si="198"/>
        <v>0</v>
      </c>
      <c r="Z675" s="136">
        <f t="shared" si="198"/>
        <v>0</v>
      </c>
      <c r="AA675" s="136">
        <f t="shared" si="198"/>
        <v>0</v>
      </c>
      <c r="AB675" s="136">
        <f t="shared" si="198"/>
        <v>0</v>
      </c>
      <c r="AC675" s="136">
        <f t="shared" si="198"/>
        <v>0</v>
      </c>
      <c r="AD675" s="136">
        <f t="shared" si="198"/>
        <v>0</v>
      </c>
      <c r="AE675" s="136">
        <f t="shared" si="198"/>
        <v>0</v>
      </c>
      <c r="AF675" s="136">
        <f t="shared" si="198"/>
        <v>0</v>
      </c>
      <c r="AG675" s="136">
        <f t="shared" si="198"/>
        <v>0</v>
      </c>
      <c r="AH675" s="136">
        <f t="shared" si="198"/>
        <v>0</v>
      </c>
      <c r="AI675" s="136">
        <f t="shared" si="198"/>
        <v>0</v>
      </c>
      <c r="AJ675" s="136">
        <f t="shared" si="198"/>
        <v>0</v>
      </c>
      <c r="AK675" s="136">
        <f t="shared" si="198"/>
        <v>0</v>
      </c>
      <c r="AL675" s="136">
        <f t="shared" si="198"/>
        <v>0</v>
      </c>
      <c r="AM675" s="136">
        <f t="shared" si="198"/>
        <v>0</v>
      </c>
      <c r="AN675" s="136">
        <f t="shared" si="198"/>
        <v>0</v>
      </c>
      <c r="AO675" s="136">
        <f t="shared" si="198"/>
        <v>0</v>
      </c>
      <c r="AP675" s="136">
        <f t="shared" si="198"/>
        <v>0</v>
      </c>
      <c r="AQ675" s="136">
        <f t="shared" si="198"/>
        <v>0</v>
      </c>
      <c r="AR675" s="136">
        <f t="shared" si="198"/>
        <v>0</v>
      </c>
      <c r="AS675" s="136">
        <f t="shared" si="198"/>
        <v>0</v>
      </c>
      <c r="AT675" s="136">
        <f t="shared" si="198"/>
        <v>0</v>
      </c>
      <c r="AU675" s="136">
        <f t="shared" si="198"/>
        <v>0</v>
      </c>
      <c r="AV675" s="136">
        <f t="shared" si="198"/>
        <v>0</v>
      </c>
      <c r="AW675" s="136">
        <f t="shared" si="198"/>
        <v>0</v>
      </c>
      <c r="AX675" s="136">
        <f t="shared" si="198"/>
        <v>0</v>
      </c>
      <c r="AY675" s="136">
        <f t="shared" si="198"/>
        <v>0</v>
      </c>
      <c r="AZ675" s="136">
        <f t="shared" si="198"/>
        <v>0</v>
      </c>
      <c r="BA675" s="136">
        <f t="shared" si="198"/>
        <v>0</v>
      </c>
      <c r="BB675" s="136">
        <f t="shared" si="198"/>
        <v>0</v>
      </c>
      <c r="BC675" s="136">
        <f t="shared" si="198"/>
        <v>0</v>
      </c>
      <c r="BD675" s="136">
        <f t="shared" si="198"/>
        <v>0</v>
      </c>
      <c r="BE675" s="136">
        <f t="shared" si="198"/>
        <v>0</v>
      </c>
      <c r="BF675" s="136">
        <f t="shared" si="198"/>
        <v>0</v>
      </c>
      <c r="BG675" s="136">
        <f t="shared" si="198"/>
        <v>0</v>
      </c>
      <c r="BH675" s="136">
        <f t="shared" si="198"/>
        <v>0</v>
      </c>
      <c r="BI675" s="136">
        <f t="shared" si="198"/>
        <v>0</v>
      </c>
      <c r="BJ675" s="136">
        <f t="shared" si="198"/>
        <v>0</v>
      </c>
      <c r="BK675" s="136">
        <f t="shared" si="198"/>
        <v>0</v>
      </c>
      <c r="BL675" s="136">
        <f t="shared" si="198"/>
        <v>0</v>
      </c>
      <c r="BM675" s="136">
        <f t="shared" si="198"/>
        <v>0</v>
      </c>
      <c r="BN675" s="136">
        <f t="shared" si="198"/>
        <v>0</v>
      </c>
      <c r="BO675" s="136">
        <f t="shared" si="198"/>
        <v>0</v>
      </c>
      <c r="BP675" s="136">
        <f t="shared" si="198"/>
        <v>0</v>
      </c>
      <c r="BQ675" s="136">
        <f t="shared" si="198"/>
        <v>0</v>
      </c>
      <c r="BR675" s="136">
        <f t="shared" si="197"/>
        <v>0</v>
      </c>
      <c r="BS675" s="136">
        <f t="shared" si="195"/>
        <v>0</v>
      </c>
      <c r="BT675" s="136">
        <f t="shared" si="195"/>
        <v>0</v>
      </c>
      <c r="BU675" s="136">
        <f t="shared" si="195"/>
        <v>0</v>
      </c>
      <c r="BV675" s="136">
        <f t="shared" si="195"/>
        <v>0</v>
      </c>
      <c r="BW675" s="136">
        <f t="shared" si="195"/>
        <v>0</v>
      </c>
      <c r="BX675" s="136">
        <f t="shared" si="195"/>
        <v>0</v>
      </c>
      <c r="BZ675" s="136">
        <f t="shared" si="196"/>
        <v>0</v>
      </c>
      <c r="CA675" s="136">
        <f t="shared" si="196"/>
        <v>0</v>
      </c>
    </row>
    <row r="676" spans="7:79" hidden="1" x14ac:dyDescent="0.3">
      <c r="G676" s="136">
        <f t="shared" si="198"/>
        <v>-42458</v>
      </c>
      <c r="H676" s="136">
        <f t="shared" si="198"/>
        <v>0</v>
      </c>
      <c r="I676" s="136">
        <f t="shared" si="198"/>
        <v>0</v>
      </c>
      <c r="J676" s="136">
        <f t="shared" si="198"/>
        <v>0</v>
      </c>
      <c r="K676" s="136">
        <f t="shared" si="198"/>
        <v>0</v>
      </c>
      <c r="L676" s="136">
        <f t="shared" si="198"/>
        <v>0</v>
      </c>
      <c r="M676" s="136">
        <f t="shared" si="198"/>
        <v>0</v>
      </c>
      <c r="N676" s="136">
        <f t="shared" si="198"/>
        <v>0</v>
      </c>
      <c r="O676" s="136">
        <f t="shared" si="198"/>
        <v>0</v>
      </c>
      <c r="P676" s="136">
        <f t="shared" si="198"/>
        <v>0</v>
      </c>
      <c r="Q676" s="136">
        <f t="shared" si="198"/>
        <v>0</v>
      </c>
      <c r="R676" s="136">
        <f t="shared" si="198"/>
        <v>0</v>
      </c>
      <c r="S676" s="136">
        <f t="shared" si="198"/>
        <v>0</v>
      </c>
      <c r="T676" s="136">
        <f t="shared" si="198"/>
        <v>0</v>
      </c>
      <c r="U676" s="136">
        <f t="shared" si="198"/>
        <v>0</v>
      </c>
      <c r="V676" s="136">
        <f t="shared" si="198"/>
        <v>0</v>
      </c>
      <c r="W676" s="136">
        <f t="shared" si="198"/>
        <v>0</v>
      </c>
      <c r="X676" s="136">
        <f t="shared" si="198"/>
        <v>0</v>
      </c>
      <c r="Y676" s="136">
        <f t="shared" si="198"/>
        <v>0</v>
      </c>
      <c r="Z676" s="136">
        <f t="shared" si="198"/>
        <v>0</v>
      </c>
      <c r="AA676" s="136">
        <f t="shared" si="198"/>
        <v>0</v>
      </c>
      <c r="AB676" s="136">
        <f t="shared" si="198"/>
        <v>0</v>
      </c>
      <c r="AC676" s="136">
        <f t="shared" si="198"/>
        <v>0</v>
      </c>
      <c r="AD676" s="136">
        <f t="shared" si="198"/>
        <v>0</v>
      </c>
      <c r="AE676" s="136">
        <f t="shared" si="198"/>
        <v>0</v>
      </c>
      <c r="AF676" s="136">
        <f t="shared" si="198"/>
        <v>0</v>
      </c>
      <c r="AG676" s="136">
        <f t="shared" si="198"/>
        <v>0</v>
      </c>
      <c r="AH676" s="136">
        <f t="shared" si="198"/>
        <v>0</v>
      </c>
      <c r="AI676" s="136">
        <f t="shared" si="198"/>
        <v>0</v>
      </c>
      <c r="AJ676" s="136">
        <f t="shared" si="198"/>
        <v>0</v>
      </c>
      <c r="AK676" s="136">
        <f t="shared" si="198"/>
        <v>0</v>
      </c>
      <c r="AL676" s="136">
        <f t="shared" si="198"/>
        <v>0</v>
      </c>
      <c r="AM676" s="136">
        <f t="shared" si="198"/>
        <v>0</v>
      </c>
      <c r="AN676" s="136">
        <f t="shared" si="198"/>
        <v>0</v>
      </c>
      <c r="AO676" s="136">
        <f t="shared" si="198"/>
        <v>0</v>
      </c>
      <c r="AP676" s="136">
        <f t="shared" si="198"/>
        <v>0</v>
      </c>
      <c r="AQ676" s="136">
        <f t="shared" si="198"/>
        <v>0</v>
      </c>
      <c r="AR676" s="136">
        <f t="shared" si="198"/>
        <v>0</v>
      </c>
      <c r="AS676" s="136">
        <f t="shared" si="198"/>
        <v>0</v>
      </c>
      <c r="AT676" s="136">
        <f t="shared" si="198"/>
        <v>0</v>
      </c>
      <c r="AU676" s="136">
        <f t="shared" si="198"/>
        <v>0</v>
      </c>
      <c r="AV676" s="136">
        <f t="shared" si="198"/>
        <v>0</v>
      </c>
      <c r="AW676" s="136">
        <f t="shared" si="198"/>
        <v>0</v>
      </c>
      <c r="AX676" s="136">
        <f t="shared" si="198"/>
        <v>0</v>
      </c>
      <c r="AY676" s="136">
        <f t="shared" si="198"/>
        <v>0</v>
      </c>
      <c r="AZ676" s="136">
        <f t="shared" si="198"/>
        <v>0</v>
      </c>
      <c r="BA676" s="136">
        <f t="shared" si="198"/>
        <v>0</v>
      </c>
      <c r="BB676" s="136">
        <f t="shared" si="198"/>
        <v>0</v>
      </c>
      <c r="BC676" s="136">
        <f t="shared" si="198"/>
        <v>0</v>
      </c>
      <c r="BD676" s="136">
        <f t="shared" si="198"/>
        <v>0</v>
      </c>
      <c r="BE676" s="136">
        <f t="shared" si="198"/>
        <v>0</v>
      </c>
      <c r="BF676" s="136">
        <f t="shared" si="198"/>
        <v>0</v>
      </c>
      <c r="BG676" s="136">
        <f t="shared" si="198"/>
        <v>0</v>
      </c>
      <c r="BH676" s="136">
        <f t="shared" si="198"/>
        <v>0</v>
      </c>
      <c r="BI676" s="136">
        <f t="shared" si="198"/>
        <v>0</v>
      </c>
      <c r="BJ676" s="136">
        <f t="shared" si="198"/>
        <v>0</v>
      </c>
      <c r="BK676" s="136">
        <f t="shared" si="198"/>
        <v>0</v>
      </c>
      <c r="BL676" s="136">
        <f t="shared" si="198"/>
        <v>0</v>
      </c>
      <c r="BM676" s="136">
        <f t="shared" si="198"/>
        <v>0</v>
      </c>
      <c r="BN676" s="136">
        <f t="shared" si="198"/>
        <v>0</v>
      </c>
      <c r="BO676" s="136">
        <f t="shared" si="198"/>
        <v>-42458</v>
      </c>
      <c r="BP676" s="136">
        <f t="shared" si="198"/>
        <v>0</v>
      </c>
      <c r="BQ676" s="136">
        <f t="shared" si="198"/>
        <v>0</v>
      </c>
      <c r="BR676" s="136">
        <f t="shared" si="197"/>
        <v>0</v>
      </c>
      <c r="BS676" s="136">
        <f t="shared" si="195"/>
        <v>0</v>
      </c>
      <c r="BT676" s="136">
        <f t="shared" si="195"/>
        <v>0</v>
      </c>
      <c r="BU676" s="136">
        <f t="shared" si="195"/>
        <v>0</v>
      </c>
      <c r="BV676" s="136">
        <f t="shared" si="195"/>
        <v>0</v>
      </c>
      <c r="BW676" s="136">
        <f t="shared" si="195"/>
        <v>0</v>
      </c>
      <c r="BX676" s="136">
        <f t="shared" si="195"/>
        <v>0</v>
      </c>
      <c r="BZ676" s="136">
        <f t="shared" si="196"/>
        <v>0</v>
      </c>
      <c r="CA676" s="136">
        <f t="shared" si="196"/>
        <v>0</v>
      </c>
    </row>
    <row r="677" spans="7:79" hidden="1" x14ac:dyDescent="0.3">
      <c r="G677" s="136">
        <f t="shared" si="198"/>
        <v>-42458</v>
      </c>
      <c r="H677" s="136">
        <f t="shared" si="198"/>
        <v>0</v>
      </c>
      <c r="I677" s="136">
        <f t="shared" si="198"/>
        <v>0</v>
      </c>
      <c r="J677" s="136">
        <f t="shared" si="198"/>
        <v>0</v>
      </c>
      <c r="K677" s="136">
        <f t="shared" si="198"/>
        <v>0</v>
      </c>
      <c r="L677" s="136">
        <f t="shared" si="198"/>
        <v>0</v>
      </c>
      <c r="M677" s="136">
        <f t="shared" si="198"/>
        <v>0</v>
      </c>
      <c r="N677" s="136">
        <f t="shared" si="198"/>
        <v>0</v>
      </c>
      <c r="O677" s="136">
        <f t="shared" si="198"/>
        <v>0</v>
      </c>
      <c r="P677" s="136">
        <f t="shared" si="198"/>
        <v>0</v>
      </c>
      <c r="Q677" s="136">
        <f t="shared" si="198"/>
        <v>0</v>
      </c>
      <c r="R677" s="136">
        <f t="shared" si="198"/>
        <v>0</v>
      </c>
      <c r="S677" s="136">
        <f t="shared" si="198"/>
        <v>0</v>
      </c>
      <c r="T677" s="136">
        <f t="shared" si="198"/>
        <v>0</v>
      </c>
      <c r="U677" s="136">
        <f t="shared" si="198"/>
        <v>0</v>
      </c>
      <c r="V677" s="136">
        <f t="shared" si="198"/>
        <v>0</v>
      </c>
      <c r="W677" s="136">
        <f t="shared" si="198"/>
        <v>0</v>
      </c>
      <c r="X677" s="136">
        <f t="shared" si="198"/>
        <v>0</v>
      </c>
      <c r="Y677" s="136">
        <f t="shared" si="198"/>
        <v>0</v>
      </c>
      <c r="Z677" s="136">
        <f t="shared" si="198"/>
        <v>0</v>
      </c>
      <c r="AA677" s="136">
        <f t="shared" si="198"/>
        <v>0</v>
      </c>
      <c r="AB677" s="136">
        <f t="shared" si="198"/>
        <v>0</v>
      </c>
      <c r="AC677" s="136">
        <f t="shared" si="198"/>
        <v>0</v>
      </c>
      <c r="AD677" s="136">
        <f t="shared" si="198"/>
        <v>0</v>
      </c>
      <c r="AE677" s="136">
        <f t="shared" si="198"/>
        <v>0</v>
      </c>
      <c r="AF677" s="136">
        <f t="shared" si="198"/>
        <v>0</v>
      </c>
      <c r="AG677" s="136">
        <f t="shared" si="198"/>
        <v>0</v>
      </c>
      <c r="AH677" s="136">
        <f t="shared" si="198"/>
        <v>0</v>
      </c>
      <c r="AI677" s="136">
        <f t="shared" si="198"/>
        <v>0</v>
      </c>
      <c r="AJ677" s="136">
        <f t="shared" si="198"/>
        <v>0</v>
      </c>
      <c r="AK677" s="136">
        <f t="shared" si="198"/>
        <v>0</v>
      </c>
      <c r="AL677" s="136">
        <f t="shared" si="198"/>
        <v>0</v>
      </c>
      <c r="AM677" s="136">
        <f t="shared" si="198"/>
        <v>0</v>
      </c>
      <c r="AN677" s="136">
        <f t="shared" si="198"/>
        <v>0</v>
      </c>
      <c r="AO677" s="136">
        <f t="shared" si="198"/>
        <v>0</v>
      </c>
      <c r="AP677" s="136">
        <f t="shared" si="198"/>
        <v>0</v>
      </c>
      <c r="AQ677" s="136">
        <f t="shared" si="198"/>
        <v>0</v>
      </c>
      <c r="AR677" s="136">
        <f t="shared" si="198"/>
        <v>0</v>
      </c>
      <c r="AS677" s="136">
        <f t="shared" si="198"/>
        <v>0</v>
      </c>
      <c r="AT677" s="136">
        <f t="shared" si="198"/>
        <v>0</v>
      </c>
      <c r="AU677" s="136">
        <f t="shared" si="198"/>
        <v>0</v>
      </c>
      <c r="AV677" s="136">
        <f t="shared" si="198"/>
        <v>0</v>
      </c>
      <c r="AW677" s="136">
        <f t="shared" si="198"/>
        <v>0</v>
      </c>
      <c r="AX677" s="136">
        <f t="shared" si="198"/>
        <v>0</v>
      </c>
      <c r="AY677" s="136">
        <f t="shared" si="198"/>
        <v>0</v>
      </c>
      <c r="AZ677" s="136">
        <f t="shared" si="198"/>
        <v>0</v>
      </c>
      <c r="BA677" s="136">
        <f t="shared" si="198"/>
        <v>0</v>
      </c>
      <c r="BB677" s="136">
        <f t="shared" si="198"/>
        <v>0</v>
      </c>
      <c r="BC677" s="136">
        <f t="shared" si="198"/>
        <v>0</v>
      </c>
      <c r="BD677" s="136">
        <f t="shared" si="198"/>
        <v>0</v>
      </c>
      <c r="BE677" s="136">
        <f t="shared" si="198"/>
        <v>0</v>
      </c>
      <c r="BF677" s="136">
        <f t="shared" si="198"/>
        <v>0</v>
      </c>
      <c r="BG677" s="136">
        <f t="shared" si="198"/>
        <v>0</v>
      </c>
      <c r="BH677" s="136">
        <f t="shared" si="198"/>
        <v>0</v>
      </c>
      <c r="BI677" s="136">
        <f t="shared" si="198"/>
        <v>0</v>
      </c>
      <c r="BJ677" s="136">
        <f t="shared" si="198"/>
        <v>0</v>
      </c>
      <c r="BK677" s="136">
        <f t="shared" si="198"/>
        <v>0</v>
      </c>
      <c r="BL677" s="136">
        <f t="shared" si="198"/>
        <v>0</v>
      </c>
      <c r="BM677" s="136">
        <f t="shared" si="198"/>
        <v>0</v>
      </c>
      <c r="BN677" s="136">
        <f t="shared" si="198"/>
        <v>0</v>
      </c>
      <c r="BO677" s="136">
        <f t="shared" si="198"/>
        <v>-42458</v>
      </c>
      <c r="BP677" s="136">
        <f t="shared" si="198"/>
        <v>0</v>
      </c>
      <c r="BQ677" s="136">
        <f t="shared" si="198"/>
        <v>0</v>
      </c>
      <c r="BR677" s="136">
        <f t="shared" si="197"/>
        <v>0</v>
      </c>
      <c r="BS677" s="136">
        <f t="shared" si="195"/>
        <v>0</v>
      </c>
      <c r="BT677" s="136">
        <f t="shared" si="195"/>
        <v>0</v>
      </c>
      <c r="BU677" s="136">
        <f t="shared" si="195"/>
        <v>0</v>
      </c>
      <c r="BV677" s="136">
        <f t="shared" si="195"/>
        <v>0</v>
      </c>
      <c r="BW677" s="136">
        <f t="shared" si="195"/>
        <v>0</v>
      </c>
      <c r="BX677" s="136">
        <f t="shared" si="195"/>
        <v>0</v>
      </c>
      <c r="BZ677" s="136">
        <f t="shared" si="196"/>
        <v>0</v>
      </c>
      <c r="CA677" s="136">
        <f t="shared" si="196"/>
        <v>0</v>
      </c>
    </row>
    <row r="678" spans="7:79" hidden="1" x14ac:dyDescent="0.3">
      <c r="G678" s="136">
        <f t="shared" si="198"/>
        <v>0</v>
      </c>
      <c r="H678" s="136">
        <f t="shared" si="198"/>
        <v>0</v>
      </c>
      <c r="I678" s="136">
        <f t="shared" si="198"/>
        <v>0</v>
      </c>
      <c r="J678" s="136">
        <f t="shared" ref="J678:BQ682" si="199">J321-CB321</f>
        <v>0</v>
      </c>
      <c r="K678" s="136">
        <f t="shared" si="199"/>
        <v>0</v>
      </c>
      <c r="L678" s="136">
        <f t="shared" si="199"/>
        <v>0</v>
      </c>
      <c r="M678" s="136">
        <f t="shared" si="199"/>
        <v>0</v>
      </c>
      <c r="N678" s="136">
        <f t="shared" si="199"/>
        <v>0</v>
      </c>
      <c r="O678" s="136">
        <f t="shared" si="199"/>
        <v>0</v>
      </c>
      <c r="P678" s="136">
        <f t="shared" si="199"/>
        <v>0</v>
      </c>
      <c r="Q678" s="136">
        <f t="shared" si="199"/>
        <v>0</v>
      </c>
      <c r="R678" s="136">
        <f t="shared" si="199"/>
        <v>0</v>
      </c>
      <c r="S678" s="136">
        <f t="shared" si="199"/>
        <v>0</v>
      </c>
      <c r="T678" s="136">
        <f t="shared" si="199"/>
        <v>0</v>
      </c>
      <c r="U678" s="136">
        <f t="shared" si="199"/>
        <v>0</v>
      </c>
      <c r="V678" s="136">
        <f t="shared" si="199"/>
        <v>0</v>
      </c>
      <c r="W678" s="136">
        <f t="shared" si="199"/>
        <v>0</v>
      </c>
      <c r="X678" s="136">
        <f t="shared" si="199"/>
        <v>0</v>
      </c>
      <c r="Y678" s="136">
        <f t="shared" si="199"/>
        <v>0</v>
      </c>
      <c r="Z678" s="136">
        <f t="shared" si="199"/>
        <v>0</v>
      </c>
      <c r="AA678" s="136">
        <f t="shared" si="199"/>
        <v>0</v>
      </c>
      <c r="AB678" s="136">
        <f t="shared" si="199"/>
        <v>0</v>
      </c>
      <c r="AC678" s="136">
        <f t="shared" si="199"/>
        <v>0</v>
      </c>
      <c r="AD678" s="136">
        <f t="shared" si="199"/>
        <v>0</v>
      </c>
      <c r="AE678" s="136">
        <f t="shared" si="199"/>
        <v>0</v>
      </c>
      <c r="AF678" s="136">
        <f t="shared" si="199"/>
        <v>0</v>
      </c>
      <c r="AG678" s="136">
        <f t="shared" si="199"/>
        <v>0</v>
      </c>
      <c r="AH678" s="136">
        <f t="shared" si="199"/>
        <v>0</v>
      </c>
      <c r="AI678" s="136">
        <f t="shared" si="199"/>
        <v>0</v>
      </c>
      <c r="AJ678" s="136">
        <f t="shared" si="199"/>
        <v>0</v>
      </c>
      <c r="AK678" s="136">
        <f t="shared" si="199"/>
        <v>0</v>
      </c>
      <c r="AL678" s="136">
        <f t="shared" si="199"/>
        <v>0</v>
      </c>
      <c r="AM678" s="136">
        <f t="shared" si="199"/>
        <v>0</v>
      </c>
      <c r="AN678" s="136">
        <f t="shared" si="199"/>
        <v>0</v>
      </c>
      <c r="AO678" s="136">
        <f t="shared" si="199"/>
        <v>0</v>
      </c>
      <c r="AP678" s="136">
        <f t="shared" si="199"/>
        <v>0</v>
      </c>
      <c r="AQ678" s="136">
        <f t="shared" si="199"/>
        <v>0</v>
      </c>
      <c r="AR678" s="136">
        <f t="shared" si="199"/>
        <v>0</v>
      </c>
      <c r="AS678" s="136">
        <f t="shared" si="199"/>
        <v>0</v>
      </c>
      <c r="AT678" s="136">
        <f t="shared" si="199"/>
        <v>0</v>
      </c>
      <c r="AU678" s="136">
        <f t="shared" si="199"/>
        <v>0</v>
      </c>
      <c r="AV678" s="136">
        <f t="shared" si="199"/>
        <v>0</v>
      </c>
      <c r="AW678" s="136">
        <f t="shared" si="199"/>
        <v>0</v>
      </c>
      <c r="AX678" s="136">
        <f t="shared" si="199"/>
        <v>0</v>
      </c>
      <c r="AY678" s="136">
        <f t="shared" si="199"/>
        <v>0</v>
      </c>
      <c r="AZ678" s="136">
        <f t="shared" si="199"/>
        <v>0</v>
      </c>
      <c r="BA678" s="136">
        <f t="shared" si="199"/>
        <v>0</v>
      </c>
      <c r="BB678" s="136">
        <f t="shared" si="199"/>
        <v>0</v>
      </c>
      <c r="BC678" s="136">
        <f t="shared" si="199"/>
        <v>0</v>
      </c>
      <c r="BD678" s="136">
        <f t="shared" si="199"/>
        <v>0</v>
      </c>
      <c r="BE678" s="136">
        <f t="shared" si="199"/>
        <v>0</v>
      </c>
      <c r="BF678" s="136">
        <f t="shared" si="199"/>
        <v>0</v>
      </c>
      <c r="BG678" s="136">
        <f t="shared" si="199"/>
        <v>0</v>
      </c>
      <c r="BH678" s="136">
        <f t="shared" si="199"/>
        <v>0</v>
      </c>
      <c r="BI678" s="136">
        <f t="shared" si="199"/>
        <v>0</v>
      </c>
      <c r="BJ678" s="136">
        <f t="shared" si="199"/>
        <v>0</v>
      </c>
      <c r="BK678" s="136">
        <f t="shared" si="199"/>
        <v>0</v>
      </c>
      <c r="BL678" s="136">
        <f t="shared" si="199"/>
        <v>0</v>
      </c>
      <c r="BM678" s="136">
        <f t="shared" si="199"/>
        <v>0</v>
      </c>
      <c r="BN678" s="136">
        <f t="shared" si="199"/>
        <v>0</v>
      </c>
      <c r="BO678" s="136">
        <f t="shared" si="199"/>
        <v>0</v>
      </c>
      <c r="BP678" s="136">
        <f t="shared" si="199"/>
        <v>0</v>
      </c>
      <c r="BQ678" s="136">
        <f t="shared" si="199"/>
        <v>0</v>
      </c>
      <c r="BR678" s="136">
        <f t="shared" si="197"/>
        <v>0</v>
      </c>
      <c r="BS678" s="136">
        <f t="shared" si="195"/>
        <v>0</v>
      </c>
      <c r="BT678" s="136">
        <f t="shared" si="195"/>
        <v>0</v>
      </c>
      <c r="BU678" s="136">
        <f t="shared" si="195"/>
        <v>0</v>
      </c>
      <c r="BV678" s="136">
        <f t="shared" si="195"/>
        <v>0</v>
      </c>
      <c r="BW678" s="136">
        <f t="shared" si="195"/>
        <v>0</v>
      </c>
      <c r="BX678" s="136">
        <f t="shared" si="195"/>
        <v>0</v>
      </c>
      <c r="BZ678" s="136">
        <f t="shared" si="196"/>
        <v>0</v>
      </c>
      <c r="CA678" s="136">
        <f t="shared" si="196"/>
        <v>0</v>
      </c>
    </row>
    <row r="679" spans="7:79" hidden="1" x14ac:dyDescent="0.3">
      <c r="G679" s="136">
        <f t="shared" ref="G679:V694" si="200">G322-BY322</f>
        <v>0</v>
      </c>
      <c r="H679" s="136">
        <f t="shared" si="200"/>
        <v>0</v>
      </c>
      <c r="I679" s="136">
        <f t="shared" si="200"/>
        <v>0</v>
      </c>
      <c r="J679" s="136">
        <f t="shared" si="199"/>
        <v>0</v>
      </c>
      <c r="K679" s="136">
        <f t="shared" si="199"/>
        <v>0</v>
      </c>
      <c r="L679" s="136">
        <f t="shared" si="199"/>
        <v>0</v>
      </c>
      <c r="M679" s="136">
        <f t="shared" si="199"/>
        <v>0</v>
      </c>
      <c r="N679" s="136">
        <f t="shared" si="199"/>
        <v>0</v>
      </c>
      <c r="O679" s="136">
        <f t="shared" si="199"/>
        <v>0</v>
      </c>
      <c r="P679" s="136">
        <f t="shared" si="199"/>
        <v>0</v>
      </c>
      <c r="Q679" s="136">
        <f t="shared" si="199"/>
        <v>0</v>
      </c>
      <c r="R679" s="136">
        <f t="shared" si="199"/>
        <v>0</v>
      </c>
      <c r="S679" s="136">
        <f t="shared" si="199"/>
        <v>0</v>
      </c>
      <c r="T679" s="136">
        <f t="shared" si="199"/>
        <v>0</v>
      </c>
      <c r="U679" s="136">
        <f t="shared" si="199"/>
        <v>0</v>
      </c>
      <c r="V679" s="136">
        <f t="shared" si="199"/>
        <v>0</v>
      </c>
      <c r="W679" s="136">
        <f t="shared" si="199"/>
        <v>0</v>
      </c>
      <c r="X679" s="136">
        <f t="shared" si="199"/>
        <v>0</v>
      </c>
      <c r="Y679" s="136">
        <f t="shared" si="199"/>
        <v>0</v>
      </c>
      <c r="Z679" s="136">
        <f t="shared" si="199"/>
        <v>0</v>
      </c>
      <c r="AA679" s="136">
        <f t="shared" si="199"/>
        <v>0</v>
      </c>
      <c r="AB679" s="136">
        <f t="shared" si="199"/>
        <v>0</v>
      </c>
      <c r="AC679" s="136">
        <f t="shared" si="199"/>
        <v>0</v>
      </c>
      <c r="AD679" s="136">
        <f t="shared" si="199"/>
        <v>0</v>
      </c>
      <c r="AE679" s="136">
        <f t="shared" si="199"/>
        <v>0</v>
      </c>
      <c r="AF679" s="136">
        <f t="shared" si="199"/>
        <v>0</v>
      </c>
      <c r="AG679" s="136">
        <f t="shared" si="199"/>
        <v>0</v>
      </c>
      <c r="AH679" s="136">
        <f t="shared" si="199"/>
        <v>0</v>
      </c>
      <c r="AI679" s="136">
        <f t="shared" si="199"/>
        <v>0</v>
      </c>
      <c r="AJ679" s="136">
        <f t="shared" si="199"/>
        <v>0</v>
      </c>
      <c r="AK679" s="136">
        <f t="shared" si="199"/>
        <v>0</v>
      </c>
      <c r="AL679" s="136">
        <f t="shared" si="199"/>
        <v>0</v>
      </c>
      <c r="AM679" s="136">
        <f t="shared" si="199"/>
        <v>0</v>
      </c>
      <c r="AN679" s="136">
        <f t="shared" si="199"/>
        <v>0</v>
      </c>
      <c r="AO679" s="136">
        <f t="shared" si="199"/>
        <v>0</v>
      </c>
      <c r="AP679" s="136">
        <f t="shared" si="199"/>
        <v>0</v>
      </c>
      <c r="AQ679" s="136">
        <f t="shared" si="199"/>
        <v>0</v>
      </c>
      <c r="AR679" s="136">
        <f t="shared" si="199"/>
        <v>0</v>
      </c>
      <c r="AS679" s="136">
        <f t="shared" si="199"/>
        <v>0</v>
      </c>
      <c r="AT679" s="136">
        <f t="shared" si="199"/>
        <v>0</v>
      </c>
      <c r="AU679" s="136">
        <f t="shared" si="199"/>
        <v>0</v>
      </c>
      <c r="AV679" s="136">
        <f t="shared" si="199"/>
        <v>0</v>
      </c>
      <c r="AW679" s="136">
        <f t="shared" si="199"/>
        <v>0</v>
      </c>
      <c r="AX679" s="136">
        <f t="shared" si="199"/>
        <v>0</v>
      </c>
      <c r="AY679" s="136">
        <f t="shared" si="199"/>
        <v>0</v>
      </c>
      <c r="AZ679" s="136">
        <f t="shared" si="199"/>
        <v>0</v>
      </c>
      <c r="BA679" s="136">
        <f t="shared" si="199"/>
        <v>0</v>
      </c>
      <c r="BB679" s="136">
        <f t="shared" si="199"/>
        <v>0</v>
      </c>
      <c r="BC679" s="136">
        <f t="shared" si="199"/>
        <v>0</v>
      </c>
      <c r="BD679" s="136">
        <f t="shared" si="199"/>
        <v>0</v>
      </c>
      <c r="BE679" s="136">
        <f t="shared" si="199"/>
        <v>0</v>
      </c>
      <c r="BF679" s="136">
        <f t="shared" si="199"/>
        <v>0</v>
      </c>
      <c r="BG679" s="136">
        <f t="shared" si="199"/>
        <v>0</v>
      </c>
      <c r="BH679" s="136">
        <f t="shared" si="199"/>
        <v>0</v>
      </c>
      <c r="BI679" s="136">
        <f t="shared" si="199"/>
        <v>0</v>
      </c>
      <c r="BJ679" s="136">
        <f t="shared" si="199"/>
        <v>0</v>
      </c>
      <c r="BK679" s="136">
        <f t="shared" si="199"/>
        <v>0</v>
      </c>
      <c r="BL679" s="136">
        <f t="shared" si="199"/>
        <v>0</v>
      </c>
      <c r="BM679" s="136">
        <f t="shared" si="199"/>
        <v>0</v>
      </c>
      <c r="BN679" s="136">
        <f t="shared" si="199"/>
        <v>0</v>
      </c>
      <c r="BO679" s="136">
        <f t="shared" si="199"/>
        <v>0</v>
      </c>
      <c r="BP679" s="136">
        <f t="shared" si="199"/>
        <v>0</v>
      </c>
      <c r="BQ679" s="136">
        <f t="shared" si="199"/>
        <v>0</v>
      </c>
      <c r="BR679" s="136">
        <f t="shared" si="197"/>
        <v>0</v>
      </c>
      <c r="BS679" s="136">
        <f t="shared" si="195"/>
        <v>0</v>
      </c>
      <c r="BT679" s="136">
        <f t="shared" si="195"/>
        <v>0</v>
      </c>
      <c r="BU679" s="136">
        <f t="shared" si="195"/>
        <v>0</v>
      </c>
      <c r="BV679" s="136">
        <f t="shared" si="195"/>
        <v>0</v>
      </c>
      <c r="BW679" s="136">
        <f t="shared" si="195"/>
        <v>0</v>
      </c>
      <c r="BX679" s="136">
        <f t="shared" si="195"/>
        <v>0</v>
      </c>
      <c r="BZ679" s="136">
        <f t="shared" si="196"/>
        <v>0</v>
      </c>
      <c r="CA679" s="136">
        <f t="shared" si="196"/>
        <v>0</v>
      </c>
    </row>
    <row r="680" spans="7:79" hidden="1" x14ac:dyDescent="0.3">
      <c r="G680" s="136">
        <f t="shared" si="200"/>
        <v>0</v>
      </c>
      <c r="H680" s="136">
        <f t="shared" si="200"/>
        <v>0</v>
      </c>
      <c r="I680" s="136">
        <f t="shared" si="200"/>
        <v>0</v>
      </c>
      <c r="J680" s="136">
        <f t="shared" si="199"/>
        <v>0</v>
      </c>
      <c r="K680" s="136">
        <f t="shared" si="199"/>
        <v>0</v>
      </c>
      <c r="L680" s="136">
        <f t="shared" si="199"/>
        <v>0</v>
      </c>
      <c r="M680" s="136">
        <f t="shared" si="199"/>
        <v>0</v>
      </c>
      <c r="N680" s="136">
        <f t="shared" si="199"/>
        <v>0</v>
      </c>
      <c r="O680" s="136">
        <f t="shared" si="199"/>
        <v>0</v>
      </c>
      <c r="P680" s="136">
        <f t="shared" si="199"/>
        <v>0</v>
      </c>
      <c r="Q680" s="136">
        <f t="shared" si="199"/>
        <v>0</v>
      </c>
      <c r="R680" s="136">
        <f t="shared" si="199"/>
        <v>0</v>
      </c>
      <c r="S680" s="136">
        <f t="shared" si="199"/>
        <v>0</v>
      </c>
      <c r="T680" s="136">
        <f t="shared" si="199"/>
        <v>0</v>
      </c>
      <c r="U680" s="136">
        <f t="shared" si="199"/>
        <v>0</v>
      </c>
      <c r="V680" s="136">
        <f t="shared" si="199"/>
        <v>0</v>
      </c>
      <c r="W680" s="136">
        <f t="shared" si="199"/>
        <v>0</v>
      </c>
      <c r="X680" s="136">
        <f t="shared" si="199"/>
        <v>0</v>
      </c>
      <c r="Y680" s="136">
        <f t="shared" si="199"/>
        <v>0</v>
      </c>
      <c r="Z680" s="136">
        <f t="shared" si="199"/>
        <v>0</v>
      </c>
      <c r="AA680" s="136">
        <f t="shared" si="199"/>
        <v>0</v>
      </c>
      <c r="AB680" s="136">
        <f t="shared" si="199"/>
        <v>0</v>
      </c>
      <c r="AC680" s="136">
        <f t="shared" si="199"/>
        <v>0</v>
      </c>
      <c r="AD680" s="136">
        <f t="shared" si="199"/>
        <v>0</v>
      </c>
      <c r="AE680" s="136">
        <f t="shared" si="199"/>
        <v>0</v>
      </c>
      <c r="AF680" s="136">
        <f t="shared" si="199"/>
        <v>0</v>
      </c>
      <c r="AG680" s="136">
        <f t="shared" si="199"/>
        <v>0</v>
      </c>
      <c r="AH680" s="136">
        <f t="shared" si="199"/>
        <v>0</v>
      </c>
      <c r="AI680" s="136">
        <f t="shared" si="199"/>
        <v>0</v>
      </c>
      <c r="AJ680" s="136">
        <f t="shared" si="199"/>
        <v>0</v>
      </c>
      <c r="AK680" s="136">
        <f t="shared" si="199"/>
        <v>0</v>
      </c>
      <c r="AL680" s="136">
        <f t="shared" si="199"/>
        <v>0</v>
      </c>
      <c r="AM680" s="136">
        <f t="shared" si="199"/>
        <v>0</v>
      </c>
      <c r="AN680" s="136">
        <f t="shared" si="199"/>
        <v>0</v>
      </c>
      <c r="AO680" s="136">
        <f t="shared" si="199"/>
        <v>0</v>
      </c>
      <c r="AP680" s="136">
        <f t="shared" si="199"/>
        <v>0</v>
      </c>
      <c r="AQ680" s="136">
        <f t="shared" si="199"/>
        <v>0</v>
      </c>
      <c r="AR680" s="136">
        <f t="shared" si="199"/>
        <v>0</v>
      </c>
      <c r="AS680" s="136">
        <f t="shared" si="199"/>
        <v>0</v>
      </c>
      <c r="AT680" s="136">
        <f t="shared" si="199"/>
        <v>0</v>
      </c>
      <c r="AU680" s="136">
        <f t="shared" si="199"/>
        <v>0</v>
      </c>
      <c r="AV680" s="136">
        <f t="shared" si="199"/>
        <v>0</v>
      </c>
      <c r="AW680" s="136">
        <f t="shared" si="199"/>
        <v>0</v>
      </c>
      <c r="AX680" s="136">
        <f t="shared" si="199"/>
        <v>0</v>
      </c>
      <c r="AY680" s="136">
        <f t="shared" si="199"/>
        <v>0</v>
      </c>
      <c r="AZ680" s="136">
        <f t="shared" si="199"/>
        <v>0</v>
      </c>
      <c r="BA680" s="136">
        <f t="shared" si="199"/>
        <v>0</v>
      </c>
      <c r="BB680" s="136">
        <f t="shared" si="199"/>
        <v>0</v>
      </c>
      <c r="BC680" s="136">
        <f t="shared" si="199"/>
        <v>0</v>
      </c>
      <c r="BD680" s="136">
        <f t="shared" si="199"/>
        <v>0</v>
      </c>
      <c r="BE680" s="136">
        <f t="shared" si="199"/>
        <v>0</v>
      </c>
      <c r="BF680" s="136">
        <f t="shared" si="199"/>
        <v>0</v>
      </c>
      <c r="BG680" s="136">
        <f t="shared" si="199"/>
        <v>0</v>
      </c>
      <c r="BH680" s="136">
        <f t="shared" si="199"/>
        <v>0</v>
      </c>
      <c r="BI680" s="136">
        <f t="shared" si="199"/>
        <v>0</v>
      </c>
      <c r="BJ680" s="136">
        <f t="shared" si="199"/>
        <v>0</v>
      </c>
      <c r="BK680" s="136">
        <f t="shared" si="199"/>
        <v>0</v>
      </c>
      <c r="BL680" s="136">
        <f t="shared" si="199"/>
        <v>0</v>
      </c>
      <c r="BM680" s="136">
        <f t="shared" si="199"/>
        <v>0</v>
      </c>
      <c r="BN680" s="136">
        <f t="shared" si="199"/>
        <v>0</v>
      </c>
      <c r="BO680" s="136">
        <f t="shared" si="199"/>
        <v>0</v>
      </c>
      <c r="BP680" s="136">
        <f t="shared" si="199"/>
        <v>0</v>
      </c>
      <c r="BQ680" s="136">
        <f t="shared" si="199"/>
        <v>0</v>
      </c>
      <c r="BR680" s="136">
        <f t="shared" si="197"/>
        <v>0</v>
      </c>
      <c r="BS680" s="136">
        <f t="shared" si="195"/>
        <v>0</v>
      </c>
      <c r="BT680" s="136">
        <f t="shared" si="195"/>
        <v>0</v>
      </c>
      <c r="BU680" s="136">
        <f t="shared" si="195"/>
        <v>0</v>
      </c>
      <c r="BV680" s="136">
        <f t="shared" si="195"/>
        <v>0</v>
      </c>
      <c r="BW680" s="136">
        <f t="shared" si="195"/>
        <v>0</v>
      </c>
      <c r="BX680" s="136">
        <f t="shared" si="195"/>
        <v>0</v>
      </c>
      <c r="BZ680" s="136">
        <f t="shared" si="196"/>
        <v>0</v>
      </c>
      <c r="CA680" s="136">
        <f t="shared" si="196"/>
        <v>0</v>
      </c>
    </row>
    <row r="681" spans="7:79" hidden="1" x14ac:dyDescent="0.3">
      <c r="G681" s="136">
        <f t="shared" si="200"/>
        <v>0</v>
      </c>
      <c r="H681" s="136">
        <f t="shared" si="200"/>
        <v>0</v>
      </c>
      <c r="I681" s="136">
        <f t="shared" si="200"/>
        <v>0</v>
      </c>
      <c r="J681" s="136">
        <f t="shared" si="199"/>
        <v>0</v>
      </c>
      <c r="K681" s="136">
        <f t="shared" si="199"/>
        <v>0</v>
      </c>
      <c r="L681" s="136">
        <f t="shared" si="199"/>
        <v>0</v>
      </c>
      <c r="M681" s="136">
        <f t="shared" si="199"/>
        <v>0</v>
      </c>
      <c r="N681" s="136">
        <f t="shared" si="199"/>
        <v>0</v>
      </c>
      <c r="O681" s="136">
        <f t="shared" si="199"/>
        <v>0</v>
      </c>
      <c r="P681" s="136">
        <f t="shared" si="199"/>
        <v>0</v>
      </c>
      <c r="Q681" s="136">
        <f t="shared" si="199"/>
        <v>0</v>
      </c>
      <c r="R681" s="136">
        <f t="shared" si="199"/>
        <v>0</v>
      </c>
      <c r="S681" s="136">
        <f t="shared" si="199"/>
        <v>0</v>
      </c>
      <c r="T681" s="136">
        <f t="shared" si="199"/>
        <v>0</v>
      </c>
      <c r="U681" s="136">
        <f t="shared" si="199"/>
        <v>0</v>
      </c>
      <c r="V681" s="136">
        <f t="shared" si="199"/>
        <v>0</v>
      </c>
      <c r="W681" s="136">
        <f t="shared" si="199"/>
        <v>0</v>
      </c>
      <c r="X681" s="136">
        <f t="shared" si="199"/>
        <v>0</v>
      </c>
      <c r="Y681" s="136">
        <f t="shared" si="199"/>
        <v>0</v>
      </c>
      <c r="Z681" s="136">
        <f t="shared" si="199"/>
        <v>0</v>
      </c>
      <c r="AA681" s="136">
        <f t="shared" si="199"/>
        <v>0</v>
      </c>
      <c r="AB681" s="136">
        <f t="shared" si="199"/>
        <v>0</v>
      </c>
      <c r="AC681" s="136">
        <f t="shared" si="199"/>
        <v>0</v>
      </c>
      <c r="AD681" s="136">
        <f t="shared" si="199"/>
        <v>0</v>
      </c>
      <c r="AE681" s="136">
        <f t="shared" si="199"/>
        <v>0</v>
      </c>
      <c r="AF681" s="136">
        <f t="shared" si="199"/>
        <v>0</v>
      </c>
      <c r="AG681" s="136">
        <f t="shared" si="199"/>
        <v>0</v>
      </c>
      <c r="AH681" s="136">
        <f t="shared" si="199"/>
        <v>0</v>
      </c>
      <c r="AI681" s="136">
        <f t="shared" si="199"/>
        <v>0</v>
      </c>
      <c r="AJ681" s="136">
        <f t="shared" si="199"/>
        <v>0</v>
      </c>
      <c r="AK681" s="136">
        <f t="shared" si="199"/>
        <v>0</v>
      </c>
      <c r="AL681" s="136">
        <f t="shared" si="199"/>
        <v>0</v>
      </c>
      <c r="AM681" s="136">
        <f t="shared" si="199"/>
        <v>0</v>
      </c>
      <c r="AN681" s="136">
        <f t="shared" si="199"/>
        <v>0</v>
      </c>
      <c r="AO681" s="136">
        <f t="shared" si="199"/>
        <v>0</v>
      </c>
      <c r="AP681" s="136">
        <f t="shared" si="199"/>
        <v>0</v>
      </c>
      <c r="AQ681" s="136">
        <f t="shared" si="199"/>
        <v>0</v>
      </c>
      <c r="AR681" s="136">
        <f t="shared" si="199"/>
        <v>0</v>
      </c>
      <c r="AS681" s="136">
        <f t="shared" si="199"/>
        <v>0</v>
      </c>
      <c r="AT681" s="136">
        <f t="shared" si="199"/>
        <v>0</v>
      </c>
      <c r="AU681" s="136">
        <f t="shared" si="199"/>
        <v>0</v>
      </c>
      <c r="AV681" s="136">
        <f t="shared" si="199"/>
        <v>0</v>
      </c>
      <c r="AW681" s="136">
        <f t="shared" si="199"/>
        <v>0</v>
      </c>
      <c r="AX681" s="136">
        <f t="shared" si="199"/>
        <v>0</v>
      </c>
      <c r="AY681" s="136">
        <f t="shared" si="199"/>
        <v>0</v>
      </c>
      <c r="AZ681" s="136">
        <f t="shared" si="199"/>
        <v>0</v>
      </c>
      <c r="BA681" s="136">
        <f t="shared" si="199"/>
        <v>0</v>
      </c>
      <c r="BB681" s="136">
        <f t="shared" si="199"/>
        <v>0</v>
      </c>
      <c r="BC681" s="136">
        <f t="shared" si="199"/>
        <v>0</v>
      </c>
      <c r="BD681" s="136">
        <f t="shared" si="199"/>
        <v>0</v>
      </c>
      <c r="BE681" s="136">
        <f t="shared" si="199"/>
        <v>0</v>
      </c>
      <c r="BF681" s="136">
        <f t="shared" si="199"/>
        <v>0</v>
      </c>
      <c r="BG681" s="136">
        <f t="shared" si="199"/>
        <v>0</v>
      </c>
      <c r="BH681" s="136">
        <f t="shared" si="199"/>
        <v>0</v>
      </c>
      <c r="BI681" s="136">
        <f t="shared" si="199"/>
        <v>0</v>
      </c>
      <c r="BJ681" s="136">
        <f t="shared" si="199"/>
        <v>0</v>
      </c>
      <c r="BK681" s="136">
        <f t="shared" si="199"/>
        <v>0</v>
      </c>
      <c r="BL681" s="136">
        <f t="shared" si="199"/>
        <v>0</v>
      </c>
      <c r="BM681" s="136">
        <f t="shared" si="199"/>
        <v>0</v>
      </c>
      <c r="BN681" s="136">
        <f t="shared" si="199"/>
        <v>0</v>
      </c>
      <c r="BO681" s="136">
        <f t="shared" si="199"/>
        <v>0</v>
      </c>
      <c r="BP681" s="136">
        <f t="shared" si="199"/>
        <v>0</v>
      </c>
      <c r="BQ681" s="136">
        <f t="shared" si="199"/>
        <v>0</v>
      </c>
      <c r="BR681" s="136">
        <f t="shared" si="197"/>
        <v>0</v>
      </c>
      <c r="BS681" s="136">
        <f t="shared" si="195"/>
        <v>0</v>
      </c>
      <c r="BT681" s="136">
        <f t="shared" si="195"/>
        <v>0</v>
      </c>
      <c r="BU681" s="136">
        <f t="shared" si="195"/>
        <v>0</v>
      </c>
      <c r="BV681" s="136">
        <f t="shared" si="195"/>
        <v>0</v>
      </c>
      <c r="BW681" s="136">
        <f t="shared" si="195"/>
        <v>0</v>
      </c>
      <c r="BX681" s="136">
        <f t="shared" si="195"/>
        <v>0</v>
      </c>
      <c r="BZ681" s="136">
        <f t="shared" si="196"/>
        <v>0</v>
      </c>
      <c r="CA681" s="136">
        <f t="shared" si="196"/>
        <v>0</v>
      </c>
    </row>
    <row r="682" spans="7:79" hidden="1" x14ac:dyDescent="0.3">
      <c r="G682" s="136">
        <f t="shared" si="200"/>
        <v>994679</v>
      </c>
      <c r="H682" s="136">
        <f t="shared" si="200"/>
        <v>0</v>
      </c>
      <c r="I682" s="136">
        <f t="shared" si="200"/>
        <v>0</v>
      </c>
      <c r="J682" s="136">
        <f t="shared" si="199"/>
        <v>0</v>
      </c>
      <c r="K682" s="136">
        <f t="shared" si="199"/>
        <v>0</v>
      </c>
      <c r="L682" s="136">
        <f t="shared" si="199"/>
        <v>0</v>
      </c>
      <c r="M682" s="136">
        <f t="shared" si="199"/>
        <v>0</v>
      </c>
      <c r="N682" s="136">
        <f t="shared" si="199"/>
        <v>0</v>
      </c>
      <c r="O682" s="136">
        <f t="shared" si="199"/>
        <v>0</v>
      </c>
      <c r="P682" s="136">
        <f t="shared" si="199"/>
        <v>0</v>
      </c>
      <c r="Q682" s="136">
        <f t="shared" si="199"/>
        <v>0</v>
      </c>
      <c r="R682" s="136">
        <f t="shared" si="199"/>
        <v>0</v>
      </c>
      <c r="S682" s="136">
        <f t="shared" si="199"/>
        <v>0</v>
      </c>
      <c r="T682" s="136">
        <f t="shared" si="199"/>
        <v>0</v>
      </c>
      <c r="U682" s="136">
        <f t="shared" si="199"/>
        <v>0</v>
      </c>
      <c r="V682" s="136">
        <f t="shared" si="199"/>
        <v>0</v>
      </c>
      <c r="W682" s="136">
        <f t="shared" si="199"/>
        <v>0</v>
      </c>
      <c r="X682" s="136">
        <f t="shared" si="199"/>
        <v>0</v>
      </c>
      <c r="Y682" s="136">
        <f t="shared" ref="Y682:BQ687" si="201">Y325-CQ325</f>
        <v>0</v>
      </c>
      <c r="Z682" s="136">
        <f t="shared" si="201"/>
        <v>0</v>
      </c>
      <c r="AA682" s="136">
        <f t="shared" si="201"/>
        <v>0</v>
      </c>
      <c r="AB682" s="136">
        <f t="shared" si="201"/>
        <v>0</v>
      </c>
      <c r="AC682" s="136">
        <f t="shared" si="201"/>
        <v>0</v>
      </c>
      <c r="AD682" s="136">
        <f t="shared" si="201"/>
        <v>0</v>
      </c>
      <c r="AE682" s="136">
        <f t="shared" si="201"/>
        <v>0</v>
      </c>
      <c r="AF682" s="136">
        <f t="shared" si="201"/>
        <v>994679</v>
      </c>
      <c r="AG682" s="136">
        <f t="shared" si="201"/>
        <v>0</v>
      </c>
      <c r="AH682" s="136">
        <f t="shared" si="201"/>
        <v>0</v>
      </c>
      <c r="AI682" s="136">
        <f t="shared" si="201"/>
        <v>0</v>
      </c>
      <c r="AJ682" s="136">
        <f t="shared" si="201"/>
        <v>0</v>
      </c>
      <c r="AK682" s="136">
        <f t="shared" si="201"/>
        <v>0</v>
      </c>
      <c r="AL682" s="136">
        <f t="shared" si="201"/>
        <v>0</v>
      </c>
      <c r="AM682" s="136">
        <f t="shared" si="201"/>
        <v>0</v>
      </c>
      <c r="AN682" s="136">
        <f t="shared" si="201"/>
        <v>0</v>
      </c>
      <c r="AO682" s="136">
        <f t="shared" si="201"/>
        <v>0</v>
      </c>
      <c r="AP682" s="136">
        <f t="shared" si="201"/>
        <v>0</v>
      </c>
      <c r="AQ682" s="136">
        <f t="shared" si="201"/>
        <v>0</v>
      </c>
      <c r="AR682" s="136">
        <f t="shared" si="201"/>
        <v>0</v>
      </c>
      <c r="AS682" s="136">
        <f t="shared" si="201"/>
        <v>0</v>
      </c>
      <c r="AT682" s="136">
        <f t="shared" si="201"/>
        <v>0</v>
      </c>
      <c r="AU682" s="136">
        <f t="shared" si="201"/>
        <v>200583</v>
      </c>
      <c r="AV682" s="136">
        <f t="shared" si="201"/>
        <v>0</v>
      </c>
      <c r="AW682" s="136">
        <f t="shared" si="201"/>
        <v>0</v>
      </c>
      <c r="AX682" s="136">
        <f t="shared" si="201"/>
        <v>0</v>
      </c>
      <c r="AY682" s="136">
        <f t="shared" si="201"/>
        <v>0</v>
      </c>
      <c r="AZ682" s="136">
        <f t="shared" si="201"/>
        <v>0</v>
      </c>
      <c r="BA682" s="136">
        <f t="shared" si="201"/>
        <v>0</v>
      </c>
      <c r="BB682" s="136">
        <f t="shared" si="201"/>
        <v>0</v>
      </c>
      <c r="BC682" s="136">
        <f t="shared" si="201"/>
        <v>0</v>
      </c>
      <c r="BD682" s="136">
        <f t="shared" si="201"/>
        <v>0</v>
      </c>
      <c r="BE682" s="136">
        <f t="shared" si="201"/>
        <v>0</v>
      </c>
      <c r="BF682" s="136">
        <f t="shared" si="201"/>
        <v>0</v>
      </c>
      <c r="BG682" s="136">
        <f t="shared" si="201"/>
        <v>0</v>
      </c>
      <c r="BH682" s="136">
        <f t="shared" si="201"/>
        <v>0</v>
      </c>
      <c r="BI682" s="136">
        <f t="shared" si="201"/>
        <v>0</v>
      </c>
      <c r="BJ682" s="136">
        <f t="shared" si="201"/>
        <v>0</v>
      </c>
      <c r="BK682" s="136">
        <f t="shared" si="201"/>
        <v>0</v>
      </c>
      <c r="BL682" s="136">
        <f t="shared" si="201"/>
        <v>0</v>
      </c>
      <c r="BM682" s="136">
        <f t="shared" si="201"/>
        <v>0</v>
      </c>
      <c r="BN682" s="136">
        <f t="shared" si="201"/>
        <v>0</v>
      </c>
      <c r="BO682" s="136">
        <f t="shared" si="201"/>
        <v>0</v>
      </c>
      <c r="BP682" s="136">
        <f t="shared" si="201"/>
        <v>0</v>
      </c>
      <c r="BQ682" s="136">
        <f t="shared" si="201"/>
        <v>0</v>
      </c>
      <c r="BR682" s="136">
        <f t="shared" si="197"/>
        <v>0</v>
      </c>
      <c r="BS682" s="136">
        <f t="shared" si="195"/>
        <v>0</v>
      </c>
      <c r="BT682" s="136">
        <f t="shared" si="195"/>
        <v>1195262</v>
      </c>
      <c r="BU682" s="136">
        <f t="shared" si="195"/>
        <v>0</v>
      </c>
      <c r="BV682" s="136">
        <f t="shared" si="195"/>
        <v>0</v>
      </c>
      <c r="BW682" s="136">
        <f t="shared" si="195"/>
        <v>0</v>
      </c>
      <c r="BX682" s="136">
        <f t="shared" si="195"/>
        <v>0</v>
      </c>
      <c r="BZ682" s="136">
        <f t="shared" si="196"/>
        <v>0</v>
      </c>
      <c r="CA682" s="136">
        <f t="shared" si="196"/>
        <v>0</v>
      </c>
    </row>
    <row r="683" spans="7:79" hidden="1" x14ac:dyDescent="0.3">
      <c r="G683" s="136">
        <f t="shared" si="200"/>
        <v>994679</v>
      </c>
      <c r="H683" s="136">
        <f t="shared" si="200"/>
        <v>0</v>
      </c>
      <c r="I683" s="136">
        <f t="shared" si="200"/>
        <v>0</v>
      </c>
      <c r="J683" s="136">
        <f t="shared" si="200"/>
        <v>0</v>
      </c>
      <c r="K683" s="136">
        <f t="shared" si="200"/>
        <v>0</v>
      </c>
      <c r="L683" s="136">
        <f t="shared" si="200"/>
        <v>0</v>
      </c>
      <c r="M683" s="136">
        <f t="shared" si="200"/>
        <v>0</v>
      </c>
      <c r="N683" s="136">
        <f t="shared" si="200"/>
        <v>0</v>
      </c>
      <c r="O683" s="136">
        <f t="shared" si="200"/>
        <v>0</v>
      </c>
      <c r="P683" s="136">
        <f t="shared" si="200"/>
        <v>0</v>
      </c>
      <c r="Q683" s="136">
        <f t="shared" si="200"/>
        <v>0</v>
      </c>
      <c r="R683" s="136">
        <f t="shared" si="200"/>
        <v>0</v>
      </c>
      <c r="S683" s="136">
        <f t="shared" si="200"/>
        <v>0</v>
      </c>
      <c r="T683" s="136">
        <f t="shared" si="200"/>
        <v>0</v>
      </c>
      <c r="U683" s="136">
        <f t="shared" si="200"/>
        <v>0</v>
      </c>
      <c r="V683" s="136">
        <f t="shared" si="200"/>
        <v>0</v>
      </c>
      <c r="W683" s="136">
        <f t="shared" ref="W683:AL698" si="202">W326-CO326</f>
        <v>0</v>
      </c>
      <c r="X683" s="136">
        <f t="shared" si="202"/>
        <v>0</v>
      </c>
      <c r="Y683" s="136">
        <f t="shared" si="201"/>
        <v>0</v>
      </c>
      <c r="Z683" s="136">
        <f t="shared" si="201"/>
        <v>0</v>
      </c>
      <c r="AA683" s="136">
        <f t="shared" si="201"/>
        <v>0</v>
      </c>
      <c r="AB683" s="136">
        <f t="shared" si="201"/>
        <v>0</v>
      </c>
      <c r="AC683" s="136">
        <f t="shared" si="201"/>
        <v>0</v>
      </c>
      <c r="AD683" s="136">
        <f t="shared" si="201"/>
        <v>0</v>
      </c>
      <c r="AE683" s="136">
        <f t="shared" si="201"/>
        <v>0</v>
      </c>
      <c r="AF683" s="136">
        <f t="shared" si="201"/>
        <v>994679</v>
      </c>
      <c r="AG683" s="136">
        <f t="shared" si="201"/>
        <v>0</v>
      </c>
      <c r="AH683" s="136">
        <f t="shared" si="201"/>
        <v>0</v>
      </c>
      <c r="AI683" s="136">
        <f t="shared" si="201"/>
        <v>0</v>
      </c>
      <c r="AJ683" s="136">
        <f t="shared" si="201"/>
        <v>0</v>
      </c>
      <c r="AK683" s="136">
        <f t="shared" si="201"/>
        <v>0</v>
      </c>
      <c r="AL683" s="136">
        <f t="shared" si="201"/>
        <v>0</v>
      </c>
      <c r="AM683" s="136">
        <f t="shared" si="201"/>
        <v>0</v>
      </c>
      <c r="AN683" s="136">
        <f t="shared" si="201"/>
        <v>0</v>
      </c>
      <c r="AO683" s="136">
        <f t="shared" si="201"/>
        <v>0</v>
      </c>
      <c r="AP683" s="136">
        <f t="shared" si="201"/>
        <v>0</v>
      </c>
      <c r="AQ683" s="136">
        <f t="shared" si="201"/>
        <v>0</v>
      </c>
      <c r="AR683" s="136">
        <f t="shared" si="201"/>
        <v>0</v>
      </c>
      <c r="AS683" s="136">
        <f t="shared" si="201"/>
        <v>0</v>
      </c>
      <c r="AT683" s="136">
        <f t="shared" si="201"/>
        <v>0</v>
      </c>
      <c r="AU683" s="136">
        <f t="shared" si="201"/>
        <v>200583</v>
      </c>
      <c r="AV683" s="136">
        <f t="shared" si="201"/>
        <v>0</v>
      </c>
      <c r="AW683" s="136">
        <f t="shared" si="201"/>
        <v>0</v>
      </c>
      <c r="AX683" s="136">
        <f t="shared" si="201"/>
        <v>0</v>
      </c>
      <c r="AY683" s="136">
        <f t="shared" si="201"/>
        <v>0</v>
      </c>
      <c r="AZ683" s="136">
        <f t="shared" si="201"/>
        <v>0</v>
      </c>
      <c r="BA683" s="136">
        <f t="shared" si="201"/>
        <v>0</v>
      </c>
      <c r="BB683" s="136">
        <f t="shared" si="201"/>
        <v>0</v>
      </c>
      <c r="BC683" s="136">
        <f t="shared" si="201"/>
        <v>0</v>
      </c>
      <c r="BD683" s="136">
        <f t="shared" si="201"/>
        <v>0</v>
      </c>
      <c r="BE683" s="136">
        <f t="shared" si="201"/>
        <v>0</v>
      </c>
      <c r="BF683" s="136">
        <f t="shared" si="201"/>
        <v>0</v>
      </c>
      <c r="BG683" s="136">
        <f t="shared" si="201"/>
        <v>0</v>
      </c>
      <c r="BH683" s="136">
        <f t="shared" si="201"/>
        <v>0</v>
      </c>
      <c r="BI683" s="136">
        <f t="shared" si="201"/>
        <v>0</v>
      </c>
      <c r="BJ683" s="136">
        <f t="shared" si="201"/>
        <v>0</v>
      </c>
      <c r="BK683" s="136">
        <f t="shared" si="201"/>
        <v>0</v>
      </c>
      <c r="BL683" s="136">
        <f t="shared" si="201"/>
        <v>0</v>
      </c>
      <c r="BM683" s="136">
        <f t="shared" si="201"/>
        <v>0</v>
      </c>
      <c r="BN683" s="136">
        <f t="shared" si="201"/>
        <v>0</v>
      </c>
      <c r="BO683" s="136">
        <f t="shared" si="201"/>
        <v>0</v>
      </c>
      <c r="BP683" s="136">
        <f t="shared" si="201"/>
        <v>0</v>
      </c>
      <c r="BQ683" s="136">
        <f t="shared" si="201"/>
        <v>0</v>
      </c>
      <c r="BR683" s="136">
        <f t="shared" si="197"/>
        <v>0</v>
      </c>
      <c r="BS683" s="136">
        <f t="shared" si="195"/>
        <v>0</v>
      </c>
      <c r="BT683" s="136">
        <f t="shared" si="195"/>
        <v>1195262</v>
      </c>
      <c r="BU683" s="136">
        <f t="shared" si="195"/>
        <v>0</v>
      </c>
      <c r="BV683" s="136">
        <f t="shared" si="195"/>
        <v>0</v>
      </c>
      <c r="BW683" s="136">
        <f t="shared" si="195"/>
        <v>0</v>
      </c>
      <c r="BX683" s="136">
        <f t="shared" si="195"/>
        <v>0</v>
      </c>
      <c r="BZ683" s="136">
        <f t="shared" si="196"/>
        <v>0</v>
      </c>
      <c r="CA683" s="136">
        <f t="shared" si="196"/>
        <v>0</v>
      </c>
    </row>
    <row r="684" spans="7:79" hidden="1" x14ac:dyDescent="0.3">
      <c r="G684" s="136">
        <f t="shared" si="200"/>
        <v>0</v>
      </c>
      <c r="H684" s="136">
        <f t="shared" si="200"/>
        <v>0</v>
      </c>
      <c r="I684" s="136">
        <f t="shared" si="200"/>
        <v>0</v>
      </c>
      <c r="J684" s="136">
        <f t="shared" si="200"/>
        <v>0</v>
      </c>
      <c r="K684" s="136">
        <f t="shared" si="200"/>
        <v>0</v>
      </c>
      <c r="L684" s="136">
        <f t="shared" si="200"/>
        <v>0</v>
      </c>
      <c r="M684" s="136">
        <f t="shared" si="200"/>
        <v>0</v>
      </c>
      <c r="N684" s="136">
        <f t="shared" si="200"/>
        <v>0</v>
      </c>
      <c r="O684" s="136">
        <f t="shared" si="200"/>
        <v>0</v>
      </c>
      <c r="P684" s="136">
        <f t="shared" si="200"/>
        <v>0</v>
      </c>
      <c r="Q684" s="136">
        <f t="shared" si="200"/>
        <v>0</v>
      </c>
      <c r="R684" s="136">
        <f t="shared" si="200"/>
        <v>0</v>
      </c>
      <c r="S684" s="136">
        <f t="shared" si="200"/>
        <v>0</v>
      </c>
      <c r="T684" s="136">
        <f t="shared" si="200"/>
        <v>0</v>
      </c>
      <c r="U684" s="136">
        <f t="shared" si="200"/>
        <v>0</v>
      </c>
      <c r="V684" s="136">
        <f t="shared" si="200"/>
        <v>0</v>
      </c>
      <c r="W684" s="136">
        <f t="shared" si="202"/>
        <v>0</v>
      </c>
      <c r="X684" s="136">
        <f t="shared" si="202"/>
        <v>0</v>
      </c>
      <c r="Y684" s="136">
        <f t="shared" si="201"/>
        <v>0</v>
      </c>
      <c r="Z684" s="136">
        <f t="shared" si="201"/>
        <v>0</v>
      </c>
      <c r="AA684" s="136">
        <f t="shared" si="201"/>
        <v>0</v>
      </c>
      <c r="AB684" s="136">
        <f t="shared" si="201"/>
        <v>0</v>
      </c>
      <c r="AC684" s="136">
        <f t="shared" si="201"/>
        <v>0</v>
      </c>
      <c r="AD684" s="136">
        <f t="shared" si="201"/>
        <v>0</v>
      </c>
      <c r="AE684" s="136">
        <f t="shared" si="201"/>
        <v>0</v>
      </c>
      <c r="AF684" s="136">
        <f t="shared" si="201"/>
        <v>0</v>
      </c>
      <c r="AG684" s="136">
        <f t="shared" si="201"/>
        <v>0</v>
      </c>
      <c r="AH684" s="136">
        <f t="shared" si="201"/>
        <v>0</v>
      </c>
      <c r="AI684" s="136">
        <f t="shared" si="201"/>
        <v>0</v>
      </c>
      <c r="AJ684" s="136">
        <f t="shared" si="201"/>
        <v>0</v>
      </c>
      <c r="AK684" s="136">
        <f t="shared" si="201"/>
        <v>0</v>
      </c>
      <c r="AL684" s="136">
        <f t="shared" si="201"/>
        <v>0</v>
      </c>
      <c r="AM684" s="136">
        <f t="shared" si="201"/>
        <v>0</v>
      </c>
      <c r="AN684" s="136">
        <f t="shared" si="201"/>
        <v>0</v>
      </c>
      <c r="AO684" s="136">
        <f t="shared" si="201"/>
        <v>0</v>
      </c>
      <c r="AP684" s="136">
        <f t="shared" si="201"/>
        <v>0</v>
      </c>
      <c r="AQ684" s="136">
        <f t="shared" si="201"/>
        <v>0</v>
      </c>
      <c r="AR684" s="136">
        <f t="shared" si="201"/>
        <v>0</v>
      </c>
      <c r="AS684" s="136">
        <f t="shared" si="201"/>
        <v>0</v>
      </c>
      <c r="AT684" s="136">
        <f t="shared" si="201"/>
        <v>0</v>
      </c>
      <c r="AU684" s="136">
        <f t="shared" si="201"/>
        <v>0</v>
      </c>
      <c r="AV684" s="136">
        <f t="shared" si="201"/>
        <v>0</v>
      </c>
      <c r="AW684" s="136">
        <f t="shared" si="201"/>
        <v>0</v>
      </c>
      <c r="AX684" s="136">
        <f t="shared" si="201"/>
        <v>0</v>
      </c>
      <c r="AY684" s="136">
        <f t="shared" si="201"/>
        <v>0</v>
      </c>
      <c r="AZ684" s="136">
        <f t="shared" si="201"/>
        <v>0</v>
      </c>
      <c r="BA684" s="136">
        <f t="shared" si="201"/>
        <v>0</v>
      </c>
      <c r="BB684" s="136">
        <f t="shared" si="201"/>
        <v>0</v>
      </c>
      <c r="BC684" s="136">
        <f t="shared" si="201"/>
        <v>0</v>
      </c>
      <c r="BD684" s="136">
        <f t="shared" si="201"/>
        <v>0</v>
      </c>
      <c r="BE684" s="136">
        <f t="shared" si="201"/>
        <v>0</v>
      </c>
      <c r="BF684" s="136">
        <f t="shared" si="201"/>
        <v>0</v>
      </c>
      <c r="BG684" s="136">
        <f t="shared" si="201"/>
        <v>0</v>
      </c>
      <c r="BH684" s="136">
        <f t="shared" si="201"/>
        <v>0</v>
      </c>
      <c r="BI684" s="136">
        <f t="shared" si="201"/>
        <v>0</v>
      </c>
      <c r="BJ684" s="136">
        <f t="shared" si="201"/>
        <v>0</v>
      </c>
      <c r="BK684" s="136">
        <f t="shared" si="201"/>
        <v>0</v>
      </c>
      <c r="BL684" s="136">
        <f t="shared" si="201"/>
        <v>0</v>
      </c>
      <c r="BM684" s="136">
        <f t="shared" si="201"/>
        <v>0</v>
      </c>
      <c r="BN684" s="136">
        <f t="shared" si="201"/>
        <v>0</v>
      </c>
      <c r="BO684" s="136">
        <f t="shared" si="201"/>
        <v>0</v>
      </c>
      <c r="BP684" s="136">
        <f t="shared" si="201"/>
        <v>0</v>
      </c>
      <c r="BQ684" s="136">
        <f t="shared" si="201"/>
        <v>0</v>
      </c>
      <c r="BR684" s="136">
        <f t="shared" si="197"/>
        <v>0</v>
      </c>
      <c r="BS684" s="136">
        <f t="shared" si="195"/>
        <v>0</v>
      </c>
      <c r="BT684" s="136">
        <f t="shared" si="195"/>
        <v>0</v>
      </c>
      <c r="BU684" s="136">
        <f t="shared" si="195"/>
        <v>0</v>
      </c>
      <c r="BV684" s="136">
        <f t="shared" si="195"/>
        <v>0</v>
      </c>
      <c r="BW684" s="136">
        <f t="shared" si="195"/>
        <v>0</v>
      </c>
      <c r="BX684" s="136">
        <f t="shared" si="195"/>
        <v>0</v>
      </c>
      <c r="BZ684" s="136">
        <f t="shared" si="196"/>
        <v>0</v>
      </c>
      <c r="CA684" s="136">
        <f t="shared" si="196"/>
        <v>0</v>
      </c>
    </row>
    <row r="685" spans="7:79" hidden="1" x14ac:dyDescent="0.3">
      <c r="G685" s="136">
        <f t="shared" si="200"/>
        <v>-1295518</v>
      </c>
      <c r="H685" s="136">
        <f t="shared" si="200"/>
        <v>0</v>
      </c>
      <c r="I685" s="136">
        <f t="shared" si="200"/>
        <v>0</v>
      </c>
      <c r="J685" s="136">
        <f t="shared" si="200"/>
        <v>0</v>
      </c>
      <c r="K685" s="136">
        <f t="shared" si="200"/>
        <v>0</v>
      </c>
      <c r="L685" s="136">
        <f t="shared" si="200"/>
        <v>0</v>
      </c>
      <c r="M685" s="136">
        <f t="shared" si="200"/>
        <v>0</v>
      </c>
      <c r="N685" s="136">
        <f t="shared" si="200"/>
        <v>0</v>
      </c>
      <c r="O685" s="136">
        <f t="shared" si="200"/>
        <v>0</v>
      </c>
      <c r="P685" s="136">
        <f t="shared" si="200"/>
        <v>0</v>
      </c>
      <c r="Q685" s="136">
        <f t="shared" si="200"/>
        <v>0</v>
      </c>
      <c r="R685" s="136">
        <f t="shared" si="200"/>
        <v>0</v>
      </c>
      <c r="S685" s="136">
        <f t="shared" si="200"/>
        <v>0</v>
      </c>
      <c r="T685" s="136">
        <f t="shared" si="200"/>
        <v>0</v>
      </c>
      <c r="U685" s="136">
        <f t="shared" si="200"/>
        <v>0</v>
      </c>
      <c r="V685" s="136">
        <f t="shared" si="200"/>
        <v>-743035</v>
      </c>
      <c r="W685" s="136">
        <f t="shared" si="202"/>
        <v>0</v>
      </c>
      <c r="X685" s="136">
        <f t="shared" si="202"/>
        <v>0</v>
      </c>
      <c r="Y685" s="136">
        <f t="shared" si="201"/>
        <v>0</v>
      </c>
      <c r="Z685" s="136">
        <f t="shared" si="201"/>
        <v>0</v>
      </c>
      <c r="AA685" s="136">
        <f t="shared" si="201"/>
        <v>-17748</v>
      </c>
      <c r="AB685" s="136">
        <f t="shared" si="201"/>
        <v>0</v>
      </c>
      <c r="AC685" s="136">
        <f t="shared" si="201"/>
        <v>0</v>
      </c>
      <c r="AD685" s="136">
        <f t="shared" si="201"/>
        <v>0</v>
      </c>
      <c r="AE685" s="136">
        <f t="shared" si="201"/>
        <v>0</v>
      </c>
      <c r="AF685" s="136">
        <f t="shared" si="201"/>
        <v>0</v>
      </c>
      <c r="AG685" s="136">
        <f t="shared" si="201"/>
        <v>0</v>
      </c>
      <c r="AH685" s="136">
        <f t="shared" si="201"/>
        <v>0</v>
      </c>
      <c r="AI685" s="136">
        <f t="shared" si="201"/>
        <v>0</v>
      </c>
      <c r="AJ685" s="136">
        <f t="shared" si="201"/>
        <v>0</v>
      </c>
      <c r="AK685" s="136">
        <f t="shared" si="201"/>
        <v>-27624</v>
      </c>
      <c r="AL685" s="136">
        <f t="shared" si="201"/>
        <v>0</v>
      </c>
      <c r="AM685" s="136">
        <f t="shared" si="201"/>
        <v>0</v>
      </c>
      <c r="AN685" s="136">
        <f t="shared" si="201"/>
        <v>0</v>
      </c>
      <c r="AO685" s="136">
        <f t="shared" si="201"/>
        <v>0</v>
      </c>
      <c r="AP685" s="136">
        <f t="shared" si="201"/>
        <v>0</v>
      </c>
      <c r="AQ685" s="136">
        <f t="shared" si="201"/>
        <v>0</v>
      </c>
      <c r="AR685" s="136">
        <f t="shared" si="201"/>
        <v>0</v>
      </c>
      <c r="AS685" s="136">
        <f t="shared" si="201"/>
        <v>0</v>
      </c>
      <c r="AT685" s="136">
        <f t="shared" si="201"/>
        <v>0</v>
      </c>
      <c r="AU685" s="136">
        <f t="shared" si="201"/>
        <v>-171068</v>
      </c>
      <c r="AV685" s="136">
        <f t="shared" si="201"/>
        <v>0</v>
      </c>
      <c r="AW685" s="136">
        <f t="shared" si="201"/>
        <v>0</v>
      </c>
      <c r="AX685" s="136">
        <f t="shared" si="201"/>
        <v>0</v>
      </c>
      <c r="AY685" s="136">
        <f t="shared" si="201"/>
        <v>0</v>
      </c>
      <c r="AZ685" s="136">
        <f t="shared" si="201"/>
        <v>0</v>
      </c>
      <c r="BA685" s="136">
        <f t="shared" si="201"/>
        <v>0</v>
      </c>
      <c r="BB685" s="136">
        <f t="shared" si="201"/>
        <v>0</v>
      </c>
      <c r="BC685" s="136">
        <f t="shared" si="201"/>
        <v>0</v>
      </c>
      <c r="BD685" s="136">
        <f t="shared" si="201"/>
        <v>0</v>
      </c>
      <c r="BE685" s="136">
        <f t="shared" si="201"/>
        <v>29969</v>
      </c>
      <c r="BF685" s="136">
        <f t="shared" si="201"/>
        <v>0</v>
      </c>
      <c r="BG685" s="136">
        <f t="shared" si="201"/>
        <v>0</v>
      </c>
      <c r="BH685" s="136">
        <f t="shared" si="201"/>
        <v>0</v>
      </c>
      <c r="BI685" s="136">
        <f t="shared" si="201"/>
        <v>0</v>
      </c>
      <c r="BJ685" s="136">
        <f t="shared" si="201"/>
        <v>-248416</v>
      </c>
      <c r="BK685" s="136">
        <f t="shared" si="201"/>
        <v>0</v>
      </c>
      <c r="BL685" s="136">
        <f t="shared" si="201"/>
        <v>0</v>
      </c>
      <c r="BM685" s="136">
        <f t="shared" si="201"/>
        <v>0</v>
      </c>
      <c r="BN685" s="136">
        <f t="shared" si="201"/>
        <v>0</v>
      </c>
      <c r="BO685" s="136">
        <f t="shared" si="201"/>
        <v>-87627</v>
      </c>
      <c r="BP685" s="136">
        <f t="shared" si="201"/>
        <v>0</v>
      </c>
      <c r="BQ685" s="136">
        <f t="shared" si="201"/>
        <v>0</v>
      </c>
      <c r="BR685" s="136">
        <f t="shared" si="197"/>
        <v>0</v>
      </c>
      <c r="BS685" s="136">
        <f t="shared" si="195"/>
        <v>0</v>
      </c>
      <c r="BT685" s="136">
        <f t="shared" si="195"/>
        <v>-929506</v>
      </c>
      <c r="BU685" s="136">
        <f t="shared" si="195"/>
        <v>0</v>
      </c>
      <c r="BV685" s="136">
        <f t="shared" si="195"/>
        <v>0</v>
      </c>
      <c r="BW685" s="136">
        <f t="shared" si="195"/>
        <v>0</v>
      </c>
      <c r="BX685" s="136">
        <f t="shared" si="195"/>
        <v>0</v>
      </c>
      <c r="BZ685" s="136">
        <f t="shared" si="196"/>
        <v>0</v>
      </c>
      <c r="CA685" s="136">
        <f t="shared" si="196"/>
        <v>0</v>
      </c>
    </row>
    <row r="686" spans="7:79" hidden="1" x14ac:dyDescent="0.3">
      <c r="G686" s="136">
        <f t="shared" si="200"/>
        <v>-1295518</v>
      </c>
      <c r="H686" s="136">
        <f t="shared" si="200"/>
        <v>0</v>
      </c>
      <c r="I686" s="136">
        <f t="shared" si="200"/>
        <v>0</v>
      </c>
      <c r="J686" s="136">
        <f t="shared" si="200"/>
        <v>0</v>
      </c>
      <c r="K686" s="136">
        <f t="shared" si="200"/>
        <v>0</v>
      </c>
      <c r="L686" s="136">
        <f t="shared" si="200"/>
        <v>0</v>
      </c>
      <c r="M686" s="136">
        <f t="shared" si="200"/>
        <v>0</v>
      </c>
      <c r="N686" s="136">
        <f t="shared" si="200"/>
        <v>0</v>
      </c>
      <c r="O686" s="136">
        <f t="shared" si="200"/>
        <v>0</v>
      </c>
      <c r="P686" s="136">
        <f t="shared" si="200"/>
        <v>0</v>
      </c>
      <c r="Q686" s="136">
        <f t="shared" si="200"/>
        <v>0</v>
      </c>
      <c r="R686" s="136">
        <f t="shared" si="200"/>
        <v>0</v>
      </c>
      <c r="S686" s="136">
        <f t="shared" si="200"/>
        <v>0</v>
      </c>
      <c r="T686" s="136">
        <f t="shared" si="200"/>
        <v>0</v>
      </c>
      <c r="U686" s="136">
        <f t="shared" si="200"/>
        <v>0</v>
      </c>
      <c r="V686" s="136">
        <f t="shared" si="200"/>
        <v>-743035</v>
      </c>
      <c r="W686" s="136">
        <f t="shared" si="202"/>
        <v>0</v>
      </c>
      <c r="X686" s="136">
        <f t="shared" si="202"/>
        <v>0</v>
      </c>
      <c r="Y686" s="136">
        <f t="shared" si="201"/>
        <v>0</v>
      </c>
      <c r="Z686" s="136">
        <f t="shared" si="201"/>
        <v>0</v>
      </c>
      <c r="AA686" s="136">
        <f t="shared" si="201"/>
        <v>-17748</v>
      </c>
      <c r="AB686" s="136">
        <f t="shared" si="201"/>
        <v>0</v>
      </c>
      <c r="AC686" s="136">
        <f t="shared" si="201"/>
        <v>0</v>
      </c>
      <c r="AD686" s="136">
        <f t="shared" si="201"/>
        <v>0</v>
      </c>
      <c r="AE686" s="136">
        <f t="shared" si="201"/>
        <v>0</v>
      </c>
      <c r="AF686" s="136">
        <f t="shared" si="201"/>
        <v>0</v>
      </c>
      <c r="AG686" s="136">
        <f t="shared" si="201"/>
        <v>0</v>
      </c>
      <c r="AH686" s="136">
        <f t="shared" si="201"/>
        <v>0</v>
      </c>
      <c r="AI686" s="136">
        <f t="shared" si="201"/>
        <v>0</v>
      </c>
      <c r="AJ686" s="136">
        <f t="shared" si="201"/>
        <v>0</v>
      </c>
      <c r="AK686" s="136">
        <f t="shared" si="201"/>
        <v>-27624</v>
      </c>
      <c r="AL686" s="136">
        <f t="shared" si="201"/>
        <v>0</v>
      </c>
      <c r="AM686" s="136">
        <f t="shared" si="201"/>
        <v>0</v>
      </c>
      <c r="AN686" s="136">
        <f t="shared" si="201"/>
        <v>0</v>
      </c>
      <c r="AO686" s="136">
        <f t="shared" si="201"/>
        <v>0</v>
      </c>
      <c r="AP686" s="136">
        <f t="shared" si="201"/>
        <v>0</v>
      </c>
      <c r="AQ686" s="136">
        <f t="shared" si="201"/>
        <v>0</v>
      </c>
      <c r="AR686" s="136">
        <f t="shared" si="201"/>
        <v>0</v>
      </c>
      <c r="AS686" s="136">
        <f t="shared" si="201"/>
        <v>0</v>
      </c>
      <c r="AT686" s="136">
        <f t="shared" si="201"/>
        <v>0</v>
      </c>
      <c r="AU686" s="136">
        <f t="shared" si="201"/>
        <v>-171068</v>
      </c>
      <c r="AV686" s="136">
        <f t="shared" si="201"/>
        <v>0</v>
      </c>
      <c r="AW686" s="136">
        <f t="shared" si="201"/>
        <v>0</v>
      </c>
      <c r="AX686" s="136">
        <f t="shared" si="201"/>
        <v>0</v>
      </c>
      <c r="AY686" s="136">
        <f t="shared" si="201"/>
        <v>0</v>
      </c>
      <c r="AZ686" s="136">
        <f t="shared" si="201"/>
        <v>0</v>
      </c>
      <c r="BA686" s="136">
        <f t="shared" si="201"/>
        <v>0</v>
      </c>
      <c r="BB686" s="136">
        <f t="shared" si="201"/>
        <v>0</v>
      </c>
      <c r="BC686" s="136">
        <f t="shared" si="201"/>
        <v>0</v>
      </c>
      <c r="BD686" s="136">
        <f t="shared" si="201"/>
        <v>0</v>
      </c>
      <c r="BE686" s="136">
        <f t="shared" si="201"/>
        <v>29969</v>
      </c>
      <c r="BF686" s="136">
        <f t="shared" si="201"/>
        <v>0</v>
      </c>
      <c r="BG686" s="136">
        <f t="shared" si="201"/>
        <v>0</v>
      </c>
      <c r="BH686" s="136">
        <f t="shared" si="201"/>
        <v>0</v>
      </c>
      <c r="BI686" s="136">
        <f t="shared" si="201"/>
        <v>0</v>
      </c>
      <c r="BJ686" s="136">
        <f t="shared" si="201"/>
        <v>-248416</v>
      </c>
      <c r="BK686" s="136">
        <f t="shared" si="201"/>
        <v>0</v>
      </c>
      <c r="BL686" s="136">
        <f t="shared" si="201"/>
        <v>0</v>
      </c>
      <c r="BM686" s="136">
        <f t="shared" si="201"/>
        <v>0</v>
      </c>
      <c r="BN686" s="136">
        <f t="shared" si="201"/>
        <v>0</v>
      </c>
      <c r="BO686" s="136">
        <f t="shared" si="201"/>
        <v>-87627</v>
      </c>
      <c r="BP686" s="136">
        <f t="shared" si="201"/>
        <v>0</v>
      </c>
      <c r="BQ686" s="136">
        <f t="shared" si="201"/>
        <v>0</v>
      </c>
      <c r="BR686" s="136">
        <f t="shared" si="197"/>
        <v>0</v>
      </c>
      <c r="BS686" s="136">
        <f t="shared" si="197"/>
        <v>0</v>
      </c>
      <c r="BT686" s="136">
        <f t="shared" si="197"/>
        <v>-929506</v>
      </c>
      <c r="BU686" s="136">
        <f t="shared" si="197"/>
        <v>0</v>
      </c>
      <c r="BV686" s="136">
        <f t="shared" si="197"/>
        <v>0</v>
      </c>
      <c r="BW686" s="136">
        <f t="shared" si="197"/>
        <v>0</v>
      </c>
      <c r="BX686" s="136">
        <f t="shared" si="197"/>
        <v>0</v>
      </c>
      <c r="BZ686" s="136">
        <f t="shared" ref="BZ686:CA701" si="203">BZ329-ER329</f>
        <v>0</v>
      </c>
      <c r="CA686" s="136">
        <f t="shared" si="203"/>
        <v>0</v>
      </c>
    </row>
    <row r="687" spans="7:79" hidden="1" x14ac:dyDescent="0.3">
      <c r="G687" s="136">
        <f t="shared" si="200"/>
        <v>0</v>
      </c>
      <c r="H687" s="136">
        <f t="shared" si="200"/>
        <v>0</v>
      </c>
      <c r="I687" s="136">
        <f t="shared" si="200"/>
        <v>0</v>
      </c>
      <c r="J687" s="136">
        <f t="shared" si="200"/>
        <v>0</v>
      </c>
      <c r="K687" s="136">
        <f t="shared" si="200"/>
        <v>0</v>
      </c>
      <c r="L687" s="136">
        <f t="shared" si="200"/>
        <v>0</v>
      </c>
      <c r="M687" s="136">
        <f t="shared" si="200"/>
        <v>0</v>
      </c>
      <c r="N687" s="136">
        <f t="shared" si="200"/>
        <v>0</v>
      </c>
      <c r="O687" s="136">
        <f t="shared" si="200"/>
        <v>0</v>
      </c>
      <c r="P687" s="136">
        <f t="shared" si="200"/>
        <v>0</v>
      </c>
      <c r="Q687" s="136">
        <f t="shared" si="200"/>
        <v>0</v>
      </c>
      <c r="R687" s="136">
        <f t="shared" si="200"/>
        <v>0</v>
      </c>
      <c r="S687" s="136">
        <f t="shared" si="200"/>
        <v>0</v>
      </c>
      <c r="T687" s="136">
        <f t="shared" si="200"/>
        <v>0</v>
      </c>
      <c r="U687" s="136">
        <f t="shared" si="200"/>
        <v>0</v>
      </c>
      <c r="V687" s="136">
        <f t="shared" si="200"/>
        <v>0</v>
      </c>
      <c r="W687" s="136">
        <f t="shared" si="202"/>
        <v>0</v>
      </c>
      <c r="X687" s="136">
        <f t="shared" si="202"/>
        <v>0</v>
      </c>
      <c r="Y687" s="136">
        <f t="shared" si="201"/>
        <v>0</v>
      </c>
      <c r="Z687" s="136">
        <f t="shared" si="201"/>
        <v>0</v>
      </c>
      <c r="AA687" s="136">
        <f t="shared" si="201"/>
        <v>0</v>
      </c>
      <c r="AB687" s="136">
        <f t="shared" si="201"/>
        <v>0</v>
      </c>
      <c r="AC687" s="136">
        <f t="shared" si="201"/>
        <v>0</v>
      </c>
      <c r="AD687" s="136">
        <f t="shared" si="201"/>
        <v>0</v>
      </c>
      <c r="AE687" s="136">
        <f t="shared" si="201"/>
        <v>0</v>
      </c>
      <c r="AF687" s="136">
        <f t="shared" si="201"/>
        <v>0</v>
      </c>
      <c r="AG687" s="136">
        <f t="shared" si="201"/>
        <v>0</v>
      </c>
      <c r="AH687" s="136">
        <f t="shared" si="201"/>
        <v>0</v>
      </c>
      <c r="AI687" s="136">
        <f t="shared" si="201"/>
        <v>0</v>
      </c>
      <c r="AJ687" s="136">
        <f t="shared" si="201"/>
        <v>0</v>
      </c>
      <c r="AK687" s="136">
        <f t="shared" si="201"/>
        <v>0</v>
      </c>
      <c r="AL687" s="136">
        <f t="shared" si="201"/>
        <v>0</v>
      </c>
      <c r="AM687" s="136">
        <f t="shared" si="201"/>
        <v>0</v>
      </c>
      <c r="AN687" s="136">
        <f t="shared" si="201"/>
        <v>0</v>
      </c>
      <c r="AO687" s="136">
        <f t="shared" si="201"/>
        <v>0</v>
      </c>
      <c r="AP687" s="136">
        <f t="shared" si="201"/>
        <v>0</v>
      </c>
      <c r="AQ687" s="136">
        <f t="shared" si="201"/>
        <v>0</v>
      </c>
      <c r="AR687" s="136">
        <f t="shared" si="201"/>
        <v>0</v>
      </c>
      <c r="AS687" s="136">
        <f t="shared" si="201"/>
        <v>0</v>
      </c>
      <c r="AT687" s="136">
        <f t="shared" si="201"/>
        <v>0</v>
      </c>
      <c r="AU687" s="136">
        <f t="shared" si="201"/>
        <v>0</v>
      </c>
      <c r="AV687" s="136">
        <f t="shared" si="201"/>
        <v>0</v>
      </c>
      <c r="AW687" s="136">
        <f t="shared" si="201"/>
        <v>0</v>
      </c>
      <c r="AX687" s="136">
        <f t="shared" si="201"/>
        <v>0</v>
      </c>
      <c r="AY687" s="136">
        <f t="shared" si="201"/>
        <v>0</v>
      </c>
      <c r="AZ687" s="136">
        <f t="shared" si="201"/>
        <v>0</v>
      </c>
      <c r="BA687" s="136">
        <f t="shared" si="201"/>
        <v>0</v>
      </c>
      <c r="BB687" s="136">
        <f t="shared" si="201"/>
        <v>0</v>
      </c>
      <c r="BC687" s="136">
        <f t="shared" ref="BC687:BR702" si="204">BC330-DU330</f>
        <v>0</v>
      </c>
      <c r="BD687" s="136">
        <f t="shared" si="204"/>
        <v>0</v>
      </c>
      <c r="BE687" s="136">
        <f t="shared" si="204"/>
        <v>0</v>
      </c>
      <c r="BF687" s="136">
        <f t="shared" si="204"/>
        <v>0</v>
      </c>
      <c r="BG687" s="136">
        <f t="shared" si="204"/>
        <v>0</v>
      </c>
      <c r="BH687" s="136">
        <f t="shared" si="204"/>
        <v>0</v>
      </c>
      <c r="BI687" s="136">
        <f t="shared" si="204"/>
        <v>0</v>
      </c>
      <c r="BJ687" s="136">
        <f t="shared" si="204"/>
        <v>0</v>
      </c>
      <c r="BK687" s="136">
        <f t="shared" si="204"/>
        <v>0</v>
      </c>
      <c r="BL687" s="136">
        <f t="shared" si="204"/>
        <v>0</v>
      </c>
      <c r="BM687" s="136">
        <f t="shared" si="204"/>
        <v>0</v>
      </c>
      <c r="BN687" s="136">
        <f t="shared" si="204"/>
        <v>0</v>
      </c>
      <c r="BO687" s="136">
        <f t="shared" si="204"/>
        <v>0</v>
      </c>
      <c r="BP687" s="136">
        <f t="shared" si="204"/>
        <v>0</v>
      </c>
      <c r="BQ687" s="136">
        <f t="shared" si="204"/>
        <v>0</v>
      </c>
      <c r="BR687" s="136">
        <f t="shared" si="197"/>
        <v>0</v>
      </c>
      <c r="BS687" s="136">
        <f t="shared" si="197"/>
        <v>0</v>
      </c>
      <c r="BT687" s="136">
        <f t="shared" si="197"/>
        <v>0</v>
      </c>
      <c r="BU687" s="136">
        <f t="shared" si="197"/>
        <v>0</v>
      </c>
      <c r="BV687" s="136">
        <f t="shared" si="197"/>
        <v>0</v>
      </c>
      <c r="BW687" s="136">
        <f t="shared" si="197"/>
        <v>0</v>
      </c>
      <c r="BX687" s="136">
        <f t="shared" si="197"/>
        <v>0</v>
      </c>
      <c r="BZ687" s="136">
        <f t="shared" si="203"/>
        <v>0</v>
      </c>
      <c r="CA687" s="136">
        <f t="shared" si="203"/>
        <v>0</v>
      </c>
    </row>
    <row r="688" spans="7:79" hidden="1" x14ac:dyDescent="0.3">
      <c r="G688" s="136">
        <f t="shared" si="200"/>
        <v>-320429</v>
      </c>
      <c r="H688" s="136">
        <f t="shared" si="200"/>
        <v>0</v>
      </c>
      <c r="I688" s="136">
        <f t="shared" si="200"/>
        <v>0</v>
      </c>
      <c r="J688" s="136">
        <f t="shared" si="200"/>
        <v>0</v>
      </c>
      <c r="K688" s="136">
        <f t="shared" si="200"/>
        <v>0</v>
      </c>
      <c r="L688" s="136">
        <f t="shared" si="200"/>
        <v>161641</v>
      </c>
      <c r="M688" s="136">
        <f t="shared" si="200"/>
        <v>0</v>
      </c>
      <c r="N688" s="136">
        <f t="shared" si="200"/>
        <v>0</v>
      </c>
      <c r="O688" s="136">
        <f t="shared" si="200"/>
        <v>0</v>
      </c>
      <c r="P688" s="136">
        <f t="shared" si="200"/>
        <v>0</v>
      </c>
      <c r="Q688" s="136">
        <f t="shared" si="200"/>
        <v>0</v>
      </c>
      <c r="R688" s="136">
        <f t="shared" si="200"/>
        <v>0</v>
      </c>
      <c r="S688" s="136">
        <f t="shared" si="200"/>
        <v>0</v>
      </c>
      <c r="T688" s="136">
        <f t="shared" si="200"/>
        <v>0</v>
      </c>
      <c r="U688" s="136">
        <f t="shared" si="200"/>
        <v>0</v>
      </c>
      <c r="V688" s="136">
        <f t="shared" si="200"/>
        <v>0</v>
      </c>
      <c r="W688" s="136">
        <f t="shared" si="202"/>
        <v>0</v>
      </c>
      <c r="X688" s="136">
        <f t="shared" si="202"/>
        <v>0</v>
      </c>
      <c r="Y688" s="136">
        <f t="shared" si="202"/>
        <v>0</v>
      </c>
      <c r="Z688" s="136">
        <f t="shared" si="202"/>
        <v>0</v>
      </c>
      <c r="AA688" s="136">
        <f t="shared" si="202"/>
        <v>0</v>
      </c>
      <c r="AB688" s="136">
        <f t="shared" si="202"/>
        <v>0</v>
      </c>
      <c r="AC688" s="136">
        <f t="shared" si="202"/>
        <v>0</v>
      </c>
      <c r="AD688" s="136">
        <f t="shared" si="202"/>
        <v>0</v>
      </c>
      <c r="AE688" s="136">
        <f t="shared" si="202"/>
        <v>0</v>
      </c>
      <c r="AF688" s="136">
        <f t="shared" si="202"/>
        <v>0</v>
      </c>
      <c r="AG688" s="136">
        <f t="shared" si="202"/>
        <v>0</v>
      </c>
      <c r="AH688" s="136">
        <f t="shared" si="202"/>
        <v>0</v>
      </c>
      <c r="AI688" s="136">
        <f t="shared" si="202"/>
        <v>0</v>
      </c>
      <c r="AJ688" s="136">
        <f t="shared" si="202"/>
        <v>0</v>
      </c>
      <c r="AK688" s="136">
        <f t="shared" si="202"/>
        <v>0</v>
      </c>
      <c r="AL688" s="136">
        <f t="shared" si="202"/>
        <v>0</v>
      </c>
      <c r="AM688" s="136">
        <f t="shared" ref="AM688:BB702" si="205">AM331-DE331</f>
        <v>0</v>
      </c>
      <c r="AN688" s="136">
        <f t="shared" si="205"/>
        <v>0</v>
      </c>
      <c r="AO688" s="136">
        <f t="shared" si="205"/>
        <v>0</v>
      </c>
      <c r="AP688" s="136">
        <f t="shared" si="205"/>
        <v>-144461</v>
      </c>
      <c r="AQ688" s="136">
        <f t="shared" si="205"/>
        <v>0</v>
      </c>
      <c r="AR688" s="136">
        <f t="shared" si="205"/>
        <v>0</v>
      </c>
      <c r="AS688" s="136">
        <f t="shared" si="205"/>
        <v>0</v>
      </c>
      <c r="AT688" s="136">
        <f t="shared" si="205"/>
        <v>0</v>
      </c>
      <c r="AU688" s="136">
        <f t="shared" si="205"/>
        <v>0</v>
      </c>
      <c r="AV688" s="136">
        <f t="shared" si="205"/>
        <v>0</v>
      </c>
      <c r="AW688" s="136">
        <f t="shared" si="205"/>
        <v>0</v>
      </c>
      <c r="AX688" s="136">
        <f t="shared" si="205"/>
        <v>0</v>
      </c>
      <c r="AY688" s="136">
        <f t="shared" si="205"/>
        <v>0</v>
      </c>
      <c r="AZ688" s="136">
        <f t="shared" si="205"/>
        <v>0</v>
      </c>
      <c r="BA688" s="136">
        <f t="shared" si="205"/>
        <v>0</v>
      </c>
      <c r="BB688" s="136">
        <f t="shared" si="205"/>
        <v>0</v>
      </c>
      <c r="BC688" s="136">
        <f t="shared" si="204"/>
        <v>0</v>
      </c>
      <c r="BD688" s="136">
        <f t="shared" si="204"/>
        <v>0</v>
      </c>
      <c r="BE688" s="136">
        <f t="shared" si="204"/>
        <v>0</v>
      </c>
      <c r="BF688" s="136">
        <f t="shared" si="204"/>
        <v>0</v>
      </c>
      <c r="BG688" s="136">
        <f t="shared" si="204"/>
        <v>0</v>
      </c>
      <c r="BH688" s="136">
        <f t="shared" si="204"/>
        <v>0</v>
      </c>
      <c r="BI688" s="136">
        <f t="shared" si="204"/>
        <v>0</v>
      </c>
      <c r="BJ688" s="136">
        <f t="shared" si="204"/>
        <v>-56073</v>
      </c>
      <c r="BK688" s="136">
        <f t="shared" si="204"/>
        <v>0</v>
      </c>
      <c r="BL688" s="136">
        <f t="shared" si="204"/>
        <v>0</v>
      </c>
      <c r="BM688" s="136">
        <f t="shared" si="204"/>
        <v>0</v>
      </c>
      <c r="BN688" s="136">
        <f t="shared" si="204"/>
        <v>0</v>
      </c>
      <c r="BO688" s="136">
        <f t="shared" si="204"/>
        <v>0</v>
      </c>
      <c r="BP688" s="136">
        <f t="shared" si="204"/>
        <v>0</v>
      </c>
      <c r="BQ688" s="136">
        <f t="shared" si="204"/>
        <v>0</v>
      </c>
      <c r="BR688" s="136">
        <f t="shared" si="197"/>
        <v>0</v>
      </c>
      <c r="BS688" s="136">
        <f t="shared" si="197"/>
        <v>0</v>
      </c>
      <c r="BT688" s="136">
        <f t="shared" si="197"/>
        <v>17180</v>
      </c>
      <c r="BU688" s="136">
        <f t="shared" si="197"/>
        <v>0</v>
      </c>
      <c r="BV688" s="136">
        <f t="shared" si="197"/>
        <v>0</v>
      </c>
      <c r="BW688" s="136">
        <f t="shared" si="197"/>
        <v>0</v>
      </c>
      <c r="BX688" s="136">
        <f t="shared" si="197"/>
        <v>0</v>
      </c>
      <c r="BZ688" s="136">
        <f t="shared" si="203"/>
        <v>0</v>
      </c>
      <c r="CA688" s="136">
        <f t="shared" si="203"/>
        <v>0</v>
      </c>
    </row>
    <row r="689" spans="7:79" hidden="1" x14ac:dyDescent="0.3">
      <c r="G689" s="136">
        <f t="shared" si="200"/>
        <v>-320429</v>
      </c>
      <c r="H689" s="136">
        <f t="shared" si="200"/>
        <v>0</v>
      </c>
      <c r="I689" s="136">
        <f t="shared" si="200"/>
        <v>0</v>
      </c>
      <c r="J689" s="136">
        <f t="shared" si="200"/>
        <v>0</v>
      </c>
      <c r="K689" s="136">
        <f t="shared" si="200"/>
        <v>0</v>
      </c>
      <c r="L689" s="136">
        <f t="shared" si="200"/>
        <v>161641</v>
      </c>
      <c r="M689" s="136">
        <f t="shared" si="200"/>
        <v>0</v>
      </c>
      <c r="N689" s="136">
        <f t="shared" si="200"/>
        <v>0</v>
      </c>
      <c r="O689" s="136">
        <f t="shared" si="200"/>
        <v>0</v>
      </c>
      <c r="P689" s="136">
        <f t="shared" si="200"/>
        <v>0</v>
      </c>
      <c r="Q689" s="136">
        <f t="shared" si="200"/>
        <v>0</v>
      </c>
      <c r="R689" s="136">
        <f t="shared" si="200"/>
        <v>0</v>
      </c>
      <c r="S689" s="136">
        <f t="shared" si="200"/>
        <v>0</v>
      </c>
      <c r="T689" s="136">
        <f t="shared" si="200"/>
        <v>0</v>
      </c>
      <c r="U689" s="136">
        <f t="shared" si="200"/>
        <v>0</v>
      </c>
      <c r="V689" s="136">
        <f t="shared" si="200"/>
        <v>0</v>
      </c>
      <c r="W689" s="136">
        <f t="shared" si="202"/>
        <v>0</v>
      </c>
      <c r="X689" s="136">
        <f t="shared" si="202"/>
        <v>0</v>
      </c>
      <c r="Y689" s="136">
        <f t="shared" si="202"/>
        <v>0</v>
      </c>
      <c r="Z689" s="136">
        <f t="shared" si="202"/>
        <v>0</v>
      </c>
      <c r="AA689" s="136">
        <f t="shared" si="202"/>
        <v>0</v>
      </c>
      <c r="AB689" s="136">
        <f t="shared" si="202"/>
        <v>0</v>
      </c>
      <c r="AC689" s="136">
        <f t="shared" si="202"/>
        <v>0</v>
      </c>
      <c r="AD689" s="136">
        <f t="shared" si="202"/>
        <v>0</v>
      </c>
      <c r="AE689" s="136">
        <f t="shared" si="202"/>
        <v>0</v>
      </c>
      <c r="AF689" s="136">
        <f t="shared" si="202"/>
        <v>0</v>
      </c>
      <c r="AG689" s="136">
        <f t="shared" si="202"/>
        <v>0</v>
      </c>
      <c r="AH689" s="136">
        <f t="shared" si="202"/>
        <v>0</v>
      </c>
      <c r="AI689" s="136">
        <f t="shared" si="202"/>
        <v>0</v>
      </c>
      <c r="AJ689" s="136">
        <f t="shared" si="202"/>
        <v>0</v>
      </c>
      <c r="AK689" s="136">
        <f t="shared" si="202"/>
        <v>0</v>
      </c>
      <c r="AL689" s="136">
        <f t="shared" si="202"/>
        <v>0</v>
      </c>
      <c r="AM689" s="136">
        <f t="shared" si="205"/>
        <v>0</v>
      </c>
      <c r="AN689" s="136">
        <f t="shared" si="205"/>
        <v>0</v>
      </c>
      <c r="AO689" s="136">
        <f t="shared" si="205"/>
        <v>0</v>
      </c>
      <c r="AP689" s="136">
        <f t="shared" si="205"/>
        <v>-144461</v>
      </c>
      <c r="AQ689" s="136">
        <f t="shared" si="205"/>
        <v>0</v>
      </c>
      <c r="AR689" s="136">
        <f t="shared" si="205"/>
        <v>0</v>
      </c>
      <c r="AS689" s="136">
        <f t="shared" si="205"/>
        <v>0</v>
      </c>
      <c r="AT689" s="136">
        <f t="shared" si="205"/>
        <v>0</v>
      </c>
      <c r="AU689" s="136">
        <f t="shared" si="205"/>
        <v>0</v>
      </c>
      <c r="AV689" s="136">
        <f t="shared" si="205"/>
        <v>0</v>
      </c>
      <c r="AW689" s="136">
        <f t="shared" si="205"/>
        <v>0</v>
      </c>
      <c r="AX689" s="136">
        <f t="shared" si="205"/>
        <v>0</v>
      </c>
      <c r="AY689" s="136">
        <f t="shared" si="205"/>
        <v>0</v>
      </c>
      <c r="AZ689" s="136">
        <f t="shared" si="205"/>
        <v>0</v>
      </c>
      <c r="BA689" s="136">
        <f t="shared" si="205"/>
        <v>0</v>
      </c>
      <c r="BB689" s="136">
        <f t="shared" si="205"/>
        <v>0</v>
      </c>
      <c r="BC689" s="136">
        <f t="shared" si="204"/>
        <v>0</v>
      </c>
      <c r="BD689" s="136">
        <f t="shared" si="204"/>
        <v>0</v>
      </c>
      <c r="BE689" s="136">
        <f t="shared" si="204"/>
        <v>0</v>
      </c>
      <c r="BF689" s="136">
        <f t="shared" si="204"/>
        <v>0</v>
      </c>
      <c r="BG689" s="136">
        <f t="shared" si="204"/>
        <v>0</v>
      </c>
      <c r="BH689" s="136">
        <f t="shared" si="204"/>
        <v>0</v>
      </c>
      <c r="BI689" s="136">
        <f t="shared" si="204"/>
        <v>0</v>
      </c>
      <c r="BJ689" s="136">
        <f t="shared" si="204"/>
        <v>-56073</v>
      </c>
      <c r="BK689" s="136">
        <f t="shared" si="204"/>
        <v>0</v>
      </c>
      <c r="BL689" s="136">
        <f t="shared" si="204"/>
        <v>0</v>
      </c>
      <c r="BM689" s="136">
        <f t="shared" si="204"/>
        <v>0</v>
      </c>
      <c r="BN689" s="136">
        <f t="shared" si="204"/>
        <v>0</v>
      </c>
      <c r="BO689" s="136">
        <f t="shared" si="204"/>
        <v>0</v>
      </c>
      <c r="BP689" s="136">
        <f t="shared" si="204"/>
        <v>0</v>
      </c>
      <c r="BQ689" s="136">
        <f t="shared" si="204"/>
        <v>0</v>
      </c>
      <c r="BR689" s="136">
        <f t="shared" si="204"/>
        <v>0</v>
      </c>
      <c r="BS689" s="136">
        <f t="shared" ref="BS689:BX702" si="206">BS332-EK332</f>
        <v>0</v>
      </c>
      <c r="BT689" s="136">
        <f t="shared" si="206"/>
        <v>17180</v>
      </c>
      <c r="BU689" s="136">
        <f t="shared" si="206"/>
        <v>0</v>
      </c>
      <c r="BV689" s="136">
        <f t="shared" si="206"/>
        <v>0</v>
      </c>
      <c r="BW689" s="136">
        <f t="shared" si="206"/>
        <v>0</v>
      </c>
      <c r="BX689" s="136">
        <f t="shared" si="206"/>
        <v>0</v>
      </c>
      <c r="BZ689" s="136">
        <f t="shared" si="203"/>
        <v>0</v>
      </c>
      <c r="CA689" s="136">
        <f t="shared" si="203"/>
        <v>0</v>
      </c>
    </row>
    <row r="690" spans="7:79" hidden="1" x14ac:dyDescent="0.3">
      <c r="G690" s="136">
        <f t="shared" si="200"/>
        <v>0</v>
      </c>
      <c r="H690" s="136">
        <f t="shared" si="200"/>
        <v>0</v>
      </c>
      <c r="I690" s="136">
        <f t="shared" si="200"/>
        <v>0</v>
      </c>
      <c r="J690" s="136">
        <f t="shared" si="200"/>
        <v>0</v>
      </c>
      <c r="K690" s="136">
        <f t="shared" si="200"/>
        <v>0</v>
      </c>
      <c r="L690" s="136">
        <f t="shared" si="200"/>
        <v>0</v>
      </c>
      <c r="M690" s="136">
        <f t="shared" si="200"/>
        <v>0</v>
      </c>
      <c r="N690" s="136">
        <f t="shared" si="200"/>
        <v>0</v>
      </c>
      <c r="O690" s="136">
        <f t="shared" si="200"/>
        <v>0</v>
      </c>
      <c r="P690" s="136">
        <f t="shared" si="200"/>
        <v>0</v>
      </c>
      <c r="Q690" s="136">
        <f t="shared" si="200"/>
        <v>0</v>
      </c>
      <c r="R690" s="136">
        <f t="shared" si="200"/>
        <v>0</v>
      </c>
      <c r="S690" s="136">
        <f t="shared" si="200"/>
        <v>0</v>
      </c>
      <c r="T690" s="136">
        <f t="shared" si="200"/>
        <v>0</v>
      </c>
      <c r="U690" s="136">
        <f t="shared" si="200"/>
        <v>0</v>
      </c>
      <c r="V690" s="136">
        <f t="shared" si="200"/>
        <v>0</v>
      </c>
      <c r="W690" s="136">
        <f t="shared" si="202"/>
        <v>0</v>
      </c>
      <c r="X690" s="136">
        <f t="shared" si="202"/>
        <v>0</v>
      </c>
      <c r="Y690" s="136">
        <f t="shared" si="202"/>
        <v>0</v>
      </c>
      <c r="Z690" s="136">
        <f t="shared" si="202"/>
        <v>0</v>
      </c>
      <c r="AA690" s="136">
        <f t="shared" si="202"/>
        <v>0</v>
      </c>
      <c r="AB690" s="136">
        <f t="shared" si="202"/>
        <v>0</v>
      </c>
      <c r="AC690" s="136">
        <f t="shared" si="202"/>
        <v>0</v>
      </c>
      <c r="AD690" s="136">
        <f t="shared" si="202"/>
        <v>0</v>
      </c>
      <c r="AE690" s="136">
        <f t="shared" si="202"/>
        <v>0</v>
      </c>
      <c r="AF690" s="136">
        <f t="shared" si="202"/>
        <v>0</v>
      </c>
      <c r="AG690" s="136">
        <f t="shared" si="202"/>
        <v>0</v>
      </c>
      <c r="AH690" s="136">
        <f t="shared" si="202"/>
        <v>0</v>
      </c>
      <c r="AI690" s="136">
        <f t="shared" si="202"/>
        <v>0</v>
      </c>
      <c r="AJ690" s="136">
        <f t="shared" si="202"/>
        <v>0</v>
      </c>
      <c r="AK690" s="136">
        <f t="shared" si="202"/>
        <v>0</v>
      </c>
      <c r="AL690" s="136">
        <f t="shared" si="202"/>
        <v>0</v>
      </c>
      <c r="AM690" s="136">
        <f t="shared" si="205"/>
        <v>0</v>
      </c>
      <c r="AN690" s="136">
        <f t="shared" si="205"/>
        <v>0</v>
      </c>
      <c r="AO690" s="136">
        <f t="shared" si="205"/>
        <v>0</v>
      </c>
      <c r="AP690" s="136">
        <f t="shared" si="205"/>
        <v>0</v>
      </c>
      <c r="AQ690" s="136">
        <f t="shared" si="205"/>
        <v>0</v>
      </c>
      <c r="AR690" s="136">
        <f t="shared" si="205"/>
        <v>0</v>
      </c>
      <c r="AS690" s="136">
        <f t="shared" si="205"/>
        <v>0</v>
      </c>
      <c r="AT690" s="136">
        <f t="shared" si="205"/>
        <v>0</v>
      </c>
      <c r="AU690" s="136">
        <f t="shared" si="205"/>
        <v>0</v>
      </c>
      <c r="AV690" s="136">
        <f t="shared" si="205"/>
        <v>0</v>
      </c>
      <c r="AW690" s="136">
        <f t="shared" si="205"/>
        <v>0</v>
      </c>
      <c r="AX690" s="136">
        <f t="shared" si="205"/>
        <v>0</v>
      </c>
      <c r="AY690" s="136">
        <f t="shared" si="205"/>
        <v>0</v>
      </c>
      <c r="AZ690" s="136">
        <f t="shared" si="205"/>
        <v>0</v>
      </c>
      <c r="BA690" s="136">
        <f t="shared" si="205"/>
        <v>0</v>
      </c>
      <c r="BB690" s="136">
        <f t="shared" si="205"/>
        <v>0</v>
      </c>
      <c r="BC690" s="136">
        <f t="shared" si="204"/>
        <v>0</v>
      </c>
      <c r="BD690" s="136">
        <f t="shared" si="204"/>
        <v>0</v>
      </c>
      <c r="BE690" s="136">
        <f t="shared" si="204"/>
        <v>0</v>
      </c>
      <c r="BF690" s="136">
        <f t="shared" si="204"/>
        <v>0</v>
      </c>
      <c r="BG690" s="136">
        <f t="shared" si="204"/>
        <v>0</v>
      </c>
      <c r="BH690" s="136">
        <f t="shared" si="204"/>
        <v>0</v>
      </c>
      <c r="BI690" s="136">
        <f t="shared" si="204"/>
        <v>0</v>
      </c>
      <c r="BJ690" s="136">
        <f t="shared" si="204"/>
        <v>0</v>
      </c>
      <c r="BK690" s="136">
        <f t="shared" si="204"/>
        <v>0</v>
      </c>
      <c r="BL690" s="136">
        <f t="shared" si="204"/>
        <v>0</v>
      </c>
      <c r="BM690" s="136">
        <f t="shared" si="204"/>
        <v>0</v>
      </c>
      <c r="BN690" s="136">
        <f t="shared" si="204"/>
        <v>0</v>
      </c>
      <c r="BO690" s="136">
        <f t="shared" si="204"/>
        <v>0</v>
      </c>
      <c r="BP690" s="136">
        <f t="shared" si="204"/>
        <v>0</v>
      </c>
      <c r="BQ690" s="136">
        <f t="shared" si="204"/>
        <v>0</v>
      </c>
      <c r="BR690" s="136">
        <f t="shared" si="204"/>
        <v>0</v>
      </c>
      <c r="BS690" s="136">
        <f t="shared" si="206"/>
        <v>0</v>
      </c>
      <c r="BT690" s="136">
        <f t="shared" si="206"/>
        <v>0</v>
      </c>
      <c r="BU690" s="136">
        <f t="shared" si="206"/>
        <v>0</v>
      </c>
      <c r="BV690" s="136">
        <f t="shared" si="206"/>
        <v>0</v>
      </c>
      <c r="BW690" s="136">
        <f t="shared" si="206"/>
        <v>0</v>
      </c>
      <c r="BX690" s="136">
        <f t="shared" si="206"/>
        <v>0</v>
      </c>
      <c r="BZ690" s="136">
        <f t="shared" si="203"/>
        <v>0</v>
      </c>
      <c r="CA690" s="136">
        <f t="shared" si="203"/>
        <v>0</v>
      </c>
    </row>
    <row r="691" spans="7:79" hidden="1" x14ac:dyDescent="0.3">
      <c r="G691" s="136">
        <f t="shared" si="200"/>
        <v>0</v>
      </c>
      <c r="H691" s="136">
        <f t="shared" si="200"/>
        <v>0</v>
      </c>
      <c r="I691" s="136">
        <f t="shared" si="200"/>
        <v>0</v>
      </c>
      <c r="J691" s="136">
        <f t="shared" si="200"/>
        <v>0</v>
      </c>
      <c r="K691" s="136">
        <f t="shared" si="200"/>
        <v>0</v>
      </c>
      <c r="L691" s="136">
        <f t="shared" si="200"/>
        <v>0</v>
      </c>
      <c r="M691" s="136">
        <f t="shared" si="200"/>
        <v>0</v>
      </c>
      <c r="N691" s="136">
        <f t="shared" si="200"/>
        <v>0</v>
      </c>
      <c r="O691" s="136">
        <f t="shared" si="200"/>
        <v>0</v>
      </c>
      <c r="P691" s="136">
        <f t="shared" si="200"/>
        <v>0</v>
      </c>
      <c r="Q691" s="136">
        <f t="shared" si="200"/>
        <v>0</v>
      </c>
      <c r="R691" s="136">
        <f t="shared" si="200"/>
        <v>0</v>
      </c>
      <c r="S691" s="136">
        <f t="shared" si="200"/>
        <v>0</v>
      </c>
      <c r="T691" s="136">
        <f t="shared" si="200"/>
        <v>0</v>
      </c>
      <c r="U691" s="136">
        <f t="shared" si="200"/>
        <v>0</v>
      </c>
      <c r="V691" s="136">
        <f t="shared" si="200"/>
        <v>0</v>
      </c>
      <c r="W691" s="136">
        <f t="shared" si="202"/>
        <v>0</v>
      </c>
      <c r="X691" s="136">
        <f t="shared" si="202"/>
        <v>0</v>
      </c>
      <c r="Y691" s="136">
        <f t="shared" si="202"/>
        <v>0</v>
      </c>
      <c r="Z691" s="136">
        <f t="shared" si="202"/>
        <v>0</v>
      </c>
      <c r="AA691" s="136">
        <f t="shared" si="202"/>
        <v>0</v>
      </c>
      <c r="AB691" s="136">
        <f t="shared" si="202"/>
        <v>0</v>
      </c>
      <c r="AC691" s="136">
        <f t="shared" si="202"/>
        <v>0</v>
      </c>
      <c r="AD691" s="136">
        <f t="shared" si="202"/>
        <v>0</v>
      </c>
      <c r="AE691" s="136">
        <f t="shared" si="202"/>
        <v>0</v>
      </c>
      <c r="AF691" s="136">
        <f t="shared" si="202"/>
        <v>0</v>
      </c>
      <c r="AG691" s="136">
        <f t="shared" si="202"/>
        <v>0</v>
      </c>
      <c r="AH691" s="136">
        <f t="shared" si="202"/>
        <v>0</v>
      </c>
      <c r="AI691" s="136">
        <f t="shared" si="202"/>
        <v>0</v>
      </c>
      <c r="AJ691" s="136">
        <f t="shared" si="202"/>
        <v>0</v>
      </c>
      <c r="AK691" s="136">
        <f t="shared" si="202"/>
        <v>0</v>
      </c>
      <c r="AL691" s="136">
        <f t="shared" si="202"/>
        <v>0</v>
      </c>
      <c r="AM691" s="136">
        <f t="shared" si="205"/>
        <v>0</v>
      </c>
      <c r="AN691" s="136">
        <f t="shared" si="205"/>
        <v>0</v>
      </c>
      <c r="AO691" s="136">
        <f t="shared" si="205"/>
        <v>0</v>
      </c>
      <c r="AP691" s="136">
        <f t="shared" si="205"/>
        <v>0</v>
      </c>
      <c r="AQ691" s="136">
        <f t="shared" si="205"/>
        <v>0</v>
      </c>
      <c r="AR691" s="136">
        <f t="shared" si="205"/>
        <v>0</v>
      </c>
      <c r="AS691" s="136">
        <f t="shared" si="205"/>
        <v>0</v>
      </c>
      <c r="AT691" s="136">
        <f t="shared" si="205"/>
        <v>0</v>
      </c>
      <c r="AU691" s="136">
        <f t="shared" si="205"/>
        <v>0</v>
      </c>
      <c r="AV691" s="136">
        <f t="shared" si="205"/>
        <v>0</v>
      </c>
      <c r="AW691" s="136">
        <f t="shared" si="205"/>
        <v>0</v>
      </c>
      <c r="AX691" s="136">
        <f t="shared" si="205"/>
        <v>0</v>
      </c>
      <c r="AY691" s="136">
        <f t="shared" si="205"/>
        <v>0</v>
      </c>
      <c r="AZ691" s="136">
        <f t="shared" si="205"/>
        <v>0</v>
      </c>
      <c r="BA691" s="136">
        <f t="shared" si="205"/>
        <v>0</v>
      </c>
      <c r="BB691" s="136">
        <f t="shared" si="205"/>
        <v>0</v>
      </c>
      <c r="BC691" s="136">
        <f t="shared" si="204"/>
        <v>0</v>
      </c>
      <c r="BD691" s="136">
        <f t="shared" si="204"/>
        <v>0</v>
      </c>
      <c r="BE691" s="136">
        <f t="shared" si="204"/>
        <v>0</v>
      </c>
      <c r="BF691" s="136">
        <f t="shared" si="204"/>
        <v>0</v>
      </c>
      <c r="BG691" s="136">
        <f t="shared" si="204"/>
        <v>0</v>
      </c>
      <c r="BH691" s="136">
        <f t="shared" si="204"/>
        <v>0</v>
      </c>
      <c r="BI691" s="136">
        <f t="shared" si="204"/>
        <v>0</v>
      </c>
      <c r="BJ691" s="136">
        <f t="shared" si="204"/>
        <v>0</v>
      </c>
      <c r="BK691" s="136">
        <f t="shared" si="204"/>
        <v>0</v>
      </c>
      <c r="BL691" s="136">
        <f t="shared" si="204"/>
        <v>0</v>
      </c>
      <c r="BM691" s="136">
        <f t="shared" si="204"/>
        <v>0</v>
      </c>
      <c r="BN691" s="136">
        <f t="shared" si="204"/>
        <v>0</v>
      </c>
      <c r="BO691" s="136">
        <f t="shared" si="204"/>
        <v>0</v>
      </c>
      <c r="BP691" s="136">
        <f t="shared" si="204"/>
        <v>0</v>
      </c>
      <c r="BQ691" s="136">
        <f t="shared" si="204"/>
        <v>0</v>
      </c>
      <c r="BR691" s="136">
        <f t="shared" si="204"/>
        <v>0</v>
      </c>
      <c r="BS691" s="136">
        <f t="shared" si="206"/>
        <v>0</v>
      </c>
      <c r="BT691" s="136">
        <f t="shared" si="206"/>
        <v>0</v>
      </c>
      <c r="BU691" s="136">
        <f t="shared" si="206"/>
        <v>0</v>
      </c>
      <c r="BV691" s="136">
        <f t="shared" si="206"/>
        <v>0</v>
      </c>
      <c r="BW691" s="136">
        <f t="shared" si="206"/>
        <v>0</v>
      </c>
      <c r="BX691" s="136">
        <f t="shared" si="206"/>
        <v>0</v>
      </c>
      <c r="BZ691" s="136">
        <f t="shared" si="203"/>
        <v>0</v>
      </c>
      <c r="CA691" s="136">
        <f t="shared" si="203"/>
        <v>0</v>
      </c>
    </row>
    <row r="692" spans="7:79" hidden="1" x14ac:dyDescent="0.3">
      <c r="G692" s="136">
        <f t="shared" si="200"/>
        <v>0</v>
      </c>
      <c r="H692" s="136">
        <f t="shared" si="200"/>
        <v>0</v>
      </c>
      <c r="I692" s="136">
        <f t="shared" si="200"/>
        <v>0</v>
      </c>
      <c r="J692" s="136">
        <f t="shared" si="200"/>
        <v>0</v>
      </c>
      <c r="K692" s="136">
        <f t="shared" si="200"/>
        <v>0</v>
      </c>
      <c r="L692" s="136">
        <f t="shared" si="200"/>
        <v>0</v>
      </c>
      <c r="M692" s="136">
        <f t="shared" si="200"/>
        <v>0</v>
      </c>
      <c r="N692" s="136">
        <f t="shared" si="200"/>
        <v>0</v>
      </c>
      <c r="O692" s="136">
        <f t="shared" si="200"/>
        <v>0</v>
      </c>
      <c r="P692" s="136">
        <f t="shared" si="200"/>
        <v>0</v>
      </c>
      <c r="Q692" s="136">
        <f t="shared" si="200"/>
        <v>0</v>
      </c>
      <c r="R692" s="136">
        <f t="shared" si="200"/>
        <v>0</v>
      </c>
      <c r="S692" s="136">
        <f t="shared" si="200"/>
        <v>0</v>
      </c>
      <c r="T692" s="136">
        <f t="shared" si="200"/>
        <v>0</v>
      </c>
      <c r="U692" s="136">
        <f t="shared" si="200"/>
        <v>0</v>
      </c>
      <c r="V692" s="136">
        <f t="shared" si="200"/>
        <v>0</v>
      </c>
      <c r="W692" s="136">
        <f t="shared" si="202"/>
        <v>0</v>
      </c>
      <c r="X692" s="136">
        <f t="shared" si="202"/>
        <v>0</v>
      </c>
      <c r="Y692" s="136">
        <f t="shared" si="202"/>
        <v>0</v>
      </c>
      <c r="Z692" s="136">
        <f t="shared" si="202"/>
        <v>0</v>
      </c>
      <c r="AA692" s="136">
        <f t="shared" si="202"/>
        <v>0</v>
      </c>
      <c r="AB692" s="136">
        <f t="shared" si="202"/>
        <v>0</v>
      </c>
      <c r="AC692" s="136">
        <f t="shared" si="202"/>
        <v>0</v>
      </c>
      <c r="AD692" s="136">
        <f t="shared" si="202"/>
        <v>0</v>
      </c>
      <c r="AE692" s="136">
        <f t="shared" si="202"/>
        <v>0</v>
      </c>
      <c r="AF692" s="136">
        <f t="shared" si="202"/>
        <v>0</v>
      </c>
      <c r="AG692" s="136">
        <f t="shared" si="202"/>
        <v>0</v>
      </c>
      <c r="AH692" s="136">
        <f t="shared" si="202"/>
        <v>0</v>
      </c>
      <c r="AI692" s="136">
        <f t="shared" si="202"/>
        <v>0</v>
      </c>
      <c r="AJ692" s="136">
        <f t="shared" si="202"/>
        <v>0</v>
      </c>
      <c r="AK692" s="136">
        <f t="shared" si="202"/>
        <v>0</v>
      </c>
      <c r="AL692" s="136">
        <f t="shared" si="202"/>
        <v>0</v>
      </c>
      <c r="AM692" s="136">
        <f t="shared" si="205"/>
        <v>0</v>
      </c>
      <c r="AN692" s="136">
        <f t="shared" si="205"/>
        <v>0</v>
      </c>
      <c r="AO692" s="136">
        <f t="shared" si="205"/>
        <v>0</v>
      </c>
      <c r="AP692" s="136">
        <f t="shared" si="205"/>
        <v>0</v>
      </c>
      <c r="AQ692" s="136">
        <f t="shared" si="205"/>
        <v>0</v>
      </c>
      <c r="AR692" s="136">
        <f t="shared" si="205"/>
        <v>0</v>
      </c>
      <c r="AS692" s="136">
        <f t="shared" si="205"/>
        <v>0</v>
      </c>
      <c r="AT692" s="136">
        <f t="shared" si="205"/>
        <v>0</v>
      </c>
      <c r="AU692" s="136">
        <f t="shared" si="205"/>
        <v>0</v>
      </c>
      <c r="AV692" s="136">
        <f t="shared" si="205"/>
        <v>0</v>
      </c>
      <c r="AW692" s="136">
        <f t="shared" si="205"/>
        <v>0</v>
      </c>
      <c r="AX692" s="136">
        <f t="shared" si="205"/>
        <v>0</v>
      </c>
      <c r="AY692" s="136">
        <f t="shared" si="205"/>
        <v>0</v>
      </c>
      <c r="AZ692" s="136">
        <f t="shared" si="205"/>
        <v>0</v>
      </c>
      <c r="BA692" s="136">
        <f t="shared" si="205"/>
        <v>0</v>
      </c>
      <c r="BB692" s="136">
        <f t="shared" si="205"/>
        <v>0</v>
      </c>
      <c r="BC692" s="136">
        <f t="shared" si="204"/>
        <v>0</v>
      </c>
      <c r="BD692" s="136">
        <f t="shared" si="204"/>
        <v>0</v>
      </c>
      <c r="BE692" s="136">
        <f t="shared" si="204"/>
        <v>0</v>
      </c>
      <c r="BF692" s="136">
        <f t="shared" si="204"/>
        <v>0</v>
      </c>
      <c r="BG692" s="136">
        <f t="shared" si="204"/>
        <v>0</v>
      </c>
      <c r="BH692" s="136">
        <f t="shared" si="204"/>
        <v>0</v>
      </c>
      <c r="BI692" s="136">
        <f t="shared" si="204"/>
        <v>0</v>
      </c>
      <c r="BJ692" s="136">
        <f t="shared" si="204"/>
        <v>0</v>
      </c>
      <c r="BK692" s="136">
        <f t="shared" si="204"/>
        <v>0</v>
      </c>
      <c r="BL692" s="136">
        <f t="shared" si="204"/>
        <v>0</v>
      </c>
      <c r="BM692" s="136">
        <f t="shared" si="204"/>
        <v>0</v>
      </c>
      <c r="BN692" s="136">
        <f t="shared" si="204"/>
        <v>0</v>
      </c>
      <c r="BO692" s="136">
        <f t="shared" si="204"/>
        <v>0</v>
      </c>
      <c r="BP692" s="136">
        <f t="shared" si="204"/>
        <v>0</v>
      </c>
      <c r="BQ692" s="136">
        <f t="shared" si="204"/>
        <v>0</v>
      </c>
      <c r="BR692" s="136">
        <f t="shared" si="204"/>
        <v>0</v>
      </c>
      <c r="BS692" s="136">
        <f t="shared" si="206"/>
        <v>0</v>
      </c>
      <c r="BT692" s="136">
        <f t="shared" si="206"/>
        <v>0</v>
      </c>
      <c r="BU692" s="136">
        <f t="shared" si="206"/>
        <v>0</v>
      </c>
      <c r="BV692" s="136">
        <f t="shared" si="206"/>
        <v>0</v>
      </c>
      <c r="BW692" s="136">
        <f t="shared" si="206"/>
        <v>0</v>
      </c>
      <c r="BX692" s="136">
        <f t="shared" si="206"/>
        <v>0</v>
      </c>
      <c r="BZ692" s="136">
        <f t="shared" si="203"/>
        <v>0</v>
      </c>
      <c r="CA692" s="136">
        <f t="shared" si="203"/>
        <v>0</v>
      </c>
    </row>
    <row r="693" spans="7:79" hidden="1" x14ac:dyDescent="0.3">
      <c r="G693" s="136">
        <f t="shared" si="200"/>
        <v>0</v>
      </c>
      <c r="H693" s="136">
        <f t="shared" si="200"/>
        <v>0</v>
      </c>
      <c r="I693" s="136">
        <f t="shared" si="200"/>
        <v>0</v>
      </c>
      <c r="J693" s="136">
        <f t="shared" si="200"/>
        <v>0</v>
      </c>
      <c r="K693" s="136">
        <f t="shared" si="200"/>
        <v>0</v>
      </c>
      <c r="L693" s="136">
        <f t="shared" si="200"/>
        <v>0</v>
      </c>
      <c r="M693" s="136">
        <f t="shared" si="200"/>
        <v>0</v>
      </c>
      <c r="N693" s="136">
        <f t="shared" si="200"/>
        <v>0</v>
      </c>
      <c r="O693" s="136">
        <f t="shared" si="200"/>
        <v>0</v>
      </c>
      <c r="P693" s="136">
        <f t="shared" si="200"/>
        <v>0</v>
      </c>
      <c r="Q693" s="136">
        <f t="shared" si="200"/>
        <v>0</v>
      </c>
      <c r="R693" s="136">
        <f t="shared" si="200"/>
        <v>0</v>
      </c>
      <c r="S693" s="136">
        <f t="shared" si="200"/>
        <v>0</v>
      </c>
      <c r="T693" s="136">
        <f t="shared" si="200"/>
        <v>0</v>
      </c>
      <c r="U693" s="136">
        <f t="shared" si="200"/>
        <v>0</v>
      </c>
      <c r="V693" s="136">
        <f t="shared" si="200"/>
        <v>0</v>
      </c>
      <c r="W693" s="136">
        <f t="shared" si="202"/>
        <v>0</v>
      </c>
      <c r="X693" s="136">
        <f t="shared" si="202"/>
        <v>0</v>
      </c>
      <c r="Y693" s="136">
        <f t="shared" si="202"/>
        <v>0</v>
      </c>
      <c r="Z693" s="136">
        <f t="shared" si="202"/>
        <v>0</v>
      </c>
      <c r="AA693" s="136">
        <f t="shared" si="202"/>
        <v>0</v>
      </c>
      <c r="AB693" s="136">
        <f t="shared" si="202"/>
        <v>0</v>
      </c>
      <c r="AC693" s="136">
        <f t="shared" si="202"/>
        <v>0</v>
      </c>
      <c r="AD693" s="136">
        <f t="shared" si="202"/>
        <v>0</v>
      </c>
      <c r="AE693" s="136">
        <f t="shared" si="202"/>
        <v>0</v>
      </c>
      <c r="AF693" s="136">
        <f t="shared" si="202"/>
        <v>0</v>
      </c>
      <c r="AG693" s="136">
        <f t="shared" si="202"/>
        <v>0</v>
      </c>
      <c r="AH693" s="136">
        <f t="shared" si="202"/>
        <v>0</v>
      </c>
      <c r="AI693" s="136">
        <f t="shared" si="202"/>
        <v>0</v>
      </c>
      <c r="AJ693" s="136">
        <f t="shared" si="202"/>
        <v>0</v>
      </c>
      <c r="AK693" s="136">
        <f t="shared" si="202"/>
        <v>0</v>
      </c>
      <c r="AL693" s="136">
        <f t="shared" si="202"/>
        <v>0</v>
      </c>
      <c r="AM693" s="136">
        <f t="shared" si="205"/>
        <v>0</v>
      </c>
      <c r="AN693" s="136">
        <f t="shared" si="205"/>
        <v>0</v>
      </c>
      <c r="AO693" s="136">
        <f t="shared" si="205"/>
        <v>0</v>
      </c>
      <c r="AP693" s="136">
        <f t="shared" si="205"/>
        <v>0</v>
      </c>
      <c r="AQ693" s="136">
        <f t="shared" si="205"/>
        <v>0</v>
      </c>
      <c r="AR693" s="136">
        <f t="shared" si="205"/>
        <v>0</v>
      </c>
      <c r="AS693" s="136">
        <f t="shared" si="205"/>
        <v>0</v>
      </c>
      <c r="AT693" s="136">
        <f t="shared" si="205"/>
        <v>0</v>
      </c>
      <c r="AU693" s="136">
        <f t="shared" si="205"/>
        <v>0</v>
      </c>
      <c r="AV693" s="136">
        <f t="shared" si="205"/>
        <v>0</v>
      </c>
      <c r="AW693" s="136">
        <f t="shared" si="205"/>
        <v>0</v>
      </c>
      <c r="AX693" s="136">
        <f t="shared" si="205"/>
        <v>0</v>
      </c>
      <c r="AY693" s="136">
        <f t="shared" si="205"/>
        <v>0</v>
      </c>
      <c r="AZ693" s="136">
        <f t="shared" si="205"/>
        <v>0</v>
      </c>
      <c r="BA693" s="136">
        <f t="shared" si="205"/>
        <v>0</v>
      </c>
      <c r="BB693" s="136">
        <f t="shared" si="205"/>
        <v>0</v>
      </c>
      <c r="BC693" s="136">
        <f t="shared" si="204"/>
        <v>0</v>
      </c>
      <c r="BD693" s="136">
        <f t="shared" si="204"/>
        <v>0</v>
      </c>
      <c r="BE693" s="136">
        <f t="shared" si="204"/>
        <v>0</v>
      </c>
      <c r="BF693" s="136">
        <f t="shared" si="204"/>
        <v>0</v>
      </c>
      <c r="BG693" s="136">
        <f t="shared" si="204"/>
        <v>0</v>
      </c>
      <c r="BH693" s="136">
        <f t="shared" si="204"/>
        <v>0</v>
      </c>
      <c r="BI693" s="136">
        <f t="shared" si="204"/>
        <v>0</v>
      </c>
      <c r="BJ693" s="136">
        <f t="shared" si="204"/>
        <v>0</v>
      </c>
      <c r="BK693" s="136">
        <f t="shared" si="204"/>
        <v>0</v>
      </c>
      <c r="BL693" s="136">
        <f t="shared" si="204"/>
        <v>0</v>
      </c>
      <c r="BM693" s="136">
        <f t="shared" si="204"/>
        <v>0</v>
      </c>
      <c r="BN693" s="136">
        <f t="shared" si="204"/>
        <v>0</v>
      </c>
      <c r="BO693" s="136">
        <f t="shared" si="204"/>
        <v>0</v>
      </c>
      <c r="BP693" s="136">
        <f t="shared" si="204"/>
        <v>0</v>
      </c>
      <c r="BQ693" s="136">
        <f t="shared" si="204"/>
        <v>0</v>
      </c>
      <c r="BR693" s="136">
        <f t="shared" si="204"/>
        <v>0</v>
      </c>
      <c r="BS693" s="136">
        <f t="shared" si="206"/>
        <v>0</v>
      </c>
      <c r="BT693" s="136">
        <f t="shared" si="206"/>
        <v>0</v>
      </c>
      <c r="BU693" s="136">
        <f t="shared" si="206"/>
        <v>0</v>
      </c>
      <c r="BV693" s="136">
        <f t="shared" si="206"/>
        <v>0</v>
      </c>
      <c r="BW693" s="136">
        <f t="shared" si="206"/>
        <v>0</v>
      </c>
      <c r="BX693" s="136">
        <f t="shared" si="206"/>
        <v>0</v>
      </c>
      <c r="BZ693" s="136">
        <f t="shared" si="203"/>
        <v>0</v>
      </c>
      <c r="CA693" s="136">
        <f t="shared" si="203"/>
        <v>0</v>
      </c>
    </row>
    <row r="694" spans="7:79" hidden="1" x14ac:dyDescent="0.3">
      <c r="G694" s="136">
        <f t="shared" si="200"/>
        <v>-90245</v>
      </c>
      <c r="H694" s="136">
        <f t="shared" si="200"/>
        <v>0</v>
      </c>
      <c r="I694" s="136">
        <f t="shared" si="200"/>
        <v>0</v>
      </c>
      <c r="J694" s="136">
        <f t="shared" si="200"/>
        <v>0</v>
      </c>
      <c r="K694" s="136">
        <f t="shared" si="200"/>
        <v>0</v>
      </c>
      <c r="L694" s="136">
        <f t="shared" si="200"/>
        <v>0</v>
      </c>
      <c r="M694" s="136">
        <f t="shared" si="200"/>
        <v>0</v>
      </c>
      <c r="N694" s="136">
        <f t="shared" si="200"/>
        <v>0</v>
      </c>
      <c r="O694" s="136">
        <f t="shared" si="200"/>
        <v>0</v>
      </c>
      <c r="P694" s="136">
        <f t="shared" si="200"/>
        <v>0</v>
      </c>
      <c r="Q694" s="136">
        <f t="shared" si="200"/>
        <v>0</v>
      </c>
      <c r="R694" s="136">
        <f t="shared" si="200"/>
        <v>0</v>
      </c>
      <c r="S694" s="136">
        <f t="shared" si="200"/>
        <v>0</v>
      </c>
      <c r="T694" s="136">
        <f t="shared" si="200"/>
        <v>0</v>
      </c>
      <c r="U694" s="136">
        <f t="shared" si="200"/>
        <v>0</v>
      </c>
      <c r="V694" s="136">
        <f t="shared" si="200"/>
        <v>0</v>
      </c>
      <c r="W694" s="136">
        <f t="shared" si="202"/>
        <v>0</v>
      </c>
      <c r="X694" s="136">
        <f t="shared" si="202"/>
        <v>0</v>
      </c>
      <c r="Y694" s="136">
        <f t="shared" si="202"/>
        <v>0</v>
      </c>
      <c r="Z694" s="136">
        <f t="shared" si="202"/>
        <v>0</v>
      </c>
      <c r="AA694" s="136">
        <f t="shared" si="202"/>
        <v>0</v>
      </c>
      <c r="AB694" s="136">
        <f t="shared" si="202"/>
        <v>0</v>
      </c>
      <c r="AC694" s="136">
        <f t="shared" si="202"/>
        <v>0</v>
      </c>
      <c r="AD694" s="136">
        <f t="shared" si="202"/>
        <v>0</v>
      </c>
      <c r="AE694" s="136">
        <f t="shared" si="202"/>
        <v>0</v>
      </c>
      <c r="AF694" s="136">
        <f t="shared" si="202"/>
        <v>0</v>
      </c>
      <c r="AG694" s="136">
        <f t="shared" si="202"/>
        <v>0</v>
      </c>
      <c r="AH694" s="136">
        <f t="shared" si="202"/>
        <v>0</v>
      </c>
      <c r="AI694" s="136">
        <f t="shared" si="202"/>
        <v>0</v>
      </c>
      <c r="AJ694" s="136">
        <f t="shared" si="202"/>
        <v>0</v>
      </c>
      <c r="AK694" s="136">
        <f t="shared" si="202"/>
        <v>0</v>
      </c>
      <c r="AL694" s="136">
        <f t="shared" si="202"/>
        <v>0</v>
      </c>
      <c r="AM694" s="136">
        <f t="shared" si="205"/>
        <v>0</v>
      </c>
      <c r="AN694" s="136">
        <f t="shared" si="205"/>
        <v>0</v>
      </c>
      <c r="AO694" s="136">
        <f t="shared" si="205"/>
        <v>0</v>
      </c>
      <c r="AP694" s="136">
        <f t="shared" si="205"/>
        <v>0</v>
      </c>
      <c r="AQ694" s="136">
        <f t="shared" si="205"/>
        <v>0</v>
      </c>
      <c r="AR694" s="136">
        <f t="shared" si="205"/>
        <v>0</v>
      </c>
      <c r="AS694" s="136">
        <f t="shared" si="205"/>
        <v>0</v>
      </c>
      <c r="AT694" s="136">
        <f t="shared" si="205"/>
        <v>0</v>
      </c>
      <c r="AU694" s="136">
        <f t="shared" si="205"/>
        <v>0</v>
      </c>
      <c r="AV694" s="136">
        <f t="shared" si="205"/>
        <v>0</v>
      </c>
      <c r="AW694" s="136">
        <f t="shared" si="205"/>
        <v>0</v>
      </c>
      <c r="AX694" s="136">
        <f t="shared" si="205"/>
        <v>0</v>
      </c>
      <c r="AY694" s="136">
        <f t="shared" si="205"/>
        <v>0</v>
      </c>
      <c r="AZ694" s="136">
        <f t="shared" si="205"/>
        <v>0</v>
      </c>
      <c r="BA694" s="136">
        <f t="shared" si="205"/>
        <v>0</v>
      </c>
      <c r="BB694" s="136">
        <f t="shared" si="205"/>
        <v>0</v>
      </c>
      <c r="BC694" s="136">
        <f t="shared" si="204"/>
        <v>0</v>
      </c>
      <c r="BD694" s="136">
        <f t="shared" si="204"/>
        <v>0</v>
      </c>
      <c r="BE694" s="136">
        <f t="shared" si="204"/>
        <v>0</v>
      </c>
      <c r="BF694" s="136">
        <f t="shared" si="204"/>
        <v>0</v>
      </c>
      <c r="BG694" s="136">
        <f t="shared" si="204"/>
        <v>0</v>
      </c>
      <c r="BH694" s="136">
        <f t="shared" si="204"/>
        <v>0</v>
      </c>
      <c r="BI694" s="136">
        <f t="shared" si="204"/>
        <v>0</v>
      </c>
      <c r="BJ694" s="136">
        <f t="shared" si="204"/>
        <v>-90245</v>
      </c>
      <c r="BK694" s="136">
        <f t="shared" si="204"/>
        <v>0</v>
      </c>
      <c r="BL694" s="136">
        <f t="shared" si="204"/>
        <v>0</v>
      </c>
      <c r="BM694" s="136">
        <f t="shared" si="204"/>
        <v>0</v>
      </c>
      <c r="BN694" s="136">
        <f t="shared" si="204"/>
        <v>0</v>
      </c>
      <c r="BO694" s="136">
        <f t="shared" si="204"/>
        <v>0</v>
      </c>
      <c r="BP694" s="136">
        <f t="shared" si="204"/>
        <v>0</v>
      </c>
      <c r="BQ694" s="136">
        <f t="shared" si="204"/>
        <v>0</v>
      </c>
      <c r="BR694" s="136">
        <f t="shared" si="204"/>
        <v>0</v>
      </c>
      <c r="BS694" s="136">
        <f t="shared" si="206"/>
        <v>0</v>
      </c>
      <c r="BT694" s="136">
        <f t="shared" si="206"/>
        <v>0</v>
      </c>
      <c r="BU694" s="136">
        <f t="shared" si="206"/>
        <v>0</v>
      </c>
      <c r="BV694" s="136">
        <f t="shared" si="206"/>
        <v>0</v>
      </c>
      <c r="BW694" s="136">
        <f t="shared" si="206"/>
        <v>0</v>
      </c>
      <c r="BX694" s="136">
        <f t="shared" si="206"/>
        <v>0</v>
      </c>
      <c r="BZ694" s="136">
        <f t="shared" si="203"/>
        <v>0</v>
      </c>
      <c r="CA694" s="136">
        <f t="shared" si="203"/>
        <v>0</v>
      </c>
    </row>
    <row r="695" spans="7:79" hidden="1" x14ac:dyDescent="0.3">
      <c r="G695" s="136">
        <f t="shared" ref="G695:V702" si="207">G338-BY338</f>
        <v>-90245</v>
      </c>
      <c r="H695" s="136">
        <f t="shared" si="207"/>
        <v>0</v>
      </c>
      <c r="I695" s="136">
        <f t="shared" si="207"/>
        <v>0</v>
      </c>
      <c r="J695" s="136">
        <f t="shared" si="207"/>
        <v>0</v>
      </c>
      <c r="K695" s="136">
        <f t="shared" si="207"/>
        <v>0</v>
      </c>
      <c r="L695" s="136">
        <f t="shared" si="207"/>
        <v>0</v>
      </c>
      <c r="M695" s="136">
        <f t="shared" si="207"/>
        <v>0</v>
      </c>
      <c r="N695" s="136">
        <f t="shared" si="207"/>
        <v>0</v>
      </c>
      <c r="O695" s="136">
        <f t="shared" si="207"/>
        <v>0</v>
      </c>
      <c r="P695" s="136">
        <f t="shared" si="207"/>
        <v>0</v>
      </c>
      <c r="Q695" s="136">
        <f t="shared" si="207"/>
        <v>0</v>
      </c>
      <c r="R695" s="136">
        <f t="shared" si="207"/>
        <v>0</v>
      </c>
      <c r="S695" s="136">
        <f t="shared" si="207"/>
        <v>0</v>
      </c>
      <c r="T695" s="136">
        <f t="shared" si="207"/>
        <v>0</v>
      </c>
      <c r="U695" s="136">
        <f t="shared" si="207"/>
        <v>0</v>
      </c>
      <c r="V695" s="136">
        <f t="shared" si="207"/>
        <v>0</v>
      </c>
      <c r="W695" s="136">
        <f t="shared" si="202"/>
        <v>0</v>
      </c>
      <c r="X695" s="136">
        <f t="shared" si="202"/>
        <v>0</v>
      </c>
      <c r="Y695" s="136">
        <f t="shared" si="202"/>
        <v>0</v>
      </c>
      <c r="Z695" s="136">
        <f t="shared" si="202"/>
        <v>0</v>
      </c>
      <c r="AA695" s="136">
        <f t="shared" si="202"/>
        <v>0</v>
      </c>
      <c r="AB695" s="136">
        <f t="shared" si="202"/>
        <v>0</v>
      </c>
      <c r="AC695" s="136">
        <f t="shared" si="202"/>
        <v>0</v>
      </c>
      <c r="AD695" s="136">
        <f t="shared" si="202"/>
        <v>0</v>
      </c>
      <c r="AE695" s="136">
        <f t="shared" si="202"/>
        <v>0</v>
      </c>
      <c r="AF695" s="136">
        <f t="shared" si="202"/>
        <v>0</v>
      </c>
      <c r="AG695" s="136">
        <f t="shared" si="202"/>
        <v>0</v>
      </c>
      <c r="AH695" s="136">
        <f t="shared" si="202"/>
        <v>0</v>
      </c>
      <c r="AI695" s="136">
        <f t="shared" si="202"/>
        <v>0</v>
      </c>
      <c r="AJ695" s="136">
        <f t="shared" si="202"/>
        <v>0</v>
      </c>
      <c r="AK695" s="136">
        <f t="shared" si="202"/>
        <v>0</v>
      </c>
      <c r="AL695" s="136">
        <f t="shared" si="202"/>
        <v>0</v>
      </c>
      <c r="AM695" s="136">
        <f t="shared" si="205"/>
        <v>0</v>
      </c>
      <c r="AN695" s="136">
        <f t="shared" si="205"/>
        <v>0</v>
      </c>
      <c r="AO695" s="136">
        <f t="shared" si="205"/>
        <v>0</v>
      </c>
      <c r="AP695" s="136">
        <f t="shared" si="205"/>
        <v>0</v>
      </c>
      <c r="AQ695" s="136">
        <f t="shared" si="205"/>
        <v>0</v>
      </c>
      <c r="AR695" s="136">
        <f t="shared" si="205"/>
        <v>0</v>
      </c>
      <c r="AS695" s="136">
        <f t="shared" si="205"/>
        <v>0</v>
      </c>
      <c r="AT695" s="136">
        <f t="shared" si="205"/>
        <v>0</v>
      </c>
      <c r="AU695" s="136">
        <f t="shared" si="205"/>
        <v>0</v>
      </c>
      <c r="AV695" s="136">
        <f t="shared" si="205"/>
        <v>0</v>
      </c>
      <c r="AW695" s="136">
        <f t="shared" si="205"/>
        <v>0</v>
      </c>
      <c r="AX695" s="136">
        <f t="shared" si="205"/>
        <v>0</v>
      </c>
      <c r="AY695" s="136">
        <f t="shared" si="205"/>
        <v>0</v>
      </c>
      <c r="AZ695" s="136">
        <f t="shared" si="205"/>
        <v>0</v>
      </c>
      <c r="BA695" s="136">
        <f t="shared" si="205"/>
        <v>0</v>
      </c>
      <c r="BB695" s="136">
        <f t="shared" si="205"/>
        <v>0</v>
      </c>
      <c r="BC695" s="136">
        <f t="shared" si="204"/>
        <v>0</v>
      </c>
      <c r="BD695" s="136">
        <f t="shared" si="204"/>
        <v>0</v>
      </c>
      <c r="BE695" s="136">
        <f t="shared" si="204"/>
        <v>0</v>
      </c>
      <c r="BF695" s="136">
        <f t="shared" si="204"/>
        <v>0</v>
      </c>
      <c r="BG695" s="136">
        <f t="shared" si="204"/>
        <v>0</v>
      </c>
      <c r="BH695" s="136">
        <f t="shared" si="204"/>
        <v>0</v>
      </c>
      <c r="BI695" s="136">
        <f t="shared" si="204"/>
        <v>0</v>
      </c>
      <c r="BJ695" s="136">
        <f t="shared" si="204"/>
        <v>-90245</v>
      </c>
      <c r="BK695" s="136">
        <f t="shared" si="204"/>
        <v>0</v>
      </c>
      <c r="BL695" s="136">
        <f t="shared" si="204"/>
        <v>0</v>
      </c>
      <c r="BM695" s="136">
        <f t="shared" si="204"/>
        <v>0</v>
      </c>
      <c r="BN695" s="136">
        <f t="shared" si="204"/>
        <v>0</v>
      </c>
      <c r="BO695" s="136">
        <f t="shared" si="204"/>
        <v>0</v>
      </c>
      <c r="BP695" s="136">
        <f t="shared" si="204"/>
        <v>0</v>
      </c>
      <c r="BQ695" s="136">
        <f t="shared" si="204"/>
        <v>0</v>
      </c>
      <c r="BR695" s="136">
        <f t="shared" si="204"/>
        <v>0</v>
      </c>
      <c r="BS695" s="136">
        <f t="shared" si="206"/>
        <v>0</v>
      </c>
      <c r="BT695" s="136">
        <f t="shared" si="206"/>
        <v>0</v>
      </c>
      <c r="BU695" s="136">
        <f t="shared" si="206"/>
        <v>0</v>
      </c>
      <c r="BV695" s="136">
        <f t="shared" si="206"/>
        <v>0</v>
      </c>
      <c r="BW695" s="136">
        <f t="shared" si="206"/>
        <v>0</v>
      </c>
      <c r="BX695" s="136">
        <f t="shared" si="206"/>
        <v>0</v>
      </c>
      <c r="BZ695" s="136">
        <f t="shared" si="203"/>
        <v>0</v>
      </c>
      <c r="CA695" s="136">
        <f t="shared" si="203"/>
        <v>0</v>
      </c>
    </row>
    <row r="696" spans="7:79" hidden="1" x14ac:dyDescent="0.3">
      <c r="G696" s="136">
        <f t="shared" si="207"/>
        <v>0</v>
      </c>
      <c r="H696" s="136">
        <f t="shared" si="207"/>
        <v>0</v>
      </c>
      <c r="I696" s="136">
        <f t="shared" si="207"/>
        <v>0</v>
      </c>
      <c r="J696" s="136">
        <f t="shared" si="207"/>
        <v>0</v>
      </c>
      <c r="K696" s="136">
        <f t="shared" si="207"/>
        <v>0</v>
      </c>
      <c r="L696" s="136">
        <f t="shared" si="207"/>
        <v>0</v>
      </c>
      <c r="M696" s="136">
        <f t="shared" si="207"/>
        <v>0</v>
      </c>
      <c r="N696" s="136">
        <f t="shared" si="207"/>
        <v>0</v>
      </c>
      <c r="O696" s="136">
        <f t="shared" si="207"/>
        <v>0</v>
      </c>
      <c r="P696" s="136">
        <f t="shared" si="207"/>
        <v>0</v>
      </c>
      <c r="Q696" s="136">
        <f t="shared" si="207"/>
        <v>0</v>
      </c>
      <c r="R696" s="136">
        <f t="shared" si="207"/>
        <v>0</v>
      </c>
      <c r="S696" s="136">
        <f t="shared" si="207"/>
        <v>0</v>
      </c>
      <c r="T696" s="136">
        <f t="shared" si="207"/>
        <v>0</v>
      </c>
      <c r="U696" s="136">
        <f t="shared" si="207"/>
        <v>0</v>
      </c>
      <c r="V696" s="136">
        <f t="shared" si="207"/>
        <v>0</v>
      </c>
      <c r="W696" s="136">
        <f t="shared" si="202"/>
        <v>0</v>
      </c>
      <c r="X696" s="136">
        <f t="shared" si="202"/>
        <v>0</v>
      </c>
      <c r="Y696" s="136">
        <f t="shared" si="202"/>
        <v>0</v>
      </c>
      <c r="Z696" s="136">
        <f t="shared" si="202"/>
        <v>0</v>
      </c>
      <c r="AA696" s="136">
        <f t="shared" si="202"/>
        <v>0</v>
      </c>
      <c r="AB696" s="136">
        <f t="shared" si="202"/>
        <v>0</v>
      </c>
      <c r="AC696" s="136">
        <f t="shared" si="202"/>
        <v>0</v>
      </c>
      <c r="AD696" s="136">
        <f t="shared" si="202"/>
        <v>0</v>
      </c>
      <c r="AE696" s="136">
        <f t="shared" si="202"/>
        <v>0</v>
      </c>
      <c r="AF696" s="136">
        <f t="shared" si="202"/>
        <v>0</v>
      </c>
      <c r="AG696" s="136">
        <f t="shared" si="202"/>
        <v>0</v>
      </c>
      <c r="AH696" s="136">
        <f t="shared" si="202"/>
        <v>0</v>
      </c>
      <c r="AI696" s="136">
        <f t="shared" si="202"/>
        <v>0</v>
      </c>
      <c r="AJ696" s="136">
        <f t="shared" si="202"/>
        <v>0</v>
      </c>
      <c r="AK696" s="136">
        <f t="shared" si="202"/>
        <v>0</v>
      </c>
      <c r="AL696" s="136">
        <f t="shared" si="202"/>
        <v>0</v>
      </c>
      <c r="AM696" s="136">
        <f t="shared" si="205"/>
        <v>0</v>
      </c>
      <c r="AN696" s="136">
        <f t="shared" si="205"/>
        <v>0</v>
      </c>
      <c r="AO696" s="136">
        <f t="shared" si="205"/>
        <v>0</v>
      </c>
      <c r="AP696" s="136">
        <f t="shared" si="205"/>
        <v>0</v>
      </c>
      <c r="AQ696" s="136">
        <f t="shared" si="205"/>
        <v>0</v>
      </c>
      <c r="AR696" s="136">
        <f t="shared" si="205"/>
        <v>0</v>
      </c>
      <c r="AS696" s="136">
        <f t="shared" si="205"/>
        <v>0</v>
      </c>
      <c r="AT696" s="136">
        <f t="shared" si="205"/>
        <v>0</v>
      </c>
      <c r="AU696" s="136">
        <f t="shared" si="205"/>
        <v>0</v>
      </c>
      <c r="AV696" s="136">
        <f t="shared" si="205"/>
        <v>0</v>
      </c>
      <c r="AW696" s="136">
        <f t="shared" si="205"/>
        <v>0</v>
      </c>
      <c r="AX696" s="136">
        <f t="shared" si="205"/>
        <v>0</v>
      </c>
      <c r="AY696" s="136">
        <f t="shared" si="205"/>
        <v>0</v>
      </c>
      <c r="AZ696" s="136">
        <f t="shared" si="205"/>
        <v>0</v>
      </c>
      <c r="BA696" s="136">
        <f t="shared" si="205"/>
        <v>0</v>
      </c>
      <c r="BB696" s="136">
        <f t="shared" si="205"/>
        <v>0</v>
      </c>
      <c r="BC696" s="136">
        <f t="shared" si="204"/>
        <v>0</v>
      </c>
      <c r="BD696" s="136">
        <f t="shared" si="204"/>
        <v>0</v>
      </c>
      <c r="BE696" s="136">
        <f t="shared" si="204"/>
        <v>0</v>
      </c>
      <c r="BF696" s="136">
        <f t="shared" si="204"/>
        <v>0</v>
      </c>
      <c r="BG696" s="136">
        <f t="shared" si="204"/>
        <v>0</v>
      </c>
      <c r="BH696" s="136">
        <f t="shared" si="204"/>
        <v>0</v>
      </c>
      <c r="BI696" s="136">
        <f t="shared" si="204"/>
        <v>0</v>
      </c>
      <c r="BJ696" s="136">
        <f t="shared" si="204"/>
        <v>0</v>
      </c>
      <c r="BK696" s="136">
        <f t="shared" si="204"/>
        <v>0</v>
      </c>
      <c r="BL696" s="136">
        <f t="shared" si="204"/>
        <v>0</v>
      </c>
      <c r="BM696" s="136">
        <f t="shared" si="204"/>
        <v>0</v>
      </c>
      <c r="BN696" s="136">
        <f t="shared" si="204"/>
        <v>0</v>
      </c>
      <c r="BO696" s="136">
        <f t="shared" si="204"/>
        <v>0</v>
      </c>
      <c r="BP696" s="136">
        <f t="shared" si="204"/>
        <v>0</v>
      </c>
      <c r="BQ696" s="136">
        <f t="shared" si="204"/>
        <v>0</v>
      </c>
      <c r="BR696" s="136">
        <f t="shared" si="204"/>
        <v>0</v>
      </c>
      <c r="BS696" s="136">
        <f t="shared" si="206"/>
        <v>0</v>
      </c>
      <c r="BT696" s="136">
        <f t="shared" si="206"/>
        <v>0</v>
      </c>
      <c r="BU696" s="136">
        <f t="shared" si="206"/>
        <v>0</v>
      </c>
      <c r="BV696" s="136">
        <f t="shared" si="206"/>
        <v>0</v>
      </c>
      <c r="BW696" s="136">
        <f t="shared" si="206"/>
        <v>0</v>
      </c>
      <c r="BX696" s="136">
        <f t="shared" si="206"/>
        <v>0</v>
      </c>
      <c r="BZ696" s="136">
        <f t="shared" si="203"/>
        <v>0</v>
      </c>
      <c r="CA696" s="136">
        <f t="shared" si="203"/>
        <v>0</v>
      </c>
    </row>
    <row r="697" spans="7:79" hidden="1" x14ac:dyDescent="0.3">
      <c r="G697" s="136">
        <f t="shared" si="207"/>
        <v>0</v>
      </c>
      <c r="H697" s="136">
        <f t="shared" si="207"/>
        <v>0</v>
      </c>
      <c r="I697" s="136">
        <f t="shared" si="207"/>
        <v>0</v>
      </c>
      <c r="J697" s="136">
        <f t="shared" si="207"/>
        <v>0</v>
      </c>
      <c r="K697" s="136">
        <f t="shared" si="207"/>
        <v>0</v>
      </c>
      <c r="L697" s="136">
        <f t="shared" si="207"/>
        <v>0</v>
      </c>
      <c r="M697" s="136">
        <f t="shared" si="207"/>
        <v>0</v>
      </c>
      <c r="N697" s="136">
        <f t="shared" si="207"/>
        <v>0</v>
      </c>
      <c r="O697" s="136">
        <f t="shared" si="207"/>
        <v>0</v>
      </c>
      <c r="P697" s="136">
        <f t="shared" si="207"/>
        <v>0</v>
      </c>
      <c r="Q697" s="136">
        <f t="shared" si="207"/>
        <v>0</v>
      </c>
      <c r="R697" s="136">
        <f t="shared" si="207"/>
        <v>0</v>
      </c>
      <c r="S697" s="136">
        <f t="shared" si="207"/>
        <v>0</v>
      </c>
      <c r="T697" s="136">
        <f t="shared" si="207"/>
        <v>0</v>
      </c>
      <c r="U697" s="136">
        <f t="shared" si="207"/>
        <v>0</v>
      </c>
      <c r="V697" s="136">
        <f t="shared" si="207"/>
        <v>0</v>
      </c>
      <c r="W697" s="136">
        <f t="shared" si="202"/>
        <v>0</v>
      </c>
      <c r="X697" s="136">
        <f t="shared" si="202"/>
        <v>0</v>
      </c>
      <c r="Y697" s="136">
        <f t="shared" si="202"/>
        <v>0</v>
      </c>
      <c r="Z697" s="136">
        <f t="shared" si="202"/>
        <v>0</v>
      </c>
      <c r="AA697" s="136">
        <f t="shared" si="202"/>
        <v>0</v>
      </c>
      <c r="AB697" s="136">
        <f t="shared" si="202"/>
        <v>0</v>
      </c>
      <c r="AC697" s="136">
        <f t="shared" si="202"/>
        <v>0</v>
      </c>
      <c r="AD697" s="136">
        <f t="shared" si="202"/>
        <v>0</v>
      </c>
      <c r="AE697" s="136">
        <f t="shared" si="202"/>
        <v>0</v>
      </c>
      <c r="AF697" s="136">
        <f t="shared" si="202"/>
        <v>0</v>
      </c>
      <c r="AG697" s="136">
        <f t="shared" si="202"/>
        <v>0</v>
      </c>
      <c r="AH697" s="136">
        <f t="shared" si="202"/>
        <v>0</v>
      </c>
      <c r="AI697" s="136">
        <f t="shared" si="202"/>
        <v>0</v>
      </c>
      <c r="AJ697" s="136">
        <f t="shared" si="202"/>
        <v>0</v>
      </c>
      <c r="AK697" s="136">
        <f t="shared" si="202"/>
        <v>0</v>
      </c>
      <c r="AL697" s="136">
        <f t="shared" si="202"/>
        <v>0</v>
      </c>
      <c r="AM697" s="136">
        <f t="shared" si="205"/>
        <v>0</v>
      </c>
      <c r="AN697" s="136">
        <f t="shared" si="205"/>
        <v>0</v>
      </c>
      <c r="AO697" s="136">
        <f t="shared" si="205"/>
        <v>0</v>
      </c>
      <c r="AP697" s="136">
        <f t="shared" si="205"/>
        <v>0</v>
      </c>
      <c r="AQ697" s="136">
        <f t="shared" si="205"/>
        <v>0</v>
      </c>
      <c r="AR697" s="136">
        <f t="shared" si="205"/>
        <v>0</v>
      </c>
      <c r="AS697" s="136">
        <f t="shared" si="205"/>
        <v>0</v>
      </c>
      <c r="AT697" s="136">
        <f t="shared" si="205"/>
        <v>0</v>
      </c>
      <c r="AU697" s="136">
        <f t="shared" si="205"/>
        <v>0</v>
      </c>
      <c r="AV697" s="136">
        <f t="shared" si="205"/>
        <v>0</v>
      </c>
      <c r="AW697" s="136">
        <f t="shared" si="205"/>
        <v>0</v>
      </c>
      <c r="AX697" s="136">
        <f t="shared" si="205"/>
        <v>0</v>
      </c>
      <c r="AY697" s="136">
        <f t="shared" si="205"/>
        <v>0</v>
      </c>
      <c r="AZ697" s="136">
        <f t="shared" si="205"/>
        <v>0</v>
      </c>
      <c r="BA697" s="136">
        <f t="shared" si="205"/>
        <v>0</v>
      </c>
      <c r="BB697" s="136">
        <f t="shared" si="205"/>
        <v>0</v>
      </c>
      <c r="BC697" s="136">
        <f t="shared" si="204"/>
        <v>0</v>
      </c>
      <c r="BD697" s="136">
        <f t="shared" si="204"/>
        <v>0</v>
      </c>
      <c r="BE697" s="136">
        <f t="shared" si="204"/>
        <v>0</v>
      </c>
      <c r="BF697" s="136">
        <f t="shared" si="204"/>
        <v>0</v>
      </c>
      <c r="BG697" s="136">
        <f t="shared" si="204"/>
        <v>0</v>
      </c>
      <c r="BH697" s="136">
        <f t="shared" si="204"/>
        <v>0</v>
      </c>
      <c r="BI697" s="136">
        <f t="shared" si="204"/>
        <v>0</v>
      </c>
      <c r="BJ697" s="136">
        <f t="shared" si="204"/>
        <v>0</v>
      </c>
      <c r="BK697" s="136">
        <f t="shared" si="204"/>
        <v>0</v>
      </c>
      <c r="BL697" s="136">
        <f t="shared" si="204"/>
        <v>0</v>
      </c>
      <c r="BM697" s="136">
        <f t="shared" si="204"/>
        <v>0</v>
      </c>
      <c r="BN697" s="136">
        <f t="shared" si="204"/>
        <v>0</v>
      </c>
      <c r="BO697" s="136">
        <f t="shared" si="204"/>
        <v>0</v>
      </c>
      <c r="BP697" s="136">
        <f t="shared" si="204"/>
        <v>0</v>
      </c>
      <c r="BQ697" s="136">
        <f t="shared" si="204"/>
        <v>0</v>
      </c>
      <c r="BR697" s="136">
        <f t="shared" si="204"/>
        <v>0</v>
      </c>
      <c r="BS697" s="136">
        <f t="shared" si="206"/>
        <v>0</v>
      </c>
      <c r="BT697" s="136">
        <f t="shared" si="206"/>
        <v>0</v>
      </c>
      <c r="BU697" s="136">
        <f t="shared" si="206"/>
        <v>0</v>
      </c>
      <c r="BV697" s="136">
        <f t="shared" si="206"/>
        <v>0</v>
      </c>
      <c r="BW697" s="136">
        <f t="shared" si="206"/>
        <v>0</v>
      </c>
      <c r="BX697" s="136">
        <f t="shared" si="206"/>
        <v>0</v>
      </c>
      <c r="BZ697" s="136">
        <f t="shared" si="203"/>
        <v>0</v>
      </c>
      <c r="CA697" s="136">
        <f t="shared" si="203"/>
        <v>0</v>
      </c>
    </row>
    <row r="698" spans="7:79" hidden="1" x14ac:dyDescent="0.3">
      <c r="G698" s="136">
        <f t="shared" si="207"/>
        <v>0</v>
      </c>
      <c r="H698" s="136">
        <f t="shared" si="207"/>
        <v>0</v>
      </c>
      <c r="I698" s="136">
        <f t="shared" si="207"/>
        <v>0</v>
      </c>
      <c r="J698" s="136">
        <f t="shared" si="207"/>
        <v>0</v>
      </c>
      <c r="K698" s="136">
        <f t="shared" si="207"/>
        <v>0</v>
      </c>
      <c r="L698" s="136">
        <f t="shared" si="207"/>
        <v>0</v>
      </c>
      <c r="M698" s="136">
        <f t="shared" si="207"/>
        <v>0</v>
      </c>
      <c r="N698" s="136">
        <f t="shared" si="207"/>
        <v>0</v>
      </c>
      <c r="O698" s="136">
        <f t="shared" si="207"/>
        <v>0</v>
      </c>
      <c r="P698" s="136">
        <f t="shared" si="207"/>
        <v>0</v>
      </c>
      <c r="Q698" s="136">
        <f t="shared" si="207"/>
        <v>0</v>
      </c>
      <c r="R698" s="136">
        <f t="shared" si="207"/>
        <v>0</v>
      </c>
      <c r="S698" s="136">
        <f t="shared" si="207"/>
        <v>0</v>
      </c>
      <c r="T698" s="136">
        <f t="shared" si="207"/>
        <v>0</v>
      </c>
      <c r="U698" s="136">
        <f t="shared" si="207"/>
        <v>0</v>
      </c>
      <c r="V698" s="136">
        <f t="shared" si="207"/>
        <v>0</v>
      </c>
      <c r="W698" s="136">
        <f t="shared" si="202"/>
        <v>0</v>
      </c>
      <c r="X698" s="136">
        <f t="shared" si="202"/>
        <v>0</v>
      </c>
      <c r="Y698" s="136">
        <f t="shared" si="202"/>
        <v>0</v>
      </c>
      <c r="Z698" s="136">
        <f t="shared" si="202"/>
        <v>0</v>
      </c>
      <c r="AA698" s="136">
        <f t="shared" si="202"/>
        <v>0</v>
      </c>
      <c r="AB698" s="136">
        <f t="shared" si="202"/>
        <v>0</v>
      </c>
      <c r="AC698" s="136">
        <f t="shared" si="202"/>
        <v>0</v>
      </c>
      <c r="AD698" s="136">
        <f t="shared" si="202"/>
        <v>0</v>
      </c>
      <c r="AE698" s="136">
        <f t="shared" si="202"/>
        <v>0</v>
      </c>
      <c r="AF698" s="136">
        <f t="shared" si="202"/>
        <v>0</v>
      </c>
      <c r="AG698" s="136">
        <f t="shared" si="202"/>
        <v>0</v>
      </c>
      <c r="AH698" s="136">
        <f t="shared" si="202"/>
        <v>0</v>
      </c>
      <c r="AI698" s="136">
        <f t="shared" si="202"/>
        <v>0</v>
      </c>
      <c r="AJ698" s="136">
        <f t="shared" si="202"/>
        <v>0</v>
      </c>
      <c r="AK698" s="136">
        <f t="shared" si="202"/>
        <v>0</v>
      </c>
      <c r="AL698" s="136">
        <f t="shared" si="202"/>
        <v>0</v>
      </c>
      <c r="AM698" s="136">
        <f t="shared" si="205"/>
        <v>0</v>
      </c>
      <c r="AN698" s="136">
        <f t="shared" si="205"/>
        <v>0</v>
      </c>
      <c r="AO698" s="136">
        <f t="shared" si="205"/>
        <v>0</v>
      </c>
      <c r="AP698" s="136">
        <f t="shared" si="205"/>
        <v>0</v>
      </c>
      <c r="AQ698" s="136">
        <f t="shared" si="205"/>
        <v>0</v>
      </c>
      <c r="AR698" s="136">
        <f t="shared" si="205"/>
        <v>0</v>
      </c>
      <c r="AS698" s="136">
        <f t="shared" si="205"/>
        <v>0</v>
      </c>
      <c r="AT698" s="136">
        <f t="shared" si="205"/>
        <v>0</v>
      </c>
      <c r="AU698" s="136">
        <f t="shared" si="205"/>
        <v>0</v>
      </c>
      <c r="AV698" s="136">
        <f t="shared" si="205"/>
        <v>0</v>
      </c>
      <c r="AW698" s="136">
        <f t="shared" si="205"/>
        <v>0</v>
      </c>
      <c r="AX698" s="136">
        <f t="shared" si="205"/>
        <v>0</v>
      </c>
      <c r="AY698" s="136">
        <f t="shared" si="205"/>
        <v>0</v>
      </c>
      <c r="AZ698" s="136">
        <f t="shared" si="205"/>
        <v>0</v>
      </c>
      <c r="BA698" s="136">
        <f t="shared" si="205"/>
        <v>0</v>
      </c>
      <c r="BB698" s="136">
        <f t="shared" si="205"/>
        <v>0</v>
      </c>
      <c r="BC698" s="136">
        <f t="shared" si="204"/>
        <v>0</v>
      </c>
      <c r="BD698" s="136">
        <f t="shared" si="204"/>
        <v>0</v>
      </c>
      <c r="BE698" s="136">
        <f t="shared" si="204"/>
        <v>0</v>
      </c>
      <c r="BF698" s="136">
        <f t="shared" si="204"/>
        <v>0</v>
      </c>
      <c r="BG698" s="136">
        <f t="shared" si="204"/>
        <v>0</v>
      </c>
      <c r="BH698" s="136">
        <f t="shared" si="204"/>
        <v>0</v>
      </c>
      <c r="BI698" s="136">
        <f t="shared" si="204"/>
        <v>0</v>
      </c>
      <c r="BJ698" s="136">
        <f t="shared" si="204"/>
        <v>0</v>
      </c>
      <c r="BK698" s="136">
        <f t="shared" si="204"/>
        <v>0</v>
      </c>
      <c r="BL698" s="136">
        <f t="shared" si="204"/>
        <v>0</v>
      </c>
      <c r="BM698" s="136">
        <f t="shared" si="204"/>
        <v>0</v>
      </c>
      <c r="BN698" s="136">
        <f t="shared" si="204"/>
        <v>0</v>
      </c>
      <c r="BO698" s="136">
        <f t="shared" si="204"/>
        <v>0</v>
      </c>
      <c r="BP698" s="136">
        <f t="shared" si="204"/>
        <v>0</v>
      </c>
      <c r="BQ698" s="136">
        <f t="shared" si="204"/>
        <v>0</v>
      </c>
      <c r="BR698" s="136">
        <f t="shared" si="204"/>
        <v>0</v>
      </c>
      <c r="BS698" s="136">
        <f t="shared" si="206"/>
        <v>0</v>
      </c>
      <c r="BT698" s="136">
        <f t="shared" si="206"/>
        <v>0</v>
      </c>
      <c r="BU698" s="136">
        <f t="shared" si="206"/>
        <v>0</v>
      </c>
      <c r="BV698" s="136">
        <f t="shared" si="206"/>
        <v>0</v>
      </c>
      <c r="BW698" s="136">
        <f t="shared" si="206"/>
        <v>0</v>
      </c>
      <c r="BX698" s="136">
        <f t="shared" si="206"/>
        <v>0</v>
      </c>
      <c r="BZ698" s="136">
        <f t="shared" si="203"/>
        <v>0</v>
      </c>
      <c r="CA698" s="136">
        <f t="shared" si="203"/>
        <v>0</v>
      </c>
    </row>
    <row r="699" spans="7:79" hidden="1" x14ac:dyDescent="0.3">
      <c r="G699" s="136">
        <f t="shared" si="207"/>
        <v>0</v>
      </c>
      <c r="H699" s="136">
        <f t="shared" si="207"/>
        <v>0</v>
      </c>
      <c r="I699" s="136">
        <f t="shared" si="207"/>
        <v>0</v>
      </c>
      <c r="J699" s="136">
        <f t="shared" si="207"/>
        <v>0</v>
      </c>
      <c r="K699" s="136">
        <f t="shared" si="207"/>
        <v>0</v>
      </c>
      <c r="L699" s="136">
        <f t="shared" si="207"/>
        <v>0</v>
      </c>
      <c r="M699" s="136">
        <f t="shared" si="207"/>
        <v>0</v>
      </c>
      <c r="N699" s="136">
        <f t="shared" si="207"/>
        <v>0</v>
      </c>
      <c r="O699" s="136">
        <f t="shared" si="207"/>
        <v>0</v>
      </c>
      <c r="P699" s="136">
        <f t="shared" si="207"/>
        <v>0</v>
      </c>
      <c r="Q699" s="136">
        <f t="shared" si="207"/>
        <v>0</v>
      </c>
      <c r="R699" s="136">
        <f t="shared" si="207"/>
        <v>0</v>
      </c>
      <c r="S699" s="136">
        <f t="shared" si="207"/>
        <v>0</v>
      </c>
      <c r="T699" s="136">
        <f t="shared" si="207"/>
        <v>0</v>
      </c>
      <c r="U699" s="136">
        <f t="shared" si="207"/>
        <v>0</v>
      </c>
      <c r="V699" s="136">
        <f t="shared" si="207"/>
        <v>0</v>
      </c>
      <c r="W699" s="136">
        <f t="shared" ref="W699:AL702" si="208">W342-CO342</f>
        <v>0</v>
      </c>
      <c r="X699" s="136">
        <f t="shared" si="208"/>
        <v>0</v>
      </c>
      <c r="Y699" s="136">
        <f t="shared" si="208"/>
        <v>0</v>
      </c>
      <c r="Z699" s="136">
        <f t="shared" si="208"/>
        <v>0</v>
      </c>
      <c r="AA699" s="136">
        <f t="shared" si="208"/>
        <v>0</v>
      </c>
      <c r="AB699" s="136">
        <f t="shared" si="208"/>
        <v>0</v>
      </c>
      <c r="AC699" s="136">
        <f t="shared" si="208"/>
        <v>0</v>
      </c>
      <c r="AD699" s="136">
        <f t="shared" si="208"/>
        <v>0</v>
      </c>
      <c r="AE699" s="136">
        <f t="shared" si="208"/>
        <v>0</v>
      </c>
      <c r="AF699" s="136">
        <f t="shared" si="208"/>
        <v>0</v>
      </c>
      <c r="AG699" s="136">
        <f t="shared" si="208"/>
        <v>0</v>
      </c>
      <c r="AH699" s="136">
        <f t="shared" si="208"/>
        <v>0</v>
      </c>
      <c r="AI699" s="136">
        <f t="shared" si="208"/>
        <v>0</v>
      </c>
      <c r="AJ699" s="136">
        <f t="shared" si="208"/>
        <v>0</v>
      </c>
      <c r="AK699" s="136">
        <f t="shared" si="208"/>
        <v>0</v>
      </c>
      <c r="AL699" s="136">
        <f t="shared" si="208"/>
        <v>0</v>
      </c>
      <c r="AM699" s="136">
        <f t="shared" si="205"/>
        <v>0</v>
      </c>
      <c r="AN699" s="136">
        <f t="shared" si="205"/>
        <v>0</v>
      </c>
      <c r="AO699" s="136">
        <f t="shared" si="205"/>
        <v>0</v>
      </c>
      <c r="AP699" s="136">
        <f t="shared" si="205"/>
        <v>0</v>
      </c>
      <c r="AQ699" s="136">
        <f t="shared" si="205"/>
        <v>0</v>
      </c>
      <c r="AR699" s="136">
        <f t="shared" si="205"/>
        <v>0</v>
      </c>
      <c r="AS699" s="136">
        <f t="shared" si="205"/>
        <v>0</v>
      </c>
      <c r="AT699" s="136">
        <f t="shared" si="205"/>
        <v>0</v>
      </c>
      <c r="AU699" s="136">
        <f t="shared" si="205"/>
        <v>0</v>
      </c>
      <c r="AV699" s="136">
        <f t="shared" si="205"/>
        <v>0</v>
      </c>
      <c r="AW699" s="136">
        <f t="shared" si="205"/>
        <v>0</v>
      </c>
      <c r="AX699" s="136">
        <f t="shared" si="205"/>
        <v>0</v>
      </c>
      <c r="AY699" s="136">
        <f t="shared" si="205"/>
        <v>0</v>
      </c>
      <c r="AZ699" s="136">
        <f t="shared" si="205"/>
        <v>0</v>
      </c>
      <c r="BA699" s="136">
        <f t="shared" si="205"/>
        <v>0</v>
      </c>
      <c r="BB699" s="136">
        <f t="shared" si="205"/>
        <v>0</v>
      </c>
      <c r="BC699" s="136">
        <f t="shared" si="204"/>
        <v>0</v>
      </c>
      <c r="BD699" s="136">
        <f t="shared" si="204"/>
        <v>0</v>
      </c>
      <c r="BE699" s="136">
        <f t="shared" si="204"/>
        <v>0</v>
      </c>
      <c r="BF699" s="136">
        <f t="shared" si="204"/>
        <v>0</v>
      </c>
      <c r="BG699" s="136">
        <f t="shared" si="204"/>
        <v>0</v>
      </c>
      <c r="BH699" s="136">
        <f t="shared" si="204"/>
        <v>0</v>
      </c>
      <c r="BI699" s="136">
        <f t="shared" si="204"/>
        <v>0</v>
      </c>
      <c r="BJ699" s="136">
        <f t="shared" si="204"/>
        <v>0</v>
      </c>
      <c r="BK699" s="136">
        <f t="shared" si="204"/>
        <v>0</v>
      </c>
      <c r="BL699" s="136">
        <f t="shared" si="204"/>
        <v>0</v>
      </c>
      <c r="BM699" s="136">
        <f t="shared" si="204"/>
        <v>0</v>
      </c>
      <c r="BN699" s="136">
        <f t="shared" si="204"/>
        <v>0</v>
      </c>
      <c r="BO699" s="136">
        <f t="shared" si="204"/>
        <v>0</v>
      </c>
      <c r="BP699" s="136">
        <f t="shared" si="204"/>
        <v>0</v>
      </c>
      <c r="BQ699" s="136">
        <f t="shared" si="204"/>
        <v>0</v>
      </c>
      <c r="BR699" s="136">
        <f t="shared" si="204"/>
        <v>0</v>
      </c>
      <c r="BS699" s="136">
        <f t="shared" si="206"/>
        <v>0</v>
      </c>
      <c r="BT699" s="136">
        <f t="shared" si="206"/>
        <v>0</v>
      </c>
      <c r="BU699" s="136">
        <f t="shared" si="206"/>
        <v>0</v>
      </c>
      <c r="BV699" s="136">
        <f t="shared" si="206"/>
        <v>0</v>
      </c>
      <c r="BW699" s="136">
        <f t="shared" si="206"/>
        <v>0</v>
      </c>
      <c r="BX699" s="136">
        <f t="shared" si="206"/>
        <v>0</v>
      </c>
      <c r="BZ699" s="136">
        <f t="shared" si="203"/>
        <v>0</v>
      </c>
      <c r="CA699" s="136">
        <f t="shared" si="203"/>
        <v>0</v>
      </c>
    </row>
    <row r="700" spans="7:79" hidden="1" x14ac:dyDescent="0.3">
      <c r="G700" s="136">
        <f t="shared" si="207"/>
        <v>0</v>
      </c>
      <c r="H700" s="136">
        <f t="shared" si="207"/>
        <v>0</v>
      </c>
      <c r="I700" s="136">
        <f t="shared" si="207"/>
        <v>0</v>
      </c>
      <c r="J700" s="136">
        <f t="shared" si="207"/>
        <v>0</v>
      </c>
      <c r="K700" s="136">
        <f t="shared" si="207"/>
        <v>0</v>
      </c>
      <c r="L700" s="136">
        <f t="shared" si="207"/>
        <v>0</v>
      </c>
      <c r="M700" s="136">
        <f t="shared" si="207"/>
        <v>0</v>
      </c>
      <c r="N700" s="136">
        <f t="shared" si="207"/>
        <v>0</v>
      </c>
      <c r="O700" s="136">
        <f t="shared" si="207"/>
        <v>0</v>
      </c>
      <c r="P700" s="136">
        <f t="shared" si="207"/>
        <v>0</v>
      </c>
      <c r="Q700" s="136">
        <f t="shared" si="207"/>
        <v>0</v>
      </c>
      <c r="R700" s="136">
        <f t="shared" si="207"/>
        <v>0</v>
      </c>
      <c r="S700" s="136">
        <f t="shared" si="207"/>
        <v>0</v>
      </c>
      <c r="T700" s="136">
        <f t="shared" si="207"/>
        <v>0</v>
      </c>
      <c r="U700" s="136">
        <f t="shared" si="207"/>
        <v>0</v>
      </c>
      <c r="V700" s="136">
        <f t="shared" si="207"/>
        <v>0</v>
      </c>
      <c r="W700" s="136">
        <f t="shared" si="208"/>
        <v>0</v>
      </c>
      <c r="X700" s="136">
        <f t="shared" si="208"/>
        <v>0</v>
      </c>
      <c r="Y700" s="136">
        <f t="shared" si="208"/>
        <v>0</v>
      </c>
      <c r="Z700" s="136">
        <f t="shared" si="208"/>
        <v>0</v>
      </c>
      <c r="AA700" s="136">
        <f t="shared" si="208"/>
        <v>0</v>
      </c>
      <c r="AB700" s="136">
        <f t="shared" si="208"/>
        <v>0</v>
      </c>
      <c r="AC700" s="136">
        <f t="shared" si="208"/>
        <v>0</v>
      </c>
      <c r="AD700" s="136">
        <f t="shared" si="208"/>
        <v>0</v>
      </c>
      <c r="AE700" s="136">
        <f t="shared" si="208"/>
        <v>0</v>
      </c>
      <c r="AF700" s="136">
        <f t="shared" si="208"/>
        <v>0</v>
      </c>
      <c r="AG700" s="136">
        <f t="shared" si="208"/>
        <v>0</v>
      </c>
      <c r="AH700" s="136">
        <f t="shared" si="208"/>
        <v>0</v>
      </c>
      <c r="AI700" s="136">
        <f t="shared" si="208"/>
        <v>0</v>
      </c>
      <c r="AJ700" s="136">
        <f t="shared" si="208"/>
        <v>0</v>
      </c>
      <c r="AK700" s="136">
        <f t="shared" si="208"/>
        <v>0</v>
      </c>
      <c r="AL700" s="136">
        <f t="shared" si="208"/>
        <v>0</v>
      </c>
      <c r="AM700" s="136">
        <f t="shared" si="205"/>
        <v>0</v>
      </c>
      <c r="AN700" s="136">
        <f t="shared" si="205"/>
        <v>0</v>
      </c>
      <c r="AO700" s="136">
        <f t="shared" si="205"/>
        <v>0</v>
      </c>
      <c r="AP700" s="136">
        <f t="shared" si="205"/>
        <v>0</v>
      </c>
      <c r="AQ700" s="136">
        <f t="shared" si="205"/>
        <v>0</v>
      </c>
      <c r="AR700" s="136">
        <f t="shared" si="205"/>
        <v>0</v>
      </c>
      <c r="AS700" s="136">
        <f t="shared" si="205"/>
        <v>0</v>
      </c>
      <c r="AT700" s="136">
        <f t="shared" si="205"/>
        <v>0</v>
      </c>
      <c r="AU700" s="136">
        <f t="shared" si="205"/>
        <v>0</v>
      </c>
      <c r="AV700" s="136">
        <f t="shared" si="205"/>
        <v>0</v>
      </c>
      <c r="AW700" s="136">
        <f t="shared" si="205"/>
        <v>0</v>
      </c>
      <c r="AX700" s="136">
        <f t="shared" si="205"/>
        <v>0</v>
      </c>
      <c r="AY700" s="136">
        <f t="shared" si="205"/>
        <v>0</v>
      </c>
      <c r="AZ700" s="136">
        <f t="shared" si="205"/>
        <v>0</v>
      </c>
      <c r="BA700" s="136">
        <f t="shared" si="205"/>
        <v>0</v>
      </c>
      <c r="BB700" s="136">
        <f t="shared" si="205"/>
        <v>0</v>
      </c>
      <c r="BC700" s="136">
        <f t="shared" si="204"/>
        <v>0</v>
      </c>
      <c r="BD700" s="136">
        <f t="shared" si="204"/>
        <v>0</v>
      </c>
      <c r="BE700" s="136">
        <f t="shared" si="204"/>
        <v>0</v>
      </c>
      <c r="BF700" s="136">
        <f t="shared" si="204"/>
        <v>0</v>
      </c>
      <c r="BG700" s="136">
        <f t="shared" si="204"/>
        <v>0</v>
      </c>
      <c r="BH700" s="136">
        <f t="shared" si="204"/>
        <v>0</v>
      </c>
      <c r="BI700" s="136">
        <f t="shared" si="204"/>
        <v>0</v>
      </c>
      <c r="BJ700" s="136">
        <f t="shared" si="204"/>
        <v>0</v>
      </c>
      <c r="BK700" s="136">
        <f t="shared" si="204"/>
        <v>0</v>
      </c>
      <c r="BL700" s="136">
        <f t="shared" si="204"/>
        <v>0</v>
      </c>
      <c r="BM700" s="136">
        <f t="shared" si="204"/>
        <v>0</v>
      </c>
      <c r="BN700" s="136">
        <f t="shared" si="204"/>
        <v>0</v>
      </c>
      <c r="BO700" s="136">
        <f t="shared" si="204"/>
        <v>0</v>
      </c>
      <c r="BP700" s="136">
        <f t="shared" si="204"/>
        <v>0</v>
      </c>
      <c r="BQ700" s="136">
        <f t="shared" si="204"/>
        <v>0</v>
      </c>
      <c r="BR700" s="136">
        <f t="shared" si="204"/>
        <v>0</v>
      </c>
      <c r="BS700" s="136">
        <f t="shared" si="206"/>
        <v>0</v>
      </c>
      <c r="BT700" s="136">
        <f t="shared" si="206"/>
        <v>0</v>
      </c>
      <c r="BU700" s="136">
        <f t="shared" si="206"/>
        <v>0</v>
      </c>
      <c r="BV700" s="136">
        <f t="shared" si="206"/>
        <v>0</v>
      </c>
      <c r="BW700" s="136">
        <f t="shared" si="206"/>
        <v>0</v>
      </c>
      <c r="BX700" s="136">
        <f t="shared" si="206"/>
        <v>0</v>
      </c>
      <c r="BZ700" s="136">
        <f t="shared" si="203"/>
        <v>0</v>
      </c>
      <c r="CA700" s="136">
        <f t="shared" si="203"/>
        <v>0</v>
      </c>
    </row>
    <row r="701" spans="7:79" hidden="1" x14ac:dyDescent="0.3">
      <c r="G701" s="136">
        <f t="shared" si="207"/>
        <v>0</v>
      </c>
      <c r="H701" s="136">
        <f t="shared" si="207"/>
        <v>0</v>
      </c>
      <c r="I701" s="136">
        <f t="shared" si="207"/>
        <v>0</v>
      </c>
      <c r="J701" s="136">
        <f t="shared" si="207"/>
        <v>0</v>
      </c>
      <c r="K701" s="136">
        <f t="shared" si="207"/>
        <v>0</v>
      </c>
      <c r="L701" s="136">
        <f t="shared" si="207"/>
        <v>0</v>
      </c>
      <c r="M701" s="136">
        <f t="shared" si="207"/>
        <v>0</v>
      </c>
      <c r="N701" s="136">
        <f t="shared" si="207"/>
        <v>0</v>
      </c>
      <c r="O701" s="136">
        <f t="shared" si="207"/>
        <v>0</v>
      </c>
      <c r="P701" s="136">
        <f t="shared" si="207"/>
        <v>0</v>
      </c>
      <c r="Q701" s="136">
        <f t="shared" si="207"/>
        <v>0</v>
      </c>
      <c r="R701" s="136">
        <f t="shared" si="207"/>
        <v>0</v>
      </c>
      <c r="S701" s="136">
        <f t="shared" si="207"/>
        <v>0</v>
      </c>
      <c r="T701" s="136">
        <f t="shared" si="207"/>
        <v>0</v>
      </c>
      <c r="U701" s="136">
        <f t="shared" si="207"/>
        <v>0</v>
      </c>
      <c r="V701" s="136">
        <f t="shared" si="207"/>
        <v>0</v>
      </c>
      <c r="W701" s="136">
        <f t="shared" si="208"/>
        <v>0</v>
      </c>
      <c r="X701" s="136">
        <f t="shared" si="208"/>
        <v>0</v>
      </c>
      <c r="Y701" s="136">
        <f t="shared" si="208"/>
        <v>0</v>
      </c>
      <c r="Z701" s="136">
        <f t="shared" si="208"/>
        <v>0</v>
      </c>
      <c r="AA701" s="136">
        <f t="shared" si="208"/>
        <v>0</v>
      </c>
      <c r="AB701" s="136">
        <f t="shared" si="208"/>
        <v>0</v>
      </c>
      <c r="AC701" s="136">
        <f t="shared" si="208"/>
        <v>0</v>
      </c>
      <c r="AD701" s="136">
        <f t="shared" si="208"/>
        <v>0</v>
      </c>
      <c r="AE701" s="136">
        <f t="shared" si="208"/>
        <v>0</v>
      </c>
      <c r="AF701" s="136">
        <f t="shared" si="208"/>
        <v>0</v>
      </c>
      <c r="AG701" s="136">
        <f t="shared" si="208"/>
        <v>0</v>
      </c>
      <c r="AH701" s="136">
        <f t="shared" si="208"/>
        <v>0</v>
      </c>
      <c r="AI701" s="136">
        <f t="shared" si="208"/>
        <v>0</v>
      </c>
      <c r="AJ701" s="136">
        <f t="shared" si="208"/>
        <v>0</v>
      </c>
      <c r="AK701" s="136">
        <f t="shared" si="208"/>
        <v>0</v>
      </c>
      <c r="AL701" s="136">
        <f t="shared" si="208"/>
        <v>0</v>
      </c>
      <c r="AM701" s="136">
        <f t="shared" si="205"/>
        <v>0</v>
      </c>
      <c r="AN701" s="136">
        <f t="shared" si="205"/>
        <v>0</v>
      </c>
      <c r="AO701" s="136">
        <f t="shared" si="205"/>
        <v>0</v>
      </c>
      <c r="AP701" s="136">
        <f t="shared" si="205"/>
        <v>0</v>
      </c>
      <c r="AQ701" s="136">
        <f t="shared" si="205"/>
        <v>0</v>
      </c>
      <c r="AR701" s="136">
        <f t="shared" si="205"/>
        <v>0</v>
      </c>
      <c r="AS701" s="136">
        <f t="shared" si="205"/>
        <v>0</v>
      </c>
      <c r="AT701" s="136">
        <f t="shared" si="205"/>
        <v>0</v>
      </c>
      <c r="AU701" s="136">
        <f t="shared" si="205"/>
        <v>0</v>
      </c>
      <c r="AV701" s="136">
        <f t="shared" si="205"/>
        <v>0</v>
      </c>
      <c r="AW701" s="136">
        <f t="shared" si="205"/>
        <v>0</v>
      </c>
      <c r="AX701" s="136">
        <f t="shared" si="205"/>
        <v>0</v>
      </c>
      <c r="AY701" s="136">
        <f t="shared" si="205"/>
        <v>0</v>
      </c>
      <c r="AZ701" s="136">
        <f t="shared" si="205"/>
        <v>0</v>
      </c>
      <c r="BA701" s="136">
        <f t="shared" si="205"/>
        <v>0</v>
      </c>
      <c r="BB701" s="136">
        <f t="shared" si="205"/>
        <v>0</v>
      </c>
      <c r="BC701" s="136">
        <f t="shared" si="204"/>
        <v>0</v>
      </c>
      <c r="BD701" s="136">
        <f t="shared" si="204"/>
        <v>0</v>
      </c>
      <c r="BE701" s="136">
        <f t="shared" si="204"/>
        <v>0</v>
      </c>
      <c r="BF701" s="136">
        <f t="shared" si="204"/>
        <v>0</v>
      </c>
      <c r="BG701" s="136">
        <f t="shared" si="204"/>
        <v>0</v>
      </c>
      <c r="BH701" s="136">
        <f t="shared" si="204"/>
        <v>0</v>
      </c>
      <c r="BI701" s="136">
        <f t="shared" si="204"/>
        <v>0</v>
      </c>
      <c r="BJ701" s="136">
        <f t="shared" si="204"/>
        <v>0</v>
      </c>
      <c r="BK701" s="136">
        <f t="shared" si="204"/>
        <v>0</v>
      </c>
      <c r="BL701" s="136">
        <f t="shared" si="204"/>
        <v>0</v>
      </c>
      <c r="BM701" s="136">
        <f t="shared" si="204"/>
        <v>0</v>
      </c>
      <c r="BN701" s="136">
        <f t="shared" si="204"/>
        <v>0</v>
      </c>
      <c r="BO701" s="136">
        <f t="shared" si="204"/>
        <v>0</v>
      </c>
      <c r="BP701" s="136">
        <f t="shared" si="204"/>
        <v>0</v>
      </c>
      <c r="BQ701" s="136">
        <f t="shared" si="204"/>
        <v>0</v>
      </c>
      <c r="BR701" s="136">
        <f t="shared" si="204"/>
        <v>0</v>
      </c>
      <c r="BS701" s="136">
        <f t="shared" si="206"/>
        <v>0</v>
      </c>
      <c r="BT701" s="136">
        <f t="shared" si="206"/>
        <v>0</v>
      </c>
      <c r="BU701" s="136">
        <f t="shared" si="206"/>
        <v>0</v>
      </c>
      <c r="BV701" s="136">
        <f t="shared" si="206"/>
        <v>0</v>
      </c>
      <c r="BW701" s="136">
        <f t="shared" si="206"/>
        <v>0</v>
      </c>
      <c r="BX701" s="136">
        <f t="shared" si="206"/>
        <v>0</v>
      </c>
      <c r="BZ701" s="136">
        <f t="shared" si="203"/>
        <v>0</v>
      </c>
      <c r="CA701" s="136">
        <f t="shared" si="203"/>
        <v>0</v>
      </c>
    </row>
    <row r="702" spans="7:79" hidden="1" x14ac:dyDescent="0.3">
      <c r="G702" s="136">
        <f t="shared" si="207"/>
        <v>0</v>
      </c>
      <c r="H702" s="136">
        <f t="shared" si="207"/>
        <v>0</v>
      </c>
      <c r="I702" s="136">
        <f t="shared" si="207"/>
        <v>0</v>
      </c>
      <c r="J702" s="136">
        <f t="shared" si="207"/>
        <v>0</v>
      </c>
      <c r="K702" s="136">
        <f t="shared" si="207"/>
        <v>0</v>
      </c>
      <c r="L702" s="136">
        <f t="shared" si="207"/>
        <v>0</v>
      </c>
      <c r="M702" s="136">
        <f t="shared" si="207"/>
        <v>0</v>
      </c>
      <c r="N702" s="136">
        <f t="shared" si="207"/>
        <v>0</v>
      </c>
      <c r="O702" s="136">
        <f t="shared" si="207"/>
        <v>0</v>
      </c>
      <c r="P702" s="136">
        <f t="shared" si="207"/>
        <v>0</v>
      </c>
      <c r="Q702" s="136">
        <f t="shared" si="207"/>
        <v>0</v>
      </c>
      <c r="R702" s="136">
        <f t="shared" si="207"/>
        <v>0</v>
      </c>
      <c r="S702" s="136">
        <f t="shared" si="207"/>
        <v>0</v>
      </c>
      <c r="T702" s="136">
        <f t="shared" si="207"/>
        <v>0</v>
      </c>
      <c r="U702" s="136">
        <f t="shared" si="207"/>
        <v>0</v>
      </c>
      <c r="V702" s="136">
        <f t="shared" si="207"/>
        <v>0</v>
      </c>
      <c r="W702" s="136">
        <f t="shared" si="208"/>
        <v>0</v>
      </c>
      <c r="X702" s="136">
        <f t="shared" si="208"/>
        <v>0</v>
      </c>
      <c r="Y702" s="136">
        <f t="shared" si="208"/>
        <v>0</v>
      </c>
      <c r="Z702" s="136">
        <f t="shared" si="208"/>
        <v>0</v>
      </c>
      <c r="AA702" s="136">
        <f t="shared" si="208"/>
        <v>0</v>
      </c>
      <c r="AB702" s="136">
        <f t="shared" si="208"/>
        <v>0</v>
      </c>
      <c r="AC702" s="136">
        <f t="shared" si="208"/>
        <v>0</v>
      </c>
      <c r="AD702" s="136">
        <f t="shared" si="208"/>
        <v>0</v>
      </c>
      <c r="AE702" s="136">
        <f t="shared" si="208"/>
        <v>0</v>
      </c>
      <c r="AF702" s="136">
        <f t="shared" si="208"/>
        <v>0</v>
      </c>
      <c r="AG702" s="136">
        <f t="shared" si="208"/>
        <v>0</v>
      </c>
      <c r="AH702" s="136">
        <f t="shared" si="208"/>
        <v>0</v>
      </c>
      <c r="AI702" s="136">
        <f t="shared" si="208"/>
        <v>0</v>
      </c>
      <c r="AJ702" s="136">
        <f t="shared" si="208"/>
        <v>0</v>
      </c>
      <c r="AK702" s="136">
        <f t="shared" si="208"/>
        <v>0</v>
      </c>
      <c r="AL702" s="136">
        <f t="shared" si="208"/>
        <v>0</v>
      </c>
      <c r="AM702" s="136">
        <f t="shared" si="205"/>
        <v>0</v>
      </c>
      <c r="AN702" s="136">
        <f t="shared" si="205"/>
        <v>0</v>
      </c>
      <c r="AO702" s="136">
        <f t="shared" si="205"/>
        <v>0</v>
      </c>
      <c r="AP702" s="136">
        <f t="shared" si="205"/>
        <v>0</v>
      </c>
      <c r="AQ702" s="136">
        <f t="shared" si="205"/>
        <v>0</v>
      </c>
      <c r="AR702" s="136">
        <f t="shared" si="205"/>
        <v>0</v>
      </c>
      <c r="AS702" s="136">
        <f t="shared" si="205"/>
        <v>0</v>
      </c>
      <c r="AT702" s="136">
        <f t="shared" si="205"/>
        <v>0</v>
      </c>
      <c r="AU702" s="136">
        <f t="shared" si="205"/>
        <v>0</v>
      </c>
      <c r="AV702" s="136">
        <f t="shared" si="205"/>
        <v>0</v>
      </c>
      <c r="AW702" s="136">
        <f t="shared" si="205"/>
        <v>0</v>
      </c>
      <c r="AX702" s="136">
        <f t="shared" si="205"/>
        <v>0</v>
      </c>
      <c r="AY702" s="136">
        <f t="shared" si="205"/>
        <v>0</v>
      </c>
      <c r="AZ702" s="136">
        <f t="shared" si="205"/>
        <v>0</v>
      </c>
      <c r="BA702" s="136">
        <f t="shared" si="205"/>
        <v>0</v>
      </c>
      <c r="BB702" s="136">
        <f t="shared" si="205"/>
        <v>0</v>
      </c>
      <c r="BC702" s="136">
        <f t="shared" si="204"/>
        <v>0</v>
      </c>
      <c r="BD702" s="136">
        <f t="shared" si="204"/>
        <v>0</v>
      </c>
      <c r="BE702" s="136">
        <f t="shared" si="204"/>
        <v>0</v>
      </c>
      <c r="BF702" s="136">
        <f t="shared" si="204"/>
        <v>0</v>
      </c>
      <c r="BG702" s="136">
        <f t="shared" si="204"/>
        <v>0</v>
      </c>
      <c r="BH702" s="136">
        <f t="shared" si="204"/>
        <v>0</v>
      </c>
      <c r="BI702" s="136">
        <f t="shared" si="204"/>
        <v>0</v>
      </c>
      <c r="BJ702" s="136">
        <f t="shared" si="204"/>
        <v>0</v>
      </c>
      <c r="BK702" s="136">
        <f t="shared" si="204"/>
        <v>0</v>
      </c>
      <c r="BL702" s="136">
        <f t="shared" si="204"/>
        <v>0</v>
      </c>
      <c r="BM702" s="136">
        <f t="shared" si="204"/>
        <v>0</v>
      </c>
      <c r="BN702" s="136">
        <f t="shared" si="204"/>
        <v>0</v>
      </c>
      <c r="BO702" s="136">
        <f t="shared" si="204"/>
        <v>0</v>
      </c>
      <c r="BP702" s="136">
        <f t="shared" si="204"/>
        <v>0</v>
      </c>
      <c r="BQ702" s="136">
        <f t="shared" si="204"/>
        <v>0</v>
      </c>
      <c r="BR702" s="136">
        <f t="shared" si="204"/>
        <v>0</v>
      </c>
      <c r="BS702" s="136">
        <f t="shared" si="206"/>
        <v>0</v>
      </c>
      <c r="BT702" s="136">
        <f t="shared" si="206"/>
        <v>0</v>
      </c>
      <c r="BU702" s="136">
        <f t="shared" si="206"/>
        <v>0</v>
      </c>
      <c r="BV702" s="136">
        <f t="shared" si="206"/>
        <v>0</v>
      </c>
      <c r="BW702" s="136">
        <f t="shared" si="206"/>
        <v>0</v>
      </c>
      <c r="BX702" s="136">
        <f t="shared" si="206"/>
        <v>0</v>
      </c>
      <c r="BZ702" s="136">
        <f t="shared" ref="BZ702:CA702" si="209">BZ345-ER345</f>
        <v>0</v>
      </c>
      <c r="CA702" s="136">
        <f t="shared" si="209"/>
        <v>0</v>
      </c>
    </row>
    <row r="703" spans="7:79" hidden="1" x14ac:dyDescent="0.3">
      <c r="G703" s="136" t="e">
        <f>#REF!-#REF!</f>
        <v>#REF!</v>
      </c>
      <c r="H703" s="136" t="e">
        <f>#REF!-#REF!</f>
        <v>#REF!</v>
      </c>
      <c r="I703" s="136" t="e">
        <f>#REF!-#REF!</f>
        <v>#REF!</v>
      </c>
      <c r="J703" s="136" t="e">
        <f>#REF!-#REF!</f>
        <v>#REF!</v>
      </c>
      <c r="K703" s="136" t="e">
        <f>#REF!-#REF!</f>
        <v>#REF!</v>
      </c>
      <c r="L703" s="136" t="e">
        <f>#REF!-#REF!</f>
        <v>#REF!</v>
      </c>
      <c r="M703" s="136" t="e">
        <f>#REF!-#REF!</f>
        <v>#REF!</v>
      </c>
      <c r="N703" s="136" t="e">
        <f>#REF!-#REF!</f>
        <v>#REF!</v>
      </c>
      <c r="O703" s="136" t="e">
        <f>#REF!-#REF!</f>
        <v>#REF!</v>
      </c>
      <c r="P703" s="136" t="e">
        <f>#REF!-#REF!</f>
        <v>#REF!</v>
      </c>
      <c r="Q703" s="136" t="e">
        <f>#REF!-#REF!</f>
        <v>#REF!</v>
      </c>
      <c r="R703" s="136" t="e">
        <f>#REF!-#REF!</f>
        <v>#REF!</v>
      </c>
      <c r="S703" s="136" t="e">
        <f>#REF!-#REF!</f>
        <v>#REF!</v>
      </c>
      <c r="T703" s="136" t="e">
        <f>#REF!-#REF!</f>
        <v>#REF!</v>
      </c>
      <c r="U703" s="136" t="e">
        <f>#REF!-#REF!</f>
        <v>#REF!</v>
      </c>
      <c r="V703" s="136" t="e">
        <f>#REF!-#REF!</f>
        <v>#REF!</v>
      </c>
      <c r="W703" s="136" t="e">
        <f>#REF!-#REF!</f>
        <v>#REF!</v>
      </c>
      <c r="X703" s="136" t="e">
        <f>#REF!-#REF!</f>
        <v>#REF!</v>
      </c>
      <c r="Y703" s="136" t="e">
        <f>#REF!-#REF!</f>
        <v>#REF!</v>
      </c>
      <c r="Z703" s="136" t="e">
        <f>#REF!-#REF!</f>
        <v>#REF!</v>
      </c>
      <c r="AA703" s="136" t="e">
        <f>#REF!-#REF!</f>
        <v>#REF!</v>
      </c>
      <c r="AB703" s="136" t="e">
        <f>#REF!-#REF!</f>
        <v>#REF!</v>
      </c>
      <c r="AC703" s="136" t="e">
        <f>#REF!-#REF!</f>
        <v>#REF!</v>
      </c>
      <c r="AD703" s="136" t="e">
        <f>#REF!-#REF!</f>
        <v>#REF!</v>
      </c>
      <c r="AE703" s="136" t="e">
        <f>#REF!-#REF!</f>
        <v>#REF!</v>
      </c>
      <c r="AF703" s="136" t="e">
        <f>#REF!-#REF!</f>
        <v>#REF!</v>
      </c>
      <c r="AG703" s="136" t="e">
        <f>#REF!-#REF!</f>
        <v>#REF!</v>
      </c>
      <c r="AH703" s="136" t="e">
        <f>#REF!-#REF!</f>
        <v>#REF!</v>
      </c>
      <c r="AI703" s="136" t="e">
        <f>#REF!-#REF!</f>
        <v>#REF!</v>
      </c>
      <c r="AJ703" s="136" t="e">
        <f>#REF!-#REF!</f>
        <v>#REF!</v>
      </c>
      <c r="AK703" s="136" t="e">
        <f>#REF!-#REF!</f>
        <v>#REF!</v>
      </c>
      <c r="AL703" s="136" t="e">
        <f>#REF!-#REF!</f>
        <v>#REF!</v>
      </c>
      <c r="AM703" s="136" t="e">
        <f>#REF!-#REF!</f>
        <v>#REF!</v>
      </c>
      <c r="AN703" s="136" t="e">
        <f>#REF!-#REF!</f>
        <v>#REF!</v>
      </c>
      <c r="AO703" s="136" t="e">
        <f>#REF!-#REF!</f>
        <v>#REF!</v>
      </c>
      <c r="AP703" s="136" t="e">
        <f>#REF!-#REF!</f>
        <v>#REF!</v>
      </c>
      <c r="AQ703" s="136" t="e">
        <f>#REF!-#REF!</f>
        <v>#REF!</v>
      </c>
      <c r="AR703" s="136" t="e">
        <f>#REF!-#REF!</f>
        <v>#REF!</v>
      </c>
      <c r="AS703" s="136" t="e">
        <f>#REF!-#REF!</f>
        <v>#REF!</v>
      </c>
      <c r="AT703" s="136" t="e">
        <f>#REF!-#REF!</f>
        <v>#REF!</v>
      </c>
      <c r="AU703" s="136" t="e">
        <f>#REF!-#REF!</f>
        <v>#REF!</v>
      </c>
      <c r="AV703" s="136" t="e">
        <f>#REF!-#REF!</f>
        <v>#REF!</v>
      </c>
      <c r="AW703" s="136" t="e">
        <f>#REF!-#REF!</f>
        <v>#REF!</v>
      </c>
      <c r="AX703" s="136" t="e">
        <f>#REF!-#REF!</f>
        <v>#REF!</v>
      </c>
      <c r="AY703" s="136" t="e">
        <f>#REF!-#REF!</f>
        <v>#REF!</v>
      </c>
      <c r="AZ703" s="136" t="e">
        <f>#REF!-#REF!</f>
        <v>#REF!</v>
      </c>
      <c r="BA703" s="136" t="e">
        <f>#REF!-#REF!</f>
        <v>#REF!</v>
      </c>
      <c r="BB703" s="136" t="e">
        <f>#REF!-#REF!</f>
        <v>#REF!</v>
      </c>
      <c r="BC703" s="136" t="e">
        <f>#REF!-#REF!</f>
        <v>#REF!</v>
      </c>
      <c r="BD703" s="136" t="e">
        <f>#REF!-#REF!</f>
        <v>#REF!</v>
      </c>
      <c r="BE703" s="136" t="e">
        <f>#REF!-#REF!</f>
        <v>#REF!</v>
      </c>
      <c r="BF703" s="136" t="e">
        <f>#REF!-#REF!</f>
        <v>#REF!</v>
      </c>
      <c r="BG703" s="136" t="e">
        <f>#REF!-#REF!</f>
        <v>#REF!</v>
      </c>
      <c r="BH703" s="136" t="e">
        <f>#REF!-#REF!</f>
        <v>#REF!</v>
      </c>
      <c r="BI703" s="136" t="e">
        <f>#REF!-#REF!</f>
        <v>#REF!</v>
      </c>
      <c r="BJ703" s="136" t="e">
        <f>#REF!-#REF!</f>
        <v>#REF!</v>
      </c>
      <c r="BK703" s="136" t="e">
        <f>#REF!-#REF!</f>
        <v>#REF!</v>
      </c>
      <c r="BL703" s="136" t="e">
        <f>#REF!-#REF!</f>
        <v>#REF!</v>
      </c>
      <c r="BM703" s="136" t="e">
        <f>#REF!-#REF!</f>
        <v>#REF!</v>
      </c>
      <c r="BN703" s="136" t="e">
        <f>#REF!-#REF!</f>
        <v>#REF!</v>
      </c>
      <c r="BO703" s="136" t="e">
        <f>#REF!-#REF!</f>
        <v>#REF!</v>
      </c>
      <c r="BP703" s="136" t="e">
        <f>#REF!-#REF!</f>
        <v>#REF!</v>
      </c>
      <c r="BQ703" s="136" t="e">
        <f>#REF!-#REF!</f>
        <v>#REF!</v>
      </c>
      <c r="BR703" s="136" t="e">
        <f>#REF!-#REF!</f>
        <v>#REF!</v>
      </c>
      <c r="BS703" s="136" t="e">
        <f>#REF!-#REF!</f>
        <v>#REF!</v>
      </c>
      <c r="BT703" s="136" t="e">
        <f>#REF!-#REF!</f>
        <v>#REF!</v>
      </c>
      <c r="BU703" s="136" t="e">
        <f>#REF!-#REF!</f>
        <v>#REF!</v>
      </c>
      <c r="BV703" s="136" t="e">
        <f>#REF!-#REF!</f>
        <v>#REF!</v>
      </c>
      <c r="BW703" s="136" t="e">
        <f>#REF!-#REF!</f>
        <v>#REF!</v>
      </c>
      <c r="BX703" s="136" t="e">
        <f>#REF!-#REF!</f>
        <v>#REF!</v>
      </c>
      <c r="BZ703" s="136" t="e">
        <f>#REF!-#REF!</f>
        <v>#REF!</v>
      </c>
      <c r="CA703" s="136" t="e">
        <f>#REF!-#REF!</f>
        <v>#REF!</v>
      </c>
    </row>
    <row r="704" spans="7:79" hidden="1" x14ac:dyDescent="0.3">
      <c r="G704" s="136">
        <f t="shared" ref="G704:BR706" si="210">G346-BY346</f>
        <v>0</v>
      </c>
      <c r="H704" s="136">
        <f t="shared" si="210"/>
        <v>0</v>
      </c>
      <c r="I704" s="136">
        <f t="shared" si="210"/>
        <v>0</v>
      </c>
      <c r="J704" s="136">
        <f t="shared" si="210"/>
        <v>0</v>
      </c>
      <c r="K704" s="136">
        <f t="shared" si="210"/>
        <v>0</v>
      </c>
      <c r="L704" s="136">
        <f t="shared" si="210"/>
        <v>0</v>
      </c>
      <c r="M704" s="136">
        <f t="shared" si="210"/>
        <v>0</v>
      </c>
      <c r="N704" s="136">
        <f t="shared" si="210"/>
        <v>0</v>
      </c>
      <c r="O704" s="136">
        <f t="shared" si="210"/>
        <v>0</v>
      </c>
      <c r="P704" s="136">
        <f t="shared" si="210"/>
        <v>0</v>
      </c>
      <c r="Q704" s="136">
        <f t="shared" si="210"/>
        <v>0</v>
      </c>
      <c r="R704" s="136">
        <f t="shared" si="210"/>
        <v>0</v>
      </c>
      <c r="S704" s="136">
        <f t="shared" si="210"/>
        <v>0</v>
      </c>
      <c r="T704" s="136">
        <f t="shared" si="210"/>
        <v>0</v>
      </c>
      <c r="U704" s="136">
        <f t="shared" si="210"/>
        <v>0</v>
      </c>
      <c r="V704" s="136">
        <f t="shared" si="210"/>
        <v>0</v>
      </c>
      <c r="W704" s="136">
        <f t="shared" si="210"/>
        <v>0</v>
      </c>
      <c r="X704" s="136">
        <f t="shared" si="210"/>
        <v>0</v>
      </c>
      <c r="Y704" s="136">
        <f t="shared" si="210"/>
        <v>0</v>
      </c>
      <c r="Z704" s="136">
        <f t="shared" si="210"/>
        <v>0</v>
      </c>
      <c r="AA704" s="136">
        <f t="shared" si="210"/>
        <v>0</v>
      </c>
      <c r="AB704" s="136">
        <f t="shared" si="210"/>
        <v>0</v>
      </c>
      <c r="AC704" s="136">
        <f t="shared" si="210"/>
        <v>0</v>
      </c>
      <c r="AD704" s="136">
        <f t="shared" si="210"/>
        <v>0</v>
      </c>
      <c r="AE704" s="136">
        <f t="shared" si="210"/>
        <v>0</v>
      </c>
      <c r="AF704" s="136">
        <f t="shared" si="210"/>
        <v>0</v>
      </c>
      <c r="AG704" s="136">
        <f t="shared" si="210"/>
        <v>0</v>
      </c>
      <c r="AH704" s="136">
        <f t="shared" si="210"/>
        <v>0</v>
      </c>
      <c r="AI704" s="136">
        <f t="shared" si="210"/>
        <v>0</v>
      </c>
      <c r="AJ704" s="136">
        <f t="shared" si="210"/>
        <v>0</v>
      </c>
      <c r="AK704" s="136">
        <f t="shared" si="210"/>
        <v>0</v>
      </c>
      <c r="AL704" s="136">
        <f t="shared" si="210"/>
        <v>0</v>
      </c>
      <c r="AM704" s="136">
        <f t="shared" si="210"/>
        <v>0</v>
      </c>
      <c r="AN704" s="136">
        <f t="shared" si="210"/>
        <v>0</v>
      </c>
      <c r="AO704" s="136">
        <f t="shared" si="210"/>
        <v>0</v>
      </c>
      <c r="AP704" s="136">
        <f t="shared" si="210"/>
        <v>0</v>
      </c>
      <c r="AQ704" s="136">
        <f t="shared" si="210"/>
        <v>0</v>
      </c>
      <c r="AR704" s="136">
        <f t="shared" si="210"/>
        <v>0</v>
      </c>
      <c r="AS704" s="136">
        <f t="shared" si="210"/>
        <v>0</v>
      </c>
      <c r="AT704" s="136">
        <f t="shared" si="210"/>
        <v>0</v>
      </c>
      <c r="AU704" s="136">
        <f t="shared" si="210"/>
        <v>0</v>
      </c>
      <c r="AV704" s="136">
        <f t="shared" si="210"/>
        <v>0</v>
      </c>
      <c r="AW704" s="136">
        <f t="shared" si="210"/>
        <v>0</v>
      </c>
      <c r="AX704" s="136">
        <f t="shared" si="210"/>
        <v>0</v>
      </c>
      <c r="AY704" s="136">
        <f t="shared" si="210"/>
        <v>0</v>
      </c>
      <c r="AZ704" s="136">
        <f t="shared" si="210"/>
        <v>0</v>
      </c>
      <c r="BA704" s="136">
        <f t="shared" si="210"/>
        <v>0</v>
      </c>
      <c r="BB704" s="136">
        <f t="shared" si="210"/>
        <v>0</v>
      </c>
      <c r="BC704" s="136">
        <f t="shared" si="210"/>
        <v>0</v>
      </c>
      <c r="BD704" s="136">
        <f t="shared" si="210"/>
        <v>0</v>
      </c>
      <c r="BE704" s="136">
        <f t="shared" si="210"/>
        <v>0</v>
      </c>
      <c r="BF704" s="136">
        <f t="shared" si="210"/>
        <v>0</v>
      </c>
      <c r="BG704" s="136">
        <f t="shared" si="210"/>
        <v>0</v>
      </c>
      <c r="BH704" s="136">
        <f t="shared" si="210"/>
        <v>0</v>
      </c>
      <c r="BI704" s="136">
        <f t="shared" si="210"/>
        <v>0</v>
      </c>
      <c r="BJ704" s="136">
        <f t="shared" si="210"/>
        <v>0</v>
      </c>
      <c r="BK704" s="136">
        <f t="shared" si="210"/>
        <v>0</v>
      </c>
      <c r="BL704" s="136">
        <f t="shared" si="210"/>
        <v>0</v>
      </c>
      <c r="BM704" s="136">
        <f t="shared" si="210"/>
        <v>0</v>
      </c>
      <c r="BN704" s="136">
        <f t="shared" si="210"/>
        <v>0</v>
      </c>
      <c r="BO704" s="136">
        <f t="shared" si="210"/>
        <v>0</v>
      </c>
      <c r="BP704" s="136">
        <f t="shared" si="210"/>
        <v>0</v>
      </c>
      <c r="BQ704" s="136">
        <f t="shared" si="210"/>
        <v>0</v>
      </c>
      <c r="BR704" s="136">
        <f t="shared" si="210"/>
        <v>0</v>
      </c>
      <c r="BS704" s="136">
        <f t="shared" ref="BO704:BX706" si="211">BS346-EK346</f>
        <v>0</v>
      </c>
      <c r="BT704" s="136">
        <f t="shared" si="211"/>
        <v>0</v>
      </c>
      <c r="BU704" s="136">
        <f t="shared" si="211"/>
        <v>0</v>
      </c>
      <c r="BV704" s="136">
        <f t="shared" si="211"/>
        <v>0</v>
      </c>
      <c r="BW704" s="136">
        <f t="shared" si="211"/>
        <v>0</v>
      </c>
      <c r="BX704" s="136">
        <f t="shared" si="211"/>
        <v>0</v>
      </c>
      <c r="BZ704" s="136">
        <f t="shared" ref="BZ704:CA706" si="212">BZ346-ER346</f>
        <v>0</v>
      </c>
      <c r="CA704" s="136">
        <f t="shared" si="212"/>
        <v>0</v>
      </c>
    </row>
    <row r="705" spans="7:79" hidden="1" x14ac:dyDescent="0.3">
      <c r="G705" s="136">
        <f t="shared" si="210"/>
        <v>0</v>
      </c>
      <c r="H705" s="136">
        <f t="shared" si="210"/>
        <v>0</v>
      </c>
      <c r="I705" s="136">
        <f t="shared" si="210"/>
        <v>0</v>
      </c>
      <c r="J705" s="136">
        <f t="shared" si="210"/>
        <v>0</v>
      </c>
      <c r="K705" s="136">
        <f t="shared" si="210"/>
        <v>0</v>
      </c>
      <c r="L705" s="136">
        <f t="shared" si="210"/>
        <v>0</v>
      </c>
      <c r="M705" s="136">
        <f t="shared" si="210"/>
        <v>0</v>
      </c>
      <c r="N705" s="136">
        <f t="shared" si="210"/>
        <v>0</v>
      </c>
      <c r="O705" s="136">
        <f t="shared" si="210"/>
        <v>0</v>
      </c>
      <c r="P705" s="136">
        <f t="shared" si="210"/>
        <v>0</v>
      </c>
      <c r="Q705" s="136">
        <f t="shared" si="210"/>
        <v>0</v>
      </c>
      <c r="R705" s="136">
        <f t="shared" si="210"/>
        <v>0</v>
      </c>
      <c r="S705" s="136">
        <f t="shared" si="210"/>
        <v>0</v>
      </c>
      <c r="T705" s="136">
        <f t="shared" si="210"/>
        <v>0</v>
      </c>
      <c r="U705" s="136">
        <f t="shared" si="210"/>
        <v>0</v>
      </c>
      <c r="V705" s="136">
        <f t="shared" si="210"/>
        <v>0</v>
      </c>
      <c r="W705" s="136">
        <f t="shared" si="210"/>
        <v>0</v>
      </c>
      <c r="X705" s="136">
        <f t="shared" si="210"/>
        <v>0</v>
      </c>
      <c r="Y705" s="136">
        <f t="shared" si="210"/>
        <v>0</v>
      </c>
      <c r="Z705" s="136">
        <f t="shared" si="210"/>
        <v>0</v>
      </c>
      <c r="AA705" s="136">
        <f t="shared" si="210"/>
        <v>0</v>
      </c>
      <c r="AB705" s="136">
        <f t="shared" si="210"/>
        <v>0</v>
      </c>
      <c r="AC705" s="136">
        <f t="shared" si="210"/>
        <v>0</v>
      </c>
      <c r="AD705" s="136">
        <f t="shared" si="210"/>
        <v>0</v>
      </c>
      <c r="AE705" s="136">
        <f t="shared" si="210"/>
        <v>0</v>
      </c>
      <c r="AF705" s="136">
        <f t="shared" si="210"/>
        <v>0</v>
      </c>
      <c r="AG705" s="136">
        <f t="shared" si="210"/>
        <v>0</v>
      </c>
      <c r="AH705" s="136">
        <f t="shared" si="210"/>
        <v>0</v>
      </c>
      <c r="AI705" s="136">
        <f t="shared" si="210"/>
        <v>0</v>
      </c>
      <c r="AJ705" s="136">
        <f t="shared" si="210"/>
        <v>0</v>
      </c>
      <c r="AK705" s="136">
        <f t="shared" si="210"/>
        <v>0</v>
      </c>
      <c r="AL705" s="136">
        <f t="shared" si="210"/>
        <v>0</v>
      </c>
      <c r="AM705" s="136">
        <f t="shared" si="210"/>
        <v>0</v>
      </c>
      <c r="AN705" s="136">
        <f t="shared" si="210"/>
        <v>0</v>
      </c>
      <c r="AO705" s="136">
        <f t="shared" si="210"/>
        <v>0</v>
      </c>
      <c r="AP705" s="136">
        <f t="shared" si="210"/>
        <v>0</v>
      </c>
      <c r="AQ705" s="136">
        <f t="shared" si="210"/>
        <v>0</v>
      </c>
      <c r="AR705" s="136">
        <f t="shared" si="210"/>
        <v>0</v>
      </c>
      <c r="AS705" s="136">
        <f t="shared" si="210"/>
        <v>0</v>
      </c>
      <c r="AT705" s="136">
        <f t="shared" si="210"/>
        <v>0</v>
      </c>
      <c r="AU705" s="136">
        <f t="shared" si="210"/>
        <v>0</v>
      </c>
      <c r="AV705" s="136">
        <f t="shared" si="210"/>
        <v>0</v>
      </c>
      <c r="AW705" s="136">
        <f t="shared" si="210"/>
        <v>0</v>
      </c>
      <c r="AX705" s="136">
        <f t="shared" si="210"/>
        <v>0</v>
      </c>
      <c r="AY705" s="136">
        <f t="shared" si="210"/>
        <v>0</v>
      </c>
      <c r="AZ705" s="136">
        <f t="shared" si="210"/>
        <v>0</v>
      </c>
      <c r="BA705" s="136">
        <f t="shared" si="210"/>
        <v>0</v>
      </c>
      <c r="BB705" s="136">
        <f t="shared" si="210"/>
        <v>0</v>
      </c>
      <c r="BC705" s="136">
        <f t="shared" si="210"/>
        <v>0</v>
      </c>
      <c r="BD705" s="136">
        <f t="shared" si="210"/>
        <v>0</v>
      </c>
      <c r="BE705" s="136">
        <f t="shared" si="210"/>
        <v>0</v>
      </c>
      <c r="BF705" s="136">
        <f t="shared" si="210"/>
        <v>0</v>
      </c>
      <c r="BG705" s="136">
        <f t="shared" si="210"/>
        <v>0</v>
      </c>
      <c r="BH705" s="136">
        <f t="shared" si="210"/>
        <v>0</v>
      </c>
      <c r="BI705" s="136">
        <f t="shared" si="210"/>
        <v>0</v>
      </c>
      <c r="BJ705" s="136">
        <f t="shared" si="210"/>
        <v>0</v>
      </c>
      <c r="BK705" s="136">
        <f t="shared" si="210"/>
        <v>0</v>
      </c>
      <c r="BL705" s="136">
        <f t="shared" si="210"/>
        <v>0</v>
      </c>
      <c r="BM705" s="136">
        <f t="shared" si="210"/>
        <v>0</v>
      </c>
      <c r="BN705" s="136">
        <f t="shared" si="210"/>
        <v>0</v>
      </c>
      <c r="BO705" s="136">
        <f t="shared" si="211"/>
        <v>0</v>
      </c>
      <c r="BP705" s="136">
        <f t="shared" si="211"/>
        <v>0</v>
      </c>
      <c r="BQ705" s="136">
        <f t="shared" si="211"/>
        <v>0</v>
      </c>
      <c r="BR705" s="136">
        <f t="shared" si="211"/>
        <v>0</v>
      </c>
      <c r="BS705" s="136">
        <f t="shared" si="211"/>
        <v>0</v>
      </c>
      <c r="BT705" s="136">
        <f t="shared" si="211"/>
        <v>0</v>
      </c>
      <c r="BU705" s="136">
        <f t="shared" si="211"/>
        <v>0</v>
      </c>
      <c r="BV705" s="136">
        <f t="shared" si="211"/>
        <v>0</v>
      </c>
      <c r="BW705" s="136">
        <f t="shared" si="211"/>
        <v>0</v>
      </c>
      <c r="BX705" s="136">
        <f t="shared" si="211"/>
        <v>0</v>
      </c>
      <c r="BZ705" s="136">
        <f t="shared" si="212"/>
        <v>0</v>
      </c>
      <c r="CA705" s="136">
        <f t="shared" si="212"/>
        <v>0</v>
      </c>
    </row>
    <row r="706" spans="7:79" hidden="1" x14ac:dyDescent="0.3">
      <c r="G706" s="136">
        <f t="shared" si="210"/>
        <v>0</v>
      </c>
      <c r="H706" s="136">
        <f t="shared" si="210"/>
        <v>0</v>
      </c>
      <c r="I706" s="136">
        <f t="shared" si="210"/>
        <v>0</v>
      </c>
      <c r="J706" s="136">
        <f t="shared" si="210"/>
        <v>0</v>
      </c>
      <c r="K706" s="136">
        <f t="shared" si="210"/>
        <v>0</v>
      </c>
      <c r="L706" s="136">
        <f t="shared" si="210"/>
        <v>0</v>
      </c>
      <c r="M706" s="136">
        <f t="shared" si="210"/>
        <v>0</v>
      </c>
      <c r="N706" s="136">
        <f t="shared" si="210"/>
        <v>0</v>
      </c>
      <c r="O706" s="136">
        <f t="shared" si="210"/>
        <v>0</v>
      </c>
      <c r="P706" s="136">
        <f t="shared" si="210"/>
        <v>0</v>
      </c>
      <c r="Q706" s="136">
        <f t="shared" si="210"/>
        <v>0</v>
      </c>
      <c r="R706" s="136">
        <f t="shared" si="210"/>
        <v>0</v>
      </c>
      <c r="S706" s="136">
        <f t="shared" si="210"/>
        <v>0</v>
      </c>
      <c r="T706" s="136">
        <f t="shared" si="210"/>
        <v>0</v>
      </c>
      <c r="U706" s="136">
        <f t="shared" si="210"/>
        <v>0</v>
      </c>
      <c r="V706" s="136">
        <f t="shared" si="210"/>
        <v>0</v>
      </c>
      <c r="W706" s="136">
        <f t="shared" si="210"/>
        <v>0</v>
      </c>
      <c r="X706" s="136">
        <f t="shared" si="210"/>
        <v>0</v>
      </c>
      <c r="Y706" s="136">
        <f t="shared" si="210"/>
        <v>0</v>
      </c>
      <c r="Z706" s="136">
        <f t="shared" si="210"/>
        <v>0</v>
      </c>
      <c r="AA706" s="136">
        <f t="shared" si="210"/>
        <v>0</v>
      </c>
      <c r="AB706" s="136">
        <f t="shared" si="210"/>
        <v>0</v>
      </c>
      <c r="AC706" s="136">
        <f t="shared" si="210"/>
        <v>0</v>
      </c>
      <c r="AD706" s="136">
        <f t="shared" si="210"/>
        <v>0</v>
      </c>
      <c r="AE706" s="136">
        <f t="shared" si="210"/>
        <v>0</v>
      </c>
      <c r="AF706" s="136">
        <f t="shared" si="210"/>
        <v>0</v>
      </c>
      <c r="AG706" s="136">
        <f t="shared" si="210"/>
        <v>0</v>
      </c>
      <c r="AH706" s="136">
        <f t="shared" si="210"/>
        <v>0</v>
      </c>
      <c r="AI706" s="136">
        <f t="shared" si="210"/>
        <v>0</v>
      </c>
      <c r="AJ706" s="136">
        <f t="shared" si="210"/>
        <v>0</v>
      </c>
      <c r="AK706" s="136">
        <f t="shared" si="210"/>
        <v>0</v>
      </c>
      <c r="AL706" s="136">
        <f t="shared" si="210"/>
        <v>0</v>
      </c>
      <c r="AM706" s="136">
        <f t="shared" si="210"/>
        <v>0</v>
      </c>
      <c r="AN706" s="136">
        <f t="shared" si="210"/>
        <v>0</v>
      </c>
      <c r="AO706" s="136">
        <f t="shared" si="210"/>
        <v>0</v>
      </c>
      <c r="AP706" s="136">
        <f t="shared" si="210"/>
        <v>0</v>
      </c>
      <c r="AQ706" s="136">
        <f t="shared" si="210"/>
        <v>0</v>
      </c>
      <c r="AR706" s="136">
        <f t="shared" si="210"/>
        <v>0</v>
      </c>
      <c r="AS706" s="136">
        <f t="shared" si="210"/>
        <v>0</v>
      </c>
      <c r="AT706" s="136">
        <f t="shared" si="210"/>
        <v>0</v>
      </c>
      <c r="AU706" s="136">
        <f t="shared" si="210"/>
        <v>0</v>
      </c>
      <c r="AV706" s="136">
        <f t="shared" si="210"/>
        <v>0</v>
      </c>
      <c r="AW706" s="136">
        <f t="shared" si="210"/>
        <v>0</v>
      </c>
      <c r="AX706" s="136">
        <f t="shared" si="210"/>
        <v>0</v>
      </c>
      <c r="AY706" s="136">
        <f t="shared" si="210"/>
        <v>0</v>
      </c>
      <c r="AZ706" s="136">
        <f t="shared" si="210"/>
        <v>0</v>
      </c>
      <c r="BA706" s="136">
        <f t="shared" si="210"/>
        <v>0</v>
      </c>
      <c r="BB706" s="136">
        <f t="shared" si="210"/>
        <v>0</v>
      </c>
      <c r="BC706" s="136">
        <f t="shared" si="210"/>
        <v>0</v>
      </c>
      <c r="BD706" s="136">
        <f t="shared" si="210"/>
        <v>0</v>
      </c>
      <c r="BE706" s="136">
        <f t="shared" si="210"/>
        <v>0</v>
      </c>
      <c r="BF706" s="136">
        <f t="shared" si="210"/>
        <v>0</v>
      </c>
      <c r="BG706" s="136">
        <f t="shared" si="210"/>
        <v>0</v>
      </c>
      <c r="BH706" s="136">
        <f t="shared" si="210"/>
        <v>0</v>
      </c>
      <c r="BI706" s="136">
        <f t="shared" si="210"/>
        <v>0</v>
      </c>
      <c r="BJ706" s="136">
        <f t="shared" si="210"/>
        <v>0</v>
      </c>
      <c r="BK706" s="136">
        <f t="shared" si="210"/>
        <v>0</v>
      </c>
      <c r="BL706" s="136">
        <f t="shared" si="210"/>
        <v>0</v>
      </c>
      <c r="BM706" s="136">
        <f t="shared" si="210"/>
        <v>0</v>
      </c>
      <c r="BN706" s="136">
        <f t="shared" si="210"/>
        <v>0</v>
      </c>
      <c r="BO706" s="136">
        <f t="shared" si="211"/>
        <v>0</v>
      </c>
      <c r="BP706" s="136">
        <f t="shared" si="211"/>
        <v>0</v>
      </c>
      <c r="BQ706" s="136">
        <f t="shared" si="211"/>
        <v>0</v>
      </c>
      <c r="BR706" s="136">
        <f t="shared" si="211"/>
        <v>0</v>
      </c>
      <c r="BS706" s="136">
        <f t="shared" si="211"/>
        <v>0</v>
      </c>
      <c r="BT706" s="136">
        <f t="shared" si="211"/>
        <v>0</v>
      </c>
      <c r="BU706" s="136">
        <f t="shared" si="211"/>
        <v>0</v>
      </c>
      <c r="BV706" s="136">
        <f t="shared" si="211"/>
        <v>0</v>
      </c>
      <c r="BW706" s="136">
        <f t="shared" si="211"/>
        <v>0</v>
      </c>
      <c r="BX706" s="136">
        <f t="shared" si="211"/>
        <v>0</v>
      </c>
      <c r="BZ706" s="136">
        <f t="shared" si="212"/>
        <v>0</v>
      </c>
      <c r="CA706" s="136">
        <f t="shared" si="212"/>
        <v>0</v>
      </c>
    </row>
    <row r="707" spans="7:79" hidden="1" x14ac:dyDescent="0.3">
      <c r="G707" s="136" t="e">
        <f>#REF!-#REF!</f>
        <v>#REF!</v>
      </c>
      <c r="H707" s="136" t="e">
        <f>#REF!-#REF!</f>
        <v>#REF!</v>
      </c>
      <c r="I707" s="136" t="e">
        <f>#REF!-#REF!</f>
        <v>#REF!</v>
      </c>
      <c r="J707" s="136" t="e">
        <f>#REF!-#REF!</f>
        <v>#REF!</v>
      </c>
      <c r="K707" s="136" t="e">
        <f>#REF!-#REF!</f>
        <v>#REF!</v>
      </c>
      <c r="L707" s="136" t="e">
        <f>#REF!-#REF!</f>
        <v>#REF!</v>
      </c>
      <c r="M707" s="136" t="e">
        <f>#REF!-#REF!</f>
        <v>#REF!</v>
      </c>
      <c r="N707" s="136" t="e">
        <f>#REF!-#REF!</f>
        <v>#REF!</v>
      </c>
      <c r="O707" s="136" t="e">
        <f>#REF!-#REF!</f>
        <v>#REF!</v>
      </c>
      <c r="P707" s="136" t="e">
        <f>#REF!-#REF!</f>
        <v>#REF!</v>
      </c>
      <c r="Q707" s="136" t="e">
        <f>#REF!-#REF!</f>
        <v>#REF!</v>
      </c>
      <c r="R707" s="136" t="e">
        <f>#REF!-#REF!</f>
        <v>#REF!</v>
      </c>
      <c r="S707" s="136" t="e">
        <f>#REF!-#REF!</f>
        <v>#REF!</v>
      </c>
      <c r="T707" s="136" t="e">
        <f>#REF!-#REF!</f>
        <v>#REF!</v>
      </c>
      <c r="U707" s="136" t="e">
        <f>#REF!-#REF!</f>
        <v>#REF!</v>
      </c>
      <c r="V707" s="136" t="e">
        <f>#REF!-#REF!</f>
        <v>#REF!</v>
      </c>
      <c r="W707" s="136" t="e">
        <f>#REF!-#REF!</f>
        <v>#REF!</v>
      </c>
      <c r="X707" s="136" t="e">
        <f>#REF!-#REF!</f>
        <v>#REF!</v>
      </c>
      <c r="Y707" s="136" t="e">
        <f>#REF!-#REF!</f>
        <v>#REF!</v>
      </c>
      <c r="Z707" s="136" t="e">
        <f>#REF!-#REF!</f>
        <v>#REF!</v>
      </c>
      <c r="AA707" s="136" t="e">
        <f>#REF!-#REF!</f>
        <v>#REF!</v>
      </c>
      <c r="AB707" s="136" t="e">
        <f>#REF!-#REF!</f>
        <v>#REF!</v>
      </c>
      <c r="AC707" s="136" t="e">
        <f>#REF!-#REF!</f>
        <v>#REF!</v>
      </c>
      <c r="AD707" s="136" t="e">
        <f>#REF!-#REF!</f>
        <v>#REF!</v>
      </c>
      <c r="AE707" s="136" t="e">
        <f>#REF!-#REF!</f>
        <v>#REF!</v>
      </c>
      <c r="AF707" s="136" t="e">
        <f>#REF!-#REF!</f>
        <v>#REF!</v>
      </c>
      <c r="AG707" s="136" t="e">
        <f>#REF!-#REF!</f>
        <v>#REF!</v>
      </c>
      <c r="AH707" s="136" t="e">
        <f>#REF!-#REF!</f>
        <v>#REF!</v>
      </c>
      <c r="AI707" s="136" t="e">
        <f>#REF!-#REF!</f>
        <v>#REF!</v>
      </c>
      <c r="AJ707" s="136" t="e">
        <f>#REF!-#REF!</f>
        <v>#REF!</v>
      </c>
      <c r="AK707" s="136" t="e">
        <f>#REF!-#REF!</f>
        <v>#REF!</v>
      </c>
      <c r="AL707" s="136" t="e">
        <f>#REF!-#REF!</f>
        <v>#REF!</v>
      </c>
      <c r="AM707" s="136" t="e">
        <f>#REF!-#REF!</f>
        <v>#REF!</v>
      </c>
      <c r="AN707" s="136" t="e">
        <f>#REF!-#REF!</f>
        <v>#REF!</v>
      </c>
      <c r="AO707" s="136" t="e">
        <f>#REF!-#REF!</f>
        <v>#REF!</v>
      </c>
      <c r="AP707" s="136" t="e">
        <f>#REF!-#REF!</f>
        <v>#REF!</v>
      </c>
      <c r="AQ707" s="136" t="e">
        <f>#REF!-#REF!</f>
        <v>#REF!</v>
      </c>
      <c r="AR707" s="136" t="e">
        <f>#REF!-#REF!</f>
        <v>#REF!</v>
      </c>
      <c r="AS707" s="136" t="e">
        <f>#REF!-#REF!</f>
        <v>#REF!</v>
      </c>
      <c r="AT707" s="136" t="e">
        <f>#REF!-#REF!</f>
        <v>#REF!</v>
      </c>
      <c r="AU707" s="136" t="e">
        <f>#REF!-#REF!</f>
        <v>#REF!</v>
      </c>
      <c r="AV707" s="136" t="e">
        <f>#REF!-#REF!</f>
        <v>#REF!</v>
      </c>
      <c r="AW707" s="136" t="e">
        <f>#REF!-#REF!</f>
        <v>#REF!</v>
      </c>
      <c r="AX707" s="136" t="e">
        <f>#REF!-#REF!</f>
        <v>#REF!</v>
      </c>
      <c r="AY707" s="136" t="e">
        <f>#REF!-#REF!</f>
        <v>#REF!</v>
      </c>
      <c r="AZ707" s="136" t="e">
        <f>#REF!-#REF!</f>
        <v>#REF!</v>
      </c>
      <c r="BA707" s="136" t="e">
        <f>#REF!-#REF!</f>
        <v>#REF!</v>
      </c>
      <c r="BB707" s="136" t="e">
        <f>#REF!-#REF!</f>
        <v>#REF!</v>
      </c>
      <c r="BC707" s="136" t="e">
        <f>#REF!-#REF!</f>
        <v>#REF!</v>
      </c>
      <c r="BD707" s="136" t="e">
        <f>#REF!-#REF!</f>
        <v>#REF!</v>
      </c>
      <c r="BE707" s="136" t="e">
        <f>#REF!-#REF!</f>
        <v>#REF!</v>
      </c>
      <c r="BF707" s="136" t="e">
        <f>#REF!-#REF!</f>
        <v>#REF!</v>
      </c>
      <c r="BG707" s="136" t="e">
        <f>#REF!-#REF!</f>
        <v>#REF!</v>
      </c>
      <c r="BH707" s="136" t="e">
        <f>#REF!-#REF!</f>
        <v>#REF!</v>
      </c>
      <c r="BI707" s="136" t="e">
        <f>#REF!-#REF!</f>
        <v>#REF!</v>
      </c>
      <c r="BJ707" s="136" t="e">
        <f>#REF!-#REF!</f>
        <v>#REF!</v>
      </c>
      <c r="BK707" s="136" t="e">
        <f>#REF!-#REF!</f>
        <v>#REF!</v>
      </c>
      <c r="BL707" s="136" t="e">
        <f>#REF!-#REF!</f>
        <v>#REF!</v>
      </c>
      <c r="BM707" s="136" t="e">
        <f>#REF!-#REF!</f>
        <v>#REF!</v>
      </c>
      <c r="BN707" s="136" t="e">
        <f>#REF!-#REF!</f>
        <v>#REF!</v>
      </c>
      <c r="BO707" s="136" t="e">
        <f>#REF!-#REF!</f>
        <v>#REF!</v>
      </c>
      <c r="BP707" s="136" t="e">
        <f>#REF!-#REF!</f>
        <v>#REF!</v>
      </c>
      <c r="BQ707" s="136" t="e">
        <f>#REF!-#REF!</f>
        <v>#REF!</v>
      </c>
      <c r="BR707" s="136" t="e">
        <f>#REF!-#REF!</f>
        <v>#REF!</v>
      </c>
      <c r="BS707" s="136" t="e">
        <f>#REF!-#REF!</f>
        <v>#REF!</v>
      </c>
      <c r="BT707" s="136" t="e">
        <f>#REF!-#REF!</f>
        <v>#REF!</v>
      </c>
      <c r="BU707" s="136" t="e">
        <f>#REF!-#REF!</f>
        <v>#REF!</v>
      </c>
      <c r="BV707" s="136" t="e">
        <f>#REF!-#REF!</f>
        <v>#REF!</v>
      </c>
      <c r="BW707" s="136" t="e">
        <f>#REF!-#REF!</f>
        <v>#REF!</v>
      </c>
      <c r="BX707" s="136" t="e">
        <f>#REF!-#REF!</f>
        <v>#REF!</v>
      </c>
      <c r="BZ707" s="136" t="e">
        <f>#REF!-#REF!</f>
        <v>#REF!</v>
      </c>
      <c r="CA707" s="136" t="e">
        <f>#REF!-#REF!</f>
        <v>#REF!</v>
      </c>
    </row>
    <row r="708" spans="7:79" hidden="1" x14ac:dyDescent="0.3">
      <c r="G708" s="136">
        <f t="shared" ref="G708:BR710" si="213">G349-BY349</f>
        <v>0</v>
      </c>
      <c r="H708" s="136">
        <f t="shared" si="213"/>
        <v>0</v>
      </c>
      <c r="I708" s="136">
        <f t="shared" si="213"/>
        <v>0</v>
      </c>
      <c r="J708" s="136">
        <f t="shared" si="213"/>
        <v>0</v>
      </c>
      <c r="K708" s="136">
        <f t="shared" si="213"/>
        <v>0</v>
      </c>
      <c r="L708" s="136">
        <f t="shared" si="213"/>
        <v>0</v>
      </c>
      <c r="M708" s="136">
        <f t="shared" si="213"/>
        <v>0</v>
      </c>
      <c r="N708" s="136">
        <f t="shared" si="213"/>
        <v>0</v>
      </c>
      <c r="O708" s="136">
        <f t="shared" si="213"/>
        <v>0</v>
      </c>
      <c r="P708" s="136">
        <f t="shared" si="213"/>
        <v>0</v>
      </c>
      <c r="Q708" s="136">
        <f t="shared" si="213"/>
        <v>0</v>
      </c>
      <c r="R708" s="136">
        <f t="shared" si="213"/>
        <v>0</v>
      </c>
      <c r="S708" s="136">
        <f t="shared" si="213"/>
        <v>0</v>
      </c>
      <c r="T708" s="136">
        <f t="shared" si="213"/>
        <v>0</v>
      </c>
      <c r="U708" s="136">
        <f t="shared" si="213"/>
        <v>0</v>
      </c>
      <c r="V708" s="136">
        <f t="shared" si="213"/>
        <v>0</v>
      </c>
      <c r="W708" s="136">
        <f t="shared" si="213"/>
        <v>0</v>
      </c>
      <c r="X708" s="136">
        <f t="shared" si="213"/>
        <v>0</v>
      </c>
      <c r="Y708" s="136">
        <f t="shared" si="213"/>
        <v>0</v>
      </c>
      <c r="Z708" s="136">
        <f t="shared" si="213"/>
        <v>0</v>
      </c>
      <c r="AA708" s="136">
        <f t="shared" si="213"/>
        <v>0</v>
      </c>
      <c r="AB708" s="136">
        <f t="shared" si="213"/>
        <v>0</v>
      </c>
      <c r="AC708" s="136">
        <f t="shared" si="213"/>
        <v>0</v>
      </c>
      <c r="AD708" s="136">
        <f t="shared" si="213"/>
        <v>0</v>
      </c>
      <c r="AE708" s="136">
        <f t="shared" si="213"/>
        <v>0</v>
      </c>
      <c r="AF708" s="136">
        <f t="shared" si="213"/>
        <v>0</v>
      </c>
      <c r="AG708" s="136">
        <f t="shared" si="213"/>
        <v>0</v>
      </c>
      <c r="AH708" s="136">
        <f t="shared" si="213"/>
        <v>0</v>
      </c>
      <c r="AI708" s="136">
        <f t="shared" si="213"/>
        <v>0</v>
      </c>
      <c r="AJ708" s="136">
        <f t="shared" si="213"/>
        <v>0</v>
      </c>
      <c r="AK708" s="136">
        <f t="shared" si="213"/>
        <v>0</v>
      </c>
      <c r="AL708" s="136">
        <f t="shared" si="213"/>
        <v>0</v>
      </c>
      <c r="AM708" s="136">
        <f t="shared" si="213"/>
        <v>0</v>
      </c>
      <c r="AN708" s="136">
        <f t="shared" si="213"/>
        <v>0</v>
      </c>
      <c r="AO708" s="136">
        <f t="shared" si="213"/>
        <v>0</v>
      </c>
      <c r="AP708" s="136">
        <f t="shared" si="213"/>
        <v>0</v>
      </c>
      <c r="AQ708" s="136">
        <f t="shared" si="213"/>
        <v>0</v>
      </c>
      <c r="AR708" s="136">
        <f t="shared" si="213"/>
        <v>0</v>
      </c>
      <c r="AS708" s="136">
        <f t="shared" si="213"/>
        <v>0</v>
      </c>
      <c r="AT708" s="136">
        <f t="shared" si="213"/>
        <v>0</v>
      </c>
      <c r="AU708" s="136">
        <f t="shared" si="213"/>
        <v>0</v>
      </c>
      <c r="AV708" s="136">
        <f t="shared" si="213"/>
        <v>0</v>
      </c>
      <c r="AW708" s="136">
        <f t="shared" si="213"/>
        <v>0</v>
      </c>
      <c r="AX708" s="136">
        <f t="shared" si="213"/>
        <v>0</v>
      </c>
      <c r="AY708" s="136">
        <f t="shared" si="213"/>
        <v>0</v>
      </c>
      <c r="AZ708" s="136">
        <f t="shared" si="213"/>
        <v>0</v>
      </c>
      <c r="BA708" s="136">
        <f t="shared" si="213"/>
        <v>0</v>
      </c>
      <c r="BB708" s="136">
        <f t="shared" si="213"/>
        <v>0</v>
      </c>
      <c r="BC708" s="136">
        <f t="shared" si="213"/>
        <v>0</v>
      </c>
      <c r="BD708" s="136">
        <f t="shared" si="213"/>
        <v>0</v>
      </c>
      <c r="BE708" s="136">
        <f t="shared" si="213"/>
        <v>0</v>
      </c>
      <c r="BF708" s="136">
        <f t="shared" si="213"/>
        <v>0</v>
      </c>
      <c r="BG708" s="136">
        <f t="shared" si="213"/>
        <v>0</v>
      </c>
      <c r="BH708" s="136">
        <f t="shared" si="213"/>
        <v>0</v>
      </c>
      <c r="BI708" s="136">
        <f t="shared" si="213"/>
        <v>0</v>
      </c>
      <c r="BJ708" s="136">
        <f t="shared" si="213"/>
        <v>0</v>
      </c>
      <c r="BK708" s="136">
        <f t="shared" si="213"/>
        <v>0</v>
      </c>
      <c r="BL708" s="136">
        <f t="shared" si="213"/>
        <v>0</v>
      </c>
      <c r="BM708" s="136">
        <f t="shared" si="213"/>
        <v>0</v>
      </c>
      <c r="BN708" s="136">
        <f t="shared" si="213"/>
        <v>0</v>
      </c>
      <c r="BO708" s="136">
        <f t="shared" si="213"/>
        <v>0</v>
      </c>
      <c r="BP708" s="136">
        <f t="shared" si="213"/>
        <v>0</v>
      </c>
      <c r="BQ708" s="136">
        <f t="shared" si="213"/>
        <v>0</v>
      </c>
      <c r="BR708" s="136">
        <f t="shared" si="213"/>
        <v>0</v>
      </c>
      <c r="BS708" s="136">
        <f t="shared" ref="BO708:BX710" si="214">BS349-EK349</f>
        <v>0</v>
      </c>
      <c r="BT708" s="136">
        <f t="shared" si="214"/>
        <v>0</v>
      </c>
      <c r="BU708" s="136">
        <f t="shared" si="214"/>
        <v>0</v>
      </c>
      <c r="BV708" s="136">
        <f t="shared" si="214"/>
        <v>0</v>
      </c>
      <c r="BW708" s="136">
        <f t="shared" si="214"/>
        <v>0</v>
      </c>
      <c r="BX708" s="136">
        <f t="shared" si="214"/>
        <v>0</v>
      </c>
      <c r="BZ708" s="136">
        <f t="shared" ref="BZ708:CA710" si="215">BZ349-ER349</f>
        <v>0</v>
      </c>
      <c r="CA708" s="136">
        <f t="shared" si="215"/>
        <v>0</v>
      </c>
    </row>
    <row r="709" spans="7:79" hidden="1" x14ac:dyDescent="0.3">
      <c r="G709" s="136">
        <f t="shared" si="213"/>
        <v>0</v>
      </c>
      <c r="H709" s="136">
        <f t="shared" si="213"/>
        <v>0</v>
      </c>
      <c r="I709" s="136">
        <f t="shared" si="213"/>
        <v>0</v>
      </c>
      <c r="J709" s="136">
        <f t="shared" si="213"/>
        <v>0</v>
      </c>
      <c r="K709" s="136">
        <f t="shared" si="213"/>
        <v>0</v>
      </c>
      <c r="L709" s="136">
        <f t="shared" si="213"/>
        <v>0</v>
      </c>
      <c r="M709" s="136">
        <f t="shared" si="213"/>
        <v>0</v>
      </c>
      <c r="N709" s="136">
        <f t="shared" si="213"/>
        <v>0</v>
      </c>
      <c r="O709" s="136">
        <f t="shared" si="213"/>
        <v>0</v>
      </c>
      <c r="P709" s="136">
        <f t="shared" si="213"/>
        <v>0</v>
      </c>
      <c r="Q709" s="136">
        <f t="shared" si="213"/>
        <v>0</v>
      </c>
      <c r="R709" s="136">
        <f t="shared" si="213"/>
        <v>0</v>
      </c>
      <c r="S709" s="136">
        <f t="shared" si="213"/>
        <v>0</v>
      </c>
      <c r="T709" s="136">
        <f t="shared" si="213"/>
        <v>0</v>
      </c>
      <c r="U709" s="136">
        <f t="shared" si="213"/>
        <v>0</v>
      </c>
      <c r="V709" s="136">
        <f t="shared" si="213"/>
        <v>0</v>
      </c>
      <c r="W709" s="136">
        <f t="shared" si="213"/>
        <v>0</v>
      </c>
      <c r="X709" s="136">
        <f t="shared" si="213"/>
        <v>0</v>
      </c>
      <c r="Y709" s="136">
        <f t="shared" si="213"/>
        <v>0</v>
      </c>
      <c r="Z709" s="136">
        <f t="shared" si="213"/>
        <v>0</v>
      </c>
      <c r="AA709" s="136">
        <f t="shared" si="213"/>
        <v>0</v>
      </c>
      <c r="AB709" s="136">
        <f t="shared" si="213"/>
        <v>0</v>
      </c>
      <c r="AC709" s="136">
        <f t="shared" si="213"/>
        <v>0</v>
      </c>
      <c r="AD709" s="136">
        <f t="shared" si="213"/>
        <v>0</v>
      </c>
      <c r="AE709" s="136">
        <f t="shared" si="213"/>
        <v>0</v>
      </c>
      <c r="AF709" s="136">
        <f t="shared" si="213"/>
        <v>0</v>
      </c>
      <c r="AG709" s="136">
        <f t="shared" si="213"/>
        <v>0</v>
      </c>
      <c r="AH709" s="136">
        <f t="shared" si="213"/>
        <v>0</v>
      </c>
      <c r="AI709" s="136">
        <f t="shared" si="213"/>
        <v>0</v>
      </c>
      <c r="AJ709" s="136">
        <f t="shared" si="213"/>
        <v>0</v>
      </c>
      <c r="AK709" s="136">
        <f t="shared" si="213"/>
        <v>0</v>
      </c>
      <c r="AL709" s="136">
        <f t="shared" si="213"/>
        <v>0</v>
      </c>
      <c r="AM709" s="136">
        <f t="shared" si="213"/>
        <v>0</v>
      </c>
      <c r="AN709" s="136">
        <f t="shared" si="213"/>
        <v>0</v>
      </c>
      <c r="AO709" s="136">
        <f t="shared" si="213"/>
        <v>0</v>
      </c>
      <c r="AP709" s="136">
        <f t="shared" si="213"/>
        <v>0</v>
      </c>
      <c r="AQ709" s="136">
        <f t="shared" si="213"/>
        <v>0</v>
      </c>
      <c r="AR709" s="136">
        <f t="shared" si="213"/>
        <v>0</v>
      </c>
      <c r="AS709" s="136">
        <f t="shared" si="213"/>
        <v>0</v>
      </c>
      <c r="AT709" s="136">
        <f t="shared" si="213"/>
        <v>0</v>
      </c>
      <c r="AU709" s="136">
        <f t="shared" si="213"/>
        <v>0</v>
      </c>
      <c r="AV709" s="136">
        <f t="shared" si="213"/>
        <v>0</v>
      </c>
      <c r="AW709" s="136">
        <f t="shared" si="213"/>
        <v>0</v>
      </c>
      <c r="AX709" s="136">
        <f t="shared" si="213"/>
        <v>0</v>
      </c>
      <c r="AY709" s="136">
        <f t="shared" si="213"/>
        <v>0</v>
      </c>
      <c r="AZ709" s="136">
        <f t="shared" si="213"/>
        <v>0</v>
      </c>
      <c r="BA709" s="136">
        <f t="shared" si="213"/>
        <v>0</v>
      </c>
      <c r="BB709" s="136">
        <f t="shared" si="213"/>
        <v>0</v>
      </c>
      <c r="BC709" s="136">
        <f t="shared" si="213"/>
        <v>0</v>
      </c>
      <c r="BD709" s="136">
        <f t="shared" si="213"/>
        <v>0</v>
      </c>
      <c r="BE709" s="136">
        <f t="shared" si="213"/>
        <v>0</v>
      </c>
      <c r="BF709" s="136">
        <f t="shared" si="213"/>
        <v>0</v>
      </c>
      <c r="BG709" s="136">
        <f t="shared" si="213"/>
        <v>0</v>
      </c>
      <c r="BH709" s="136">
        <f t="shared" si="213"/>
        <v>0</v>
      </c>
      <c r="BI709" s="136">
        <f t="shared" si="213"/>
        <v>0</v>
      </c>
      <c r="BJ709" s="136">
        <f t="shared" si="213"/>
        <v>0</v>
      </c>
      <c r="BK709" s="136">
        <f t="shared" si="213"/>
        <v>0</v>
      </c>
      <c r="BL709" s="136">
        <f t="shared" si="213"/>
        <v>0</v>
      </c>
      <c r="BM709" s="136">
        <f t="shared" si="213"/>
        <v>0</v>
      </c>
      <c r="BN709" s="136">
        <f t="shared" si="213"/>
        <v>0</v>
      </c>
      <c r="BO709" s="136">
        <f t="shared" si="214"/>
        <v>0</v>
      </c>
      <c r="BP709" s="136">
        <f t="shared" si="214"/>
        <v>0</v>
      </c>
      <c r="BQ709" s="136">
        <f t="shared" si="214"/>
        <v>0</v>
      </c>
      <c r="BR709" s="136">
        <f t="shared" si="214"/>
        <v>0</v>
      </c>
      <c r="BS709" s="136">
        <f t="shared" si="214"/>
        <v>0</v>
      </c>
      <c r="BT709" s="136">
        <f t="shared" si="214"/>
        <v>0</v>
      </c>
      <c r="BU709" s="136">
        <f t="shared" si="214"/>
        <v>0</v>
      </c>
      <c r="BV709" s="136">
        <f t="shared" si="214"/>
        <v>0</v>
      </c>
      <c r="BW709" s="136">
        <f t="shared" si="214"/>
        <v>0</v>
      </c>
      <c r="BX709" s="136">
        <f t="shared" si="214"/>
        <v>0</v>
      </c>
      <c r="BZ709" s="136">
        <f t="shared" si="215"/>
        <v>0</v>
      </c>
      <c r="CA709" s="136">
        <f t="shared" si="215"/>
        <v>0</v>
      </c>
    </row>
    <row r="710" spans="7:79" hidden="1" x14ac:dyDescent="0.3">
      <c r="G710" s="136">
        <f t="shared" si="213"/>
        <v>0</v>
      </c>
      <c r="H710" s="136">
        <f t="shared" si="213"/>
        <v>0</v>
      </c>
      <c r="I710" s="136">
        <f t="shared" si="213"/>
        <v>0</v>
      </c>
      <c r="J710" s="136">
        <f t="shared" si="213"/>
        <v>0</v>
      </c>
      <c r="K710" s="136">
        <f t="shared" si="213"/>
        <v>0</v>
      </c>
      <c r="L710" s="136">
        <f t="shared" si="213"/>
        <v>0</v>
      </c>
      <c r="M710" s="136">
        <f t="shared" si="213"/>
        <v>0</v>
      </c>
      <c r="N710" s="136">
        <f t="shared" si="213"/>
        <v>0</v>
      </c>
      <c r="O710" s="136">
        <f t="shared" si="213"/>
        <v>0</v>
      </c>
      <c r="P710" s="136">
        <f t="shared" si="213"/>
        <v>0</v>
      </c>
      <c r="Q710" s="136">
        <f t="shared" si="213"/>
        <v>0</v>
      </c>
      <c r="R710" s="136">
        <f t="shared" si="213"/>
        <v>0</v>
      </c>
      <c r="S710" s="136">
        <f t="shared" si="213"/>
        <v>0</v>
      </c>
      <c r="T710" s="136">
        <f t="shared" si="213"/>
        <v>0</v>
      </c>
      <c r="U710" s="136">
        <f t="shared" si="213"/>
        <v>0</v>
      </c>
      <c r="V710" s="136">
        <f t="shared" si="213"/>
        <v>0</v>
      </c>
      <c r="W710" s="136">
        <f t="shared" si="213"/>
        <v>0</v>
      </c>
      <c r="X710" s="136">
        <f t="shared" si="213"/>
        <v>0</v>
      </c>
      <c r="Y710" s="136">
        <f t="shared" si="213"/>
        <v>0</v>
      </c>
      <c r="Z710" s="136">
        <f t="shared" si="213"/>
        <v>0</v>
      </c>
      <c r="AA710" s="136">
        <f t="shared" si="213"/>
        <v>0</v>
      </c>
      <c r="AB710" s="136">
        <f t="shared" si="213"/>
        <v>0</v>
      </c>
      <c r="AC710" s="136">
        <f t="shared" si="213"/>
        <v>0</v>
      </c>
      <c r="AD710" s="136">
        <f t="shared" si="213"/>
        <v>0</v>
      </c>
      <c r="AE710" s="136">
        <f t="shared" si="213"/>
        <v>0</v>
      </c>
      <c r="AF710" s="136">
        <f t="shared" si="213"/>
        <v>0</v>
      </c>
      <c r="AG710" s="136">
        <f t="shared" si="213"/>
        <v>0</v>
      </c>
      <c r="AH710" s="136">
        <f t="shared" si="213"/>
        <v>0</v>
      </c>
      <c r="AI710" s="136">
        <f t="shared" si="213"/>
        <v>0</v>
      </c>
      <c r="AJ710" s="136">
        <f t="shared" si="213"/>
        <v>0</v>
      </c>
      <c r="AK710" s="136">
        <f t="shared" si="213"/>
        <v>0</v>
      </c>
      <c r="AL710" s="136">
        <f t="shared" si="213"/>
        <v>0</v>
      </c>
      <c r="AM710" s="136">
        <f t="shared" si="213"/>
        <v>0</v>
      </c>
      <c r="AN710" s="136">
        <f t="shared" si="213"/>
        <v>0</v>
      </c>
      <c r="AO710" s="136">
        <f t="shared" si="213"/>
        <v>0</v>
      </c>
      <c r="AP710" s="136">
        <f t="shared" si="213"/>
        <v>0</v>
      </c>
      <c r="AQ710" s="136">
        <f t="shared" si="213"/>
        <v>0</v>
      </c>
      <c r="AR710" s="136">
        <f t="shared" si="213"/>
        <v>0</v>
      </c>
      <c r="AS710" s="136">
        <f t="shared" si="213"/>
        <v>0</v>
      </c>
      <c r="AT710" s="136">
        <f t="shared" si="213"/>
        <v>0</v>
      </c>
      <c r="AU710" s="136">
        <f t="shared" si="213"/>
        <v>0</v>
      </c>
      <c r="AV710" s="136">
        <f t="shared" si="213"/>
        <v>0</v>
      </c>
      <c r="AW710" s="136">
        <f t="shared" si="213"/>
        <v>0</v>
      </c>
      <c r="AX710" s="136">
        <f t="shared" si="213"/>
        <v>0</v>
      </c>
      <c r="AY710" s="136">
        <f t="shared" si="213"/>
        <v>0</v>
      </c>
      <c r="AZ710" s="136">
        <f t="shared" si="213"/>
        <v>0</v>
      </c>
      <c r="BA710" s="136">
        <f t="shared" si="213"/>
        <v>0</v>
      </c>
      <c r="BB710" s="136">
        <f t="shared" si="213"/>
        <v>0</v>
      </c>
      <c r="BC710" s="136">
        <f t="shared" si="213"/>
        <v>0</v>
      </c>
      <c r="BD710" s="136">
        <f t="shared" si="213"/>
        <v>0</v>
      </c>
      <c r="BE710" s="136">
        <f t="shared" si="213"/>
        <v>0</v>
      </c>
      <c r="BF710" s="136">
        <f t="shared" si="213"/>
        <v>0</v>
      </c>
      <c r="BG710" s="136">
        <f t="shared" si="213"/>
        <v>0</v>
      </c>
      <c r="BH710" s="136">
        <f t="shared" si="213"/>
        <v>0</v>
      </c>
      <c r="BI710" s="136">
        <f t="shared" si="213"/>
        <v>0</v>
      </c>
      <c r="BJ710" s="136">
        <f t="shared" si="213"/>
        <v>0</v>
      </c>
      <c r="BK710" s="136">
        <f t="shared" si="213"/>
        <v>0</v>
      </c>
      <c r="BL710" s="136">
        <f t="shared" si="213"/>
        <v>0</v>
      </c>
      <c r="BM710" s="136">
        <f t="shared" si="213"/>
        <v>0</v>
      </c>
      <c r="BN710" s="136">
        <f t="shared" si="213"/>
        <v>0</v>
      </c>
      <c r="BO710" s="136">
        <f t="shared" si="214"/>
        <v>0</v>
      </c>
      <c r="BP710" s="136">
        <f t="shared" si="214"/>
        <v>0</v>
      </c>
      <c r="BQ710" s="136">
        <f t="shared" si="214"/>
        <v>0</v>
      </c>
      <c r="BR710" s="136">
        <f t="shared" si="214"/>
        <v>0</v>
      </c>
      <c r="BS710" s="136">
        <f t="shared" si="214"/>
        <v>0</v>
      </c>
      <c r="BT710" s="136">
        <f t="shared" si="214"/>
        <v>0</v>
      </c>
      <c r="BU710" s="136">
        <f t="shared" si="214"/>
        <v>0</v>
      </c>
      <c r="BV710" s="136">
        <f t="shared" si="214"/>
        <v>0</v>
      </c>
      <c r="BW710" s="136">
        <f t="shared" si="214"/>
        <v>0</v>
      </c>
      <c r="BX710" s="136">
        <f t="shared" si="214"/>
        <v>0</v>
      </c>
      <c r="BZ710" s="136">
        <f t="shared" si="215"/>
        <v>0</v>
      </c>
      <c r="CA710" s="136">
        <f t="shared" si="215"/>
        <v>0</v>
      </c>
    </row>
    <row r="711" spans="7:79" hidden="1" x14ac:dyDescent="0.3">
      <c r="G711" s="136">
        <f t="shared" ref="G711:BR714" si="216">G355-BY355</f>
        <v>1706784</v>
      </c>
      <c r="H711" s="136">
        <f t="shared" si="216"/>
        <v>0</v>
      </c>
      <c r="I711" s="136">
        <f t="shared" si="216"/>
        <v>0</v>
      </c>
      <c r="J711" s="136">
        <f t="shared" si="216"/>
        <v>0</v>
      </c>
      <c r="K711" s="136">
        <f t="shared" si="216"/>
        <v>0</v>
      </c>
      <c r="L711" s="136">
        <f t="shared" si="216"/>
        <v>354961</v>
      </c>
      <c r="M711" s="136">
        <f t="shared" si="216"/>
        <v>0</v>
      </c>
      <c r="N711" s="136">
        <f t="shared" si="216"/>
        <v>0</v>
      </c>
      <c r="O711" s="136">
        <f t="shared" si="216"/>
        <v>0</v>
      </c>
      <c r="P711" s="136">
        <f t="shared" si="216"/>
        <v>0</v>
      </c>
      <c r="Q711" s="136">
        <f t="shared" si="216"/>
        <v>1469964</v>
      </c>
      <c r="R711" s="136">
        <f t="shared" si="216"/>
        <v>0</v>
      </c>
      <c r="S711" s="136">
        <f t="shared" si="216"/>
        <v>0</v>
      </c>
      <c r="T711" s="136">
        <f t="shared" si="216"/>
        <v>0</v>
      </c>
      <c r="U711" s="136">
        <f t="shared" si="216"/>
        <v>0</v>
      </c>
      <c r="V711" s="136">
        <f t="shared" si="216"/>
        <v>362091</v>
      </c>
      <c r="W711" s="136">
        <f t="shared" si="216"/>
        <v>0</v>
      </c>
      <c r="X711" s="136">
        <f t="shared" si="216"/>
        <v>0</v>
      </c>
      <c r="Y711" s="136">
        <f t="shared" si="216"/>
        <v>0</v>
      </c>
      <c r="Z711" s="136">
        <f t="shared" si="216"/>
        <v>0</v>
      </c>
      <c r="AA711" s="136">
        <f t="shared" si="216"/>
        <v>0</v>
      </c>
      <c r="AB711" s="136">
        <f t="shared" si="216"/>
        <v>0</v>
      </c>
      <c r="AC711" s="136">
        <f t="shared" si="216"/>
        <v>0</v>
      </c>
      <c r="AD711" s="136">
        <f t="shared" si="216"/>
        <v>0</v>
      </c>
      <c r="AE711" s="136">
        <f t="shared" si="216"/>
        <v>0</v>
      </c>
      <c r="AF711" s="136">
        <f t="shared" si="216"/>
        <v>107401</v>
      </c>
      <c r="AG711" s="136">
        <f t="shared" si="216"/>
        <v>0</v>
      </c>
      <c r="AH711" s="136">
        <f t="shared" si="216"/>
        <v>0</v>
      </c>
      <c r="AI711" s="136">
        <f t="shared" si="216"/>
        <v>0</v>
      </c>
      <c r="AJ711" s="136">
        <f t="shared" si="216"/>
        <v>0</v>
      </c>
      <c r="AK711" s="136">
        <f t="shared" si="216"/>
        <v>46213</v>
      </c>
      <c r="AL711" s="136">
        <f t="shared" si="216"/>
        <v>0</v>
      </c>
      <c r="AM711" s="136">
        <f t="shared" si="216"/>
        <v>0</v>
      </c>
      <c r="AN711" s="136">
        <f t="shared" si="216"/>
        <v>0</v>
      </c>
      <c r="AO711" s="136">
        <f t="shared" si="216"/>
        <v>0</v>
      </c>
      <c r="AP711" s="136">
        <f t="shared" si="216"/>
        <v>0</v>
      </c>
      <c r="AQ711" s="136">
        <f t="shared" si="216"/>
        <v>0</v>
      </c>
      <c r="AR711" s="136">
        <f t="shared" si="216"/>
        <v>0</v>
      </c>
      <c r="AS711" s="136">
        <f t="shared" si="216"/>
        <v>0</v>
      </c>
      <c r="AT711" s="136">
        <f t="shared" si="216"/>
        <v>0</v>
      </c>
      <c r="AU711" s="136">
        <f t="shared" si="216"/>
        <v>0</v>
      </c>
      <c r="AV711" s="136">
        <f t="shared" si="216"/>
        <v>0</v>
      </c>
      <c r="AW711" s="136">
        <f t="shared" si="216"/>
        <v>0</v>
      </c>
      <c r="AX711" s="136">
        <f t="shared" si="216"/>
        <v>0</v>
      </c>
      <c r="AY711" s="136">
        <f t="shared" si="216"/>
        <v>0</v>
      </c>
      <c r="AZ711" s="136">
        <f t="shared" si="216"/>
        <v>212937</v>
      </c>
      <c r="BA711" s="136">
        <f t="shared" si="216"/>
        <v>0</v>
      </c>
      <c r="BB711" s="136">
        <f t="shared" si="216"/>
        <v>0</v>
      </c>
      <c r="BC711" s="136">
        <f t="shared" si="216"/>
        <v>0</v>
      </c>
      <c r="BD711" s="136">
        <f t="shared" si="216"/>
        <v>0</v>
      </c>
      <c r="BE711" s="136">
        <f t="shared" si="216"/>
        <v>0</v>
      </c>
      <c r="BF711" s="136">
        <f t="shared" si="216"/>
        <v>0</v>
      </c>
      <c r="BG711" s="136">
        <f t="shared" si="216"/>
        <v>0</v>
      </c>
      <c r="BH711" s="136">
        <f t="shared" si="216"/>
        <v>0</v>
      </c>
      <c r="BI711" s="136">
        <f t="shared" si="216"/>
        <v>0</v>
      </c>
      <c r="BJ711" s="136">
        <f t="shared" si="216"/>
        <v>0</v>
      </c>
      <c r="BK711" s="136">
        <f t="shared" si="216"/>
        <v>0</v>
      </c>
      <c r="BL711" s="136">
        <f t="shared" si="216"/>
        <v>0</v>
      </c>
      <c r="BM711" s="136">
        <f t="shared" si="216"/>
        <v>0</v>
      </c>
      <c r="BN711" s="136">
        <f t="shared" si="216"/>
        <v>0</v>
      </c>
      <c r="BO711" s="136">
        <f t="shared" si="216"/>
        <v>-518523</v>
      </c>
      <c r="BP711" s="136">
        <f t="shared" si="216"/>
        <v>0</v>
      </c>
      <c r="BQ711" s="136">
        <f t="shared" si="216"/>
        <v>0</v>
      </c>
      <c r="BR711" s="136">
        <f t="shared" si="216"/>
        <v>0</v>
      </c>
      <c r="BS711" s="136">
        <f t="shared" ref="BS711:BX726" si="217">BS355-EK355</f>
        <v>0</v>
      </c>
      <c r="BT711" s="136">
        <f t="shared" si="217"/>
        <v>2553567</v>
      </c>
      <c r="BU711" s="136">
        <f t="shared" si="217"/>
        <v>0</v>
      </c>
      <c r="BV711" s="136">
        <f t="shared" si="217"/>
        <v>0</v>
      </c>
      <c r="BW711" s="136">
        <f t="shared" si="217"/>
        <v>0</v>
      </c>
      <c r="BX711" s="136">
        <f t="shared" si="217"/>
        <v>0</v>
      </c>
      <c r="BZ711" s="136">
        <f t="shared" ref="BZ711:CA726" si="218">BZ355-ER355</f>
        <v>0</v>
      </c>
      <c r="CA711" s="136">
        <f t="shared" si="218"/>
        <v>0</v>
      </c>
    </row>
    <row r="712" spans="7:79" hidden="1" x14ac:dyDescent="0.3">
      <c r="G712" s="136">
        <f t="shared" si="216"/>
        <v>1706784</v>
      </c>
      <c r="H712" s="136">
        <f t="shared" si="216"/>
        <v>0</v>
      </c>
      <c r="I712" s="136">
        <f t="shared" si="216"/>
        <v>0</v>
      </c>
      <c r="J712" s="136">
        <f t="shared" si="216"/>
        <v>0</v>
      </c>
      <c r="K712" s="136">
        <f t="shared" si="216"/>
        <v>0</v>
      </c>
      <c r="L712" s="136">
        <f t="shared" si="216"/>
        <v>354961</v>
      </c>
      <c r="M712" s="136">
        <f t="shared" si="216"/>
        <v>0</v>
      </c>
      <c r="N712" s="136">
        <f t="shared" si="216"/>
        <v>0</v>
      </c>
      <c r="O712" s="136">
        <f t="shared" si="216"/>
        <v>0</v>
      </c>
      <c r="P712" s="136">
        <f t="shared" si="216"/>
        <v>0</v>
      </c>
      <c r="Q712" s="136">
        <f t="shared" si="216"/>
        <v>1469964</v>
      </c>
      <c r="R712" s="136">
        <f t="shared" si="216"/>
        <v>0</v>
      </c>
      <c r="S712" s="136">
        <f t="shared" si="216"/>
        <v>0</v>
      </c>
      <c r="T712" s="136">
        <f t="shared" si="216"/>
        <v>0</v>
      </c>
      <c r="U712" s="136">
        <f t="shared" si="216"/>
        <v>0</v>
      </c>
      <c r="V712" s="136">
        <f t="shared" si="216"/>
        <v>362091</v>
      </c>
      <c r="W712" s="136">
        <f t="shared" si="216"/>
        <v>0</v>
      </c>
      <c r="X712" s="136">
        <f t="shared" si="216"/>
        <v>0</v>
      </c>
      <c r="Y712" s="136">
        <f t="shared" si="216"/>
        <v>0</v>
      </c>
      <c r="Z712" s="136">
        <f t="shared" si="216"/>
        <v>0</v>
      </c>
      <c r="AA712" s="136">
        <f t="shared" si="216"/>
        <v>0</v>
      </c>
      <c r="AB712" s="136">
        <f t="shared" si="216"/>
        <v>0</v>
      </c>
      <c r="AC712" s="136">
        <f t="shared" si="216"/>
        <v>0</v>
      </c>
      <c r="AD712" s="136">
        <f t="shared" si="216"/>
        <v>0</v>
      </c>
      <c r="AE712" s="136">
        <f t="shared" si="216"/>
        <v>0</v>
      </c>
      <c r="AF712" s="136">
        <f t="shared" si="216"/>
        <v>107401</v>
      </c>
      <c r="AG712" s="136">
        <f t="shared" si="216"/>
        <v>0</v>
      </c>
      <c r="AH712" s="136">
        <f t="shared" si="216"/>
        <v>0</v>
      </c>
      <c r="AI712" s="136">
        <f t="shared" si="216"/>
        <v>0</v>
      </c>
      <c r="AJ712" s="136">
        <f t="shared" si="216"/>
        <v>0</v>
      </c>
      <c r="AK712" s="136">
        <f t="shared" si="216"/>
        <v>46213</v>
      </c>
      <c r="AL712" s="136">
        <f t="shared" si="216"/>
        <v>0</v>
      </c>
      <c r="AM712" s="136">
        <f t="shared" si="216"/>
        <v>0</v>
      </c>
      <c r="AN712" s="136">
        <f t="shared" si="216"/>
        <v>0</v>
      </c>
      <c r="AO712" s="136">
        <f t="shared" si="216"/>
        <v>0</v>
      </c>
      <c r="AP712" s="136">
        <f t="shared" si="216"/>
        <v>0</v>
      </c>
      <c r="AQ712" s="136">
        <f t="shared" si="216"/>
        <v>0</v>
      </c>
      <c r="AR712" s="136">
        <f t="shared" si="216"/>
        <v>0</v>
      </c>
      <c r="AS712" s="136">
        <f t="shared" si="216"/>
        <v>0</v>
      </c>
      <c r="AT712" s="136">
        <f t="shared" si="216"/>
        <v>0</v>
      </c>
      <c r="AU712" s="136">
        <f t="shared" si="216"/>
        <v>0</v>
      </c>
      <c r="AV712" s="136">
        <f t="shared" si="216"/>
        <v>0</v>
      </c>
      <c r="AW712" s="136">
        <f t="shared" si="216"/>
        <v>0</v>
      </c>
      <c r="AX712" s="136">
        <f t="shared" si="216"/>
        <v>0</v>
      </c>
      <c r="AY712" s="136">
        <f t="shared" si="216"/>
        <v>0</v>
      </c>
      <c r="AZ712" s="136">
        <f t="shared" si="216"/>
        <v>212937</v>
      </c>
      <c r="BA712" s="136">
        <f t="shared" si="216"/>
        <v>0</v>
      </c>
      <c r="BB712" s="136">
        <f t="shared" si="216"/>
        <v>0</v>
      </c>
      <c r="BC712" s="136">
        <f t="shared" si="216"/>
        <v>0</v>
      </c>
      <c r="BD712" s="136">
        <f t="shared" si="216"/>
        <v>0</v>
      </c>
      <c r="BE712" s="136">
        <f t="shared" si="216"/>
        <v>0</v>
      </c>
      <c r="BF712" s="136">
        <f t="shared" si="216"/>
        <v>0</v>
      </c>
      <c r="BG712" s="136">
        <f t="shared" si="216"/>
        <v>0</v>
      </c>
      <c r="BH712" s="136">
        <f t="shared" si="216"/>
        <v>0</v>
      </c>
      <c r="BI712" s="136">
        <f t="shared" si="216"/>
        <v>0</v>
      </c>
      <c r="BJ712" s="136">
        <f t="shared" si="216"/>
        <v>0</v>
      </c>
      <c r="BK712" s="136">
        <f t="shared" si="216"/>
        <v>0</v>
      </c>
      <c r="BL712" s="136">
        <f t="shared" si="216"/>
        <v>0</v>
      </c>
      <c r="BM712" s="136">
        <f t="shared" si="216"/>
        <v>0</v>
      </c>
      <c r="BN712" s="136">
        <f t="shared" si="216"/>
        <v>0</v>
      </c>
      <c r="BO712" s="136">
        <f t="shared" si="216"/>
        <v>-518523</v>
      </c>
      <c r="BP712" s="136">
        <f t="shared" si="216"/>
        <v>0</v>
      </c>
      <c r="BQ712" s="136">
        <f t="shared" si="216"/>
        <v>0</v>
      </c>
      <c r="BR712" s="136">
        <f t="shared" si="216"/>
        <v>0</v>
      </c>
      <c r="BS712" s="136">
        <f t="shared" si="217"/>
        <v>0</v>
      </c>
      <c r="BT712" s="136">
        <f t="shared" si="217"/>
        <v>2553567</v>
      </c>
      <c r="BU712" s="136">
        <f t="shared" si="217"/>
        <v>0</v>
      </c>
      <c r="BV712" s="136">
        <f t="shared" si="217"/>
        <v>0</v>
      </c>
      <c r="BW712" s="136">
        <f t="shared" si="217"/>
        <v>0</v>
      </c>
      <c r="BX712" s="136">
        <f t="shared" si="217"/>
        <v>0</v>
      </c>
      <c r="BZ712" s="136">
        <f t="shared" si="218"/>
        <v>0</v>
      </c>
      <c r="CA712" s="136">
        <f t="shared" si="218"/>
        <v>0</v>
      </c>
    </row>
    <row r="713" spans="7:79" hidden="1" x14ac:dyDescent="0.3">
      <c r="G713" s="136">
        <f t="shared" si="216"/>
        <v>0</v>
      </c>
      <c r="H713" s="136">
        <f t="shared" si="216"/>
        <v>0</v>
      </c>
      <c r="I713" s="136">
        <f t="shared" si="216"/>
        <v>0</v>
      </c>
      <c r="J713" s="136">
        <f t="shared" si="216"/>
        <v>0</v>
      </c>
      <c r="K713" s="136">
        <f t="shared" si="216"/>
        <v>0</v>
      </c>
      <c r="L713" s="136">
        <f t="shared" si="216"/>
        <v>0</v>
      </c>
      <c r="M713" s="136">
        <f t="shared" si="216"/>
        <v>0</v>
      </c>
      <c r="N713" s="136">
        <f t="shared" si="216"/>
        <v>0</v>
      </c>
      <c r="O713" s="136">
        <f t="shared" si="216"/>
        <v>0</v>
      </c>
      <c r="P713" s="136">
        <f t="shared" si="216"/>
        <v>0</v>
      </c>
      <c r="Q713" s="136">
        <f t="shared" si="216"/>
        <v>0</v>
      </c>
      <c r="R713" s="136">
        <f t="shared" si="216"/>
        <v>0</v>
      </c>
      <c r="S713" s="136">
        <f t="shared" si="216"/>
        <v>0</v>
      </c>
      <c r="T713" s="136">
        <f t="shared" si="216"/>
        <v>0</v>
      </c>
      <c r="U713" s="136">
        <f t="shared" si="216"/>
        <v>0</v>
      </c>
      <c r="V713" s="136">
        <f t="shared" si="216"/>
        <v>0</v>
      </c>
      <c r="W713" s="136">
        <f t="shared" si="216"/>
        <v>0</v>
      </c>
      <c r="X713" s="136">
        <f t="shared" si="216"/>
        <v>0</v>
      </c>
      <c r="Y713" s="136">
        <f t="shared" si="216"/>
        <v>0</v>
      </c>
      <c r="Z713" s="136">
        <f t="shared" si="216"/>
        <v>0</v>
      </c>
      <c r="AA713" s="136">
        <f t="shared" si="216"/>
        <v>0</v>
      </c>
      <c r="AB713" s="136">
        <f t="shared" si="216"/>
        <v>0</v>
      </c>
      <c r="AC713" s="136">
        <f t="shared" si="216"/>
        <v>0</v>
      </c>
      <c r="AD713" s="136">
        <f t="shared" si="216"/>
        <v>0</v>
      </c>
      <c r="AE713" s="136">
        <f t="shared" si="216"/>
        <v>0</v>
      </c>
      <c r="AF713" s="136">
        <f t="shared" si="216"/>
        <v>0</v>
      </c>
      <c r="AG713" s="136">
        <f t="shared" si="216"/>
        <v>0</v>
      </c>
      <c r="AH713" s="136">
        <f t="shared" si="216"/>
        <v>0</v>
      </c>
      <c r="AI713" s="136">
        <f t="shared" si="216"/>
        <v>0</v>
      </c>
      <c r="AJ713" s="136">
        <f t="shared" si="216"/>
        <v>0</v>
      </c>
      <c r="AK713" s="136">
        <f t="shared" si="216"/>
        <v>0</v>
      </c>
      <c r="AL713" s="136">
        <f t="shared" si="216"/>
        <v>0</v>
      </c>
      <c r="AM713" s="136">
        <f t="shared" si="216"/>
        <v>0</v>
      </c>
      <c r="AN713" s="136">
        <f t="shared" si="216"/>
        <v>0</v>
      </c>
      <c r="AO713" s="136">
        <f t="shared" si="216"/>
        <v>0</v>
      </c>
      <c r="AP713" s="136">
        <f t="shared" si="216"/>
        <v>0</v>
      </c>
      <c r="AQ713" s="136">
        <f t="shared" si="216"/>
        <v>0</v>
      </c>
      <c r="AR713" s="136">
        <f t="shared" si="216"/>
        <v>0</v>
      </c>
      <c r="AS713" s="136">
        <f t="shared" si="216"/>
        <v>0</v>
      </c>
      <c r="AT713" s="136">
        <f t="shared" si="216"/>
        <v>0</v>
      </c>
      <c r="AU713" s="136">
        <f t="shared" si="216"/>
        <v>0</v>
      </c>
      <c r="AV713" s="136">
        <f t="shared" si="216"/>
        <v>0</v>
      </c>
      <c r="AW713" s="136">
        <f t="shared" si="216"/>
        <v>0</v>
      </c>
      <c r="AX713" s="136">
        <f t="shared" si="216"/>
        <v>0</v>
      </c>
      <c r="AY713" s="136">
        <f t="shared" si="216"/>
        <v>0</v>
      </c>
      <c r="AZ713" s="136">
        <f t="shared" si="216"/>
        <v>0</v>
      </c>
      <c r="BA713" s="136">
        <f t="shared" si="216"/>
        <v>0</v>
      </c>
      <c r="BB713" s="136">
        <f t="shared" si="216"/>
        <v>0</v>
      </c>
      <c r="BC713" s="136">
        <f t="shared" si="216"/>
        <v>0</v>
      </c>
      <c r="BD713" s="136">
        <f t="shared" si="216"/>
        <v>0</v>
      </c>
      <c r="BE713" s="136">
        <f t="shared" si="216"/>
        <v>0</v>
      </c>
      <c r="BF713" s="136">
        <f t="shared" si="216"/>
        <v>0</v>
      </c>
      <c r="BG713" s="136">
        <f t="shared" si="216"/>
        <v>0</v>
      </c>
      <c r="BH713" s="136">
        <f t="shared" si="216"/>
        <v>0</v>
      </c>
      <c r="BI713" s="136">
        <f t="shared" si="216"/>
        <v>0</v>
      </c>
      <c r="BJ713" s="136">
        <f t="shared" si="216"/>
        <v>0</v>
      </c>
      <c r="BK713" s="136">
        <f t="shared" si="216"/>
        <v>0</v>
      </c>
      <c r="BL713" s="136">
        <f t="shared" si="216"/>
        <v>0</v>
      </c>
      <c r="BM713" s="136">
        <f t="shared" si="216"/>
        <v>0</v>
      </c>
      <c r="BN713" s="136">
        <f t="shared" si="216"/>
        <v>0</v>
      </c>
      <c r="BO713" s="136">
        <f t="shared" si="216"/>
        <v>0</v>
      </c>
      <c r="BP713" s="136">
        <f t="shared" si="216"/>
        <v>0</v>
      </c>
      <c r="BQ713" s="136">
        <f t="shared" si="216"/>
        <v>0</v>
      </c>
      <c r="BR713" s="136">
        <f t="shared" si="216"/>
        <v>0</v>
      </c>
      <c r="BS713" s="136">
        <f t="shared" si="217"/>
        <v>0</v>
      </c>
      <c r="BT713" s="136">
        <f t="shared" si="217"/>
        <v>0</v>
      </c>
      <c r="BU713" s="136">
        <f t="shared" si="217"/>
        <v>0</v>
      </c>
      <c r="BV713" s="136">
        <f t="shared" si="217"/>
        <v>0</v>
      </c>
      <c r="BW713" s="136">
        <f t="shared" si="217"/>
        <v>0</v>
      </c>
      <c r="BX713" s="136">
        <f t="shared" si="217"/>
        <v>0</v>
      </c>
      <c r="BZ713" s="136">
        <f t="shared" si="218"/>
        <v>0</v>
      </c>
      <c r="CA713" s="136">
        <f t="shared" si="218"/>
        <v>0</v>
      </c>
    </row>
    <row r="714" spans="7:79" hidden="1" x14ac:dyDescent="0.3">
      <c r="G714" s="136">
        <f t="shared" si="216"/>
        <v>-864939</v>
      </c>
      <c r="H714" s="136">
        <f t="shared" si="216"/>
        <v>0</v>
      </c>
      <c r="I714" s="136">
        <f t="shared" si="216"/>
        <v>0</v>
      </c>
      <c r="J714" s="136">
        <f t="shared" si="216"/>
        <v>0</v>
      </c>
      <c r="K714" s="136">
        <f t="shared" si="216"/>
        <v>0</v>
      </c>
      <c r="L714" s="136">
        <f t="shared" si="216"/>
        <v>-15296</v>
      </c>
      <c r="M714" s="136">
        <f t="shared" si="216"/>
        <v>0</v>
      </c>
      <c r="N714" s="136">
        <f t="shared" si="216"/>
        <v>0</v>
      </c>
      <c r="O714" s="136">
        <f t="shared" si="216"/>
        <v>0</v>
      </c>
      <c r="P714" s="136">
        <f t="shared" si="216"/>
        <v>0</v>
      </c>
      <c r="Q714" s="136">
        <f t="shared" si="216"/>
        <v>55166</v>
      </c>
      <c r="R714" s="136">
        <f t="shared" si="216"/>
        <v>0</v>
      </c>
      <c r="S714" s="136">
        <f t="shared" si="216"/>
        <v>0</v>
      </c>
      <c r="T714" s="136">
        <f t="shared" si="216"/>
        <v>0</v>
      </c>
      <c r="U714" s="136">
        <f t="shared" si="216"/>
        <v>0</v>
      </c>
      <c r="V714" s="136">
        <f t="shared" si="216"/>
        <v>16994</v>
      </c>
      <c r="W714" s="136">
        <f t="shared" si="216"/>
        <v>0</v>
      </c>
      <c r="X714" s="136">
        <f t="shared" si="216"/>
        <v>0</v>
      </c>
      <c r="Y714" s="136">
        <f t="shared" si="216"/>
        <v>0</v>
      </c>
      <c r="Z714" s="136">
        <f t="shared" si="216"/>
        <v>0</v>
      </c>
      <c r="AA714" s="136">
        <f t="shared" si="216"/>
        <v>213073</v>
      </c>
      <c r="AB714" s="136">
        <f t="shared" si="216"/>
        <v>0</v>
      </c>
      <c r="AC714" s="136">
        <f t="shared" si="216"/>
        <v>0</v>
      </c>
      <c r="AD714" s="136">
        <f t="shared" si="216"/>
        <v>0</v>
      </c>
      <c r="AE714" s="136">
        <f t="shared" si="216"/>
        <v>0</v>
      </c>
      <c r="AF714" s="136">
        <f t="shared" si="216"/>
        <v>106768</v>
      </c>
      <c r="AG714" s="136">
        <f t="shared" si="216"/>
        <v>0</v>
      </c>
      <c r="AH714" s="136">
        <f t="shared" si="216"/>
        <v>0</v>
      </c>
      <c r="AI714" s="136">
        <f t="shared" si="216"/>
        <v>0</v>
      </c>
      <c r="AJ714" s="136">
        <f t="shared" si="216"/>
        <v>0</v>
      </c>
      <c r="AK714" s="136">
        <f t="shared" si="216"/>
        <v>0</v>
      </c>
      <c r="AL714" s="136">
        <f t="shared" si="216"/>
        <v>0</v>
      </c>
      <c r="AM714" s="136">
        <f t="shared" si="216"/>
        <v>0</v>
      </c>
      <c r="AN714" s="136">
        <f t="shared" si="216"/>
        <v>0</v>
      </c>
      <c r="AO714" s="136">
        <f t="shared" si="216"/>
        <v>0</v>
      </c>
      <c r="AP714" s="136">
        <f t="shared" si="216"/>
        <v>176497</v>
      </c>
      <c r="AQ714" s="136">
        <f t="shared" si="216"/>
        <v>0</v>
      </c>
      <c r="AR714" s="136">
        <f t="shared" si="216"/>
        <v>0</v>
      </c>
      <c r="AS714" s="136">
        <f t="shared" si="216"/>
        <v>0</v>
      </c>
      <c r="AT714" s="136">
        <f t="shared" si="216"/>
        <v>0</v>
      </c>
      <c r="AU714" s="136">
        <f t="shared" si="216"/>
        <v>211593</v>
      </c>
      <c r="AV714" s="136">
        <f t="shared" si="216"/>
        <v>0</v>
      </c>
      <c r="AW714" s="136">
        <f t="shared" si="216"/>
        <v>0</v>
      </c>
      <c r="AX714" s="136">
        <f t="shared" si="216"/>
        <v>0</v>
      </c>
      <c r="AY714" s="136">
        <f t="shared" si="216"/>
        <v>0</v>
      </c>
      <c r="AZ714" s="136">
        <f t="shared" si="216"/>
        <v>-227461</v>
      </c>
      <c r="BA714" s="136">
        <f t="shared" si="216"/>
        <v>0</v>
      </c>
      <c r="BB714" s="136">
        <f t="shared" si="216"/>
        <v>0</v>
      </c>
      <c r="BC714" s="136">
        <f t="shared" si="216"/>
        <v>0</v>
      </c>
      <c r="BD714" s="136">
        <f t="shared" si="216"/>
        <v>0</v>
      </c>
      <c r="BE714" s="136">
        <f t="shared" si="216"/>
        <v>0</v>
      </c>
      <c r="BF714" s="136">
        <f t="shared" si="216"/>
        <v>0</v>
      </c>
      <c r="BG714" s="136">
        <f t="shared" si="216"/>
        <v>0</v>
      </c>
      <c r="BH714" s="136">
        <f t="shared" si="216"/>
        <v>0</v>
      </c>
      <c r="BI714" s="136">
        <f t="shared" si="216"/>
        <v>0</v>
      </c>
      <c r="BJ714" s="136">
        <f t="shared" si="216"/>
        <v>-232101</v>
      </c>
      <c r="BK714" s="136">
        <f t="shared" si="216"/>
        <v>0</v>
      </c>
      <c r="BL714" s="136">
        <f t="shared" si="216"/>
        <v>0</v>
      </c>
      <c r="BM714" s="136">
        <f t="shared" si="216"/>
        <v>0</v>
      </c>
      <c r="BN714" s="136">
        <f t="shared" si="216"/>
        <v>0</v>
      </c>
      <c r="BO714" s="136">
        <f t="shared" si="216"/>
        <v>-782082</v>
      </c>
      <c r="BP714" s="136">
        <f t="shared" si="216"/>
        <v>0</v>
      </c>
      <c r="BQ714" s="136">
        <f t="shared" si="216"/>
        <v>0</v>
      </c>
      <c r="BR714" s="136">
        <f t="shared" ref="BR714:BX729" si="219">BR358-EJ358</f>
        <v>0</v>
      </c>
      <c r="BS714" s="136">
        <f t="shared" si="217"/>
        <v>0</v>
      </c>
      <c r="BT714" s="136">
        <f t="shared" si="217"/>
        <v>537334</v>
      </c>
      <c r="BU714" s="136">
        <f t="shared" si="217"/>
        <v>0</v>
      </c>
      <c r="BV714" s="136">
        <f t="shared" si="217"/>
        <v>0</v>
      </c>
      <c r="BW714" s="136">
        <f t="shared" si="217"/>
        <v>0</v>
      </c>
      <c r="BX714" s="136">
        <f t="shared" si="217"/>
        <v>0</v>
      </c>
      <c r="BZ714" s="136">
        <f t="shared" si="218"/>
        <v>0</v>
      </c>
      <c r="CA714" s="136">
        <f t="shared" si="218"/>
        <v>0</v>
      </c>
    </row>
    <row r="715" spans="7:79" hidden="1" x14ac:dyDescent="0.3">
      <c r="G715" s="136">
        <f t="shared" ref="G715:BQ719" si="220">G359-BY359</f>
        <v>-864939</v>
      </c>
      <c r="H715" s="136">
        <f t="shared" si="220"/>
        <v>0</v>
      </c>
      <c r="I715" s="136">
        <f t="shared" si="220"/>
        <v>0</v>
      </c>
      <c r="J715" s="136">
        <f t="shared" si="220"/>
        <v>0</v>
      </c>
      <c r="K715" s="136">
        <f t="shared" si="220"/>
        <v>0</v>
      </c>
      <c r="L715" s="136">
        <f t="shared" si="220"/>
        <v>-15296</v>
      </c>
      <c r="M715" s="136">
        <f t="shared" si="220"/>
        <v>0</v>
      </c>
      <c r="N715" s="136">
        <f t="shared" si="220"/>
        <v>0</v>
      </c>
      <c r="O715" s="136">
        <f t="shared" si="220"/>
        <v>0</v>
      </c>
      <c r="P715" s="136">
        <f t="shared" si="220"/>
        <v>0</v>
      </c>
      <c r="Q715" s="136">
        <f t="shared" si="220"/>
        <v>55166</v>
      </c>
      <c r="R715" s="136">
        <f t="shared" si="220"/>
        <v>0</v>
      </c>
      <c r="S715" s="136">
        <f t="shared" si="220"/>
        <v>0</v>
      </c>
      <c r="T715" s="136">
        <f t="shared" si="220"/>
        <v>0</v>
      </c>
      <c r="U715" s="136">
        <f t="shared" si="220"/>
        <v>0</v>
      </c>
      <c r="V715" s="136">
        <f t="shared" si="220"/>
        <v>16994</v>
      </c>
      <c r="W715" s="136">
        <f t="shared" si="220"/>
        <v>0</v>
      </c>
      <c r="X715" s="136">
        <f t="shared" si="220"/>
        <v>0</v>
      </c>
      <c r="Y715" s="136">
        <f t="shared" si="220"/>
        <v>0</v>
      </c>
      <c r="Z715" s="136">
        <f t="shared" si="220"/>
        <v>0</v>
      </c>
      <c r="AA715" s="136">
        <f t="shared" si="220"/>
        <v>213073</v>
      </c>
      <c r="AB715" s="136">
        <f t="shared" si="220"/>
        <v>0</v>
      </c>
      <c r="AC715" s="136">
        <f t="shared" si="220"/>
        <v>0</v>
      </c>
      <c r="AD715" s="136">
        <f t="shared" si="220"/>
        <v>0</v>
      </c>
      <c r="AE715" s="136">
        <f t="shared" si="220"/>
        <v>0</v>
      </c>
      <c r="AF715" s="136">
        <f t="shared" si="220"/>
        <v>106768</v>
      </c>
      <c r="AG715" s="136">
        <f t="shared" si="220"/>
        <v>0</v>
      </c>
      <c r="AH715" s="136">
        <f t="shared" si="220"/>
        <v>0</v>
      </c>
      <c r="AI715" s="136">
        <f t="shared" si="220"/>
        <v>0</v>
      </c>
      <c r="AJ715" s="136">
        <f t="shared" si="220"/>
        <v>0</v>
      </c>
      <c r="AK715" s="136">
        <f t="shared" si="220"/>
        <v>0</v>
      </c>
      <c r="AL715" s="136">
        <f t="shared" si="220"/>
        <v>0</v>
      </c>
      <c r="AM715" s="136">
        <f t="shared" si="220"/>
        <v>0</v>
      </c>
      <c r="AN715" s="136">
        <f t="shared" si="220"/>
        <v>0</v>
      </c>
      <c r="AO715" s="136">
        <f t="shared" si="220"/>
        <v>0</v>
      </c>
      <c r="AP715" s="136">
        <f t="shared" si="220"/>
        <v>176497</v>
      </c>
      <c r="AQ715" s="136">
        <f t="shared" si="220"/>
        <v>0</v>
      </c>
      <c r="AR715" s="136">
        <f t="shared" si="220"/>
        <v>0</v>
      </c>
      <c r="AS715" s="136">
        <f t="shared" si="220"/>
        <v>0</v>
      </c>
      <c r="AT715" s="136">
        <f t="shared" si="220"/>
        <v>0</v>
      </c>
      <c r="AU715" s="136">
        <f t="shared" si="220"/>
        <v>211593</v>
      </c>
      <c r="AV715" s="136">
        <f t="shared" si="220"/>
        <v>0</v>
      </c>
      <c r="AW715" s="136">
        <f t="shared" si="220"/>
        <v>0</v>
      </c>
      <c r="AX715" s="136">
        <f t="shared" si="220"/>
        <v>0</v>
      </c>
      <c r="AY715" s="136">
        <f t="shared" si="220"/>
        <v>0</v>
      </c>
      <c r="AZ715" s="136">
        <f t="shared" si="220"/>
        <v>-227461</v>
      </c>
      <c r="BA715" s="136">
        <f t="shared" si="220"/>
        <v>0</v>
      </c>
      <c r="BB715" s="136">
        <f t="shared" si="220"/>
        <v>0</v>
      </c>
      <c r="BC715" s="136">
        <f t="shared" si="220"/>
        <v>0</v>
      </c>
      <c r="BD715" s="136">
        <f t="shared" si="220"/>
        <v>0</v>
      </c>
      <c r="BE715" s="136">
        <f t="shared" si="220"/>
        <v>0</v>
      </c>
      <c r="BF715" s="136">
        <f t="shared" si="220"/>
        <v>0</v>
      </c>
      <c r="BG715" s="136">
        <f t="shared" si="220"/>
        <v>0</v>
      </c>
      <c r="BH715" s="136">
        <f t="shared" si="220"/>
        <v>0</v>
      </c>
      <c r="BI715" s="136">
        <f t="shared" si="220"/>
        <v>0</v>
      </c>
      <c r="BJ715" s="136">
        <f t="shared" si="220"/>
        <v>-232101</v>
      </c>
      <c r="BK715" s="136">
        <f t="shared" si="220"/>
        <v>0</v>
      </c>
      <c r="BL715" s="136">
        <f t="shared" si="220"/>
        <v>0</v>
      </c>
      <c r="BM715" s="136">
        <f t="shared" si="220"/>
        <v>0</v>
      </c>
      <c r="BN715" s="136">
        <f t="shared" si="220"/>
        <v>0</v>
      </c>
      <c r="BO715" s="136">
        <f t="shared" si="220"/>
        <v>-782082</v>
      </c>
      <c r="BP715" s="136">
        <f t="shared" si="220"/>
        <v>0</v>
      </c>
      <c r="BQ715" s="136">
        <f t="shared" si="220"/>
        <v>0</v>
      </c>
      <c r="BR715" s="136">
        <f t="shared" si="219"/>
        <v>0</v>
      </c>
      <c r="BS715" s="136">
        <f t="shared" si="217"/>
        <v>0</v>
      </c>
      <c r="BT715" s="136">
        <f t="shared" si="217"/>
        <v>537334</v>
      </c>
      <c r="BU715" s="136">
        <f t="shared" si="217"/>
        <v>0</v>
      </c>
      <c r="BV715" s="136">
        <f t="shared" si="217"/>
        <v>0</v>
      </c>
      <c r="BW715" s="136">
        <f t="shared" si="217"/>
        <v>0</v>
      </c>
      <c r="BX715" s="136">
        <f t="shared" si="217"/>
        <v>0</v>
      </c>
      <c r="BZ715" s="136">
        <f t="shared" si="218"/>
        <v>0</v>
      </c>
      <c r="CA715" s="136">
        <f t="shared" si="218"/>
        <v>0</v>
      </c>
    </row>
    <row r="716" spans="7:79" hidden="1" x14ac:dyDescent="0.3">
      <c r="G716" s="136">
        <f t="shared" si="220"/>
        <v>0</v>
      </c>
      <c r="H716" s="136">
        <f t="shared" si="220"/>
        <v>0</v>
      </c>
      <c r="I716" s="136">
        <f t="shared" si="220"/>
        <v>0</v>
      </c>
      <c r="J716" s="136">
        <f t="shared" si="220"/>
        <v>0</v>
      </c>
      <c r="K716" s="136">
        <f t="shared" si="220"/>
        <v>0</v>
      </c>
      <c r="L716" s="136">
        <f t="shared" si="220"/>
        <v>0</v>
      </c>
      <c r="M716" s="136">
        <f t="shared" si="220"/>
        <v>0</v>
      </c>
      <c r="N716" s="136">
        <f t="shared" si="220"/>
        <v>0</v>
      </c>
      <c r="O716" s="136">
        <f t="shared" si="220"/>
        <v>0</v>
      </c>
      <c r="P716" s="136">
        <f t="shared" si="220"/>
        <v>0</v>
      </c>
      <c r="Q716" s="136">
        <f t="shared" si="220"/>
        <v>0</v>
      </c>
      <c r="R716" s="136">
        <f t="shared" si="220"/>
        <v>0</v>
      </c>
      <c r="S716" s="136">
        <f t="shared" si="220"/>
        <v>0</v>
      </c>
      <c r="T716" s="136">
        <f t="shared" si="220"/>
        <v>0</v>
      </c>
      <c r="U716" s="136">
        <f t="shared" si="220"/>
        <v>0</v>
      </c>
      <c r="V716" s="136">
        <f t="shared" si="220"/>
        <v>0</v>
      </c>
      <c r="W716" s="136">
        <f t="shared" si="220"/>
        <v>0</v>
      </c>
      <c r="X716" s="136">
        <f t="shared" si="220"/>
        <v>0</v>
      </c>
      <c r="Y716" s="136">
        <f t="shared" si="220"/>
        <v>0</v>
      </c>
      <c r="Z716" s="136">
        <f t="shared" si="220"/>
        <v>0</v>
      </c>
      <c r="AA716" s="136">
        <f t="shared" si="220"/>
        <v>0</v>
      </c>
      <c r="AB716" s="136">
        <f t="shared" si="220"/>
        <v>0</v>
      </c>
      <c r="AC716" s="136">
        <f t="shared" si="220"/>
        <v>0</v>
      </c>
      <c r="AD716" s="136">
        <f t="shared" si="220"/>
        <v>0</v>
      </c>
      <c r="AE716" s="136">
        <f t="shared" si="220"/>
        <v>0</v>
      </c>
      <c r="AF716" s="136">
        <f t="shared" si="220"/>
        <v>0</v>
      </c>
      <c r="AG716" s="136">
        <f t="shared" si="220"/>
        <v>0</v>
      </c>
      <c r="AH716" s="136">
        <f t="shared" si="220"/>
        <v>0</v>
      </c>
      <c r="AI716" s="136">
        <f t="shared" si="220"/>
        <v>0</v>
      </c>
      <c r="AJ716" s="136">
        <f t="shared" si="220"/>
        <v>0</v>
      </c>
      <c r="AK716" s="136">
        <f t="shared" si="220"/>
        <v>0</v>
      </c>
      <c r="AL716" s="136">
        <f t="shared" si="220"/>
        <v>0</v>
      </c>
      <c r="AM716" s="136">
        <f t="shared" si="220"/>
        <v>0</v>
      </c>
      <c r="AN716" s="136">
        <f t="shared" si="220"/>
        <v>0</v>
      </c>
      <c r="AO716" s="136">
        <f t="shared" si="220"/>
        <v>0</v>
      </c>
      <c r="AP716" s="136">
        <f t="shared" si="220"/>
        <v>0</v>
      </c>
      <c r="AQ716" s="136">
        <f t="shared" si="220"/>
        <v>0</v>
      </c>
      <c r="AR716" s="136">
        <f t="shared" si="220"/>
        <v>0</v>
      </c>
      <c r="AS716" s="136">
        <f t="shared" si="220"/>
        <v>0</v>
      </c>
      <c r="AT716" s="136">
        <f t="shared" si="220"/>
        <v>0</v>
      </c>
      <c r="AU716" s="136">
        <f t="shared" si="220"/>
        <v>0</v>
      </c>
      <c r="AV716" s="136">
        <f t="shared" si="220"/>
        <v>0</v>
      </c>
      <c r="AW716" s="136">
        <f t="shared" si="220"/>
        <v>0</v>
      </c>
      <c r="AX716" s="136">
        <f t="shared" si="220"/>
        <v>0</v>
      </c>
      <c r="AY716" s="136">
        <f t="shared" si="220"/>
        <v>0</v>
      </c>
      <c r="AZ716" s="136">
        <f t="shared" si="220"/>
        <v>0</v>
      </c>
      <c r="BA716" s="136">
        <f t="shared" si="220"/>
        <v>0</v>
      </c>
      <c r="BB716" s="136">
        <f t="shared" si="220"/>
        <v>0</v>
      </c>
      <c r="BC716" s="136">
        <f t="shared" si="220"/>
        <v>0</v>
      </c>
      <c r="BD716" s="136">
        <f t="shared" si="220"/>
        <v>0</v>
      </c>
      <c r="BE716" s="136">
        <f t="shared" si="220"/>
        <v>0</v>
      </c>
      <c r="BF716" s="136">
        <f t="shared" si="220"/>
        <v>0</v>
      </c>
      <c r="BG716" s="136">
        <f t="shared" si="220"/>
        <v>0</v>
      </c>
      <c r="BH716" s="136">
        <f t="shared" si="220"/>
        <v>0</v>
      </c>
      <c r="BI716" s="136">
        <f t="shared" si="220"/>
        <v>0</v>
      </c>
      <c r="BJ716" s="136">
        <f t="shared" si="220"/>
        <v>0</v>
      </c>
      <c r="BK716" s="136">
        <f t="shared" si="220"/>
        <v>0</v>
      </c>
      <c r="BL716" s="136">
        <f t="shared" si="220"/>
        <v>0</v>
      </c>
      <c r="BM716" s="136">
        <f t="shared" si="220"/>
        <v>0</v>
      </c>
      <c r="BN716" s="136">
        <f t="shared" si="220"/>
        <v>0</v>
      </c>
      <c r="BO716" s="136">
        <f t="shared" si="220"/>
        <v>0</v>
      </c>
      <c r="BP716" s="136">
        <f t="shared" si="220"/>
        <v>0</v>
      </c>
      <c r="BQ716" s="136">
        <f t="shared" si="220"/>
        <v>0</v>
      </c>
      <c r="BR716" s="136">
        <f t="shared" si="219"/>
        <v>0</v>
      </c>
      <c r="BS716" s="136">
        <f t="shared" si="217"/>
        <v>0</v>
      </c>
      <c r="BT716" s="136">
        <f t="shared" si="217"/>
        <v>0</v>
      </c>
      <c r="BU716" s="136">
        <f t="shared" si="217"/>
        <v>0</v>
      </c>
      <c r="BV716" s="136">
        <f t="shared" si="217"/>
        <v>0</v>
      </c>
      <c r="BW716" s="136">
        <f t="shared" si="217"/>
        <v>0</v>
      </c>
      <c r="BX716" s="136">
        <f t="shared" si="217"/>
        <v>0</v>
      </c>
      <c r="BZ716" s="136">
        <f t="shared" si="218"/>
        <v>0</v>
      </c>
      <c r="CA716" s="136">
        <f t="shared" si="218"/>
        <v>0</v>
      </c>
    </row>
    <row r="717" spans="7:79" hidden="1" x14ac:dyDescent="0.3">
      <c r="G717" s="136">
        <f t="shared" si="220"/>
        <v>-203060</v>
      </c>
      <c r="H717" s="136">
        <f t="shared" si="220"/>
        <v>0</v>
      </c>
      <c r="I717" s="136">
        <f t="shared" si="220"/>
        <v>0</v>
      </c>
      <c r="J717" s="136">
        <f t="shared" si="220"/>
        <v>0</v>
      </c>
      <c r="K717" s="136">
        <f t="shared" si="220"/>
        <v>0</v>
      </c>
      <c r="L717" s="136">
        <f t="shared" si="220"/>
        <v>-41836</v>
      </c>
      <c r="M717" s="136">
        <f t="shared" si="220"/>
        <v>0</v>
      </c>
      <c r="N717" s="136">
        <f t="shared" si="220"/>
        <v>0</v>
      </c>
      <c r="O717" s="136">
        <f t="shared" si="220"/>
        <v>0</v>
      </c>
      <c r="P717" s="136">
        <f t="shared" si="220"/>
        <v>0</v>
      </c>
      <c r="Q717" s="136">
        <f t="shared" si="220"/>
        <v>0</v>
      </c>
      <c r="R717" s="136">
        <f t="shared" si="220"/>
        <v>0</v>
      </c>
      <c r="S717" s="136">
        <f t="shared" si="220"/>
        <v>0</v>
      </c>
      <c r="T717" s="136">
        <f t="shared" si="220"/>
        <v>0</v>
      </c>
      <c r="U717" s="136">
        <f t="shared" si="220"/>
        <v>0</v>
      </c>
      <c r="V717" s="136">
        <f t="shared" si="220"/>
        <v>0</v>
      </c>
      <c r="W717" s="136">
        <f t="shared" si="220"/>
        <v>0</v>
      </c>
      <c r="X717" s="136">
        <f t="shared" si="220"/>
        <v>0</v>
      </c>
      <c r="Y717" s="136">
        <f t="shared" si="220"/>
        <v>0</v>
      </c>
      <c r="Z717" s="136">
        <f t="shared" si="220"/>
        <v>0</v>
      </c>
      <c r="AA717" s="136">
        <f t="shared" si="220"/>
        <v>0</v>
      </c>
      <c r="AB717" s="136">
        <f t="shared" si="220"/>
        <v>0</v>
      </c>
      <c r="AC717" s="136">
        <f t="shared" si="220"/>
        <v>0</v>
      </c>
      <c r="AD717" s="136">
        <f t="shared" si="220"/>
        <v>0</v>
      </c>
      <c r="AE717" s="136">
        <f t="shared" si="220"/>
        <v>0</v>
      </c>
      <c r="AF717" s="136">
        <f t="shared" si="220"/>
        <v>0</v>
      </c>
      <c r="AG717" s="136">
        <f t="shared" si="220"/>
        <v>0</v>
      </c>
      <c r="AH717" s="136">
        <f t="shared" si="220"/>
        <v>0</v>
      </c>
      <c r="AI717" s="136">
        <f t="shared" si="220"/>
        <v>0</v>
      </c>
      <c r="AJ717" s="136">
        <f t="shared" si="220"/>
        <v>0</v>
      </c>
      <c r="AK717" s="136">
        <f t="shared" si="220"/>
        <v>0</v>
      </c>
      <c r="AL717" s="136">
        <f t="shared" si="220"/>
        <v>0</v>
      </c>
      <c r="AM717" s="136">
        <f t="shared" si="220"/>
        <v>0</v>
      </c>
      <c r="AN717" s="136">
        <f t="shared" si="220"/>
        <v>0</v>
      </c>
      <c r="AO717" s="136">
        <f t="shared" si="220"/>
        <v>0</v>
      </c>
      <c r="AP717" s="136">
        <f t="shared" si="220"/>
        <v>0</v>
      </c>
      <c r="AQ717" s="136">
        <f t="shared" si="220"/>
        <v>0</v>
      </c>
      <c r="AR717" s="136">
        <f t="shared" si="220"/>
        <v>0</v>
      </c>
      <c r="AS717" s="136">
        <f t="shared" si="220"/>
        <v>0</v>
      </c>
      <c r="AT717" s="136">
        <f t="shared" si="220"/>
        <v>0</v>
      </c>
      <c r="AU717" s="136">
        <f t="shared" si="220"/>
        <v>0</v>
      </c>
      <c r="AV717" s="136">
        <f t="shared" si="220"/>
        <v>0</v>
      </c>
      <c r="AW717" s="136">
        <f t="shared" si="220"/>
        <v>0</v>
      </c>
      <c r="AX717" s="136">
        <f t="shared" si="220"/>
        <v>0</v>
      </c>
      <c r="AY717" s="136">
        <f t="shared" si="220"/>
        <v>0</v>
      </c>
      <c r="AZ717" s="136">
        <f t="shared" si="220"/>
        <v>0</v>
      </c>
      <c r="BA717" s="136">
        <f t="shared" si="220"/>
        <v>0</v>
      </c>
      <c r="BB717" s="136">
        <f t="shared" si="220"/>
        <v>0</v>
      </c>
      <c r="BC717" s="136">
        <f t="shared" si="220"/>
        <v>0</v>
      </c>
      <c r="BD717" s="136">
        <f t="shared" si="220"/>
        <v>0</v>
      </c>
      <c r="BE717" s="136">
        <f t="shared" si="220"/>
        <v>0</v>
      </c>
      <c r="BF717" s="136">
        <f t="shared" si="220"/>
        <v>0</v>
      </c>
      <c r="BG717" s="136">
        <f t="shared" si="220"/>
        <v>0</v>
      </c>
      <c r="BH717" s="136">
        <f t="shared" si="220"/>
        <v>0</v>
      </c>
      <c r="BI717" s="136">
        <f t="shared" si="220"/>
        <v>0</v>
      </c>
      <c r="BJ717" s="136">
        <f t="shared" si="220"/>
        <v>0</v>
      </c>
      <c r="BK717" s="136">
        <f t="shared" si="220"/>
        <v>0</v>
      </c>
      <c r="BL717" s="136">
        <f t="shared" si="220"/>
        <v>0</v>
      </c>
      <c r="BM717" s="136">
        <f t="shared" si="220"/>
        <v>0</v>
      </c>
      <c r="BN717" s="136">
        <f t="shared" si="220"/>
        <v>0</v>
      </c>
      <c r="BO717" s="136">
        <f t="shared" si="220"/>
        <v>-161224</v>
      </c>
      <c r="BP717" s="136">
        <f t="shared" si="220"/>
        <v>0</v>
      </c>
      <c r="BQ717" s="136">
        <f t="shared" si="220"/>
        <v>0</v>
      </c>
      <c r="BR717" s="136">
        <f t="shared" si="219"/>
        <v>0</v>
      </c>
      <c r="BS717" s="136">
        <f t="shared" si="217"/>
        <v>0</v>
      </c>
      <c r="BT717" s="136">
        <f t="shared" si="217"/>
        <v>-41836</v>
      </c>
      <c r="BU717" s="136">
        <f t="shared" si="217"/>
        <v>0</v>
      </c>
      <c r="BV717" s="136">
        <f t="shared" si="217"/>
        <v>0</v>
      </c>
      <c r="BW717" s="136">
        <f t="shared" si="217"/>
        <v>0</v>
      </c>
      <c r="BX717" s="136">
        <f t="shared" si="217"/>
        <v>0</v>
      </c>
      <c r="BZ717" s="136">
        <f t="shared" si="218"/>
        <v>0</v>
      </c>
      <c r="CA717" s="136">
        <f t="shared" si="218"/>
        <v>0</v>
      </c>
    </row>
    <row r="718" spans="7:79" hidden="1" x14ac:dyDescent="0.3">
      <c r="G718" s="136">
        <f t="shared" si="220"/>
        <v>-203060</v>
      </c>
      <c r="H718" s="136">
        <f t="shared" si="220"/>
        <v>0</v>
      </c>
      <c r="I718" s="136">
        <f t="shared" si="220"/>
        <v>0</v>
      </c>
      <c r="J718" s="136">
        <f t="shared" si="220"/>
        <v>0</v>
      </c>
      <c r="K718" s="136">
        <f t="shared" si="220"/>
        <v>0</v>
      </c>
      <c r="L718" s="136">
        <f t="shared" si="220"/>
        <v>-41836</v>
      </c>
      <c r="M718" s="136">
        <f t="shared" si="220"/>
        <v>0</v>
      </c>
      <c r="N718" s="136">
        <f t="shared" si="220"/>
        <v>0</v>
      </c>
      <c r="O718" s="136">
        <f t="shared" si="220"/>
        <v>0</v>
      </c>
      <c r="P718" s="136">
        <f t="shared" si="220"/>
        <v>0</v>
      </c>
      <c r="Q718" s="136">
        <f t="shared" si="220"/>
        <v>0</v>
      </c>
      <c r="R718" s="136">
        <f t="shared" si="220"/>
        <v>0</v>
      </c>
      <c r="S718" s="136">
        <f t="shared" si="220"/>
        <v>0</v>
      </c>
      <c r="T718" s="136">
        <f t="shared" si="220"/>
        <v>0</v>
      </c>
      <c r="U718" s="136">
        <f t="shared" si="220"/>
        <v>0</v>
      </c>
      <c r="V718" s="136">
        <f t="shared" si="220"/>
        <v>0</v>
      </c>
      <c r="W718" s="136">
        <f t="shared" si="220"/>
        <v>0</v>
      </c>
      <c r="X718" s="136">
        <f t="shared" si="220"/>
        <v>0</v>
      </c>
      <c r="Y718" s="136">
        <f t="shared" si="220"/>
        <v>0</v>
      </c>
      <c r="Z718" s="136">
        <f t="shared" si="220"/>
        <v>0</v>
      </c>
      <c r="AA718" s="136">
        <f t="shared" si="220"/>
        <v>0</v>
      </c>
      <c r="AB718" s="136">
        <f t="shared" si="220"/>
        <v>0</v>
      </c>
      <c r="AC718" s="136">
        <f t="shared" si="220"/>
        <v>0</v>
      </c>
      <c r="AD718" s="136">
        <f t="shared" si="220"/>
        <v>0</v>
      </c>
      <c r="AE718" s="136">
        <f t="shared" si="220"/>
        <v>0</v>
      </c>
      <c r="AF718" s="136">
        <f t="shared" si="220"/>
        <v>0</v>
      </c>
      <c r="AG718" s="136">
        <f t="shared" si="220"/>
        <v>0</v>
      </c>
      <c r="AH718" s="136">
        <f t="shared" si="220"/>
        <v>0</v>
      </c>
      <c r="AI718" s="136">
        <f t="shared" si="220"/>
        <v>0</v>
      </c>
      <c r="AJ718" s="136">
        <f t="shared" si="220"/>
        <v>0</v>
      </c>
      <c r="AK718" s="136">
        <f t="shared" si="220"/>
        <v>0</v>
      </c>
      <c r="AL718" s="136">
        <f t="shared" si="220"/>
        <v>0</v>
      </c>
      <c r="AM718" s="136">
        <f t="shared" si="220"/>
        <v>0</v>
      </c>
      <c r="AN718" s="136">
        <f t="shared" si="220"/>
        <v>0</v>
      </c>
      <c r="AO718" s="136">
        <f t="shared" si="220"/>
        <v>0</v>
      </c>
      <c r="AP718" s="136">
        <f t="shared" si="220"/>
        <v>0</v>
      </c>
      <c r="AQ718" s="136">
        <f t="shared" si="220"/>
        <v>0</v>
      </c>
      <c r="AR718" s="136">
        <f t="shared" si="220"/>
        <v>0</v>
      </c>
      <c r="AS718" s="136">
        <f t="shared" si="220"/>
        <v>0</v>
      </c>
      <c r="AT718" s="136">
        <f t="shared" si="220"/>
        <v>0</v>
      </c>
      <c r="AU718" s="136">
        <f t="shared" si="220"/>
        <v>0</v>
      </c>
      <c r="AV718" s="136">
        <f t="shared" si="220"/>
        <v>0</v>
      </c>
      <c r="AW718" s="136">
        <f t="shared" si="220"/>
        <v>0</v>
      </c>
      <c r="AX718" s="136">
        <f t="shared" si="220"/>
        <v>0</v>
      </c>
      <c r="AY718" s="136">
        <f t="shared" si="220"/>
        <v>0</v>
      </c>
      <c r="AZ718" s="136">
        <f t="shared" si="220"/>
        <v>0</v>
      </c>
      <c r="BA718" s="136">
        <f t="shared" si="220"/>
        <v>0</v>
      </c>
      <c r="BB718" s="136">
        <f t="shared" si="220"/>
        <v>0</v>
      </c>
      <c r="BC718" s="136">
        <f t="shared" si="220"/>
        <v>0</v>
      </c>
      <c r="BD718" s="136">
        <f t="shared" si="220"/>
        <v>0</v>
      </c>
      <c r="BE718" s="136">
        <f t="shared" si="220"/>
        <v>0</v>
      </c>
      <c r="BF718" s="136">
        <f t="shared" si="220"/>
        <v>0</v>
      </c>
      <c r="BG718" s="136">
        <f t="shared" si="220"/>
        <v>0</v>
      </c>
      <c r="BH718" s="136">
        <f t="shared" si="220"/>
        <v>0</v>
      </c>
      <c r="BI718" s="136">
        <f t="shared" si="220"/>
        <v>0</v>
      </c>
      <c r="BJ718" s="136">
        <f t="shared" si="220"/>
        <v>0</v>
      </c>
      <c r="BK718" s="136">
        <f t="shared" si="220"/>
        <v>0</v>
      </c>
      <c r="BL718" s="136">
        <f t="shared" si="220"/>
        <v>0</v>
      </c>
      <c r="BM718" s="136">
        <f t="shared" si="220"/>
        <v>0</v>
      </c>
      <c r="BN718" s="136">
        <f t="shared" si="220"/>
        <v>0</v>
      </c>
      <c r="BO718" s="136">
        <f t="shared" si="220"/>
        <v>-161224</v>
      </c>
      <c r="BP718" s="136">
        <f t="shared" si="220"/>
        <v>0</v>
      </c>
      <c r="BQ718" s="136">
        <f t="shared" si="220"/>
        <v>0</v>
      </c>
      <c r="BR718" s="136">
        <f t="shared" si="219"/>
        <v>0</v>
      </c>
      <c r="BS718" s="136">
        <f t="shared" si="217"/>
        <v>0</v>
      </c>
      <c r="BT718" s="136">
        <f t="shared" si="217"/>
        <v>-41836</v>
      </c>
      <c r="BU718" s="136">
        <f t="shared" si="217"/>
        <v>0</v>
      </c>
      <c r="BV718" s="136">
        <f t="shared" si="217"/>
        <v>0</v>
      </c>
      <c r="BW718" s="136">
        <f t="shared" si="217"/>
        <v>0</v>
      </c>
      <c r="BX718" s="136">
        <f t="shared" si="217"/>
        <v>0</v>
      </c>
      <c r="BZ718" s="136">
        <f t="shared" si="218"/>
        <v>0</v>
      </c>
      <c r="CA718" s="136">
        <f t="shared" si="218"/>
        <v>0</v>
      </c>
    </row>
    <row r="719" spans="7:79" hidden="1" x14ac:dyDescent="0.3">
      <c r="G719" s="136">
        <f t="shared" si="220"/>
        <v>0</v>
      </c>
      <c r="H719" s="136">
        <f t="shared" si="220"/>
        <v>0</v>
      </c>
      <c r="I719" s="136">
        <f t="shared" si="220"/>
        <v>0</v>
      </c>
      <c r="J719" s="136">
        <f t="shared" ref="J719:BQ723" si="221">J363-CB363</f>
        <v>0</v>
      </c>
      <c r="K719" s="136">
        <f t="shared" si="221"/>
        <v>0</v>
      </c>
      <c r="L719" s="136">
        <f t="shared" si="221"/>
        <v>0</v>
      </c>
      <c r="M719" s="136">
        <f t="shared" si="221"/>
        <v>0</v>
      </c>
      <c r="N719" s="136">
        <f t="shared" si="221"/>
        <v>0</v>
      </c>
      <c r="O719" s="136">
        <f t="shared" si="221"/>
        <v>0</v>
      </c>
      <c r="P719" s="136">
        <f t="shared" si="221"/>
        <v>0</v>
      </c>
      <c r="Q719" s="136">
        <f t="shared" si="221"/>
        <v>0</v>
      </c>
      <c r="R719" s="136">
        <f t="shared" si="221"/>
        <v>0</v>
      </c>
      <c r="S719" s="136">
        <f t="shared" si="221"/>
        <v>0</v>
      </c>
      <c r="T719" s="136">
        <f t="shared" si="221"/>
        <v>0</v>
      </c>
      <c r="U719" s="136">
        <f t="shared" si="221"/>
        <v>0</v>
      </c>
      <c r="V719" s="136">
        <f t="shared" si="221"/>
        <v>0</v>
      </c>
      <c r="W719" s="136">
        <f t="shared" si="221"/>
        <v>0</v>
      </c>
      <c r="X719" s="136">
        <f t="shared" si="221"/>
        <v>0</v>
      </c>
      <c r="Y719" s="136">
        <f t="shared" si="221"/>
        <v>0</v>
      </c>
      <c r="Z719" s="136">
        <f t="shared" si="221"/>
        <v>0</v>
      </c>
      <c r="AA719" s="136">
        <f t="shared" si="221"/>
        <v>0</v>
      </c>
      <c r="AB719" s="136">
        <f t="shared" si="221"/>
        <v>0</v>
      </c>
      <c r="AC719" s="136">
        <f t="shared" si="221"/>
        <v>0</v>
      </c>
      <c r="AD719" s="136">
        <f t="shared" si="221"/>
        <v>0</v>
      </c>
      <c r="AE719" s="136">
        <f t="shared" si="221"/>
        <v>0</v>
      </c>
      <c r="AF719" s="136">
        <f t="shared" si="221"/>
        <v>0</v>
      </c>
      <c r="AG719" s="136">
        <f t="shared" si="221"/>
        <v>0</v>
      </c>
      <c r="AH719" s="136">
        <f t="shared" si="221"/>
        <v>0</v>
      </c>
      <c r="AI719" s="136">
        <f t="shared" si="221"/>
        <v>0</v>
      </c>
      <c r="AJ719" s="136">
        <f t="shared" si="221"/>
        <v>0</v>
      </c>
      <c r="AK719" s="136">
        <f t="shared" si="221"/>
        <v>0</v>
      </c>
      <c r="AL719" s="136">
        <f t="shared" si="221"/>
        <v>0</v>
      </c>
      <c r="AM719" s="136">
        <f t="shared" si="221"/>
        <v>0</v>
      </c>
      <c r="AN719" s="136">
        <f t="shared" si="221"/>
        <v>0</v>
      </c>
      <c r="AO719" s="136">
        <f t="shared" si="221"/>
        <v>0</v>
      </c>
      <c r="AP719" s="136">
        <f t="shared" si="221"/>
        <v>0</v>
      </c>
      <c r="AQ719" s="136">
        <f t="shared" si="221"/>
        <v>0</v>
      </c>
      <c r="AR719" s="136">
        <f t="shared" si="221"/>
        <v>0</v>
      </c>
      <c r="AS719" s="136">
        <f t="shared" si="221"/>
        <v>0</v>
      </c>
      <c r="AT719" s="136">
        <f t="shared" si="221"/>
        <v>0</v>
      </c>
      <c r="AU719" s="136">
        <f t="shared" si="221"/>
        <v>0</v>
      </c>
      <c r="AV719" s="136">
        <f t="shared" si="221"/>
        <v>0</v>
      </c>
      <c r="AW719" s="136">
        <f t="shared" si="221"/>
        <v>0</v>
      </c>
      <c r="AX719" s="136">
        <f t="shared" si="221"/>
        <v>0</v>
      </c>
      <c r="AY719" s="136">
        <f t="shared" si="221"/>
        <v>0</v>
      </c>
      <c r="AZ719" s="136">
        <f t="shared" si="221"/>
        <v>0</v>
      </c>
      <c r="BA719" s="136">
        <f t="shared" si="221"/>
        <v>0</v>
      </c>
      <c r="BB719" s="136">
        <f t="shared" si="221"/>
        <v>0</v>
      </c>
      <c r="BC719" s="136">
        <f t="shared" si="221"/>
        <v>0</v>
      </c>
      <c r="BD719" s="136">
        <f t="shared" si="221"/>
        <v>0</v>
      </c>
      <c r="BE719" s="136">
        <f t="shared" si="221"/>
        <v>0</v>
      </c>
      <c r="BF719" s="136">
        <f t="shared" si="221"/>
        <v>0</v>
      </c>
      <c r="BG719" s="136">
        <f t="shared" si="221"/>
        <v>0</v>
      </c>
      <c r="BH719" s="136">
        <f t="shared" si="221"/>
        <v>0</v>
      </c>
      <c r="BI719" s="136">
        <f t="shared" si="221"/>
        <v>0</v>
      </c>
      <c r="BJ719" s="136">
        <f t="shared" si="221"/>
        <v>0</v>
      </c>
      <c r="BK719" s="136">
        <f t="shared" si="221"/>
        <v>0</v>
      </c>
      <c r="BL719" s="136">
        <f t="shared" si="221"/>
        <v>0</v>
      </c>
      <c r="BM719" s="136">
        <f t="shared" si="221"/>
        <v>0</v>
      </c>
      <c r="BN719" s="136">
        <f t="shared" si="221"/>
        <v>0</v>
      </c>
      <c r="BO719" s="136">
        <f t="shared" si="221"/>
        <v>0</v>
      </c>
      <c r="BP719" s="136">
        <f t="shared" si="221"/>
        <v>0</v>
      </c>
      <c r="BQ719" s="136">
        <f t="shared" si="221"/>
        <v>0</v>
      </c>
      <c r="BR719" s="136">
        <f t="shared" si="219"/>
        <v>0</v>
      </c>
      <c r="BS719" s="136">
        <f t="shared" si="217"/>
        <v>0</v>
      </c>
      <c r="BT719" s="136">
        <f t="shared" si="217"/>
        <v>0</v>
      </c>
      <c r="BU719" s="136">
        <f t="shared" si="217"/>
        <v>0</v>
      </c>
      <c r="BV719" s="136">
        <f t="shared" si="217"/>
        <v>0</v>
      </c>
      <c r="BW719" s="136">
        <f t="shared" si="217"/>
        <v>0</v>
      </c>
      <c r="BX719" s="136">
        <f t="shared" si="217"/>
        <v>0</v>
      </c>
      <c r="BZ719" s="136">
        <f t="shared" si="218"/>
        <v>0</v>
      </c>
      <c r="CA719" s="136">
        <f t="shared" si="218"/>
        <v>0</v>
      </c>
    </row>
    <row r="720" spans="7:79" hidden="1" x14ac:dyDescent="0.3">
      <c r="G720" s="136">
        <f t="shared" ref="G720:V733" si="222">G364-BY364</f>
        <v>-443361</v>
      </c>
      <c r="H720" s="136">
        <f t="shared" si="222"/>
        <v>0</v>
      </c>
      <c r="I720" s="136">
        <f t="shared" si="222"/>
        <v>0</v>
      </c>
      <c r="J720" s="136">
        <f t="shared" si="221"/>
        <v>0</v>
      </c>
      <c r="K720" s="136">
        <f t="shared" si="221"/>
        <v>0</v>
      </c>
      <c r="L720" s="136">
        <f t="shared" si="221"/>
        <v>0</v>
      </c>
      <c r="M720" s="136">
        <f t="shared" si="221"/>
        <v>0</v>
      </c>
      <c r="N720" s="136">
        <f t="shared" si="221"/>
        <v>0</v>
      </c>
      <c r="O720" s="136">
        <f t="shared" si="221"/>
        <v>0</v>
      </c>
      <c r="P720" s="136">
        <f t="shared" si="221"/>
        <v>0</v>
      </c>
      <c r="Q720" s="136">
        <f t="shared" si="221"/>
        <v>87218</v>
      </c>
      <c r="R720" s="136">
        <f t="shared" si="221"/>
        <v>0</v>
      </c>
      <c r="S720" s="136">
        <f t="shared" si="221"/>
        <v>0</v>
      </c>
      <c r="T720" s="136">
        <f t="shared" si="221"/>
        <v>0</v>
      </c>
      <c r="U720" s="136">
        <f t="shared" si="221"/>
        <v>0</v>
      </c>
      <c r="V720" s="136">
        <f t="shared" si="221"/>
        <v>0</v>
      </c>
      <c r="W720" s="136">
        <f t="shared" si="221"/>
        <v>0</v>
      </c>
      <c r="X720" s="136">
        <f t="shared" si="221"/>
        <v>0</v>
      </c>
      <c r="Y720" s="136">
        <f t="shared" si="221"/>
        <v>0</v>
      </c>
      <c r="Z720" s="136">
        <f t="shared" si="221"/>
        <v>0</v>
      </c>
      <c r="AA720" s="136">
        <f t="shared" si="221"/>
        <v>0</v>
      </c>
      <c r="AB720" s="136">
        <f t="shared" si="221"/>
        <v>0</v>
      </c>
      <c r="AC720" s="136">
        <f t="shared" si="221"/>
        <v>0</v>
      </c>
      <c r="AD720" s="136">
        <f t="shared" si="221"/>
        <v>0</v>
      </c>
      <c r="AE720" s="136">
        <f t="shared" si="221"/>
        <v>0</v>
      </c>
      <c r="AF720" s="136">
        <f t="shared" si="221"/>
        <v>0</v>
      </c>
      <c r="AG720" s="136">
        <f t="shared" si="221"/>
        <v>0</v>
      </c>
      <c r="AH720" s="136">
        <f t="shared" si="221"/>
        <v>0</v>
      </c>
      <c r="AI720" s="136">
        <f t="shared" si="221"/>
        <v>0</v>
      </c>
      <c r="AJ720" s="136">
        <f t="shared" si="221"/>
        <v>0</v>
      </c>
      <c r="AK720" s="136">
        <f t="shared" si="221"/>
        <v>0</v>
      </c>
      <c r="AL720" s="136">
        <f t="shared" si="221"/>
        <v>0</v>
      </c>
      <c r="AM720" s="136">
        <f t="shared" si="221"/>
        <v>0</v>
      </c>
      <c r="AN720" s="136">
        <f t="shared" si="221"/>
        <v>0</v>
      </c>
      <c r="AO720" s="136">
        <f t="shared" si="221"/>
        <v>0</v>
      </c>
      <c r="AP720" s="136">
        <f t="shared" si="221"/>
        <v>0</v>
      </c>
      <c r="AQ720" s="136">
        <f t="shared" si="221"/>
        <v>0</v>
      </c>
      <c r="AR720" s="136">
        <f t="shared" si="221"/>
        <v>0</v>
      </c>
      <c r="AS720" s="136">
        <f t="shared" si="221"/>
        <v>0</v>
      </c>
      <c r="AT720" s="136">
        <f t="shared" si="221"/>
        <v>0</v>
      </c>
      <c r="AU720" s="136">
        <f t="shared" si="221"/>
        <v>-530579</v>
      </c>
      <c r="AV720" s="136">
        <f t="shared" si="221"/>
        <v>0</v>
      </c>
      <c r="AW720" s="136">
        <f t="shared" si="221"/>
        <v>0</v>
      </c>
      <c r="AX720" s="136">
        <f t="shared" si="221"/>
        <v>0</v>
      </c>
      <c r="AY720" s="136">
        <f t="shared" si="221"/>
        <v>0</v>
      </c>
      <c r="AZ720" s="136">
        <f t="shared" si="221"/>
        <v>0</v>
      </c>
      <c r="BA720" s="136">
        <f t="shared" si="221"/>
        <v>0</v>
      </c>
      <c r="BB720" s="136">
        <f t="shared" si="221"/>
        <v>0</v>
      </c>
      <c r="BC720" s="136">
        <f t="shared" si="221"/>
        <v>0</v>
      </c>
      <c r="BD720" s="136">
        <f t="shared" si="221"/>
        <v>0</v>
      </c>
      <c r="BE720" s="136">
        <f t="shared" si="221"/>
        <v>0</v>
      </c>
      <c r="BF720" s="136">
        <f t="shared" si="221"/>
        <v>0</v>
      </c>
      <c r="BG720" s="136">
        <f t="shared" si="221"/>
        <v>0</v>
      </c>
      <c r="BH720" s="136">
        <f t="shared" si="221"/>
        <v>0</v>
      </c>
      <c r="BI720" s="136">
        <f t="shared" si="221"/>
        <v>0</v>
      </c>
      <c r="BJ720" s="136">
        <f t="shared" si="221"/>
        <v>0</v>
      </c>
      <c r="BK720" s="136">
        <f t="shared" si="221"/>
        <v>0</v>
      </c>
      <c r="BL720" s="136">
        <f t="shared" si="221"/>
        <v>0</v>
      </c>
      <c r="BM720" s="136">
        <f t="shared" si="221"/>
        <v>0</v>
      </c>
      <c r="BN720" s="136">
        <f t="shared" si="221"/>
        <v>0</v>
      </c>
      <c r="BO720" s="136">
        <f t="shared" si="221"/>
        <v>0</v>
      </c>
      <c r="BP720" s="136">
        <f t="shared" si="221"/>
        <v>0</v>
      </c>
      <c r="BQ720" s="136">
        <f t="shared" si="221"/>
        <v>0</v>
      </c>
      <c r="BR720" s="136">
        <f t="shared" si="219"/>
        <v>0</v>
      </c>
      <c r="BS720" s="136">
        <f t="shared" si="217"/>
        <v>0</v>
      </c>
      <c r="BT720" s="136">
        <f t="shared" si="217"/>
        <v>-443361</v>
      </c>
      <c r="BU720" s="136">
        <f t="shared" si="217"/>
        <v>0</v>
      </c>
      <c r="BV720" s="136">
        <f t="shared" si="217"/>
        <v>0</v>
      </c>
      <c r="BW720" s="136">
        <f t="shared" si="217"/>
        <v>0</v>
      </c>
      <c r="BX720" s="136">
        <f t="shared" si="217"/>
        <v>0</v>
      </c>
      <c r="BZ720" s="136">
        <f t="shared" si="218"/>
        <v>0</v>
      </c>
      <c r="CA720" s="136">
        <f t="shared" si="218"/>
        <v>0</v>
      </c>
    </row>
    <row r="721" spans="7:79" hidden="1" x14ac:dyDescent="0.3">
      <c r="G721" s="136">
        <f t="shared" si="222"/>
        <v>-443361</v>
      </c>
      <c r="H721" s="136">
        <f t="shared" si="222"/>
        <v>0</v>
      </c>
      <c r="I721" s="136">
        <f t="shared" si="222"/>
        <v>0</v>
      </c>
      <c r="J721" s="136">
        <f t="shared" si="221"/>
        <v>0</v>
      </c>
      <c r="K721" s="136">
        <f t="shared" si="221"/>
        <v>0</v>
      </c>
      <c r="L721" s="136">
        <f t="shared" si="221"/>
        <v>0</v>
      </c>
      <c r="M721" s="136">
        <f t="shared" si="221"/>
        <v>0</v>
      </c>
      <c r="N721" s="136">
        <f t="shared" si="221"/>
        <v>0</v>
      </c>
      <c r="O721" s="136">
        <f t="shared" si="221"/>
        <v>0</v>
      </c>
      <c r="P721" s="136">
        <f t="shared" si="221"/>
        <v>0</v>
      </c>
      <c r="Q721" s="136">
        <f t="shared" si="221"/>
        <v>87218</v>
      </c>
      <c r="R721" s="136">
        <f t="shared" si="221"/>
        <v>0</v>
      </c>
      <c r="S721" s="136">
        <f t="shared" si="221"/>
        <v>0</v>
      </c>
      <c r="T721" s="136">
        <f t="shared" si="221"/>
        <v>0</v>
      </c>
      <c r="U721" s="136">
        <f t="shared" si="221"/>
        <v>0</v>
      </c>
      <c r="V721" s="136">
        <f t="shared" si="221"/>
        <v>0</v>
      </c>
      <c r="W721" s="136">
        <f t="shared" si="221"/>
        <v>0</v>
      </c>
      <c r="X721" s="136">
        <f t="shared" si="221"/>
        <v>0</v>
      </c>
      <c r="Y721" s="136">
        <f t="shared" si="221"/>
        <v>0</v>
      </c>
      <c r="Z721" s="136">
        <f t="shared" si="221"/>
        <v>0</v>
      </c>
      <c r="AA721" s="136">
        <f t="shared" si="221"/>
        <v>0</v>
      </c>
      <c r="AB721" s="136">
        <f t="shared" si="221"/>
        <v>0</v>
      </c>
      <c r="AC721" s="136">
        <f t="shared" si="221"/>
        <v>0</v>
      </c>
      <c r="AD721" s="136">
        <f t="shared" si="221"/>
        <v>0</v>
      </c>
      <c r="AE721" s="136">
        <f t="shared" si="221"/>
        <v>0</v>
      </c>
      <c r="AF721" s="136">
        <f t="shared" si="221"/>
        <v>0</v>
      </c>
      <c r="AG721" s="136">
        <f t="shared" si="221"/>
        <v>0</v>
      </c>
      <c r="AH721" s="136">
        <f t="shared" si="221"/>
        <v>0</v>
      </c>
      <c r="AI721" s="136">
        <f t="shared" si="221"/>
        <v>0</v>
      </c>
      <c r="AJ721" s="136">
        <f t="shared" si="221"/>
        <v>0</v>
      </c>
      <c r="AK721" s="136">
        <f t="shared" si="221"/>
        <v>0</v>
      </c>
      <c r="AL721" s="136">
        <f t="shared" si="221"/>
        <v>0</v>
      </c>
      <c r="AM721" s="136">
        <f t="shared" si="221"/>
        <v>0</v>
      </c>
      <c r="AN721" s="136">
        <f t="shared" si="221"/>
        <v>0</v>
      </c>
      <c r="AO721" s="136">
        <f t="shared" si="221"/>
        <v>0</v>
      </c>
      <c r="AP721" s="136">
        <f t="shared" si="221"/>
        <v>0</v>
      </c>
      <c r="AQ721" s="136">
        <f t="shared" si="221"/>
        <v>0</v>
      </c>
      <c r="AR721" s="136">
        <f t="shared" si="221"/>
        <v>0</v>
      </c>
      <c r="AS721" s="136">
        <f t="shared" si="221"/>
        <v>0</v>
      </c>
      <c r="AT721" s="136">
        <f t="shared" si="221"/>
        <v>0</v>
      </c>
      <c r="AU721" s="136">
        <f t="shared" si="221"/>
        <v>-530579</v>
      </c>
      <c r="AV721" s="136">
        <f t="shared" si="221"/>
        <v>0</v>
      </c>
      <c r="AW721" s="136">
        <f t="shared" si="221"/>
        <v>0</v>
      </c>
      <c r="AX721" s="136">
        <f t="shared" si="221"/>
        <v>0</v>
      </c>
      <c r="AY721" s="136">
        <f t="shared" si="221"/>
        <v>0</v>
      </c>
      <c r="AZ721" s="136">
        <f t="shared" si="221"/>
        <v>0</v>
      </c>
      <c r="BA721" s="136">
        <f t="shared" si="221"/>
        <v>0</v>
      </c>
      <c r="BB721" s="136">
        <f t="shared" si="221"/>
        <v>0</v>
      </c>
      <c r="BC721" s="136">
        <f t="shared" si="221"/>
        <v>0</v>
      </c>
      <c r="BD721" s="136">
        <f t="shared" si="221"/>
        <v>0</v>
      </c>
      <c r="BE721" s="136">
        <f t="shared" si="221"/>
        <v>0</v>
      </c>
      <c r="BF721" s="136">
        <f t="shared" si="221"/>
        <v>0</v>
      </c>
      <c r="BG721" s="136">
        <f t="shared" si="221"/>
        <v>0</v>
      </c>
      <c r="BH721" s="136">
        <f t="shared" si="221"/>
        <v>0</v>
      </c>
      <c r="BI721" s="136">
        <f t="shared" si="221"/>
        <v>0</v>
      </c>
      <c r="BJ721" s="136">
        <f t="shared" si="221"/>
        <v>0</v>
      </c>
      <c r="BK721" s="136">
        <f t="shared" si="221"/>
        <v>0</v>
      </c>
      <c r="BL721" s="136">
        <f t="shared" si="221"/>
        <v>0</v>
      </c>
      <c r="BM721" s="136">
        <f t="shared" si="221"/>
        <v>0</v>
      </c>
      <c r="BN721" s="136">
        <f t="shared" si="221"/>
        <v>0</v>
      </c>
      <c r="BO721" s="136">
        <f t="shared" si="221"/>
        <v>0</v>
      </c>
      <c r="BP721" s="136">
        <f t="shared" si="221"/>
        <v>0</v>
      </c>
      <c r="BQ721" s="136">
        <f t="shared" si="221"/>
        <v>0</v>
      </c>
      <c r="BR721" s="136">
        <f t="shared" si="219"/>
        <v>0</v>
      </c>
      <c r="BS721" s="136">
        <f t="shared" si="217"/>
        <v>0</v>
      </c>
      <c r="BT721" s="136">
        <f t="shared" si="217"/>
        <v>-443361</v>
      </c>
      <c r="BU721" s="136">
        <f t="shared" si="217"/>
        <v>0</v>
      </c>
      <c r="BV721" s="136">
        <f t="shared" si="217"/>
        <v>0</v>
      </c>
      <c r="BW721" s="136">
        <f t="shared" si="217"/>
        <v>0</v>
      </c>
      <c r="BX721" s="136">
        <f t="shared" si="217"/>
        <v>0</v>
      </c>
      <c r="BZ721" s="136">
        <f t="shared" si="218"/>
        <v>0</v>
      </c>
      <c r="CA721" s="136">
        <f t="shared" si="218"/>
        <v>0</v>
      </c>
    </row>
    <row r="722" spans="7:79" hidden="1" x14ac:dyDescent="0.3">
      <c r="G722" s="136">
        <f t="shared" si="222"/>
        <v>0</v>
      </c>
      <c r="H722" s="136">
        <f t="shared" si="222"/>
        <v>0</v>
      </c>
      <c r="I722" s="136">
        <f t="shared" si="222"/>
        <v>0</v>
      </c>
      <c r="J722" s="136">
        <f t="shared" si="221"/>
        <v>0</v>
      </c>
      <c r="K722" s="136">
        <f t="shared" si="221"/>
        <v>0</v>
      </c>
      <c r="L722" s="136">
        <f t="shared" si="221"/>
        <v>0</v>
      </c>
      <c r="M722" s="136">
        <f t="shared" si="221"/>
        <v>0</v>
      </c>
      <c r="N722" s="136">
        <f t="shared" si="221"/>
        <v>0</v>
      </c>
      <c r="O722" s="136">
        <f t="shared" si="221"/>
        <v>0</v>
      </c>
      <c r="P722" s="136">
        <f t="shared" si="221"/>
        <v>0</v>
      </c>
      <c r="Q722" s="136">
        <f t="shared" si="221"/>
        <v>0</v>
      </c>
      <c r="R722" s="136">
        <f t="shared" si="221"/>
        <v>0</v>
      </c>
      <c r="S722" s="136">
        <f t="shared" si="221"/>
        <v>0</v>
      </c>
      <c r="T722" s="136">
        <f t="shared" si="221"/>
        <v>0</v>
      </c>
      <c r="U722" s="136">
        <f t="shared" si="221"/>
        <v>0</v>
      </c>
      <c r="V722" s="136">
        <f t="shared" si="221"/>
        <v>0</v>
      </c>
      <c r="W722" s="136">
        <f t="shared" si="221"/>
        <v>0</v>
      </c>
      <c r="X722" s="136">
        <f t="shared" si="221"/>
        <v>0</v>
      </c>
      <c r="Y722" s="136">
        <f t="shared" si="221"/>
        <v>0</v>
      </c>
      <c r="Z722" s="136">
        <f t="shared" si="221"/>
        <v>0</v>
      </c>
      <c r="AA722" s="136">
        <f t="shared" si="221"/>
        <v>0</v>
      </c>
      <c r="AB722" s="136">
        <f t="shared" si="221"/>
        <v>0</v>
      </c>
      <c r="AC722" s="136">
        <f t="shared" si="221"/>
        <v>0</v>
      </c>
      <c r="AD722" s="136">
        <f t="shared" si="221"/>
        <v>0</v>
      </c>
      <c r="AE722" s="136">
        <f t="shared" si="221"/>
        <v>0</v>
      </c>
      <c r="AF722" s="136">
        <f t="shared" si="221"/>
        <v>0</v>
      </c>
      <c r="AG722" s="136">
        <f t="shared" si="221"/>
        <v>0</v>
      </c>
      <c r="AH722" s="136">
        <f t="shared" si="221"/>
        <v>0</v>
      </c>
      <c r="AI722" s="136">
        <f t="shared" si="221"/>
        <v>0</v>
      </c>
      <c r="AJ722" s="136">
        <f t="shared" si="221"/>
        <v>0</v>
      </c>
      <c r="AK722" s="136">
        <f t="shared" si="221"/>
        <v>0</v>
      </c>
      <c r="AL722" s="136">
        <f t="shared" si="221"/>
        <v>0</v>
      </c>
      <c r="AM722" s="136">
        <f t="shared" si="221"/>
        <v>0</v>
      </c>
      <c r="AN722" s="136">
        <f t="shared" si="221"/>
        <v>0</v>
      </c>
      <c r="AO722" s="136">
        <f t="shared" si="221"/>
        <v>0</v>
      </c>
      <c r="AP722" s="136">
        <f t="shared" si="221"/>
        <v>0</v>
      </c>
      <c r="AQ722" s="136">
        <f t="shared" si="221"/>
        <v>0</v>
      </c>
      <c r="AR722" s="136">
        <f t="shared" si="221"/>
        <v>0</v>
      </c>
      <c r="AS722" s="136">
        <f t="shared" si="221"/>
        <v>0</v>
      </c>
      <c r="AT722" s="136">
        <f t="shared" si="221"/>
        <v>0</v>
      </c>
      <c r="AU722" s="136">
        <f t="shared" si="221"/>
        <v>0</v>
      </c>
      <c r="AV722" s="136">
        <f t="shared" si="221"/>
        <v>0</v>
      </c>
      <c r="AW722" s="136">
        <f t="shared" si="221"/>
        <v>0</v>
      </c>
      <c r="AX722" s="136">
        <f t="shared" si="221"/>
        <v>0</v>
      </c>
      <c r="AY722" s="136">
        <f t="shared" si="221"/>
        <v>0</v>
      </c>
      <c r="AZ722" s="136">
        <f t="shared" si="221"/>
        <v>0</v>
      </c>
      <c r="BA722" s="136">
        <f t="shared" si="221"/>
        <v>0</v>
      </c>
      <c r="BB722" s="136">
        <f t="shared" si="221"/>
        <v>0</v>
      </c>
      <c r="BC722" s="136">
        <f t="shared" si="221"/>
        <v>0</v>
      </c>
      <c r="BD722" s="136">
        <f t="shared" si="221"/>
        <v>0</v>
      </c>
      <c r="BE722" s="136">
        <f t="shared" si="221"/>
        <v>0</v>
      </c>
      <c r="BF722" s="136">
        <f t="shared" si="221"/>
        <v>0</v>
      </c>
      <c r="BG722" s="136">
        <f t="shared" si="221"/>
        <v>0</v>
      </c>
      <c r="BH722" s="136">
        <f t="shared" si="221"/>
        <v>0</v>
      </c>
      <c r="BI722" s="136">
        <f t="shared" si="221"/>
        <v>0</v>
      </c>
      <c r="BJ722" s="136">
        <f t="shared" si="221"/>
        <v>0</v>
      </c>
      <c r="BK722" s="136">
        <f t="shared" si="221"/>
        <v>0</v>
      </c>
      <c r="BL722" s="136">
        <f t="shared" si="221"/>
        <v>0</v>
      </c>
      <c r="BM722" s="136">
        <f t="shared" si="221"/>
        <v>0</v>
      </c>
      <c r="BN722" s="136">
        <f t="shared" si="221"/>
        <v>0</v>
      </c>
      <c r="BO722" s="136">
        <f t="shared" si="221"/>
        <v>0</v>
      </c>
      <c r="BP722" s="136">
        <f t="shared" si="221"/>
        <v>0</v>
      </c>
      <c r="BQ722" s="136">
        <f t="shared" si="221"/>
        <v>0</v>
      </c>
      <c r="BR722" s="136">
        <f t="shared" si="219"/>
        <v>0</v>
      </c>
      <c r="BS722" s="136">
        <f t="shared" si="217"/>
        <v>0</v>
      </c>
      <c r="BT722" s="136">
        <f t="shared" si="217"/>
        <v>0</v>
      </c>
      <c r="BU722" s="136">
        <f t="shared" si="217"/>
        <v>0</v>
      </c>
      <c r="BV722" s="136">
        <f t="shared" si="217"/>
        <v>0</v>
      </c>
      <c r="BW722" s="136">
        <f t="shared" si="217"/>
        <v>0</v>
      </c>
      <c r="BX722" s="136">
        <f t="shared" si="217"/>
        <v>0</v>
      </c>
      <c r="BZ722" s="136">
        <f t="shared" si="218"/>
        <v>0</v>
      </c>
      <c r="CA722" s="136">
        <f t="shared" si="218"/>
        <v>0</v>
      </c>
    </row>
    <row r="723" spans="7:79" hidden="1" x14ac:dyDescent="0.3">
      <c r="G723" s="136">
        <f t="shared" si="222"/>
        <v>-534385</v>
      </c>
      <c r="H723" s="136">
        <f t="shared" si="222"/>
        <v>0</v>
      </c>
      <c r="I723" s="136">
        <f t="shared" si="222"/>
        <v>0</v>
      </c>
      <c r="J723" s="136">
        <f t="shared" si="221"/>
        <v>0</v>
      </c>
      <c r="K723" s="136">
        <f t="shared" si="221"/>
        <v>0</v>
      </c>
      <c r="L723" s="136">
        <f t="shared" si="221"/>
        <v>0</v>
      </c>
      <c r="M723" s="136">
        <f t="shared" si="221"/>
        <v>0</v>
      </c>
      <c r="N723" s="136">
        <f t="shared" si="221"/>
        <v>0</v>
      </c>
      <c r="O723" s="136">
        <f t="shared" si="221"/>
        <v>0</v>
      </c>
      <c r="P723" s="136">
        <f t="shared" si="221"/>
        <v>0</v>
      </c>
      <c r="Q723" s="136">
        <f t="shared" si="221"/>
        <v>88771</v>
      </c>
      <c r="R723" s="136">
        <f t="shared" si="221"/>
        <v>0</v>
      </c>
      <c r="S723" s="136">
        <f t="shared" si="221"/>
        <v>0</v>
      </c>
      <c r="T723" s="136">
        <f t="shared" si="221"/>
        <v>0</v>
      </c>
      <c r="U723" s="136">
        <f t="shared" si="221"/>
        <v>0</v>
      </c>
      <c r="V723" s="136">
        <f t="shared" si="221"/>
        <v>0</v>
      </c>
      <c r="W723" s="136">
        <f t="shared" si="221"/>
        <v>0</v>
      </c>
      <c r="X723" s="136">
        <f t="shared" si="221"/>
        <v>0</v>
      </c>
      <c r="Y723" s="136">
        <f t="shared" ref="Y723:BQ728" si="223">Y367-CQ367</f>
        <v>0</v>
      </c>
      <c r="Z723" s="136">
        <f t="shared" si="223"/>
        <v>0</v>
      </c>
      <c r="AA723" s="136">
        <f t="shared" si="223"/>
        <v>0</v>
      </c>
      <c r="AB723" s="136">
        <f t="shared" si="223"/>
        <v>0</v>
      </c>
      <c r="AC723" s="136">
        <f t="shared" si="223"/>
        <v>0</v>
      </c>
      <c r="AD723" s="136">
        <f t="shared" si="223"/>
        <v>0</v>
      </c>
      <c r="AE723" s="136">
        <f t="shared" si="223"/>
        <v>0</v>
      </c>
      <c r="AF723" s="136">
        <f t="shared" si="223"/>
        <v>0</v>
      </c>
      <c r="AG723" s="136">
        <f t="shared" si="223"/>
        <v>0</v>
      </c>
      <c r="AH723" s="136">
        <f t="shared" si="223"/>
        <v>0</v>
      </c>
      <c r="AI723" s="136">
        <f t="shared" si="223"/>
        <v>0</v>
      </c>
      <c r="AJ723" s="136">
        <f t="shared" si="223"/>
        <v>0</v>
      </c>
      <c r="AK723" s="136">
        <f t="shared" si="223"/>
        <v>258046</v>
      </c>
      <c r="AL723" s="136">
        <f t="shared" si="223"/>
        <v>0</v>
      </c>
      <c r="AM723" s="136">
        <f t="shared" si="223"/>
        <v>0</v>
      </c>
      <c r="AN723" s="136">
        <f t="shared" si="223"/>
        <v>0</v>
      </c>
      <c r="AO723" s="136">
        <f t="shared" si="223"/>
        <v>0</v>
      </c>
      <c r="AP723" s="136">
        <f t="shared" si="223"/>
        <v>0</v>
      </c>
      <c r="AQ723" s="136">
        <f t="shared" si="223"/>
        <v>0</v>
      </c>
      <c r="AR723" s="136">
        <f t="shared" si="223"/>
        <v>0</v>
      </c>
      <c r="AS723" s="136">
        <f t="shared" si="223"/>
        <v>0</v>
      </c>
      <c r="AT723" s="136">
        <f t="shared" si="223"/>
        <v>0</v>
      </c>
      <c r="AU723" s="136">
        <f t="shared" si="223"/>
        <v>-179611</v>
      </c>
      <c r="AV723" s="136">
        <f t="shared" si="223"/>
        <v>0</v>
      </c>
      <c r="AW723" s="136">
        <f t="shared" si="223"/>
        <v>0</v>
      </c>
      <c r="AX723" s="136">
        <f t="shared" si="223"/>
        <v>0</v>
      </c>
      <c r="AY723" s="136">
        <f t="shared" si="223"/>
        <v>0</v>
      </c>
      <c r="AZ723" s="136">
        <f t="shared" si="223"/>
        <v>0</v>
      </c>
      <c r="BA723" s="136">
        <f t="shared" si="223"/>
        <v>0</v>
      </c>
      <c r="BB723" s="136">
        <f t="shared" si="223"/>
        <v>0</v>
      </c>
      <c r="BC723" s="136">
        <f t="shared" si="223"/>
        <v>0</v>
      </c>
      <c r="BD723" s="136">
        <f t="shared" si="223"/>
        <v>0</v>
      </c>
      <c r="BE723" s="136">
        <f t="shared" si="223"/>
        <v>0</v>
      </c>
      <c r="BF723" s="136">
        <f t="shared" si="223"/>
        <v>0</v>
      </c>
      <c r="BG723" s="136">
        <f t="shared" si="223"/>
        <v>0</v>
      </c>
      <c r="BH723" s="136">
        <f t="shared" si="223"/>
        <v>0</v>
      </c>
      <c r="BI723" s="136">
        <f t="shared" si="223"/>
        <v>0</v>
      </c>
      <c r="BJ723" s="136">
        <f t="shared" si="223"/>
        <v>0</v>
      </c>
      <c r="BK723" s="136">
        <f t="shared" si="223"/>
        <v>0</v>
      </c>
      <c r="BL723" s="136">
        <f t="shared" si="223"/>
        <v>0</v>
      </c>
      <c r="BM723" s="136">
        <f t="shared" si="223"/>
        <v>0</v>
      </c>
      <c r="BN723" s="136">
        <f t="shared" si="223"/>
        <v>0</v>
      </c>
      <c r="BO723" s="136">
        <f t="shared" si="223"/>
        <v>-701591</v>
      </c>
      <c r="BP723" s="136">
        <f t="shared" si="223"/>
        <v>0</v>
      </c>
      <c r="BQ723" s="136">
        <f t="shared" si="223"/>
        <v>0</v>
      </c>
      <c r="BR723" s="136">
        <f t="shared" si="219"/>
        <v>0</v>
      </c>
      <c r="BS723" s="136">
        <f t="shared" si="217"/>
        <v>0</v>
      </c>
      <c r="BT723" s="136">
        <f t="shared" si="217"/>
        <v>167206</v>
      </c>
      <c r="BU723" s="136">
        <f t="shared" si="217"/>
        <v>0</v>
      </c>
      <c r="BV723" s="136">
        <f t="shared" si="217"/>
        <v>0</v>
      </c>
      <c r="BW723" s="136">
        <f t="shared" si="217"/>
        <v>0</v>
      </c>
      <c r="BX723" s="136">
        <f t="shared" si="217"/>
        <v>0</v>
      </c>
      <c r="BZ723" s="136">
        <f t="shared" si="218"/>
        <v>0</v>
      </c>
      <c r="CA723" s="136">
        <f t="shared" si="218"/>
        <v>0</v>
      </c>
    </row>
    <row r="724" spans="7:79" hidden="1" x14ac:dyDescent="0.3">
      <c r="G724" s="136">
        <f t="shared" si="222"/>
        <v>-534385</v>
      </c>
      <c r="H724" s="136">
        <f t="shared" si="222"/>
        <v>0</v>
      </c>
      <c r="I724" s="136">
        <f t="shared" si="222"/>
        <v>0</v>
      </c>
      <c r="J724" s="136">
        <f t="shared" si="222"/>
        <v>0</v>
      </c>
      <c r="K724" s="136">
        <f t="shared" si="222"/>
        <v>0</v>
      </c>
      <c r="L724" s="136">
        <f t="shared" si="222"/>
        <v>0</v>
      </c>
      <c r="M724" s="136">
        <f t="shared" si="222"/>
        <v>0</v>
      </c>
      <c r="N724" s="136">
        <f t="shared" si="222"/>
        <v>0</v>
      </c>
      <c r="O724" s="136">
        <f t="shared" si="222"/>
        <v>0</v>
      </c>
      <c r="P724" s="136">
        <f t="shared" si="222"/>
        <v>0</v>
      </c>
      <c r="Q724" s="136">
        <f t="shared" si="222"/>
        <v>88771</v>
      </c>
      <c r="R724" s="136">
        <f t="shared" si="222"/>
        <v>0</v>
      </c>
      <c r="S724" s="136">
        <f t="shared" si="222"/>
        <v>0</v>
      </c>
      <c r="T724" s="136">
        <f t="shared" si="222"/>
        <v>0</v>
      </c>
      <c r="U724" s="136">
        <f t="shared" si="222"/>
        <v>0</v>
      </c>
      <c r="V724" s="136">
        <f t="shared" si="222"/>
        <v>0</v>
      </c>
      <c r="W724" s="136">
        <f t="shared" ref="W724:AL733" si="224">W368-CO368</f>
        <v>0</v>
      </c>
      <c r="X724" s="136">
        <f t="shared" si="224"/>
        <v>0</v>
      </c>
      <c r="Y724" s="136">
        <f t="shared" si="223"/>
        <v>0</v>
      </c>
      <c r="Z724" s="136">
        <f t="shared" si="223"/>
        <v>0</v>
      </c>
      <c r="AA724" s="136">
        <f t="shared" si="223"/>
        <v>0</v>
      </c>
      <c r="AB724" s="136">
        <f t="shared" si="223"/>
        <v>0</v>
      </c>
      <c r="AC724" s="136">
        <f t="shared" si="223"/>
        <v>0</v>
      </c>
      <c r="AD724" s="136">
        <f t="shared" si="223"/>
        <v>0</v>
      </c>
      <c r="AE724" s="136">
        <f t="shared" si="223"/>
        <v>0</v>
      </c>
      <c r="AF724" s="136">
        <f t="shared" si="223"/>
        <v>0</v>
      </c>
      <c r="AG724" s="136">
        <f t="shared" si="223"/>
        <v>0</v>
      </c>
      <c r="AH724" s="136">
        <f t="shared" si="223"/>
        <v>0</v>
      </c>
      <c r="AI724" s="136">
        <f t="shared" si="223"/>
        <v>0</v>
      </c>
      <c r="AJ724" s="136">
        <f t="shared" si="223"/>
        <v>0</v>
      </c>
      <c r="AK724" s="136">
        <f t="shared" si="223"/>
        <v>258046</v>
      </c>
      <c r="AL724" s="136">
        <f t="shared" si="223"/>
        <v>0</v>
      </c>
      <c r="AM724" s="136">
        <f t="shared" si="223"/>
        <v>0</v>
      </c>
      <c r="AN724" s="136">
        <f t="shared" si="223"/>
        <v>0</v>
      </c>
      <c r="AO724" s="136">
        <f t="shared" si="223"/>
        <v>0</v>
      </c>
      <c r="AP724" s="136">
        <f t="shared" si="223"/>
        <v>0</v>
      </c>
      <c r="AQ724" s="136">
        <f t="shared" si="223"/>
        <v>0</v>
      </c>
      <c r="AR724" s="136">
        <f t="shared" si="223"/>
        <v>0</v>
      </c>
      <c r="AS724" s="136">
        <f t="shared" si="223"/>
        <v>0</v>
      </c>
      <c r="AT724" s="136">
        <f t="shared" si="223"/>
        <v>0</v>
      </c>
      <c r="AU724" s="136">
        <f t="shared" si="223"/>
        <v>-179611</v>
      </c>
      <c r="AV724" s="136">
        <f t="shared" si="223"/>
        <v>0</v>
      </c>
      <c r="AW724" s="136">
        <f t="shared" si="223"/>
        <v>0</v>
      </c>
      <c r="AX724" s="136">
        <f t="shared" si="223"/>
        <v>0</v>
      </c>
      <c r="AY724" s="136">
        <f t="shared" si="223"/>
        <v>0</v>
      </c>
      <c r="AZ724" s="136">
        <f t="shared" si="223"/>
        <v>0</v>
      </c>
      <c r="BA724" s="136">
        <f t="shared" si="223"/>
        <v>0</v>
      </c>
      <c r="BB724" s="136">
        <f t="shared" si="223"/>
        <v>0</v>
      </c>
      <c r="BC724" s="136">
        <f t="shared" si="223"/>
        <v>0</v>
      </c>
      <c r="BD724" s="136">
        <f t="shared" si="223"/>
        <v>0</v>
      </c>
      <c r="BE724" s="136">
        <f t="shared" si="223"/>
        <v>0</v>
      </c>
      <c r="BF724" s="136">
        <f t="shared" si="223"/>
        <v>0</v>
      </c>
      <c r="BG724" s="136">
        <f t="shared" si="223"/>
        <v>0</v>
      </c>
      <c r="BH724" s="136">
        <f t="shared" si="223"/>
        <v>0</v>
      </c>
      <c r="BI724" s="136">
        <f t="shared" si="223"/>
        <v>0</v>
      </c>
      <c r="BJ724" s="136">
        <f t="shared" si="223"/>
        <v>0</v>
      </c>
      <c r="BK724" s="136">
        <f t="shared" si="223"/>
        <v>0</v>
      </c>
      <c r="BL724" s="136">
        <f t="shared" si="223"/>
        <v>0</v>
      </c>
      <c r="BM724" s="136">
        <f t="shared" si="223"/>
        <v>0</v>
      </c>
      <c r="BN724" s="136">
        <f t="shared" si="223"/>
        <v>0</v>
      </c>
      <c r="BO724" s="136">
        <f t="shared" si="223"/>
        <v>-701591</v>
      </c>
      <c r="BP724" s="136">
        <f t="shared" si="223"/>
        <v>0</v>
      </c>
      <c r="BQ724" s="136">
        <f t="shared" si="223"/>
        <v>0</v>
      </c>
      <c r="BR724" s="136">
        <f t="shared" si="219"/>
        <v>0</v>
      </c>
      <c r="BS724" s="136">
        <f t="shared" si="217"/>
        <v>0</v>
      </c>
      <c r="BT724" s="136">
        <f t="shared" si="217"/>
        <v>167206</v>
      </c>
      <c r="BU724" s="136">
        <f t="shared" si="217"/>
        <v>0</v>
      </c>
      <c r="BV724" s="136">
        <f t="shared" si="217"/>
        <v>0</v>
      </c>
      <c r="BW724" s="136">
        <f t="shared" si="217"/>
        <v>0</v>
      </c>
      <c r="BX724" s="136">
        <f t="shared" si="217"/>
        <v>0</v>
      </c>
      <c r="BZ724" s="136">
        <f t="shared" si="218"/>
        <v>0</v>
      </c>
      <c r="CA724" s="136">
        <f t="shared" si="218"/>
        <v>0</v>
      </c>
    </row>
    <row r="725" spans="7:79" hidden="1" x14ac:dyDescent="0.3">
      <c r="G725" s="136">
        <f t="shared" si="222"/>
        <v>0</v>
      </c>
      <c r="H725" s="136">
        <f t="shared" si="222"/>
        <v>0</v>
      </c>
      <c r="I725" s="136">
        <f t="shared" si="222"/>
        <v>0</v>
      </c>
      <c r="J725" s="136">
        <f t="shared" si="222"/>
        <v>0</v>
      </c>
      <c r="K725" s="136">
        <f t="shared" si="222"/>
        <v>0</v>
      </c>
      <c r="L725" s="136">
        <f t="shared" si="222"/>
        <v>0</v>
      </c>
      <c r="M725" s="136">
        <f t="shared" si="222"/>
        <v>0</v>
      </c>
      <c r="N725" s="136">
        <f t="shared" si="222"/>
        <v>0</v>
      </c>
      <c r="O725" s="136">
        <f t="shared" si="222"/>
        <v>0</v>
      </c>
      <c r="P725" s="136">
        <f t="shared" si="222"/>
        <v>0</v>
      </c>
      <c r="Q725" s="136">
        <f t="shared" si="222"/>
        <v>0</v>
      </c>
      <c r="R725" s="136">
        <f t="shared" si="222"/>
        <v>0</v>
      </c>
      <c r="S725" s="136">
        <f t="shared" si="222"/>
        <v>0</v>
      </c>
      <c r="T725" s="136">
        <f t="shared" si="222"/>
        <v>0</v>
      </c>
      <c r="U725" s="136">
        <f t="shared" si="222"/>
        <v>0</v>
      </c>
      <c r="V725" s="136">
        <f t="shared" si="222"/>
        <v>0</v>
      </c>
      <c r="W725" s="136">
        <f t="shared" si="224"/>
        <v>0</v>
      </c>
      <c r="X725" s="136">
        <f t="shared" si="224"/>
        <v>0</v>
      </c>
      <c r="Y725" s="136">
        <f t="shared" si="223"/>
        <v>0</v>
      </c>
      <c r="Z725" s="136">
        <f t="shared" si="223"/>
        <v>0</v>
      </c>
      <c r="AA725" s="136">
        <f t="shared" si="223"/>
        <v>0</v>
      </c>
      <c r="AB725" s="136">
        <f t="shared" si="223"/>
        <v>0</v>
      </c>
      <c r="AC725" s="136">
        <f t="shared" si="223"/>
        <v>0</v>
      </c>
      <c r="AD725" s="136">
        <f t="shared" si="223"/>
        <v>0</v>
      </c>
      <c r="AE725" s="136">
        <f t="shared" si="223"/>
        <v>0</v>
      </c>
      <c r="AF725" s="136">
        <f t="shared" si="223"/>
        <v>0</v>
      </c>
      <c r="AG725" s="136">
        <f t="shared" si="223"/>
        <v>0</v>
      </c>
      <c r="AH725" s="136">
        <f t="shared" si="223"/>
        <v>0</v>
      </c>
      <c r="AI725" s="136">
        <f t="shared" si="223"/>
        <v>0</v>
      </c>
      <c r="AJ725" s="136">
        <f t="shared" si="223"/>
        <v>0</v>
      </c>
      <c r="AK725" s="136">
        <f t="shared" si="223"/>
        <v>0</v>
      </c>
      <c r="AL725" s="136">
        <f t="shared" si="223"/>
        <v>0</v>
      </c>
      <c r="AM725" s="136">
        <f t="shared" si="223"/>
        <v>0</v>
      </c>
      <c r="AN725" s="136">
        <f t="shared" si="223"/>
        <v>0</v>
      </c>
      <c r="AO725" s="136">
        <f t="shared" si="223"/>
        <v>0</v>
      </c>
      <c r="AP725" s="136">
        <f t="shared" si="223"/>
        <v>0</v>
      </c>
      <c r="AQ725" s="136">
        <f t="shared" si="223"/>
        <v>0</v>
      </c>
      <c r="AR725" s="136">
        <f t="shared" si="223"/>
        <v>0</v>
      </c>
      <c r="AS725" s="136">
        <f t="shared" si="223"/>
        <v>0</v>
      </c>
      <c r="AT725" s="136">
        <f t="shared" si="223"/>
        <v>0</v>
      </c>
      <c r="AU725" s="136">
        <f t="shared" si="223"/>
        <v>0</v>
      </c>
      <c r="AV725" s="136">
        <f t="shared" si="223"/>
        <v>0</v>
      </c>
      <c r="AW725" s="136">
        <f t="shared" si="223"/>
        <v>0</v>
      </c>
      <c r="AX725" s="136">
        <f t="shared" si="223"/>
        <v>0</v>
      </c>
      <c r="AY725" s="136">
        <f t="shared" si="223"/>
        <v>0</v>
      </c>
      <c r="AZ725" s="136">
        <f t="shared" si="223"/>
        <v>0</v>
      </c>
      <c r="BA725" s="136">
        <f t="shared" si="223"/>
        <v>0</v>
      </c>
      <c r="BB725" s="136">
        <f t="shared" si="223"/>
        <v>0</v>
      </c>
      <c r="BC725" s="136">
        <f t="shared" si="223"/>
        <v>0</v>
      </c>
      <c r="BD725" s="136">
        <f t="shared" si="223"/>
        <v>0</v>
      </c>
      <c r="BE725" s="136">
        <f t="shared" si="223"/>
        <v>0</v>
      </c>
      <c r="BF725" s="136">
        <f t="shared" si="223"/>
        <v>0</v>
      </c>
      <c r="BG725" s="136">
        <f t="shared" si="223"/>
        <v>0</v>
      </c>
      <c r="BH725" s="136">
        <f t="shared" si="223"/>
        <v>0</v>
      </c>
      <c r="BI725" s="136">
        <f t="shared" si="223"/>
        <v>0</v>
      </c>
      <c r="BJ725" s="136">
        <f t="shared" si="223"/>
        <v>0</v>
      </c>
      <c r="BK725" s="136">
        <f t="shared" si="223"/>
        <v>0</v>
      </c>
      <c r="BL725" s="136">
        <f t="shared" si="223"/>
        <v>0</v>
      </c>
      <c r="BM725" s="136">
        <f t="shared" si="223"/>
        <v>0</v>
      </c>
      <c r="BN725" s="136">
        <f t="shared" si="223"/>
        <v>0</v>
      </c>
      <c r="BO725" s="136">
        <f t="shared" si="223"/>
        <v>0</v>
      </c>
      <c r="BP725" s="136">
        <f t="shared" si="223"/>
        <v>0</v>
      </c>
      <c r="BQ725" s="136">
        <f t="shared" si="223"/>
        <v>0</v>
      </c>
      <c r="BR725" s="136">
        <f t="shared" si="219"/>
        <v>0</v>
      </c>
      <c r="BS725" s="136">
        <f t="shared" si="217"/>
        <v>0</v>
      </c>
      <c r="BT725" s="136">
        <f t="shared" si="217"/>
        <v>0</v>
      </c>
      <c r="BU725" s="136">
        <f t="shared" si="217"/>
        <v>0</v>
      </c>
      <c r="BV725" s="136">
        <f t="shared" si="217"/>
        <v>0</v>
      </c>
      <c r="BW725" s="136">
        <f t="shared" si="217"/>
        <v>0</v>
      </c>
      <c r="BX725" s="136">
        <f t="shared" si="217"/>
        <v>0</v>
      </c>
      <c r="BZ725" s="136">
        <f t="shared" si="218"/>
        <v>0</v>
      </c>
      <c r="CA725" s="136">
        <f t="shared" si="218"/>
        <v>0</v>
      </c>
    </row>
    <row r="726" spans="7:79" hidden="1" x14ac:dyDescent="0.3">
      <c r="G726" s="136">
        <f t="shared" si="222"/>
        <v>-185576</v>
      </c>
      <c r="H726" s="136">
        <f t="shared" si="222"/>
        <v>0</v>
      </c>
      <c r="I726" s="136">
        <f t="shared" si="222"/>
        <v>0</v>
      </c>
      <c r="J726" s="136">
        <f t="shared" si="222"/>
        <v>0</v>
      </c>
      <c r="K726" s="136">
        <f t="shared" si="222"/>
        <v>0</v>
      </c>
      <c r="L726" s="136">
        <f t="shared" si="222"/>
        <v>0</v>
      </c>
      <c r="M726" s="136">
        <f t="shared" si="222"/>
        <v>0</v>
      </c>
      <c r="N726" s="136">
        <f t="shared" si="222"/>
        <v>0</v>
      </c>
      <c r="O726" s="136">
        <f t="shared" si="222"/>
        <v>0</v>
      </c>
      <c r="P726" s="136">
        <f t="shared" si="222"/>
        <v>0</v>
      </c>
      <c r="Q726" s="136">
        <f t="shared" si="222"/>
        <v>0</v>
      </c>
      <c r="R726" s="136">
        <f t="shared" si="222"/>
        <v>0</v>
      </c>
      <c r="S726" s="136">
        <f t="shared" si="222"/>
        <v>0</v>
      </c>
      <c r="T726" s="136">
        <f t="shared" si="222"/>
        <v>0</v>
      </c>
      <c r="U726" s="136">
        <f t="shared" si="222"/>
        <v>0</v>
      </c>
      <c r="V726" s="136">
        <f t="shared" si="222"/>
        <v>0</v>
      </c>
      <c r="W726" s="136">
        <f t="shared" si="224"/>
        <v>0</v>
      </c>
      <c r="X726" s="136">
        <f t="shared" si="224"/>
        <v>0</v>
      </c>
      <c r="Y726" s="136">
        <f t="shared" si="223"/>
        <v>0</v>
      </c>
      <c r="Z726" s="136">
        <f t="shared" si="223"/>
        <v>0</v>
      </c>
      <c r="AA726" s="136">
        <f t="shared" si="223"/>
        <v>0</v>
      </c>
      <c r="AB726" s="136">
        <f t="shared" si="223"/>
        <v>0</v>
      </c>
      <c r="AC726" s="136">
        <f t="shared" si="223"/>
        <v>0</v>
      </c>
      <c r="AD726" s="136">
        <f t="shared" si="223"/>
        <v>0</v>
      </c>
      <c r="AE726" s="136">
        <f t="shared" si="223"/>
        <v>0</v>
      </c>
      <c r="AF726" s="136">
        <f t="shared" si="223"/>
        <v>0</v>
      </c>
      <c r="AG726" s="136">
        <f t="shared" si="223"/>
        <v>0</v>
      </c>
      <c r="AH726" s="136">
        <f t="shared" si="223"/>
        <v>0</v>
      </c>
      <c r="AI726" s="136">
        <f t="shared" si="223"/>
        <v>0</v>
      </c>
      <c r="AJ726" s="136">
        <f t="shared" si="223"/>
        <v>0</v>
      </c>
      <c r="AK726" s="136">
        <f t="shared" si="223"/>
        <v>0</v>
      </c>
      <c r="AL726" s="136">
        <f t="shared" si="223"/>
        <v>0</v>
      </c>
      <c r="AM726" s="136">
        <f t="shared" si="223"/>
        <v>0</v>
      </c>
      <c r="AN726" s="136">
        <f t="shared" si="223"/>
        <v>0</v>
      </c>
      <c r="AO726" s="136">
        <f t="shared" si="223"/>
        <v>0</v>
      </c>
      <c r="AP726" s="136">
        <f t="shared" si="223"/>
        <v>-55605</v>
      </c>
      <c r="AQ726" s="136">
        <f t="shared" si="223"/>
        <v>0</v>
      </c>
      <c r="AR726" s="136">
        <f t="shared" si="223"/>
        <v>0</v>
      </c>
      <c r="AS726" s="136">
        <f t="shared" si="223"/>
        <v>0</v>
      </c>
      <c r="AT726" s="136">
        <f t="shared" si="223"/>
        <v>0</v>
      </c>
      <c r="AU726" s="136">
        <f t="shared" si="223"/>
        <v>-129971</v>
      </c>
      <c r="AV726" s="136">
        <f t="shared" si="223"/>
        <v>0</v>
      </c>
      <c r="AW726" s="136">
        <f t="shared" si="223"/>
        <v>0</v>
      </c>
      <c r="AX726" s="136">
        <f t="shared" si="223"/>
        <v>0</v>
      </c>
      <c r="AY726" s="136">
        <f t="shared" si="223"/>
        <v>0</v>
      </c>
      <c r="AZ726" s="136">
        <f t="shared" si="223"/>
        <v>0</v>
      </c>
      <c r="BA726" s="136">
        <f t="shared" si="223"/>
        <v>0</v>
      </c>
      <c r="BB726" s="136">
        <f t="shared" si="223"/>
        <v>0</v>
      </c>
      <c r="BC726" s="136">
        <f t="shared" si="223"/>
        <v>0</v>
      </c>
      <c r="BD726" s="136">
        <f t="shared" si="223"/>
        <v>0</v>
      </c>
      <c r="BE726" s="136">
        <f t="shared" si="223"/>
        <v>0</v>
      </c>
      <c r="BF726" s="136">
        <f t="shared" si="223"/>
        <v>0</v>
      </c>
      <c r="BG726" s="136">
        <f t="shared" si="223"/>
        <v>0</v>
      </c>
      <c r="BH726" s="136">
        <f t="shared" si="223"/>
        <v>0</v>
      </c>
      <c r="BI726" s="136">
        <f t="shared" si="223"/>
        <v>0</v>
      </c>
      <c r="BJ726" s="136">
        <f t="shared" si="223"/>
        <v>0</v>
      </c>
      <c r="BK726" s="136">
        <f t="shared" si="223"/>
        <v>0</v>
      </c>
      <c r="BL726" s="136">
        <f t="shared" si="223"/>
        <v>0</v>
      </c>
      <c r="BM726" s="136">
        <f t="shared" si="223"/>
        <v>0</v>
      </c>
      <c r="BN726" s="136">
        <f t="shared" si="223"/>
        <v>0</v>
      </c>
      <c r="BO726" s="136">
        <f t="shared" si="223"/>
        <v>0</v>
      </c>
      <c r="BP726" s="136">
        <f t="shared" si="223"/>
        <v>0</v>
      </c>
      <c r="BQ726" s="136">
        <f t="shared" si="223"/>
        <v>0</v>
      </c>
      <c r="BR726" s="136">
        <f t="shared" si="219"/>
        <v>0</v>
      </c>
      <c r="BS726" s="136">
        <f t="shared" si="217"/>
        <v>0</v>
      </c>
      <c r="BT726" s="136">
        <f t="shared" si="217"/>
        <v>-185576</v>
      </c>
      <c r="BU726" s="136">
        <f t="shared" si="217"/>
        <v>0</v>
      </c>
      <c r="BV726" s="136">
        <f t="shared" si="217"/>
        <v>0</v>
      </c>
      <c r="BW726" s="136">
        <f t="shared" si="217"/>
        <v>0</v>
      </c>
      <c r="BX726" s="136">
        <f t="shared" si="217"/>
        <v>0</v>
      </c>
      <c r="BZ726" s="136">
        <f t="shared" si="218"/>
        <v>0</v>
      </c>
      <c r="CA726" s="136">
        <f t="shared" si="218"/>
        <v>0</v>
      </c>
    </row>
    <row r="727" spans="7:79" hidden="1" x14ac:dyDescent="0.3">
      <c r="G727" s="136">
        <f t="shared" si="222"/>
        <v>-185576</v>
      </c>
      <c r="H727" s="136">
        <f t="shared" si="222"/>
        <v>0</v>
      </c>
      <c r="I727" s="136">
        <f t="shared" si="222"/>
        <v>0</v>
      </c>
      <c r="J727" s="136">
        <f t="shared" si="222"/>
        <v>0</v>
      </c>
      <c r="K727" s="136">
        <f t="shared" si="222"/>
        <v>0</v>
      </c>
      <c r="L727" s="136">
        <f t="shared" si="222"/>
        <v>0</v>
      </c>
      <c r="M727" s="136">
        <f t="shared" si="222"/>
        <v>0</v>
      </c>
      <c r="N727" s="136">
        <f t="shared" si="222"/>
        <v>0</v>
      </c>
      <c r="O727" s="136">
        <f t="shared" si="222"/>
        <v>0</v>
      </c>
      <c r="P727" s="136">
        <f t="shared" si="222"/>
        <v>0</v>
      </c>
      <c r="Q727" s="136">
        <f t="shared" si="222"/>
        <v>0</v>
      </c>
      <c r="R727" s="136">
        <f t="shared" si="222"/>
        <v>0</v>
      </c>
      <c r="S727" s="136">
        <f t="shared" si="222"/>
        <v>0</v>
      </c>
      <c r="T727" s="136">
        <f t="shared" si="222"/>
        <v>0</v>
      </c>
      <c r="U727" s="136">
        <f t="shared" si="222"/>
        <v>0</v>
      </c>
      <c r="V727" s="136">
        <f t="shared" si="222"/>
        <v>0</v>
      </c>
      <c r="W727" s="136">
        <f t="shared" si="224"/>
        <v>0</v>
      </c>
      <c r="X727" s="136">
        <f t="shared" si="224"/>
        <v>0</v>
      </c>
      <c r="Y727" s="136">
        <f t="shared" si="223"/>
        <v>0</v>
      </c>
      <c r="Z727" s="136">
        <f t="shared" si="223"/>
        <v>0</v>
      </c>
      <c r="AA727" s="136">
        <f t="shared" si="223"/>
        <v>0</v>
      </c>
      <c r="AB727" s="136">
        <f t="shared" si="223"/>
        <v>0</v>
      </c>
      <c r="AC727" s="136">
        <f t="shared" si="223"/>
        <v>0</v>
      </c>
      <c r="AD727" s="136">
        <f t="shared" si="223"/>
        <v>0</v>
      </c>
      <c r="AE727" s="136">
        <f t="shared" si="223"/>
        <v>0</v>
      </c>
      <c r="AF727" s="136">
        <f t="shared" si="223"/>
        <v>0</v>
      </c>
      <c r="AG727" s="136">
        <f t="shared" si="223"/>
        <v>0</v>
      </c>
      <c r="AH727" s="136">
        <f t="shared" si="223"/>
        <v>0</v>
      </c>
      <c r="AI727" s="136">
        <f t="shared" si="223"/>
        <v>0</v>
      </c>
      <c r="AJ727" s="136">
        <f t="shared" si="223"/>
        <v>0</v>
      </c>
      <c r="AK727" s="136">
        <f t="shared" si="223"/>
        <v>0</v>
      </c>
      <c r="AL727" s="136">
        <f t="shared" si="223"/>
        <v>0</v>
      </c>
      <c r="AM727" s="136">
        <f t="shared" si="223"/>
        <v>0</v>
      </c>
      <c r="AN727" s="136">
        <f t="shared" si="223"/>
        <v>0</v>
      </c>
      <c r="AO727" s="136">
        <f t="shared" si="223"/>
        <v>0</v>
      </c>
      <c r="AP727" s="136">
        <f t="shared" si="223"/>
        <v>-55605</v>
      </c>
      <c r="AQ727" s="136">
        <f t="shared" si="223"/>
        <v>0</v>
      </c>
      <c r="AR727" s="136">
        <f t="shared" si="223"/>
        <v>0</v>
      </c>
      <c r="AS727" s="136">
        <f t="shared" si="223"/>
        <v>0</v>
      </c>
      <c r="AT727" s="136">
        <f t="shared" si="223"/>
        <v>0</v>
      </c>
      <c r="AU727" s="136">
        <f t="shared" si="223"/>
        <v>-129971</v>
      </c>
      <c r="AV727" s="136">
        <f t="shared" si="223"/>
        <v>0</v>
      </c>
      <c r="AW727" s="136">
        <f t="shared" si="223"/>
        <v>0</v>
      </c>
      <c r="AX727" s="136">
        <f t="shared" si="223"/>
        <v>0</v>
      </c>
      <c r="AY727" s="136">
        <f t="shared" si="223"/>
        <v>0</v>
      </c>
      <c r="AZ727" s="136">
        <f t="shared" si="223"/>
        <v>0</v>
      </c>
      <c r="BA727" s="136">
        <f t="shared" si="223"/>
        <v>0</v>
      </c>
      <c r="BB727" s="136">
        <f t="shared" si="223"/>
        <v>0</v>
      </c>
      <c r="BC727" s="136">
        <f t="shared" si="223"/>
        <v>0</v>
      </c>
      <c r="BD727" s="136">
        <f t="shared" si="223"/>
        <v>0</v>
      </c>
      <c r="BE727" s="136">
        <f t="shared" si="223"/>
        <v>0</v>
      </c>
      <c r="BF727" s="136">
        <f t="shared" si="223"/>
        <v>0</v>
      </c>
      <c r="BG727" s="136">
        <f t="shared" si="223"/>
        <v>0</v>
      </c>
      <c r="BH727" s="136">
        <f t="shared" si="223"/>
        <v>0</v>
      </c>
      <c r="BI727" s="136">
        <f t="shared" si="223"/>
        <v>0</v>
      </c>
      <c r="BJ727" s="136">
        <f t="shared" si="223"/>
        <v>0</v>
      </c>
      <c r="BK727" s="136">
        <f t="shared" si="223"/>
        <v>0</v>
      </c>
      <c r="BL727" s="136">
        <f t="shared" si="223"/>
        <v>0</v>
      </c>
      <c r="BM727" s="136">
        <f t="shared" si="223"/>
        <v>0</v>
      </c>
      <c r="BN727" s="136">
        <f t="shared" si="223"/>
        <v>0</v>
      </c>
      <c r="BO727" s="136">
        <f t="shared" si="223"/>
        <v>0</v>
      </c>
      <c r="BP727" s="136">
        <f t="shared" si="223"/>
        <v>0</v>
      </c>
      <c r="BQ727" s="136">
        <f t="shared" si="223"/>
        <v>0</v>
      </c>
      <c r="BR727" s="136">
        <f t="shared" si="219"/>
        <v>0</v>
      </c>
      <c r="BS727" s="136">
        <f t="shared" si="219"/>
        <v>0</v>
      </c>
      <c r="BT727" s="136">
        <f t="shared" si="219"/>
        <v>-185576</v>
      </c>
      <c r="BU727" s="136">
        <f t="shared" si="219"/>
        <v>0</v>
      </c>
      <c r="BV727" s="136">
        <f t="shared" si="219"/>
        <v>0</v>
      </c>
      <c r="BW727" s="136">
        <f t="shared" si="219"/>
        <v>0</v>
      </c>
      <c r="BX727" s="136">
        <f t="shared" si="219"/>
        <v>0</v>
      </c>
      <c r="BZ727" s="136">
        <f t="shared" ref="BZ727:CA733" si="225">BZ371-ER371</f>
        <v>0</v>
      </c>
      <c r="CA727" s="136">
        <f t="shared" si="225"/>
        <v>0</v>
      </c>
    </row>
    <row r="728" spans="7:79" hidden="1" x14ac:dyDescent="0.3">
      <c r="G728" s="136">
        <f t="shared" si="222"/>
        <v>0</v>
      </c>
      <c r="H728" s="136">
        <f t="shared" si="222"/>
        <v>0</v>
      </c>
      <c r="I728" s="136">
        <f t="shared" si="222"/>
        <v>0</v>
      </c>
      <c r="J728" s="136">
        <f t="shared" si="222"/>
        <v>0</v>
      </c>
      <c r="K728" s="136">
        <f t="shared" si="222"/>
        <v>0</v>
      </c>
      <c r="L728" s="136">
        <f t="shared" si="222"/>
        <v>0</v>
      </c>
      <c r="M728" s="136">
        <f t="shared" si="222"/>
        <v>0</v>
      </c>
      <c r="N728" s="136">
        <f t="shared" si="222"/>
        <v>0</v>
      </c>
      <c r="O728" s="136">
        <f t="shared" si="222"/>
        <v>0</v>
      </c>
      <c r="P728" s="136">
        <f t="shared" si="222"/>
        <v>0</v>
      </c>
      <c r="Q728" s="136">
        <f t="shared" si="222"/>
        <v>0</v>
      </c>
      <c r="R728" s="136">
        <f t="shared" si="222"/>
        <v>0</v>
      </c>
      <c r="S728" s="136">
        <f t="shared" si="222"/>
        <v>0</v>
      </c>
      <c r="T728" s="136">
        <f t="shared" si="222"/>
        <v>0</v>
      </c>
      <c r="U728" s="136">
        <f t="shared" si="222"/>
        <v>0</v>
      </c>
      <c r="V728" s="136">
        <f t="shared" si="222"/>
        <v>0</v>
      </c>
      <c r="W728" s="136">
        <f t="shared" si="224"/>
        <v>0</v>
      </c>
      <c r="X728" s="136">
        <f t="shared" si="224"/>
        <v>0</v>
      </c>
      <c r="Y728" s="136">
        <f t="shared" si="223"/>
        <v>0</v>
      </c>
      <c r="Z728" s="136">
        <f t="shared" si="223"/>
        <v>0</v>
      </c>
      <c r="AA728" s="136">
        <f t="shared" si="223"/>
        <v>0</v>
      </c>
      <c r="AB728" s="136">
        <f t="shared" si="223"/>
        <v>0</v>
      </c>
      <c r="AC728" s="136">
        <f t="shared" si="223"/>
        <v>0</v>
      </c>
      <c r="AD728" s="136">
        <f t="shared" si="223"/>
        <v>0</v>
      </c>
      <c r="AE728" s="136">
        <f t="shared" si="223"/>
        <v>0</v>
      </c>
      <c r="AF728" s="136">
        <f t="shared" si="223"/>
        <v>0</v>
      </c>
      <c r="AG728" s="136">
        <f t="shared" si="223"/>
        <v>0</v>
      </c>
      <c r="AH728" s="136">
        <f t="shared" si="223"/>
        <v>0</v>
      </c>
      <c r="AI728" s="136">
        <f t="shared" si="223"/>
        <v>0</v>
      </c>
      <c r="AJ728" s="136">
        <f t="shared" si="223"/>
        <v>0</v>
      </c>
      <c r="AK728" s="136">
        <f t="shared" si="223"/>
        <v>0</v>
      </c>
      <c r="AL728" s="136">
        <f t="shared" si="223"/>
        <v>0</v>
      </c>
      <c r="AM728" s="136">
        <f t="shared" si="223"/>
        <v>0</v>
      </c>
      <c r="AN728" s="136">
        <f t="shared" si="223"/>
        <v>0</v>
      </c>
      <c r="AO728" s="136">
        <f t="shared" si="223"/>
        <v>0</v>
      </c>
      <c r="AP728" s="136">
        <f t="shared" si="223"/>
        <v>0</v>
      </c>
      <c r="AQ728" s="136">
        <f t="shared" si="223"/>
        <v>0</v>
      </c>
      <c r="AR728" s="136">
        <f t="shared" si="223"/>
        <v>0</v>
      </c>
      <c r="AS728" s="136">
        <f t="shared" si="223"/>
        <v>0</v>
      </c>
      <c r="AT728" s="136">
        <f t="shared" si="223"/>
        <v>0</v>
      </c>
      <c r="AU728" s="136">
        <f t="shared" si="223"/>
        <v>0</v>
      </c>
      <c r="AV728" s="136">
        <f t="shared" si="223"/>
        <v>0</v>
      </c>
      <c r="AW728" s="136">
        <f t="shared" si="223"/>
        <v>0</v>
      </c>
      <c r="AX728" s="136">
        <f t="shared" si="223"/>
        <v>0</v>
      </c>
      <c r="AY728" s="136">
        <f t="shared" si="223"/>
        <v>0</v>
      </c>
      <c r="AZ728" s="136">
        <f t="shared" si="223"/>
        <v>0</v>
      </c>
      <c r="BA728" s="136">
        <f t="shared" si="223"/>
        <v>0</v>
      </c>
      <c r="BB728" s="136">
        <f t="shared" si="223"/>
        <v>0</v>
      </c>
      <c r="BC728" s="136">
        <f t="shared" ref="BC728:BR733" si="226">BC372-DU372</f>
        <v>0</v>
      </c>
      <c r="BD728" s="136">
        <f t="shared" si="226"/>
        <v>0</v>
      </c>
      <c r="BE728" s="136">
        <f t="shared" si="226"/>
        <v>0</v>
      </c>
      <c r="BF728" s="136">
        <f t="shared" si="226"/>
        <v>0</v>
      </c>
      <c r="BG728" s="136">
        <f t="shared" si="226"/>
        <v>0</v>
      </c>
      <c r="BH728" s="136">
        <f t="shared" si="226"/>
        <v>0</v>
      </c>
      <c r="BI728" s="136">
        <f t="shared" si="226"/>
        <v>0</v>
      </c>
      <c r="BJ728" s="136">
        <f t="shared" si="226"/>
        <v>0</v>
      </c>
      <c r="BK728" s="136">
        <f t="shared" si="226"/>
        <v>0</v>
      </c>
      <c r="BL728" s="136">
        <f t="shared" si="226"/>
        <v>0</v>
      </c>
      <c r="BM728" s="136">
        <f t="shared" si="226"/>
        <v>0</v>
      </c>
      <c r="BN728" s="136">
        <f t="shared" si="226"/>
        <v>0</v>
      </c>
      <c r="BO728" s="136">
        <f t="shared" si="226"/>
        <v>0</v>
      </c>
      <c r="BP728" s="136">
        <f t="shared" si="226"/>
        <v>0</v>
      </c>
      <c r="BQ728" s="136">
        <f t="shared" si="226"/>
        <v>0</v>
      </c>
      <c r="BR728" s="136">
        <f t="shared" si="219"/>
        <v>0</v>
      </c>
      <c r="BS728" s="136">
        <f t="shared" si="219"/>
        <v>0</v>
      </c>
      <c r="BT728" s="136">
        <f t="shared" si="219"/>
        <v>0</v>
      </c>
      <c r="BU728" s="136">
        <f t="shared" si="219"/>
        <v>0</v>
      </c>
      <c r="BV728" s="136">
        <f t="shared" si="219"/>
        <v>0</v>
      </c>
      <c r="BW728" s="136">
        <f t="shared" si="219"/>
        <v>0</v>
      </c>
      <c r="BX728" s="136">
        <f t="shared" si="219"/>
        <v>0</v>
      </c>
      <c r="BZ728" s="136">
        <f t="shared" si="225"/>
        <v>0</v>
      </c>
      <c r="CA728" s="136">
        <f t="shared" si="225"/>
        <v>0</v>
      </c>
    </row>
    <row r="729" spans="7:79" hidden="1" x14ac:dyDescent="0.3">
      <c r="G729" s="136">
        <f t="shared" si="222"/>
        <v>36176</v>
      </c>
      <c r="H729" s="136">
        <f t="shared" si="222"/>
        <v>0</v>
      </c>
      <c r="I729" s="136">
        <f t="shared" si="222"/>
        <v>0</v>
      </c>
      <c r="J729" s="136">
        <f t="shared" si="222"/>
        <v>0</v>
      </c>
      <c r="K729" s="136">
        <f t="shared" si="222"/>
        <v>0</v>
      </c>
      <c r="L729" s="136">
        <f t="shared" si="222"/>
        <v>0</v>
      </c>
      <c r="M729" s="136">
        <f t="shared" si="222"/>
        <v>0</v>
      </c>
      <c r="N729" s="136">
        <f t="shared" si="222"/>
        <v>0</v>
      </c>
      <c r="O729" s="136">
        <f t="shared" si="222"/>
        <v>0</v>
      </c>
      <c r="P729" s="136">
        <f t="shared" si="222"/>
        <v>0</v>
      </c>
      <c r="Q729" s="136">
        <f t="shared" si="222"/>
        <v>46261</v>
      </c>
      <c r="R729" s="136">
        <f t="shared" si="222"/>
        <v>0</v>
      </c>
      <c r="S729" s="136">
        <f t="shared" si="222"/>
        <v>0</v>
      </c>
      <c r="T729" s="136">
        <f t="shared" si="222"/>
        <v>0</v>
      </c>
      <c r="U729" s="136">
        <f t="shared" si="222"/>
        <v>0</v>
      </c>
      <c r="V729" s="136">
        <f t="shared" si="222"/>
        <v>46376</v>
      </c>
      <c r="W729" s="136">
        <f t="shared" si="224"/>
        <v>0</v>
      </c>
      <c r="X729" s="136">
        <f t="shared" si="224"/>
        <v>0</v>
      </c>
      <c r="Y729" s="136">
        <f t="shared" si="224"/>
        <v>0</v>
      </c>
      <c r="Z729" s="136">
        <f t="shared" si="224"/>
        <v>0</v>
      </c>
      <c r="AA729" s="136">
        <f t="shared" si="224"/>
        <v>0</v>
      </c>
      <c r="AB729" s="136">
        <f t="shared" si="224"/>
        <v>0</v>
      </c>
      <c r="AC729" s="136">
        <f t="shared" si="224"/>
        <v>0</v>
      </c>
      <c r="AD729" s="136">
        <f t="shared" si="224"/>
        <v>0</v>
      </c>
      <c r="AE729" s="136">
        <f t="shared" si="224"/>
        <v>0</v>
      </c>
      <c r="AF729" s="136">
        <f t="shared" si="224"/>
        <v>0</v>
      </c>
      <c r="AG729" s="136">
        <f t="shared" si="224"/>
        <v>0</v>
      </c>
      <c r="AH729" s="136">
        <f t="shared" si="224"/>
        <v>0</v>
      </c>
      <c r="AI729" s="136">
        <f t="shared" si="224"/>
        <v>0</v>
      </c>
      <c r="AJ729" s="136">
        <f t="shared" si="224"/>
        <v>0</v>
      </c>
      <c r="AK729" s="136">
        <f t="shared" si="224"/>
        <v>0</v>
      </c>
      <c r="AL729" s="136">
        <f t="shared" si="224"/>
        <v>0</v>
      </c>
      <c r="AM729" s="136">
        <f t="shared" ref="AM729:BB733" si="227">AM373-DE373</f>
        <v>0</v>
      </c>
      <c r="AN729" s="136">
        <f t="shared" si="227"/>
        <v>0</v>
      </c>
      <c r="AO729" s="136">
        <f t="shared" si="227"/>
        <v>0</v>
      </c>
      <c r="AP729" s="136">
        <f t="shared" si="227"/>
        <v>0</v>
      </c>
      <c r="AQ729" s="136">
        <f t="shared" si="227"/>
        <v>0</v>
      </c>
      <c r="AR729" s="136">
        <f t="shared" si="227"/>
        <v>0</v>
      </c>
      <c r="AS729" s="136">
        <f t="shared" si="227"/>
        <v>0</v>
      </c>
      <c r="AT729" s="136">
        <f t="shared" si="227"/>
        <v>0</v>
      </c>
      <c r="AU729" s="136">
        <f t="shared" si="227"/>
        <v>0</v>
      </c>
      <c r="AV729" s="136">
        <f t="shared" si="227"/>
        <v>0</v>
      </c>
      <c r="AW729" s="136">
        <f t="shared" si="227"/>
        <v>0</v>
      </c>
      <c r="AX729" s="136">
        <f t="shared" si="227"/>
        <v>0</v>
      </c>
      <c r="AY729" s="136">
        <f t="shared" si="227"/>
        <v>0</v>
      </c>
      <c r="AZ729" s="136">
        <f t="shared" si="227"/>
        <v>0</v>
      </c>
      <c r="BA729" s="136">
        <f t="shared" si="227"/>
        <v>0</v>
      </c>
      <c r="BB729" s="136">
        <f t="shared" si="227"/>
        <v>0</v>
      </c>
      <c r="BC729" s="136">
        <f t="shared" si="226"/>
        <v>0</v>
      </c>
      <c r="BD729" s="136">
        <f t="shared" si="226"/>
        <v>0</v>
      </c>
      <c r="BE729" s="136">
        <f t="shared" si="226"/>
        <v>0</v>
      </c>
      <c r="BF729" s="136">
        <f t="shared" si="226"/>
        <v>0</v>
      </c>
      <c r="BG729" s="136">
        <f t="shared" si="226"/>
        <v>0</v>
      </c>
      <c r="BH729" s="136">
        <f t="shared" si="226"/>
        <v>0</v>
      </c>
      <c r="BI729" s="136">
        <f t="shared" si="226"/>
        <v>0</v>
      </c>
      <c r="BJ729" s="136">
        <f t="shared" si="226"/>
        <v>0</v>
      </c>
      <c r="BK729" s="136">
        <f t="shared" si="226"/>
        <v>0</v>
      </c>
      <c r="BL729" s="136">
        <f t="shared" si="226"/>
        <v>0</v>
      </c>
      <c r="BM729" s="136">
        <f t="shared" si="226"/>
        <v>0</v>
      </c>
      <c r="BN729" s="136">
        <f t="shared" si="226"/>
        <v>0</v>
      </c>
      <c r="BO729" s="136">
        <f t="shared" si="226"/>
        <v>-56461</v>
      </c>
      <c r="BP729" s="136">
        <f t="shared" si="226"/>
        <v>0</v>
      </c>
      <c r="BQ729" s="136">
        <f t="shared" si="226"/>
        <v>0</v>
      </c>
      <c r="BR729" s="136">
        <f t="shared" si="219"/>
        <v>0</v>
      </c>
      <c r="BS729" s="136">
        <f t="shared" si="219"/>
        <v>0</v>
      </c>
      <c r="BT729" s="136">
        <f t="shared" si="219"/>
        <v>92637</v>
      </c>
      <c r="BU729" s="136">
        <f t="shared" si="219"/>
        <v>0</v>
      </c>
      <c r="BV729" s="136">
        <f t="shared" si="219"/>
        <v>0</v>
      </c>
      <c r="BW729" s="136">
        <f t="shared" si="219"/>
        <v>0</v>
      </c>
      <c r="BX729" s="136">
        <f t="shared" si="219"/>
        <v>0</v>
      </c>
      <c r="BZ729" s="136">
        <f t="shared" si="225"/>
        <v>0</v>
      </c>
      <c r="CA729" s="136">
        <f t="shared" si="225"/>
        <v>0</v>
      </c>
    </row>
    <row r="730" spans="7:79" hidden="1" x14ac:dyDescent="0.3">
      <c r="G730" s="136">
        <f t="shared" si="222"/>
        <v>36176</v>
      </c>
      <c r="H730" s="136">
        <f t="shared" si="222"/>
        <v>0</v>
      </c>
      <c r="I730" s="136">
        <f t="shared" si="222"/>
        <v>0</v>
      </c>
      <c r="J730" s="136">
        <f t="shared" si="222"/>
        <v>0</v>
      </c>
      <c r="K730" s="136">
        <f t="shared" si="222"/>
        <v>0</v>
      </c>
      <c r="L730" s="136">
        <f t="shared" si="222"/>
        <v>0</v>
      </c>
      <c r="M730" s="136">
        <f t="shared" si="222"/>
        <v>0</v>
      </c>
      <c r="N730" s="136">
        <f t="shared" si="222"/>
        <v>0</v>
      </c>
      <c r="O730" s="136">
        <f t="shared" si="222"/>
        <v>0</v>
      </c>
      <c r="P730" s="136">
        <f t="shared" si="222"/>
        <v>0</v>
      </c>
      <c r="Q730" s="136">
        <f t="shared" si="222"/>
        <v>46261</v>
      </c>
      <c r="R730" s="136">
        <f t="shared" si="222"/>
        <v>0</v>
      </c>
      <c r="S730" s="136">
        <f t="shared" si="222"/>
        <v>0</v>
      </c>
      <c r="T730" s="136">
        <f t="shared" si="222"/>
        <v>0</v>
      </c>
      <c r="U730" s="136">
        <f t="shared" si="222"/>
        <v>0</v>
      </c>
      <c r="V730" s="136">
        <f t="shared" si="222"/>
        <v>46376</v>
      </c>
      <c r="W730" s="136">
        <f t="shared" si="224"/>
        <v>0</v>
      </c>
      <c r="X730" s="136">
        <f t="shared" si="224"/>
        <v>0</v>
      </c>
      <c r="Y730" s="136">
        <f t="shared" si="224"/>
        <v>0</v>
      </c>
      <c r="Z730" s="136">
        <f t="shared" si="224"/>
        <v>0</v>
      </c>
      <c r="AA730" s="136">
        <f t="shared" si="224"/>
        <v>0</v>
      </c>
      <c r="AB730" s="136">
        <f t="shared" si="224"/>
        <v>0</v>
      </c>
      <c r="AC730" s="136">
        <f t="shared" si="224"/>
        <v>0</v>
      </c>
      <c r="AD730" s="136">
        <f t="shared" si="224"/>
        <v>0</v>
      </c>
      <c r="AE730" s="136">
        <f t="shared" si="224"/>
        <v>0</v>
      </c>
      <c r="AF730" s="136">
        <f t="shared" si="224"/>
        <v>0</v>
      </c>
      <c r="AG730" s="136">
        <f t="shared" si="224"/>
        <v>0</v>
      </c>
      <c r="AH730" s="136">
        <f t="shared" si="224"/>
        <v>0</v>
      </c>
      <c r="AI730" s="136">
        <f t="shared" si="224"/>
        <v>0</v>
      </c>
      <c r="AJ730" s="136">
        <f t="shared" si="224"/>
        <v>0</v>
      </c>
      <c r="AK730" s="136">
        <f t="shared" si="224"/>
        <v>0</v>
      </c>
      <c r="AL730" s="136">
        <f t="shared" si="224"/>
        <v>0</v>
      </c>
      <c r="AM730" s="136">
        <f t="shared" si="227"/>
        <v>0</v>
      </c>
      <c r="AN730" s="136">
        <f t="shared" si="227"/>
        <v>0</v>
      </c>
      <c r="AO730" s="136">
        <f t="shared" si="227"/>
        <v>0</v>
      </c>
      <c r="AP730" s="136">
        <f t="shared" si="227"/>
        <v>0</v>
      </c>
      <c r="AQ730" s="136">
        <f t="shared" si="227"/>
        <v>0</v>
      </c>
      <c r="AR730" s="136">
        <f t="shared" si="227"/>
        <v>0</v>
      </c>
      <c r="AS730" s="136">
        <f t="shared" si="227"/>
        <v>0</v>
      </c>
      <c r="AT730" s="136">
        <f t="shared" si="227"/>
        <v>0</v>
      </c>
      <c r="AU730" s="136">
        <f t="shared" si="227"/>
        <v>0</v>
      </c>
      <c r="AV730" s="136">
        <f t="shared" si="227"/>
        <v>0</v>
      </c>
      <c r="AW730" s="136">
        <f t="shared" si="227"/>
        <v>0</v>
      </c>
      <c r="AX730" s="136">
        <f t="shared" si="227"/>
        <v>0</v>
      </c>
      <c r="AY730" s="136">
        <f t="shared" si="227"/>
        <v>0</v>
      </c>
      <c r="AZ730" s="136">
        <f t="shared" si="227"/>
        <v>0</v>
      </c>
      <c r="BA730" s="136">
        <f t="shared" si="227"/>
        <v>0</v>
      </c>
      <c r="BB730" s="136">
        <f t="shared" si="227"/>
        <v>0</v>
      </c>
      <c r="BC730" s="136">
        <f t="shared" si="226"/>
        <v>0</v>
      </c>
      <c r="BD730" s="136">
        <f t="shared" si="226"/>
        <v>0</v>
      </c>
      <c r="BE730" s="136">
        <f t="shared" si="226"/>
        <v>0</v>
      </c>
      <c r="BF730" s="136">
        <f t="shared" si="226"/>
        <v>0</v>
      </c>
      <c r="BG730" s="136">
        <f t="shared" si="226"/>
        <v>0</v>
      </c>
      <c r="BH730" s="136">
        <f t="shared" si="226"/>
        <v>0</v>
      </c>
      <c r="BI730" s="136">
        <f t="shared" si="226"/>
        <v>0</v>
      </c>
      <c r="BJ730" s="136">
        <f t="shared" si="226"/>
        <v>0</v>
      </c>
      <c r="BK730" s="136">
        <f t="shared" si="226"/>
        <v>0</v>
      </c>
      <c r="BL730" s="136">
        <f t="shared" si="226"/>
        <v>0</v>
      </c>
      <c r="BM730" s="136">
        <f t="shared" si="226"/>
        <v>0</v>
      </c>
      <c r="BN730" s="136">
        <f t="shared" si="226"/>
        <v>0</v>
      </c>
      <c r="BO730" s="136">
        <f t="shared" si="226"/>
        <v>-56461</v>
      </c>
      <c r="BP730" s="136">
        <f t="shared" si="226"/>
        <v>0</v>
      </c>
      <c r="BQ730" s="136">
        <f t="shared" si="226"/>
        <v>0</v>
      </c>
      <c r="BR730" s="136">
        <f t="shared" si="226"/>
        <v>0</v>
      </c>
      <c r="BS730" s="136">
        <f t="shared" ref="BS730:BX733" si="228">BS374-EK374</f>
        <v>0</v>
      </c>
      <c r="BT730" s="136">
        <f t="shared" si="228"/>
        <v>92637</v>
      </c>
      <c r="BU730" s="136">
        <f t="shared" si="228"/>
        <v>0</v>
      </c>
      <c r="BV730" s="136">
        <f t="shared" si="228"/>
        <v>0</v>
      </c>
      <c r="BW730" s="136">
        <f t="shared" si="228"/>
        <v>0</v>
      </c>
      <c r="BX730" s="136">
        <f t="shared" si="228"/>
        <v>0</v>
      </c>
      <c r="BZ730" s="136">
        <f t="shared" si="225"/>
        <v>0</v>
      </c>
      <c r="CA730" s="136">
        <f t="shared" si="225"/>
        <v>0</v>
      </c>
    </row>
    <row r="731" spans="7:79" hidden="1" x14ac:dyDescent="0.3">
      <c r="G731" s="136">
        <f t="shared" si="222"/>
        <v>0</v>
      </c>
      <c r="H731" s="136">
        <f t="shared" si="222"/>
        <v>0</v>
      </c>
      <c r="I731" s="136">
        <f t="shared" si="222"/>
        <v>0</v>
      </c>
      <c r="J731" s="136">
        <f t="shared" si="222"/>
        <v>0</v>
      </c>
      <c r="K731" s="136">
        <f t="shared" si="222"/>
        <v>0</v>
      </c>
      <c r="L731" s="136">
        <f t="shared" si="222"/>
        <v>0</v>
      </c>
      <c r="M731" s="136">
        <f t="shared" si="222"/>
        <v>0</v>
      </c>
      <c r="N731" s="136">
        <f t="shared" si="222"/>
        <v>0</v>
      </c>
      <c r="O731" s="136">
        <f t="shared" si="222"/>
        <v>0</v>
      </c>
      <c r="P731" s="136">
        <f t="shared" si="222"/>
        <v>0</v>
      </c>
      <c r="Q731" s="136">
        <f t="shared" si="222"/>
        <v>0</v>
      </c>
      <c r="R731" s="136">
        <f t="shared" si="222"/>
        <v>0</v>
      </c>
      <c r="S731" s="136">
        <f t="shared" si="222"/>
        <v>0</v>
      </c>
      <c r="T731" s="136">
        <f t="shared" si="222"/>
        <v>0</v>
      </c>
      <c r="U731" s="136">
        <f t="shared" si="222"/>
        <v>0</v>
      </c>
      <c r="V731" s="136">
        <f t="shared" si="222"/>
        <v>0</v>
      </c>
      <c r="W731" s="136">
        <f t="shared" si="224"/>
        <v>0</v>
      </c>
      <c r="X731" s="136">
        <f t="shared" si="224"/>
        <v>0</v>
      </c>
      <c r="Y731" s="136">
        <f t="shared" si="224"/>
        <v>0</v>
      </c>
      <c r="Z731" s="136">
        <f t="shared" si="224"/>
        <v>0</v>
      </c>
      <c r="AA731" s="136">
        <f t="shared" si="224"/>
        <v>0</v>
      </c>
      <c r="AB731" s="136">
        <f t="shared" si="224"/>
        <v>0</v>
      </c>
      <c r="AC731" s="136">
        <f t="shared" si="224"/>
        <v>0</v>
      </c>
      <c r="AD731" s="136">
        <f t="shared" si="224"/>
        <v>0</v>
      </c>
      <c r="AE731" s="136">
        <f t="shared" si="224"/>
        <v>0</v>
      </c>
      <c r="AF731" s="136">
        <f t="shared" si="224"/>
        <v>0</v>
      </c>
      <c r="AG731" s="136">
        <f t="shared" si="224"/>
        <v>0</v>
      </c>
      <c r="AH731" s="136">
        <f t="shared" si="224"/>
        <v>0</v>
      </c>
      <c r="AI731" s="136">
        <f t="shared" si="224"/>
        <v>0</v>
      </c>
      <c r="AJ731" s="136">
        <f t="shared" si="224"/>
        <v>0</v>
      </c>
      <c r="AK731" s="136">
        <f t="shared" si="224"/>
        <v>0</v>
      </c>
      <c r="AL731" s="136">
        <f t="shared" si="224"/>
        <v>0</v>
      </c>
      <c r="AM731" s="136">
        <f t="shared" si="227"/>
        <v>0</v>
      </c>
      <c r="AN731" s="136">
        <f t="shared" si="227"/>
        <v>0</v>
      </c>
      <c r="AO731" s="136">
        <f t="shared" si="227"/>
        <v>0</v>
      </c>
      <c r="AP731" s="136">
        <f t="shared" si="227"/>
        <v>0</v>
      </c>
      <c r="AQ731" s="136">
        <f t="shared" si="227"/>
        <v>0</v>
      </c>
      <c r="AR731" s="136">
        <f t="shared" si="227"/>
        <v>0</v>
      </c>
      <c r="AS731" s="136">
        <f t="shared" si="227"/>
        <v>0</v>
      </c>
      <c r="AT731" s="136">
        <f t="shared" si="227"/>
        <v>0</v>
      </c>
      <c r="AU731" s="136">
        <f t="shared" si="227"/>
        <v>0</v>
      </c>
      <c r="AV731" s="136">
        <f t="shared" si="227"/>
        <v>0</v>
      </c>
      <c r="AW731" s="136">
        <f t="shared" si="227"/>
        <v>0</v>
      </c>
      <c r="AX731" s="136">
        <f t="shared" si="227"/>
        <v>0</v>
      </c>
      <c r="AY731" s="136">
        <f t="shared" si="227"/>
        <v>0</v>
      </c>
      <c r="AZ731" s="136">
        <f t="shared" si="227"/>
        <v>0</v>
      </c>
      <c r="BA731" s="136">
        <f t="shared" si="227"/>
        <v>0</v>
      </c>
      <c r="BB731" s="136">
        <f t="shared" si="227"/>
        <v>0</v>
      </c>
      <c r="BC731" s="136">
        <f t="shared" si="226"/>
        <v>0</v>
      </c>
      <c r="BD731" s="136">
        <f t="shared" si="226"/>
        <v>0</v>
      </c>
      <c r="BE731" s="136">
        <f t="shared" si="226"/>
        <v>0</v>
      </c>
      <c r="BF731" s="136">
        <f t="shared" si="226"/>
        <v>0</v>
      </c>
      <c r="BG731" s="136">
        <f t="shared" si="226"/>
        <v>0</v>
      </c>
      <c r="BH731" s="136">
        <f t="shared" si="226"/>
        <v>0</v>
      </c>
      <c r="BI731" s="136">
        <f t="shared" si="226"/>
        <v>0</v>
      </c>
      <c r="BJ731" s="136">
        <f t="shared" si="226"/>
        <v>0</v>
      </c>
      <c r="BK731" s="136">
        <f t="shared" si="226"/>
        <v>0</v>
      </c>
      <c r="BL731" s="136">
        <f t="shared" si="226"/>
        <v>0</v>
      </c>
      <c r="BM731" s="136">
        <f t="shared" si="226"/>
        <v>0</v>
      </c>
      <c r="BN731" s="136">
        <f t="shared" si="226"/>
        <v>0</v>
      </c>
      <c r="BO731" s="136">
        <f t="shared" si="226"/>
        <v>0</v>
      </c>
      <c r="BP731" s="136">
        <f t="shared" si="226"/>
        <v>0</v>
      </c>
      <c r="BQ731" s="136">
        <f t="shared" si="226"/>
        <v>0</v>
      </c>
      <c r="BR731" s="136">
        <f t="shared" si="226"/>
        <v>0</v>
      </c>
      <c r="BS731" s="136">
        <f t="shared" si="228"/>
        <v>0</v>
      </c>
      <c r="BT731" s="136">
        <f t="shared" si="228"/>
        <v>0</v>
      </c>
      <c r="BU731" s="136">
        <f t="shared" si="228"/>
        <v>0</v>
      </c>
      <c r="BV731" s="136">
        <f t="shared" si="228"/>
        <v>0</v>
      </c>
      <c r="BW731" s="136">
        <f t="shared" si="228"/>
        <v>0</v>
      </c>
      <c r="BX731" s="136">
        <f t="shared" si="228"/>
        <v>0</v>
      </c>
      <c r="BZ731" s="136">
        <f t="shared" si="225"/>
        <v>0</v>
      </c>
      <c r="CA731" s="136">
        <f t="shared" si="225"/>
        <v>0</v>
      </c>
    </row>
    <row r="732" spans="7:79" hidden="1" x14ac:dyDescent="0.3">
      <c r="G732" s="136">
        <f t="shared" si="222"/>
        <v>-24728</v>
      </c>
      <c r="H732" s="136">
        <f t="shared" si="222"/>
        <v>0</v>
      </c>
      <c r="I732" s="136">
        <f t="shared" si="222"/>
        <v>0</v>
      </c>
      <c r="J732" s="136">
        <f t="shared" si="222"/>
        <v>0</v>
      </c>
      <c r="K732" s="136">
        <f t="shared" si="222"/>
        <v>0</v>
      </c>
      <c r="L732" s="136">
        <f t="shared" si="222"/>
        <v>259191</v>
      </c>
      <c r="M732" s="136">
        <f t="shared" si="222"/>
        <v>0</v>
      </c>
      <c r="N732" s="136">
        <f t="shared" si="222"/>
        <v>0</v>
      </c>
      <c r="O732" s="136">
        <f t="shared" si="222"/>
        <v>0</v>
      </c>
      <c r="P732" s="136">
        <f t="shared" si="222"/>
        <v>0</v>
      </c>
      <c r="Q732" s="136">
        <f t="shared" si="222"/>
        <v>0</v>
      </c>
      <c r="R732" s="136">
        <f t="shared" si="222"/>
        <v>0</v>
      </c>
      <c r="S732" s="136">
        <f t="shared" si="222"/>
        <v>0</v>
      </c>
      <c r="T732" s="136">
        <f t="shared" si="222"/>
        <v>0</v>
      </c>
      <c r="U732" s="136">
        <f t="shared" si="222"/>
        <v>0</v>
      </c>
      <c r="V732" s="136">
        <f t="shared" si="222"/>
        <v>0</v>
      </c>
      <c r="W732" s="136">
        <f t="shared" si="224"/>
        <v>0</v>
      </c>
      <c r="X732" s="136">
        <f t="shared" si="224"/>
        <v>0</v>
      </c>
      <c r="Y732" s="136">
        <f t="shared" si="224"/>
        <v>0</v>
      </c>
      <c r="Z732" s="136">
        <f t="shared" si="224"/>
        <v>0</v>
      </c>
      <c r="AA732" s="136">
        <f t="shared" si="224"/>
        <v>0</v>
      </c>
      <c r="AB732" s="136">
        <f t="shared" si="224"/>
        <v>0</v>
      </c>
      <c r="AC732" s="136">
        <f t="shared" si="224"/>
        <v>0</v>
      </c>
      <c r="AD732" s="136">
        <f t="shared" si="224"/>
        <v>0</v>
      </c>
      <c r="AE732" s="136">
        <f t="shared" si="224"/>
        <v>0</v>
      </c>
      <c r="AF732" s="136">
        <f t="shared" si="224"/>
        <v>0</v>
      </c>
      <c r="AG732" s="136">
        <f t="shared" si="224"/>
        <v>0</v>
      </c>
      <c r="AH732" s="136">
        <f t="shared" si="224"/>
        <v>0</v>
      </c>
      <c r="AI732" s="136">
        <f t="shared" si="224"/>
        <v>0</v>
      </c>
      <c r="AJ732" s="136">
        <f t="shared" si="224"/>
        <v>0</v>
      </c>
      <c r="AK732" s="136">
        <f t="shared" si="224"/>
        <v>126747</v>
      </c>
      <c r="AL732" s="136">
        <f t="shared" si="224"/>
        <v>0</v>
      </c>
      <c r="AM732" s="136">
        <f t="shared" si="227"/>
        <v>0</v>
      </c>
      <c r="AN732" s="136">
        <f t="shared" si="227"/>
        <v>0</v>
      </c>
      <c r="AO732" s="136">
        <f t="shared" si="227"/>
        <v>0</v>
      </c>
      <c r="AP732" s="136">
        <f t="shared" si="227"/>
        <v>55193</v>
      </c>
      <c r="AQ732" s="136">
        <f t="shared" si="227"/>
        <v>0</v>
      </c>
      <c r="AR732" s="136">
        <f t="shared" si="227"/>
        <v>0</v>
      </c>
      <c r="AS732" s="136">
        <f t="shared" si="227"/>
        <v>0</v>
      </c>
      <c r="AT732" s="136">
        <f t="shared" si="227"/>
        <v>0</v>
      </c>
      <c r="AU732" s="136">
        <f t="shared" si="227"/>
        <v>0</v>
      </c>
      <c r="AV732" s="136">
        <f t="shared" si="227"/>
        <v>0</v>
      </c>
      <c r="AW732" s="136">
        <f t="shared" si="227"/>
        <v>0</v>
      </c>
      <c r="AX732" s="136">
        <f t="shared" si="227"/>
        <v>0</v>
      </c>
      <c r="AY732" s="136">
        <f t="shared" si="227"/>
        <v>0</v>
      </c>
      <c r="AZ732" s="136">
        <f t="shared" si="227"/>
        <v>0</v>
      </c>
      <c r="BA732" s="136">
        <f t="shared" si="227"/>
        <v>0</v>
      </c>
      <c r="BB732" s="136">
        <f t="shared" si="227"/>
        <v>0</v>
      </c>
      <c r="BC732" s="136">
        <f t="shared" si="226"/>
        <v>0</v>
      </c>
      <c r="BD732" s="136">
        <f t="shared" si="226"/>
        <v>0</v>
      </c>
      <c r="BE732" s="136">
        <f t="shared" si="226"/>
        <v>0</v>
      </c>
      <c r="BF732" s="136">
        <f t="shared" si="226"/>
        <v>0</v>
      </c>
      <c r="BG732" s="136">
        <f t="shared" si="226"/>
        <v>0</v>
      </c>
      <c r="BH732" s="136">
        <f t="shared" si="226"/>
        <v>0</v>
      </c>
      <c r="BI732" s="136">
        <f t="shared" si="226"/>
        <v>0</v>
      </c>
      <c r="BJ732" s="136">
        <f t="shared" si="226"/>
        <v>0</v>
      </c>
      <c r="BK732" s="136">
        <f t="shared" si="226"/>
        <v>0</v>
      </c>
      <c r="BL732" s="136">
        <f t="shared" si="226"/>
        <v>0</v>
      </c>
      <c r="BM732" s="136">
        <f t="shared" si="226"/>
        <v>0</v>
      </c>
      <c r="BN732" s="136">
        <f t="shared" si="226"/>
        <v>0</v>
      </c>
      <c r="BO732" s="136">
        <f t="shared" si="226"/>
        <v>-410666</v>
      </c>
      <c r="BP732" s="136">
        <f t="shared" si="226"/>
        <v>0</v>
      </c>
      <c r="BQ732" s="136">
        <f t="shared" si="226"/>
        <v>0</v>
      </c>
      <c r="BR732" s="136">
        <f t="shared" si="226"/>
        <v>0</v>
      </c>
      <c r="BS732" s="136">
        <f t="shared" si="228"/>
        <v>0</v>
      </c>
      <c r="BT732" s="136">
        <f t="shared" si="228"/>
        <v>441131</v>
      </c>
      <c r="BU732" s="136">
        <f t="shared" si="228"/>
        <v>0</v>
      </c>
      <c r="BV732" s="136">
        <f t="shared" si="228"/>
        <v>0</v>
      </c>
      <c r="BW732" s="136">
        <f t="shared" si="228"/>
        <v>0</v>
      </c>
      <c r="BX732" s="136">
        <f t="shared" si="228"/>
        <v>0</v>
      </c>
      <c r="BZ732" s="136">
        <f t="shared" si="225"/>
        <v>0</v>
      </c>
      <c r="CA732" s="136">
        <f t="shared" si="225"/>
        <v>0</v>
      </c>
    </row>
    <row r="733" spans="7:79" hidden="1" x14ac:dyDescent="0.3">
      <c r="G733" s="136">
        <f t="shared" si="222"/>
        <v>-24728</v>
      </c>
      <c r="H733" s="136">
        <f t="shared" si="222"/>
        <v>0</v>
      </c>
      <c r="I733" s="136">
        <f t="shared" si="222"/>
        <v>0</v>
      </c>
      <c r="J733" s="136">
        <f t="shared" si="222"/>
        <v>0</v>
      </c>
      <c r="K733" s="136">
        <f t="shared" si="222"/>
        <v>0</v>
      </c>
      <c r="L733" s="136">
        <f t="shared" si="222"/>
        <v>259191</v>
      </c>
      <c r="M733" s="136">
        <f t="shared" si="222"/>
        <v>0</v>
      </c>
      <c r="N733" s="136">
        <f t="shared" si="222"/>
        <v>0</v>
      </c>
      <c r="O733" s="136">
        <f t="shared" si="222"/>
        <v>0</v>
      </c>
      <c r="P733" s="136">
        <f t="shared" si="222"/>
        <v>0</v>
      </c>
      <c r="Q733" s="136">
        <f t="shared" si="222"/>
        <v>0</v>
      </c>
      <c r="R733" s="136">
        <f t="shared" si="222"/>
        <v>0</v>
      </c>
      <c r="S733" s="136">
        <f t="shared" si="222"/>
        <v>0</v>
      </c>
      <c r="T733" s="136">
        <f t="shared" si="222"/>
        <v>0</v>
      </c>
      <c r="U733" s="136">
        <f t="shared" si="222"/>
        <v>0</v>
      </c>
      <c r="V733" s="136">
        <f t="shared" si="222"/>
        <v>0</v>
      </c>
      <c r="W733" s="136">
        <f t="shared" si="224"/>
        <v>0</v>
      </c>
      <c r="X733" s="136">
        <f t="shared" si="224"/>
        <v>0</v>
      </c>
      <c r="Y733" s="136">
        <f t="shared" si="224"/>
        <v>0</v>
      </c>
      <c r="Z733" s="136">
        <f t="shared" si="224"/>
        <v>0</v>
      </c>
      <c r="AA733" s="136">
        <f t="shared" si="224"/>
        <v>0</v>
      </c>
      <c r="AB733" s="136">
        <f t="shared" si="224"/>
        <v>0</v>
      </c>
      <c r="AC733" s="136">
        <f t="shared" si="224"/>
        <v>0</v>
      </c>
      <c r="AD733" s="136">
        <f t="shared" si="224"/>
        <v>0</v>
      </c>
      <c r="AE733" s="136">
        <f t="shared" si="224"/>
        <v>0</v>
      </c>
      <c r="AF733" s="136">
        <f t="shared" si="224"/>
        <v>0</v>
      </c>
      <c r="AG733" s="136">
        <f t="shared" si="224"/>
        <v>0</v>
      </c>
      <c r="AH733" s="136">
        <f t="shared" si="224"/>
        <v>0</v>
      </c>
      <c r="AI733" s="136">
        <f t="shared" si="224"/>
        <v>0</v>
      </c>
      <c r="AJ733" s="136">
        <f t="shared" si="224"/>
        <v>0</v>
      </c>
      <c r="AK733" s="136">
        <f t="shared" si="224"/>
        <v>126747</v>
      </c>
      <c r="AL733" s="136">
        <f t="shared" si="224"/>
        <v>0</v>
      </c>
      <c r="AM733" s="136">
        <f t="shared" si="227"/>
        <v>0</v>
      </c>
      <c r="AN733" s="136">
        <f t="shared" si="227"/>
        <v>0</v>
      </c>
      <c r="AO733" s="136">
        <f t="shared" si="227"/>
        <v>0</v>
      </c>
      <c r="AP733" s="136">
        <f t="shared" si="227"/>
        <v>55193</v>
      </c>
      <c r="AQ733" s="136">
        <f t="shared" si="227"/>
        <v>0</v>
      </c>
      <c r="AR733" s="136">
        <f t="shared" si="227"/>
        <v>0</v>
      </c>
      <c r="AS733" s="136">
        <f t="shared" si="227"/>
        <v>0</v>
      </c>
      <c r="AT733" s="136">
        <f t="shared" si="227"/>
        <v>0</v>
      </c>
      <c r="AU733" s="136">
        <f t="shared" si="227"/>
        <v>0</v>
      </c>
      <c r="AV733" s="136">
        <f t="shared" si="227"/>
        <v>0</v>
      </c>
      <c r="AW733" s="136">
        <f t="shared" si="227"/>
        <v>0</v>
      </c>
      <c r="AX733" s="136">
        <f t="shared" si="227"/>
        <v>0</v>
      </c>
      <c r="AY733" s="136">
        <f t="shared" si="227"/>
        <v>0</v>
      </c>
      <c r="AZ733" s="136">
        <f t="shared" si="227"/>
        <v>0</v>
      </c>
      <c r="BA733" s="136">
        <f t="shared" si="227"/>
        <v>0</v>
      </c>
      <c r="BB733" s="136">
        <f t="shared" si="227"/>
        <v>0</v>
      </c>
      <c r="BC733" s="136">
        <f t="shared" si="226"/>
        <v>0</v>
      </c>
      <c r="BD733" s="136">
        <f t="shared" si="226"/>
        <v>0</v>
      </c>
      <c r="BE733" s="136">
        <f t="shared" si="226"/>
        <v>0</v>
      </c>
      <c r="BF733" s="136">
        <f t="shared" si="226"/>
        <v>0</v>
      </c>
      <c r="BG733" s="136">
        <f t="shared" si="226"/>
        <v>0</v>
      </c>
      <c r="BH733" s="136">
        <f t="shared" si="226"/>
        <v>0</v>
      </c>
      <c r="BI733" s="136">
        <f t="shared" si="226"/>
        <v>0</v>
      </c>
      <c r="BJ733" s="136">
        <f t="shared" si="226"/>
        <v>0</v>
      </c>
      <c r="BK733" s="136">
        <f t="shared" si="226"/>
        <v>0</v>
      </c>
      <c r="BL733" s="136">
        <f t="shared" si="226"/>
        <v>0</v>
      </c>
      <c r="BM733" s="136">
        <f t="shared" si="226"/>
        <v>0</v>
      </c>
      <c r="BN733" s="136">
        <f t="shared" si="226"/>
        <v>0</v>
      </c>
      <c r="BO733" s="136">
        <f t="shared" si="226"/>
        <v>-410666</v>
      </c>
      <c r="BP733" s="136">
        <f t="shared" si="226"/>
        <v>0</v>
      </c>
      <c r="BQ733" s="136">
        <f t="shared" si="226"/>
        <v>0</v>
      </c>
      <c r="BR733" s="136">
        <f t="shared" si="226"/>
        <v>0</v>
      </c>
      <c r="BS733" s="136">
        <f t="shared" si="228"/>
        <v>0</v>
      </c>
      <c r="BT733" s="136">
        <f t="shared" si="228"/>
        <v>441131</v>
      </c>
      <c r="BU733" s="136">
        <f t="shared" si="228"/>
        <v>0</v>
      </c>
      <c r="BV733" s="136">
        <f t="shared" si="228"/>
        <v>0</v>
      </c>
      <c r="BW733" s="136">
        <f t="shared" si="228"/>
        <v>0</v>
      </c>
      <c r="BX733" s="136">
        <f t="shared" si="228"/>
        <v>0</v>
      </c>
      <c r="BZ733" s="136">
        <f t="shared" si="225"/>
        <v>0</v>
      </c>
      <c r="CA733" s="136">
        <f t="shared" si="225"/>
        <v>0</v>
      </c>
    </row>
    <row r="734" spans="7:79" hidden="1" x14ac:dyDescent="0.3">
      <c r="G734" s="136">
        <f t="shared" ref="G734:BR735" si="229">G393-BY393</f>
        <v>0</v>
      </c>
      <c r="H734" s="136">
        <f t="shared" si="229"/>
        <v>0</v>
      </c>
      <c r="I734" s="136">
        <f t="shared" si="229"/>
        <v>0</v>
      </c>
      <c r="J734" s="136">
        <f t="shared" si="229"/>
        <v>0</v>
      </c>
      <c r="K734" s="136">
        <f t="shared" si="229"/>
        <v>0</v>
      </c>
      <c r="L734" s="136">
        <f t="shared" si="229"/>
        <v>0</v>
      </c>
      <c r="M734" s="136">
        <f t="shared" si="229"/>
        <v>0</v>
      </c>
      <c r="N734" s="136">
        <f t="shared" si="229"/>
        <v>0</v>
      </c>
      <c r="O734" s="136">
        <f t="shared" si="229"/>
        <v>0</v>
      </c>
      <c r="P734" s="136">
        <f t="shared" si="229"/>
        <v>0</v>
      </c>
      <c r="Q734" s="136">
        <f t="shared" si="229"/>
        <v>0</v>
      </c>
      <c r="R734" s="136">
        <f t="shared" si="229"/>
        <v>0</v>
      </c>
      <c r="S734" s="136">
        <f t="shared" si="229"/>
        <v>0</v>
      </c>
      <c r="T734" s="136">
        <f t="shared" si="229"/>
        <v>0</v>
      </c>
      <c r="U734" s="136">
        <f t="shared" si="229"/>
        <v>0</v>
      </c>
      <c r="V734" s="136">
        <f t="shared" si="229"/>
        <v>0</v>
      </c>
      <c r="W734" s="136">
        <f t="shared" si="229"/>
        <v>0</v>
      </c>
      <c r="X734" s="136">
        <f t="shared" si="229"/>
        <v>0</v>
      </c>
      <c r="Y734" s="136">
        <f t="shared" si="229"/>
        <v>0</v>
      </c>
      <c r="Z734" s="136">
        <f t="shared" si="229"/>
        <v>0</v>
      </c>
      <c r="AA734" s="136">
        <f t="shared" si="229"/>
        <v>0</v>
      </c>
      <c r="AB734" s="136">
        <f t="shared" si="229"/>
        <v>0</v>
      </c>
      <c r="AC734" s="136">
        <f t="shared" si="229"/>
        <v>0</v>
      </c>
      <c r="AD734" s="136">
        <f t="shared" si="229"/>
        <v>0</v>
      </c>
      <c r="AE734" s="136">
        <f t="shared" si="229"/>
        <v>0</v>
      </c>
      <c r="AF734" s="136">
        <f t="shared" si="229"/>
        <v>0</v>
      </c>
      <c r="AG734" s="136">
        <f t="shared" si="229"/>
        <v>0</v>
      </c>
      <c r="AH734" s="136">
        <f t="shared" si="229"/>
        <v>0</v>
      </c>
      <c r="AI734" s="136">
        <f t="shared" si="229"/>
        <v>0</v>
      </c>
      <c r="AJ734" s="136">
        <f t="shared" si="229"/>
        <v>0</v>
      </c>
      <c r="AK734" s="136">
        <f t="shared" si="229"/>
        <v>0</v>
      </c>
      <c r="AL734" s="136">
        <f t="shared" si="229"/>
        <v>0</v>
      </c>
      <c r="AM734" s="136">
        <f t="shared" si="229"/>
        <v>0</v>
      </c>
      <c r="AN734" s="136">
        <f t="shared" si="229"/>
        <v>0</v>
      </c>
      <c r="AO734" s="136">
        <f t="shared" si="229"/>
        <v>0</v>
      </c>
      <c r="AP734" s="136">
        <f t="shared" si="229"/>
        <v>0</v>
      </c>
      <c r="AQ734" s="136">
        <f t="shared" si="229"/>
        <v>0</v>
      </c>
      <c r="AR734" s="136">
        <f t="shared" si="229"/>
        <v>0</v>
      </c>
      <c r="AS734" s="136">
        <f t="shared" si="229"/>
        <v>0</v>
      </c>
      <c r="AT734" s="136">
        <f t="shared" si="229"/>
        <v>0</v>
      </c>
      <c r="AU734" s="136">
        <f t="shared" si="229"/>
        <v>0</v>
      </c>
      <c r="AV734" s="136">
        <f t="shared" si="229"/>
        <v>0</v>
      </c>
      <c r="AW734" s="136">
        <f t="shared" si="229"/>
        <v>0</v>
      </c>
      <c r="AX734" s="136">
        <f t="shared" si="229"/>
        <v>0</v>
      </c>
      <c r="AY734" s="136">
        <f t="shared" si="229"/>
        <v>0</v>
      </c>
      <c r="AZ734" s="136">
        <f t="shared" si="229"/>
        <v>0</v>
      </c>
      <c r="BA734" s="136">
        <f t="shared" si="229"/>
        <v>0</v>
      </c>
      <c r="BB734" s="136">
        <f t="shared" si="229"/>
        <v>0</v>
      </c>
      <c r="BC734" s="136">
        <f t="shared" si="229"/>
        <v>0</v>
      </c>
      <c r="BD734" s="136">
        <f t="shared" si="229"/>
        <v>0</v>
      </c>
      <c r="BE734" s="136">
        <f t="shared" si="229"/>
        <v>0</v>
      </c>
      <c r="BF734" s="136">
        <f t="shared" si="229"/>
        <v>0</v>
      </c>
      <c r="BG734" s="136">
        <f t="shared" si="229"/>
        <v>0</v>
      </c>
      <c r="BH734" s="136">
        <f t="shared" si="229"/>
        <v>0</v>
      </c>
      <c r="BI734" s="136">
        <f t="shared" si="229"/>
        <v>0</v>
      </c>
      <c r="BJ734" s="136">
        <f t="shared" si="229"/>
        <v>0</v>
      </c>
      <c r="BK734" s="136">
        <f t="shared" si="229"/>
        <v>0</v>
      </c>
      <c r="BL734" s="136">
        <f t="shared" si="229"/>
        <v>0</v>
      </c>
      <c r="BM734" s="136">
        <f t="shared" si="229"/>
        <v>0</v>
      </c>
      <c r="BN734" s="136">
        <f t="shared" si="229"/>
        <v>0</v>
      </c>
      <c r="BO734" s="136">
        <f t="shared" si="229"/>
        <v>0</v>
      </c>
      <c r="BP734" s="136">
        <f t="shared" si="229"/>
        <v>0</v>
      </c>
      <c r="BQ734" s="136">
        <f t="shared" si="229"/>
        <v>0</v>
      </c>
      <c r="BR734" s="136">
        <f t="shared" si="229"/>
        <v>0</v>
      </c>
      <c r="BS734" s="136">
        <f t="shared" ref="BO734:BX735" si="230">BS393-EK393</f>
        <v>0</v>
      </c>
      <c r="BT734" s="136">
        <f t="shared" si="230"/>
        <v>0</v>
      </c>
      <c r="BU734" s="136">
        <f t="shared" si="230"/>
        <v>0</v>
      </c>
      <c r="BV734" s="136">
        <f t="shared" si="230"/>
        <v>0</v>
      </c>
      <c r="BW734" s="136">
        <f t="shared" si="230"/>
        <v>0</v>
      </c>
      <c r="BX734" s="136">
        <f t="shared" si="230"/>
        <v>0</v>
      </c>
      <c r="BZ734" s="136">
        <f>BZ393-ER393</f>
        <v>0</v>
      </c>
      <c r="CA734" s="136">
        <f>CA393-ES393</f>
        <v>0</v>
      </c>
    </row>
    <row r="735" spans="7:79" hidden="1" x14ac:dyDescent="0.3">
      <c r="G735" s="136">
        <f t="shared" si="229"/>
        <v>0</v>
      </c>
      <c r="H735" s="136">
        <f t="shared" si="229"/>
        <v>0</v>
      </c>
      <c r="I735" s="136">
        <f t="shared" si="229"/>
        <v>0</v>
      </c>
      <c r="J735" s="136">
        <f t="shared" si="229"/>
        <v>0</v>
      </c>
      <c r="K735" s="136">
        <f t="shared" si="229"/>
        <v>0</v>
      </c>
      <c r="L735" s="136">
        <f t="shared" si="229"/>
        <v>0</v>
      </c>
      <c r="M735" s="136">
        <f t="shared" si="229"/>
        <v>0</v>
      </c>
      <c r="N735" s="136">
        <f t="shared" si="229"/>
        <v>0</v>
      </c>
      <c r="O735" s="136">
        <f t="shared" si="229"/>
        <v>0</v>
      </c>
      <c r="P735" s="136">
        <f t="shared" si="229"/>
        <v>0</v>
      </c>
      <c r="Q735" s="136">
        <f t="shared" si="229"/>
        <v>0</v>
      </c>
      <c r="R735" s="136">
        <f t="shared" si="229"/>
        <v>0</v>
      </c>
      <c r="S735" s="136">
        <f t="shared" si="229"/>
        <v>0</v>
      </c>
      <c r="T735" s="136">
        <f t="shared" si="229"/>
        <v>0</v>
      </c>
      <c r="U735" s="136">
        <f t="shared" si="229"/>
        <v>0</v>
      </c>
      <c r="V735" s="136">
        <f t="shared" si="229"/>
        <v>0</v>
      </c>
      <c r="W735" s="136">
        <f t="shared" si="229"/>
        <v>0</v>
      </c>
      <c r="X735" s="136">
        <f t="shared" si="229"/>
        <v>0</v>
      </c>
      <c r="Y735" s="136">
        <f t="shared" si="229"/>
        <v>0</v>
      </c>
      <c r="Z735" s="136">
        <f t="shared" si="229"/>
        <v>0</v>
      </c>
      <c r="AA735" s="136">
        <f t="shared" si="229"/>
        <v>0</v>
      </c>
      <c r="AB735" s="136">
        <f t="shared" si="229"/>
        <v>0</v>
      </c>
      <c r="AC735" s="136">
        <f t="shared" si="229"/>
        <v>0</v>
      </c>
      <c r="AD735" s="136">
        <f t="shared" si="229"/>
        <v>0</v>
      </c>
      <c r="AE735" s="136">
        <f t="shared" si="229"/>
        <v>0</v>
      </c>
      <c r="AF735" s="136">
        <f t="shared" si="229"/>
        <v>0</v>
      </c>
      <c r="AG735" s="136">
        <f t="shared" si="229"/>
        <v>0</v>
      </c>
      <c r="AH735" s="136">
        <f t="shared" si="229"/>
        <v>0</v>
      </c>
      <c r="AI735" s="136">
        <f t="shared" si="229"/>
        <v>0</v>
      </c>
      <c r="AJ735" s="136">
        <f t="shared" si="229"/>
        <v>0</v>
      </c>
      <c r="AK735" s="136">
        <f t="shared" si="229"/>
        <v>0</v>
      </c>
      <c r="AL735" s="136">
        <f t="shared" si="229"/>
        <v>0</v>
      </c>
      <c r="AM735" s="136">
        <f t="shared" si="229"/>
        <v>0</v>
      </c>
      <c r="AN735" s="136">
        <f t="shared" si="229"/>
        <v>0</v>
      </c>
      <c r="AO735" s="136">
        <f t="shared" si="229"/>
        <v>0</v>
      </c>
      <c r="AP735" s="136">
        <f t="shared" si="229"/>
        <v>0</v>
      </c>
      <c r="AQ735" s="136">
        <f t="shared" si="229"/>
        <v>0</v>
      </c>
      <c r="AR735" s="136">
        <f t="shared" si="229"/>
        <v>0</v>
      </c>
      <c r="AS735" s="136">
        <f t="shared" si="229"/>
        <v>0</v>
      </c>
      <c r="AT735" s="136">
        <f t="shared" si="229"/>
        <v>0</v>
      </c>
      <c r="AU735" s="136">
        <f t="shared" si="229"/>
        <v>0</v>
      </c>
      <c r="AV735" s="136">
        <f t="shared" si="229"/>
        <v>0</v>
      </c>
      <c r="AW735" s="136">
        <f t="shared" si="229"/>
        <v>0</v>
      </c>
      <c r="AX735" s="136">
        <f t="shared" si="229"/>
        <v>0</v>
      </c>
      <c r="AY735" s="136">
        <f t="shared" si="229"/>
        <v>0</v>
      </c>
      <c r="AZ735" s="136">
        <f t="shared" si="229"/>
        <v>0</v>
      </c>
      <c r="BA735" s="136">
        <f t="shared" si="229"/>
        <v>0</v>
      </c>
      <c r="BB735" s="136">
        <f t="shared" si="229"/>
        <v>0</v>
      </c>
      <c r="BC735" s="136">
        <f t="shared" si="229"/>
        <v>0</v>
      </c>
      <c r="BD735" s="136">
        <f t="shared" si="229"/>
        <v>0</v>
      </c>
      <c r="BE735" s="136">
        <f t="shared" si="229"/>
        <v>0</v>
      </c>
      <c r="BF735" s="136">
        <f t="shared" si="229"/>
        <v>0</v>
      </c>
      <c r="BG735" s="136">
        <f t="shared" si="229"/>
        <v>0</v>
      </c>
      <c r="BH735" s="136">
        <f t="shared" si="229"/>
        <v>0</v>
      </c>
      <c r="BI735" s="136">
        <f t="shared" si="229"/>
        <v>0</v>
      </c>
      <c r="BJ735" s="136">
        <f t="shared" si="229"/>
        <v>0</v>
      </c>
      <c r="BK735" s="136">
        <f t="shared" si="229"/>
        <v>0</v>
      </c>
      <c r="BL735" s="136">
        <f t="shared" si="229"/>
        <v>0</v>
      </c>
      <c r="BM735" s="136">
        <f t="shared" si="229"/>
        <v>0</v>
      </c>
      <c r="BN735" s="136">
        <f t="shared" si="229"/>
        <v>0</v>
      </c>
      <c r="BO735" s="136">
        <f t="shared" si="230"/>
        <v>0</v>
      </c>
      <c r="BP735" s="136">
        <f t="shared" si="230"/>
        <v>0</v>
      </c>
      <c r="BQ735" s="136">
        <f t="shared" si="230"/>
        <v>0</v>
      </c>
      <c r="BR735" s="136">
        <f t="shared" si="230"/>
        <v>0</v>
      </c>
      <c r="BS735" s="136">
        <f t="shared" si="230"/>
        <v>0</v>
      </c>
      <c r="BT735" s="136">
        <f t="shared" si="230"/>
        <v>0</v>
      </c>
      <c r="BU735" s="136">
        <f t="shared" si="230"/>
        <v>0</v>
      </c>
      <c r="BV735" s="136">
        <f t="shared" si="230"/>
        <v>0</v>
      </c>
      <c r="BW735" s="136">
        <f t="shared" si="230"/>
        <v>0</v>
      </c>
      <c r="BX735" s="136">
        <f t="shared" si="230"/>
        <v>0</v>
      </c>
      <c r="BZ735" s="136">
        <f>BZ394-ER394</f>
        <v>0</v>
      </c>
      <c r="CA735" s="136">
        <f>CA394-ES394</f>
        <v>0</v>
      </c>
    </row>
    <row r="736" spans="7:79" hidden="1" x14ac:dyDescent="0.3"/>
    <row r="737" hidden="1" x14ac:dyDescent="0.3"/>
  </sheetData>
  <mergeCells count="4">
    <mergeCell ref="G3:BV3"/>
    <mergeCell ref="BY3:EM3"/>
    <mergeCell ref="E159:BV159"/>
    <mergeCell ref="BY159:EN159"/>
  </mergeCells>
  <pageMargins left="0.7" right="0.7" top="0.75" bottom="0.75" header="0.3" footer="0.3"/>
  <pageSetup paperSize="9" scale="48" orientation="portrait" r:id="rId1"/>
  <rowBreaks count="1" manualBreakCount="1">
    <brk id="155" max="16383" man="1"/>
  </rowBreaks>
  <colBreaks count="1" manualBreakCount="1">
    <brk id="14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618A-1DB1-4B2F-9BE7-BE19C1A017C9}">
  <dimension ref="D1:EQ384"/>
  <sheetViews>
    <sheetView view="pageBreakPreview" zoomScale="80" zoomScaleNormal="100" zoomScaleSheetLayoutView="80" workbookViewId="0">
      <selection activeCell="DV35" sqref="DV35"/>
    </sheetView>
  </sheetViews>
  <sheetFormatPr defaultColWidth="9.54296875" defaultRowHeight="13" x14ac:dyDescent="0.3"/>
  <cols>
    <col min="1" max="1" width="1.7265625" style="136" customWidth="1"/>
    <col min="2" max="3" width="0.90625" style="136" customWidth="1"/>
    <col min="4" max="4" width="32.453125" style="136" customWidth="1"/>
    <col min="5" max="6" width="0.90625" style="136" customWidth="1"/>
    <col min="7" max="7" width="17" style="136" customWidth="1"/>
    <col min="8" max="9" width="0.90625" style="136" customWidth="1"/>
    <col min="10" max="11" width="0.90625" style="136" hidden="1" customWidth="1"/>
    <col min="12" max="12" width="17" style="136" hidden="1" customWidth="1"/>
    <col min="13" max="16" width="0.90625" style="136" hidden="1" customWidth="1"/>
    <col min="17" max="17" width="17" style="136" hidden="1" customWidth="1"/>
    <col min="18" max="21" width="0.90625" style="136" hidden="1" customWidth="1"/>
    <col min="22" max="22" width="17" style="136" hidden="1" customWidth="1"/>
    <col min="23" max="26" width="0.90625" style="136" hidden="1" customWidth="1"/>
    <col min="27" max="27" width="17" style="136" hidden="1" customWidth="1"/>
    <col min="28" max="31" width="0.90625" style="136" hidden="1" customWidth="1"/>
    <col min="32" max="32" width="17" style="136" hidden="1" customWidth="1"/>
    <col min="33" max="36" width="0.90625" style="136" hidden="1" customWidth="1"/>
    <col min="37" max="37" width="17" style="136" hidden="1" customWidth="1"/>
    <col min="38" max="41" width="0.90625" style="136" hidden="1" customWidth="1"/>
    <col min="42" max="42" width="17" style="136" hidden="1" customWidth="1"/>
    <col min="43" max="46" width="0.90625" style="136" hidden="1" customWidth="1"/>
    <col min="47" max="47" width="17" style="136" hidden="1" customWidth="1"/>
    <col min="48" max="50" width="0.90625" style="136" hidden="1" customWidth="1"/>
    <col min="51" max="51" width="1.08984375" style="136" hidden="1" customWidth="1"/>
    <col min="52" max="52" width="17" style="136" hidden="1" customWidth="1"/>
    <col min="53" max="54" width="0.90625" style="136" hidden="1" customWidth="1"/>
    <col min="55" max="56" width="0.90625" style="136" customWidth="1"/>
    <col min="57" max="57" width="17" style="136" customWidth="1"/>
    <col min="58" max="59" width="0.90625" style="136" customWidth="1"/>
    <col min="60" max="61" width="0.90625" style="136" hidden="1" customWidth="1"/>
    <col min="62" max="62" width="17" style="136" hidden="1" customWidth="1"/>
    <col min="63" max="66" width="0.90625" style="136" hidden="1" customWidth="1"/>
    <col min="67" max="67" width="17" style="136" hidden="1" customWidth="1"/>
    <col min="68" max="69" width="0.90625" style="136" hidden="1" customWidth="1"/>
    <col min="70" max="71" width="0.90625" style="136" customWidth="1"/>
    <col min="72" max="72" width="17" style="136" customWidth="1"/>
    <col min="73" max="73" width="0.90625" style="136" customWidth="1"/>
    <col min="74" max="74" width="3.36328125" style="136" customWidth="1"/>
    <col min="75" max="76" width="0.90625" style="136" customWidth="1"/>
    <col min="77" max="77" width="17" style="136" customWidth="1"/>
    <col min="78" max="79" width="0.90625" style="136" customWidth="1"/>
    <col min="80" max="81" width="0.90625" style="136" hidden="1" customWidth="1"/>
    <col min="82" max="82" width="17" style="136" hidden="1" customWidth="1"/>
    <col min="83" max="86" width="0.90625" style="136" hidden="1" customWidth="1"/>
    <col min="87" max="87" width="17" style="136" hidden="1" customWidth="1"/>
    <col min="88" max="91" width="0.90625" style="136" hidden="1" customWidth="1"/>
    <col min="92" max="92" width="17" style="136" hidden="1" customWidth="1"/>
    <col min="93" max="96" width="0.90625" style="136" hidden="1" customWidth="1"/>
    <col min="97" max="97" width="17" style="136" hidden="1" customWidth="1"/>
    <col min="98" max="101" width="0.90625" style="136" hidden="1" customWidth="1"/>
    <col min="102" max="102" width="17" style="136" hidden="1" customWidth="1"/>
    <col min="103" max="106" width="0.90625" style="136" hidden="1" customWidth="1"/>
    <col min="107" max="107" width="17" style="136" hidden="1" customWidth="1"/>
    <col min="108" max="111" width="0.90625" style="136" hidden="1" customWidth="1"/>
    <col min="112" max="112" width="17" style="136" hidden="1" customWidth="1"/>
    <col min="113" max="116" width="0.90625" style="136" hidden="1" customWidth="1"/>
    <col min="117" max="117" width="17" style="136" hidden="1" customWidth="1"/>
    <col min="118" max="121" width="0.90625" style="136" hidden="1" customWidth="1"/>
    <col min="122" max="122" width="17" style="136" hidden="1" customWidth="1"/>
    <col min="123" max="124" width="0.90625" style="136" hidden="1" customWidth="1"/>
    <col min="125" max="126" width="0.90625" style="136" customWidth="1"/>
    <col min="127" max="127" width="17" style="136" customWidth="1"/>
    <col min="128" max="129" width="0.90625" style="136" customWidth="1"/>
    <col min="130" max="131" width="0.90625" style="136" hidden="1" customWidth="1"/>
    <col min="132" max="132" width="17" style="136" hidden="1" customWidth="1"/>
    <col min="133" max="136" width="0.90625" style="136" hidden="1" customWidth="1"/>
    <col min="137" max="137" width="17" style="136" hidden="1" customWidth="1"/>
    <col min="138" max="139" width="0.90625" style="136" hidden="1" customWidth="1"/>
    <col min="140" max="141" width="0.90625" style="136" customWidth="1"/>
    <col min="142" max="142" width="17" style="136" customWidth="1"/>
    <col min="143" max="143" width="0.90625" style="136" customWidth="1"/>
    <col min="144" max="144" width="1.90625" style="136" customWidth="1"/>
    <col min="145" max="145" width="3.08984375" style="136" customWidth="1"/>
    <col min="146" max="146" width="16.6328125" style="136" customWidth="1"/>
    <col min="147" max="147" width="11.7265625" style="136" customWidth="1"/>
    <col min="148" max="16384" width="9.54296875" style="136"/>
  </cols>
  <sheetData>
    <row r="1" spans="4:147" x14ac:dyDescent="0.3">
      <c r="M1" s="136">
        <f>1770000000+11234076861+1105000000</f>
        <v>14109076861</v>
      </c>
    </row>
    <row r="2" spans="4:147" ht="5.25" customHeight="1" x14ac:dyDescent="0.3"/>
    <row r="4" spans="4:147" x14ac:dyDescent="0.3">
      <c r="D4" s="42"/>
      <c r="E4" s="42"/>
      <c r="F4" s="42"/>
    </row>
    <row r="7" spans="4:147" ht="15.5" x14ac:dyDescent="0.35">
      <c r="D7" s="483" t="s">
        <v>380</v>
      </c>
      <c r="E7" s="589"/>
      <c r="F7" s="58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4:147" ht="15" customHeight="1" x14ac:dyDescent="0.3">
      <c r="D8" s="139"/>
      <c r="E8" s="513"/>
      <c r="F8" s="277"/>
      <c r="G8" s="649" t="str">
        <f>[40]Summary!H8</f>
        <v>2022/23</v>
      </c>
      <c r="H8" s="649"/>
      <c r="I8" s="649"/>
      <c r="J8" s="649"/>
      <c r="K8" s="649"/>
      <c r="L8" s="650"/>
      <c r="M8" s="650"/>
      <c r="N8" s="650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50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  <c r="BG8" s="650"/>
      <c r="BH8" s="650"/>
      <c r="BI8" s="650"/>
      <c r="BJ8" s="650"/>
      <c r="BK8" s="650"/>
      <c r="BL8" s="650"/>
      <c r="BM8" s="650"/>
      <c r="BN8" s="650"/>
      <c r="BO8" s="650"/>
      <c r="BP8" s="650"/>
      <c r="BQ8" s="650"/>
      <c r="BR8" s="650"/>
      <c r="BS8" s="650"/>
      <c r="BT8" s="650"/>
      <c r="BU8" s="632"/>
      <c r="BV8" s="632"/>
      <c r="BW8" s="27"/>
      <c r="BX8" s="632"/>
      <c r="BY8" s="649" t="str">
        <f>[40]Summary!BZ8</f>
        <v>2021/22</v>
      </c>
      <c r="BZ8" s="649"/>
      <c r="CA8" s="649"/>
      <c r="CB8" s="649"/>
      <c r="CC8" s="649"/>
      <c r="CD8" s="650"/>
      <c r="CE8" s="650"/>
      <c r="CF8" s="650"/>
      <c r="CG8" s="650"/>
      <c r="CH8" s="650"/>
      <c r="CI8" s="650"/>
      <c r="CJ8" s="650"/>
      <c r="CK8" s="650"/>
      <c r="CL8" s="650"/>
      <c r="CM8" s="650"/>
      <c r="CN8" s="650"/>
      <c r="CO8" s="650"/>
      <c r="CP8" s="650"/>
      <c r="CQ8" s="650"/>
      <c r="CR8" s="650"/>
      <c r="CS8" s="650"/>
      <c r="CT8" s="650"/>
      <c r="CU8" s="650"/>
      <c r="CV8" s="650"/>
      <c r="CW8" s="650"/>
      <c r="CX8" s="650"/>
      <c r="CY8" s="650"/>
      <c r="CZ8" s="650"/>
      <c r="DA8" s="650"/>
      <c r="DB8" s="650"/>
      <c r="DC8" s="650"/>
      <c r="DD8" s="650"/>
      <c r="DE8" s="650"/>
      <c r="DF8" s="650"/>
      <c r="DG8" s="650"/>
      <c r="DH8" s="650"/>
      <c r="DI8" s="650"/>
      <c r="DJ8" s="650"/>
      <c r="DK8" s="650"/>
      <c r="DL8" s="650"/>
      <c r="DM8" s="650"/>
      <c r="DN8" s="650"/>
      <c r="DO8" s="650"/>
      <c r="DP8" s="650"/>
      <c r="DQ8" s="650"/>
      <c r="DR8" s="650"/>
      <c r="DS8" s="650"/>
      <c r="DT8" s="650"/>
      <c r="DU8" s="650"/>
      <c r="DV8" s="650"/>
      <c r="DW8" s="650"/>
      <c r="DX8" s="650"/>
      <c r="DY8" s="650"/>
      <c r="DZ8" s="650"/>
      <c r="EA8" s="650"/>
      <c r="EB8" s="650"/>
      <c r="EC8" s="650"/>
      <c r="ED8" s="650"/>
      <c r="EE8" s="650"/>
      <c r="EF8" s="650"/>
      <c r="EG8" s="650"/>
      <c r="EH8" s="650"/>
      <c r="EI8" s="650"/>
      <c r="EJ8" s="650"/>
      <c r="EK8" s="650"/>
      <c r="EL8" s="650"/>
      <c r="EM8" s="277"/>
      <c r="EN8" s="277"/>
      <c r="EO8" s="144"/>
    </row>
    <row r="9" spans="4:147" ht="18" customHeight="1" x14ac:dyDescent="0.3">
      <c r="D9" s="144"/>
      <c r="E9" s="494"/>
      <c r="G9" s="47" t="str">
        <f>[40]Domlongtermissues!G9</f>
        <v>Revised</v>
      </c>
      <c r="H9" s="47"/>
      <c r="I9" s="47"/>
      <c r="J9" s="474"/>
      <c r="K9" s="47"/>
      <c r="L9" s="47" t="s">
        <v>4</v>
      </c>
      <c r="M9" s="47"/>
      <c r="N9" s="47"/>
      <c r="O9" s="474"/>
      <c r="P9" s="47"/>
      <c r="Q9" s="47" t="s">
        <v>5</v>
      </c>
      <c r="R9" s="47"/>
      <c r="S9" s="47"/>
      <c r="T9" s="474"/>
      <c r="U9" s="47"/>
      <c r="V9" s="47" t="s">
        <v>6</v>
      </c>
      <c r="W9" s="47"/>
      <c r="X9" s="47"/>
      <c r="Y9" s="474"/>
      <c r="Z9" s="47"/>
      <c r="AA9" s="47" t="s">
        <v>7</v>
      </c>
      <c r="AB9" s="47"/>
      <c r="AC9" s="47"/>
      <c r="AD9" s="474"/>
      <c r="AE9" s="47"/>
      <c r="AF9" s="47" t="s">
        <v>8</v>
      </c>
      <c r="AG9" s="47"/>
      <c r="AH9" s="47"/>
      <c r="AI9" s="474"/>
      <c r="AJ9" s="47"/>
      <c r="AK9" s="47" t="s">
        <v>9</v>
      </c>
      <c r="AL9" s="47"/>
      <c r="AM9" s="47"/>
      <c r="AN9" s="474"/>
      <c r="AO9" s="47"/>
      <c r="AP9" s="47" t="s">
        <v>10</v>
      </c>
      <c r="AQ9" s="47"/>
      <c r="AR9" s="47"/>
      <c r="AS9" s="474"/>
      <c r="AT9" s="47"/>
      <c r="AU9" s="47" t="s">
        <v>11</v>
      </c>
      <c r="AV9" s="47"/>
      <c r="AW9" s="47"/>
      <c r="AX9" s="474"/>
      <c r="AY9" s="47"/>
      <c r="AZ9" s="47" t="s">
        <v>12</v>
      </c>
      <c r="BA9" s="47"/>
      <c r="BB9" s="47"/>
      <c r="BC9" s="474"/>
      <c r="BD9" s="47"/>
      <c r="BE9" s="47" t="s">
        <v>13</v>
      </c>
      <c r="BF9" s="47"/>
      <c r="BG9" s="47"/>
      <c r="BH9" s="474"/>
      <c r="BI9" s="47"/>
      <c r="BJ9" s="47" t="s">
        <v>14</v>
      </c>
      <c r="BK9" s="47"/>
      <c r="BL9" s="47"/>
      <c r="BM9" s="474"/>
      <c r="BN9" s="47"/>
      <c r="BO9" s="47" t="s">
        <v>15</v>
      </c>
      <c r="BP9" s="47"/>
      <c r="BQ9" s="47"/>
      <c r="BR9" s="474"/>
      <c r="BS9" s="47"/>
      <c r="BT9" s="47" t="s">
        <v>16</v>
      </c>
      <c r="BU9" s="47"/>
      <c r="BV9" s="47"/>
      <c r="BW9" s="274"/>
      <c r="BX9" s="47"/>
      <c r="BY9" s="148" t="str">
        <f>[40]Domlongtermissues!BY9</f>
        <v>Audited</v>
      </c>
      <c r="BZ9" s="47"/>
      <c r="CA9" s="47"/>
      <c r="CB9" s="474"/>
      <c r="CC9" s="47"/>
      <c r="CD9" s="47" t="s">
        <v>4</v>
      </c>
      <c r="CE9" s="47"/>
      <c r="CF9" s="47"/>
      <c r="CG9" s="474"/>
      <c r="CH9" s="47"/>
      <c r="CI9" s="47" t="s">
        <v>5</v>
      </c>
      <c r="CJ9" s="47"/>
      <c r="CK9" s="47"/>
      <c r="CL9" s="474"/>
      <c r="CM9" s="47"/>
      <c r="CN9" s="47" t="s">
        <v>6</v>
      </c>
      <c r="CO9" s="47"/>
      <c r="CP9" s="47"/>
      <c r="CQ9" s="474"/>
      <c r="CR9" s="47"/>
      <c r="CS9" s="47" t="s">
        <v>7</v>
      </c>
      <c r="CT9" s="47"/>
      <c r="CU9" s="47"/>
      <c r="CV9" s="474"/>
      <c r="CW9" s="47"/>
      <c r="CX9" s="47" t="s">
        <v>8</v>
      </c>
      <c r="CY9" s="47"/>
      <c r="CZ9" s="47"/>
      <c r="DA9" s="474"/>
      <c r="DB9" s="47"/>
      <c r="DC9" s="47" t="s">
        <v>9</v>
      </c>
      <c r="DD9" s="47"/>
      <c r="DE9" s="47"/>
      <c r="DF9" s="474"/>
      <c r="DG9" s="47"/>
      <c r="DH9" s="47" t="s">
        <v>10</v>
      </c>
      <c r="DI9" s="47"/>
      <c r="DJ9" s="47"/>
      <c r="DK9" s="474"/>
      <c r="DL9" s="47"/>
      <c r="DM9" s="47" t="s">
        <v>11</v>
      </c>
      <c r="DN9" s="47"/>
      <c r="DO9" s="47"/>
      <c r="DP9" s="474"/>
      <c r="DQ9" s="47"/>
      <c r="DR9" s="47" t="s">
        <v>12</v>
      </c>
      <c r="DS9" s="47"/>
      <c r="DT9" s="47"/>
      <c r="DU9" s="474"/>
      <c r="DV9" s="47"/>
      <c r="DW9" s="47" t="s">
        <v>13</v>
      </c>
      <c r="DX9" s="47"/>
      <c r="DY9" s="47"/>
      <c r="DZ9" s="474"/>
      <c r="EA9" s="47"/>
      <c r="EB9" s="47" t="s">
        <v>14</v>
      </c>
      <c r="EC9" s="47"/>
      <c r="ED9" s="47"/>
      <c r="EE9" s="474"/>
      <c r="EF9" s="47"/>
      <c r="EG9" s="47" t="s">
        <v>15</v>
      </c>
      <c r="EH9" s="47"/>
      <c r="EI9" s="47"/>
      <c r="EJ9" s="474"/>
      <c r="EK9" s="47"/>
      <c r="EL9" s="47" t="s">
        <v>16</v>
      </c>
      <c r="EO9" s="144"/>
    </row>
    <row r="10" spans="4:147" x14ac:dyDescent="0.3">
      <c r="D10" s="489" t="s">
        <v>18</v>
      </c>
      <c r="E10" s="597"/>
      <c r="F10" s="598"/>
      <c r="G10" s="491" t="s">
        <v>20</v>
      </c>
      <c r="H10" s="491"/>
      <c r="I10" s="491"/>
      <c r="J10" s="220"/>
      <c r="K10" s="491"/>
      <c r="L10" s="491"/>
      <c r="M10" s="491"/>
      <c r="N10" s="491"/>
      <c r="O10" s="220"/>
      <c r="P10" s="491"/>
      <c r="Q10" s="491"/>
      <c r="R10" s="491"/>
      <c r="S10" s="491"/>
      <c r="T10" s="220"/>
      <c r="U10" s="491"/>
      <c r="V10" s="491"/>
      <c r="W10" s="491"/>
      <c r="X10" s="491"/>
      <c r="Y10" s="220"/>
      <c r="Z10" s="491"/>
      <c r="AA10" s="491"/>
      <c r="AB10" s="491"/>
      <c r="AC10" s="491"/>
      <c r="AD10" s="220"/>
      <c r="AE10" s="491"/>
      <c r="AF10" s="491"/>
      <c r="AG10" s="491"/>
      <c r="AH10" s="491"/>
      <c r="AI10" s="220"/>
      <c r="AJ10" s="491"/>
      <c r="AK10" s="491"/>
      <c r="AL10" s="491"/>
      <c r="AM10" s="491"/>
      <c r="AN10" s="220"/>
      <c r="AO10" s="491"/>
      <c r="AP10" s="491"/>
      <c r="AQ10" s="491"/>
      <c r="AR10" s="491"/>
      <c r="AS10" s="220"/>
      <c r="AT10" s="491"/>
      <c r="AU10" s="491"/>
      <c r="AV10" s="491"/>
      <c r="AW10" s="491"/>
      <c r="AX10" s="220"/>
      <c r="AY10" s="491"/>
      <c r="AZ10" s="491"/>
      <c r="BA10" s="491"/>
      <c r="BB10" s="491"/>
      <c r="BC10" s="220"/>
      <c r="BD10" s="491"/>
      <c r="BE10" s="491"/>
      <c r="BF10" s="491"/>
      <c r="BG10" s="491"/>
      <c r="BH10" s="220"/>
      <c r="BI10" s="491"/>
      <c r="BJ10" s="491"/>
      <c r="BK10" s="491"/>
      <c r="BL10" s="491"/>
      <c r="BM10" s="220"/>
      <c r="BN10" s="491"/>
      <c r="BO10" s="491"/>
      <c r="BP10" s="491"/>
      <c r="BQ10" s="491"/>
      <c r="BR10" s="220"/>
      <c r="BS10" s="491"/>
      <c r="BT10" s="491"/>
      <c r="BU10" s="491"/>
      <c r="BV10" s="491"/>
      <c r="BW10" s="220"/>
      <c r="BX10" s="491"/>
      <c r="BY10" s="491" t="s">
        <v>45</v>
      </c>
      <c r="BZ10" s="491"/>
      <c r="CA10" s="491"/>
      <c r="CB10" s="220"/>
      <c r="CC10" s="491"/>
      <c r="CD10" s="491"/>
      <c r="CE10" s="491"/>
      <c r="CF10" s="491"/>
      <c r="CG10" s="220"/>
      <c r="CH10" s="491"/>
      <c r="CI10" s="491"/>
      <c r="CJ10" s="491"/>
      <c r="CK10" s="491"/>
      <c r="CL10" s="220"/>
      <c r="CM10" s="491"/>
      <c r="CN10" s="491"/>
      <c r="CO10" s="491"/>
      <c r="CP10" s="491"/>
      <c r="CQ10" s="220"/>
      <c r="CR10" s="491"/>
      <c r="CS10" s="491"/>
      <c r="CT10" s="491"/>
      <c r="CU10" s="491"/>
      <c r="CV10" s="220"/>
      <c r="CW10" s="491"/>
      <c r="CX10" s="491"/>
      <c r="CY10" s="491"/>
      <c r="CZ10" s="491"/>
      <c r="DA10" s="220"/>
      <c r="DB10" s="491"/>
      <c r="DC10" s="491"/>
      <c r="DD10" s="491"/>
      <c r="DE10" s="491"/>
      <c r="DF10" s="220"/>
      <c r="DG10" s="491"/>
      <c r="DH10" s="491"/>
      <c r="DI10" s="491"/>
      <c r="DJ10" s="491"/>
      <c r="DK10" s="220"/>
      <c r="DL10" s="491"/>
      <c r="DM10" s="491"/>
      <c r="DN10" s="491"/>
      <c r="DO10" s="491"/>
      <c r="DP10" s="220"/>
      <c r="DQ10" s="491"/>
      <c r="DR10" s="491"/>
      <c r="DS10" s="491"/>
      <c r="DT10" s="491"/>
      <c r="DU10" s="220"/>
      <c r="DV10" s="491"/>
      <c r="DW10" s="491"/>
      <c r="DX10" s="491"/>
      <c r="DY10" s="491"/>
      <c r="DZ10" s="220"/>
      <c r="EA10" s="491"/>
      <c r="EB10" s="491"/>
      <c r="EC10" s="491"/>
      <c r="ED10" s="491"/>
      <c r="EE10" s="220"/>
      <c r="EF10" s="491"/>
      <c r="EG10" s="491"/>
      <c r="EH10" s="491"/>
      <c r="EI10" s="491"/>
      <c r="EJ10" s="220"/>
      <c r="EK10" s="491"/>
      <c r="EL10" s="491"/>
      <c r="EM10" s="277"/>
      <c r="EN10" s="277"/>
      <c r="EO10" s="144"/>
    </row>
    <row r="11" spans="4:147" x14ac:dyDescent="0.3">
      <c r="D11" s="600"/>
      <c r="E11" s="516"/>
      <c r="F11" s="517"/>
      <c r="G11" s="517"/>
      <c r="H11" s="517"/>
      <c r="I11" s="517"/>
      <c r="J11" s="516"/>
      <c r="K11" s="517"/>
      <c r="L11" s="517"/>
      <c r="M11" s="517"/>
      <c r="N11" s="517"/>
      <c r="O11" s="516"/>
      <c r="P11" s="517"/>
      <c r="Q11" s="517"/>
      <c r="R11" s="517"/>
      <c r="S11" s="517"/>
      <c r="T11" s="516"/>
      <c r="U11" s="517"/>
      <c r="V11" s="517"/>
      <c r="W11" s="517"/>
      <c r="X11" s="517"/>
      <c r="Y11" s="516"/>
      <c r="Z11" s="517"/>
      <c r="AA11" s="517"/>
      <c r="AB11" s="517"/>
      <c r="AC11" s="517"/>
      <c r="AD11" s="516"/>
      <c r="AE11" s="517"/>
      <c r="AF11" s="517"/>
      <c r="AG11" s="517"/>
      <c r="AH11" s="517"/>
      <c r="AI11" s="516"/>
      <c r="AJ11" s="517"/>
      <c r="AK11" s="517"/>
      <c r="AL11" s="517"/>
      <c r="AM11" s="517"/>
      <c r="AN11" s="516"/>
      <c r="AO11" s="517"/>
      <c r="AP11" s="517"/>
      <c r="AQ11" s="517"/>
      <c r="AR11" s="517"/>
      <c r="AS11" s="516"/>
      <c r="AT11" s="517"/>
      <c r="AU11" s="517"/>
      <c r="AV11" s="517"/>
      <c r="AW11" s="517"/>
      <c r="AX11" s="516"/>
      <c r="AY11" s="517"/>
      <c r="AZ11" s="517"/>
      <c r="BA11" s="517"/>
      <c r="BB11" s="517"/>
      <c r="BC11" s="516"/>
      <c r="BD11" s="517"/>
      <c r="BE11" s="517"/>
      <c r="BF11" s="517"/>
      <c r="BG11" s="517"/>
      <c r="BH11" s="516"/>
      <c r="BI11" s="517"/>
      <c r="BJ11" s="517"/>
      <c r="BK11" s="517"/>
      <c r="BL11" s="517"/>
      <c r="BM11" s="516"/>
      <c r="BN11" s="517"/>
      <c r="BO11" s="517"/>
      <c r="BP11" s="517"/>
      <c r="BQ11" s="517"/>
      <c r="BR11" s="516"/>
      <c r="BS11" s="517"/>
      <c r="BW11" s="494"/>
      <c r="BY11" s="517"/>
      <c r="BZ11" s="517"/>
      <c r="CA11" s="517"/>
      <c r="CB11" s="516"/>
      <c r="CC11" s="517"/>
      <c r="CD11" s="517"/>
      <c r="CE11" s="517"/>
      <c r="CF11" s="517"/>
      <c r="CG11" s="516"/>
      <c r="CH11" s="517"/>
      <c r="CI11" s="517"/>
      <c r="CJ11" s="517"/>
      <c r="CK11" s="517"/>
      <c r="CL11" s="516"/>
      <c r="CM11" s="517"/>
      <c r="CN11" s="517"/>
      <c r="CO11" s="517"/>
      <c r="CP11" s="517"/>
      <c r="CQ11" s="516"/>
      <c r="CR11" s="517"/>
      <c r="CS11" s="517"/>
      <c r="CT11" s="517"/>
      <c r="CU11" s="517"/>
      <c r="CV11" s="516"/>
      <c r="CW11" s="517"/>
      <c r="CX11" s="517"/>
      <c r="CY11" s="517"/>
      <c r="CZ11" s="517"/>
      <c r="DA11" s="516"/>
      <c r="DB11" s="517"/>
      <c r="DC11" s="517"/>
      <c r="DD11" s="517"/>
      <c r="DE11" s="517"/>
      <c r="DF11" s="516"/>
      <c r="DG11" s="517"/>
      <c r="DH11" s="517"/>
      <c r="DI11" s="517"/>
      <c r="DJ11" s="517"/>
      <c r="DK11" s="516"/>
      <c r="DL11" s="517"/>
      <c r="DM11" s="517"/>
      <c r="DN11" s="517"/>
      <c r="DO11" s="517"/>
      <c r="DP11" s="516"/>
      <c r="DQ11" s="517"/>
      <c r="DR11" s="517"/>
      <c r="DS11" s="517"/>
      <c r="DT11" s="517"/>
      <c r="DU11" s="516"/>
      <c r="DV11" s="517"/>
      <c r="DW11" s="517"/>
      <c r="DX11" s="517"/>
      <c r="DY11" s="517"/>
      <c r="DZ11" s="516"/>
      <c r="EA11" s="517"/>
      <c r="EB11" s="517"/>
      <c r="EC11" s="517"/>
      <c r="ED11" s="517"/>
      <c r="EE11" s="516"/>
      <c r="EF11" s="517"/>
      <c r="EG11" s="517"/>
      <c r="EH11" s="517"/>
      <c r="EI11" s="517"/>
      <c r="EJ11" s="516"/>
      <c r="EK11" s="517"/>
      <c r="EO11" s="144"/>
    </row>
    <row r="12" spans="4:147" s="42" customFormat="1" x14ac:dyDescent="0.3">
      <c r="D12" s="234" t="s">
        <v>381</v>
      </c>
      <c r="E12" s="496"/>
      <c r="G12" s="64">
        <f>SUM(G13:G16)</f>
        <v>87756673</v>
      </c>
      <c r="H12" s="64"/>
      <c r="I12" s="64"/>
      <c r="J12" s="651"/>
      <c r="K12" s="64"/>
      <c r="L12" s="519">
        <f>SUM(L13:L16)</f>
        <v>4376147</v>
      </c>
      <c r="M12" s="519"/>
      <c r="N12" s="519"/>
      <c r="O12" s="518"/>
      <c r="P12" s="519"/>
      <c r="Q12" s="519">
        <f>SUM(Q13:Q16)</f>
        <v>6862829</v>
      </c>
      <c r="R12" s="519"/>
      <c r="S12" s="519"/>
      <c r="T12" s="518"/>
      <c r="U12" s="519"/>
      <c r="V12" s="519">
        <f>SUM(V13:V16)</f>
        <v>2573850</v>
      </c>
      <c r="W12" s="519"/>
      <c r="X12" s="519"/>
      <c r="Y12" s="518"/>
      <c r="Z12" s="519"/>
      <c r="AA12" s="519">
        <f>SUM(AA13:AA16)</f>
        <v>591849</v>
      </c>
      <c r="AB12" s="519"/>
      <c r="AC12" s="519"/>
      <c r="AD12" s="518"/>
      <c r="AE12" s="519"/>
      <c r="AF12" s="519">
        <f>SUM(AF13:AF16)</f>
        <v>3602980</v>
      </c>
      <c r="AG12" s="519"/>
      <c r="AH12" s="519"/>
      <c r="AI12" s="518"/>
      <c r="AJ12" s="519"/>
      <c r="AK12" s="519">
        <f>SUM(AK13:AK16)</f>
        <v>1125584</v>
      </c>
      <c r="AL12" s="519"/>
      <c r="AM12" s="519"/>
      <c r="AN12" s="518"/>
      <c r="AO12" s="519"/>
      <c r="AP12" s="519">
        <f>SUM(AP13:AP16)</f>
        <v>1150952</v>
      </c>
      <c r="AQ12" s="519"/>
      <c r="AR12" s="519"/>
      <c r="AS12" s="518"/>
      <c r="AT12" s="519"/>
      <c r="AU12" s="519">
        <f>SUM(AU13:AU16)</f>
        <v>1408828</v>
      </c>
      <c r="AV12" s="519"/>
      <c r="AW12" s="519"/>
      <c r="AX12" s="518"/>
      <c r="AY12" s="519"/>
      <c r="AZ12" s="519">
        <f>SUM(AZ13:AZ16)</f>
        <v>874081</v>
      </c>
      <c r="BA12" s="519"/>
      <c r="BB12" s="519"/>
      <c r="BC12" s="518"/>
      <c r="BD12" s="519"/>
      <c r="BE12" s="519">
        <f>SUM(BE13:BE16)</f>
        <v>372039</v>
      </c>
      <c r="BF12" s="519"/>
      <c r="BG12" s="519"/>
      <c r="BH12" s="518"/>
      <c r="BI12" s="519"/>
      <c r="BJ12" s="519">
        <f>SUM(BJ13:BJ16)</f>
        <v>0</v>
      </c>
      <c r="BK12" s="519"/>
      <c r="BL12" s="519"/>
      <c r="BM12" s="518"/>
      <c r="BN12" s="519"/>
      <c r="BO12" s="519">
        <f>SUM(BO13:BO16)</f>
        <v>0</v>
      </c>
      <c r="BP12" s="519"/>
      <c r="BQ12" s="519"/>
      <c r="BR12" s="518"/>
      <c r="BS12" s="519"/>
      <c r="BT12" s="519">
        <f>SUM(BT13:BT16)</f>
        <v>22939139</v>
      </c>
      <c r="BU12" s="519"/>
      <c r="BV12" s="519"/>
      <c r="BW12" s="518"/>
      <c r="BX12" s="519"/>
      <c r="BY12" s="519">
        <f>SUM(BY13:BY16)</f>
        <v>116875373</v>
      </c>
      <c r="BZ12" s="64"/>
      <c r="CA12" s="64"/>
      <c r="CB12" s="651"/>
      <c r="CC12" s="64"/>
      <c r="CD12" s="519">
        <f>SUM(CD13:CD16)</f>
        <v>10543716</v>
      </c>
      <c r="CE12" s="519"/>
      <c r="CF12" s="519"/>
      <c r="CG12" s="518"/>
      <c r="CH12" s="519"/>
      <c r="CI12" s="519">
        <f>SUM(CI13:CI16)</f>
        <v>3539413</v>
      </c>
      <c r="CJ12" s="519"/>
      <c r="CK12" s="519"/>
      <c r="CL12" s="518"/>
      <c r="CM12" s="519"/>
      <c r="CN12" s="519">
        <f>SUM(CN13:CN16)</f>
        <v>8139018</v>
      </c>
      <c r="CO12" s="519"/>
      <c r="CP12" s="519"/>
      <c r="CQ12" s="518"/>
      <c r="CR12" s="519"/>
      <c r="CS12" s="519">
        <f>SUM(CS13:CS16)</f>
        <v>3832286</v>
      </c>
      <c r="CT12" s="519"/>
      <c r="CU12" s="519"/>
      <c r="CV12" s="518"/>
      <c r="CW12" s="519"/>
      <c r="CX12" s="519">
        <f>SUM(CX13:CX16)</f>
        <v>4717776</v>
      </c>
      <c r="CY12" s="519"/>
      <c r="CZ12" s="519"/>
      <c r="DA12" s="518"/>
      <c r="DB12" s="519"/>
      <c r="DC12" s="519">
        <f>SUM(DC13:DC16)</f>
        <v>2448861</v>
      </c>
      <c r="DD12" s="519"/>
      <c r="DE12" s="519"/>
      <c r="DF12" s="518"/>
      <c r="DG12" s="519"/>
      <c r="DH12" s="519">
        <f>SUM(DH13:DH16)</f>
        <v>5208735</v>
      </c>
      <c r="DI12" s="519"/>
      <c r="DJ12" s="519"/>
      <c r="DK12" s="518"/>
      <c r="DL12" s="519"/>
      <c r="DM12" s="519">
        <f>SUM(DM13:DM16)</f>
        <v>5066529</v>
      </c>
      <c r="DN12" s="519"/>
      <c r="DO12" s="519"/>
      <c r="DP12" s="518"/>
      <c r="DQ12" s="519"/>
      <c r="DR12" s="519">
        <f>SUM(DR13:DR16)</f>
        <v>4155980</v>
      </c>
      <c r="DS12" s="519"/>
      <c r="DT12" s="519"/>
      <c r="DU12" s="518"/>
      <c r="DV12" s="519"/>
      <c r="DW12" s="519">
        <f>SUM(DW13:DW16)</f>
        <v>60254886</v>
      </c>
      <c r="DX12" s="519"/>
      <c r="DY12" s="519"/>
      <c r="DZ12" s="518"/>
      <c r="EA12" s="519"/>
      <c r="EB12" s="519">
        <f>SUM(EB13:EB16)</f>
        <v>3707089</v>
      </c>
      <c r="EC12" s="519"/>
      <c r="ED12" s="519"/>
      <c r="EE12" s="518"/>
      <c r="EF12" s="519"/>
      <c r="EG12" s="519">
        <f>SUM(EG13:EG16)</f>
        <v>5261084</v>
      </c>
      <c r="EH12" s="519"/>
      <c r="EI12" s="519"/>
      <c r="EJ12" s="518"/>
      <c r="EK12" s="519"/>
      <c r="EL12" s="519">
        <f>SUM(EL13:EL16)</f>
        <v>107907200</v>
      </c>
      <c r="EO12" s="234"/>
    </row>
    <row r="13" spans="4:147" x14ac:dyDescent="0.3">
      <c r="D13" s="144" t="s">
        <v>382</v>
      </c>
      <c r="E13" s="494"/>
      <c r="F13" s="520"/>
      <c r="G13" s="601">
        <f>G18</f>
        <v>71712000</v>
      </c>
      <c r="H13" s="603"/>
      <c r="I13" s="95"/>
      <c r="J13" s="652"/>
      <c r="K13" s="520"/>
      <c r="L13" s="601">
        <f>L18</f>
        <v>513949</v>
      </c>
      <c r="M13" s="603"/>
      <c r="N13" s="517"/>
      <c r="O13" s="516"/>
      <c r="P13" s="520"/>
      <c r="Q13" s="601">
        <f>Q18</f>
        <v>384648</v>
      </c>
      <c r="R13" s="603"/>
      <c r="S13" s="517"/>
      <c r="T13" s="516"/>
      <c r="U13" s="520"/>
      <c r="V13" s="601">
        <f>V18</f>
        <v>416656</v>
      </c>
      <c r="W13" s="603"/>
      <c r="X13" s="517"/>
      <c r="Y13" s="516"/>
      <c r="Z13" s="520"/>
      <c r="AA13" s="601">
        <f>AA18</f>
        <v>496510</v>
      </c>
      <c r="AB13" s="603"/>
      <c r="AC13" s="517"/>
      <c r="AD13" s="516"/>
      <c r="AE13" s="520"/>
      <c r="AF13" s="601">
        <f>AF18</f>
        <v>802735</v>
      </c>
      <c r="AG13" s="603"/>
      <c r="AH13" s="517"/>
      <c r="AI13" s="516"/>
      <c r="AJ13" s="520"/>
      <c r="AK13" s="601">
        <f>AK18</f>
        <v>474068</v>
      </c>
      <c r="AL13" s="603"/>
      <c r="AM13" s="517"/>
      <c r="AN13" s="516"/>
      <c r="AO13" s="520"/>
      <c r="AP13" s="601">
        <f>AP18</f>
        <v>692919</v>
      </c>
      <c r="AQ13" s="603"/>
      <c r="AR13" s="517"/>
      <c r="AS13" s="516"/>
      <c r="AT13" s="520"/>
      <c r="AU13" s="601">
        <f>AU18</f>
        <v>820886</v>
      </c>
      <c r="AV13" s="603"/>
      <c r="AW13" s="517"/>
      <c r="AX13" s="516"/>
      <c r="AY13" s="520"/>
      <c r="AZ13" s="601">
        <f>AZ18</f>
        <v>545821</v>
      </c>
      <c r="BA13" s="603"/>
      <c r="BB13" s="517"/>
      <c r="BC13" s="516"/>
      <c r="BD13" s="520"/>
      <c r="BE13" s="601">
        <f>BE18</f>
        <v>342070</v>
      </c>
      <c r="BF13" s="603"/>
      <c r="BG13" s="517"/>
      <c r="BH13" s="516"/>
      <c r="BI13" s="520"/>
      <c r="BJ13" s="601">
        <f>BJ18</f>
        <v>0</v>
      </c>
      <c r="BK13" s="603"/>
      <c r="BL13" s="517"/>
      <c r="BM13" s="516"/>
      <c r="BN13" s="520"/>
      <c r="BO13" s="601">
        <f>BO18</f>
        <v>0</v>
      </c>
      <c r="BP13" s="603"/>
      <c r="BQ13" s="516"/>
      <c r="BR13" s="516"/>
      <c r="BS13" s="520"/>
      <c r="BT13" s="601">
        <f>BT18</f>
        <v>5490262</v>
      </c>
      <c r="BU13" s="603"/>
      <c r="BV13" s="517"/>
      <c r="BW13" s="516"/>
      <c r="BX13" s="520"/>
      <c r="BY13" s="601">
        <f>BY18</f>
        <v>61373397</v>
      </c>
      <c r="BZ13" s="603"/>
      <c r="CA13" s="95"/>
      <c r="CB13" s="652"/>
      <c r="CC13" s="520"/>
      <c r="CD13" s="601">
        <f>CD18</f>
        <v>168655</v>
      </c>
      <c r="CE13" s="603"/>
      <c r="CF13" s="517"/>
      <c r="CG13" s="516"/>
      <c r="CH13" s="520"/>
      <c r="CI13" s="601">
        <f>CI18</f>
        <v>364413</v>
      </c>
      <c r="CJ13" s="603"/>
      <c r="CK13" s="517"/>
      <c r="CL13" s="516"/>
      <c r="CM13" s="520"/>
      <c r="CN13" s="601">
        <f>CN18</f>
        <v>197910</v>
      </c>
      <c r="CO13" s="603"/>
      <c r="CP13" s="517"/>
      <c r="CQ13" s="516"/>
      <c r="CR13" s="520"/>
      <c r="CS13" s="601">
        <f>CS18</f>
        <v>286915</v>
      </c>
      <c r="CT13" s="603"/>
      <c r="CU13" s="517"/>
      <c r="CV13" s="516"/>
      <c r="CW13" s="520"/>
      <c r="CX13" s="601">
        <f>CX18</f>
        <v>263897</v>
      </c>
      <c r="CY13" s="603"/>
      <c r="CZ13" s="517"/>
      <c r="DA13" s="516"/>
      <c r="DB13" s="520"/>
      <c r="DC13" s="601">
        <f>DC18</f>
        <v>151237</v>
      </c>
      <c r="DD13" s="603"/>
      <c r="DE13" s="517"/>
      <c r="DF13" s="516"/>
      <c r="DG13" s="520"/>
      <c r="DH13" s="601">
        <f>DH18</f>
        <v>467133</v>
      </c>
      <c r="DI13" s="603"/>
      <c r="DJ13" s="517"/>
      <c r="DK13" s="516"/>
      <c r="DL13" s="520"/>
      <c r="DM13" s="601">
        <f>DM18</f>
        <v>387424</v>
      </c>
      <c r="DN13" s="603"/>
      <c r="DO13" s="517"/>
      <c r="DP13" s="516"/>
      <c r="DQ13" s="520"/>
      <c r="DR13" s="601">
        <f>DR18</f>
        <v>493196</v>
      </c>
      <c r="DS13" s="603"/>
      <c r="DT13" s="517"/>
      <c r="DU13" s="516"/>
      <c r="DV13" s="520"/>
      <c r="DW13" s="601">
        <f>DW18</f>
        <v>57929886</v>
      </c>
      <c r="DX13" s="603"/>
      <c r="DY13" s="517"/>
      <c r="DZ13" s="516"/>
      <c r="EA13" s="520"/>
      <c r="EB13" s="601">
        <f>EB18</f>
        <v>409969</v>
      </c>
      <c r="EC13" s="603"/>
      <c r="ED13" s="517"/>
      <c r="EE13" s="516"/>
      <c r="EF13" s="520"/>
      <c r="EG13" s="601">
        <f>EG18</f>
        <v>252762</v>
      </c>
      <c r="EH13" s="603"/>
      <c r="EI13" s="517"/>
      <c r="EJ13" s="516"/>
      <c r="EK13" s="520"/>
      <c r="EL13" s="601">
        <f>EL18</f>
        <v>60710666</v>
      </c>
      <c r="EM13" s="603"/>
      <c r="EO13" s="144"/>
      <c r="EP13" s="42"/>
      <c r="EQ13" s="42"/>
    </row>
    <row r="14" spans="4:147" x14ac:dyDescent="0.3">
      <c r="D14" s="144" t="s">
        <v>383</v>
      </c>
      <c r="E14" s="494"/>
      <c r="F14" s="516"/>
      <c r="G14" s="517">
        <f>G97</f>
        <v>7695000</v>
      </c>
      <c r="H14" s="604"/>
      <c r="I14" s="517"/>
      <c r="J14" s="516"/>
      <c r="K14" s="516"/>
      <c r="L14" s="517">
        <f>L97</f>
        <v>3035000</v>
      </c>
      <c r="M14" s="604"/>
      <c r="N14" s="517"/>
      <c r="O14" s="516"/>
      <c r="P14" s="516"/>
      <c r="Q14" s="517">
        <f>Q97</f>
        <v>3410000</v>
      </c>
      <c r="R14" s="604"/>
      <c r="S14" s="517"/>
      <c r="T14" s="516"/>
      <c r="U14" s="516"/>
      <c r="V14" s="517">
        <f>V97</f>
        <v>1250000</v>
      </c>
      <c r="W14" s="604"/>
      <c r="X14" s="517"/>
      <c r="Y14" s="516"/>
      <c r="Z14" s="516"/>
      <c r="AA14" s="517">
        <f>AA97</f>
        <v>0</v>
      </c>
      <c r="AB14" s="604"/>
      <c r="AC14" s="517"/>
      <c r="AD14" s="516"/>
      <c r="AE14" s="516"/>
      <c r="AF14" s="517">
        <f>AF97</f>
        <v>0</v>
      </c>
      <c r="AG14" s="604"/>
      <c r="AH14" s="517"/>
      <c r="AI14" s="516"/>
      <c r="AJ14" s="516"/>
      <c r="AK14" s="517">
        <f>AK97</f>
        <v>0</v>
      </c>
      <c r="AL14" s="604"/>
      <c r="AM14" s="517"/>
      <c r="AN14" s="516"/>
      <c r="AO14" s="516"/>
      <c r="AP14" s="517">
        <f>AP97</f>
        <v>0</v>
      </c>
      <c r="AQ14" s="604"/>
      <c r="AR14" s="517"/>
      <c r="AS14" s="516"/>
      <c r="AT14" s="516"/>
      <c r="AU14" s="517">
        <f>AU97</f>
        <v>0</v>
      </c>
      <c r="AV14" s="604"/>
      <c r="AW14" s="517"/>
      <c r="AX14" s="516"/>
      <c r="AY14" s="516"/>
      <c r="AZ14" s="517">
        <f>AZ97</f>
        <v>0</v>
      </c>
      <c r="BA14" s="604"/>
      <c r="BB14" s="517"/>
      <c r="BC14" s="516"/>
      <c r="BD14" s="516"/>
      <c r="BE14" s="517">
        <f>BE97</f>
        <v>0</v>
      </c>
      <c r="BF14" s="604"/>
      <c r="BG14" s="517"/>
      <c r="BH14" s="516"/>
      <c r="BI14" s="516"/>
      <c r="BJ14" s="517">
        <f>BJ97</f>
        <v>0</v>
      </c>
      <c r="BK14" s="604"/>
      <c r="BL14" s="517"/>
      <c r="BM14" s="516"/>
      <c r="BN14" s="516"/>
      <c r="BO14" s="517">
        <f>BO97</f>
        <v>0</v>
      </c>
      <c r="BP14" s="604"/>
      <c r="BQ14" s="516"/>
      <c r="BR14" s="516"/>
      <c r="BS14" s="516"/>
      <c r="BT14" s="517">
        <f>BT97</f>
        <v>7695000</v>
      </c>
      <c r="BU14" s="604"/>
      <c r="BV14" s="517"/>
      <c r="BW14" s="516"/>
      <c r="BX14" s="516"/>
      <c r="BY14" s="517">
        <f>BY97</f>
        <v>48025000</v>
      </c>
      <c r="BZ14" s="604"/>
      <c r="CA14" s="517"/>
      <c r="CB14" s="516"/>
      <c r="CC14" s="516"/>
      <c r="CD14" s="517">
        <f>CD97</f>
        <v>10180000</v>
      </c>
      <c r="CE14" s="604"/>
      <c r="CF14" s="517"/>
      <c r="CG14" s="516"/>
      <c r="CH14" s="516"/>
      <c r="CI14" s="517">
        <f>CI97</f>
        <v>3175000</v>
      </c>
      <c r="CJ14" s="604"/>
      <c r="CK14" s="517"/>
      <c r="CL14" s="516"/>
      <c r="CM14" s="516"/>
      <c r="CN14" s="517">
        <f>CN97</f>
        <v>6985000</v>
      </c>
      <c r="CO14" s="604"/>
      <c r="CP14" s="517"/>
      <c r="CQ14" s="516"/>
      <c r="CR14" s="516"/>
      <c r="CS14" s="517">
        <f>CS97</f>
        <v>3165000</v>
      </c>
      <c r="CT14" s="604"/>
      <c r="CU14" s="517"/>
      <c r="CV14" s="516"/>
      <c r="CW14" s="516"/>
      <c r="CX14" s="517">
        <f>CX97</f>
        <v>4370000</v>
      </c>
      <c r="CY14" s="604"/>
      <c r="CZ14" s="517"/>
      <c r="DA14" s="516"/>
      <c r="DB14" s="516"/>
      <c r="DC14" s="517">
        <f>DC97</f>
        <v>2270000</v>
      </c>
      <c r="DD14" s="604"/>
      <c r="DE14" s="517"/>
      <c r="DF14" s="516"/>
      <c r="DG14" s="516"/>
      <c r="DH14" s="517">
        <f>DH97</f>
        <v>4260000</v>
      </c>
      <c r="DI14" s="604"/>
      <c r="DJ14" s="517"/>
      <c r="DK14" s="516"/>
      <c r="DL14" s="516"/>
      <c r="DM14" s="517">
        <f>DM97</f>
        <v>3475000</v>
      </c>
      <c r="DN14" s="604"/>
      <c r="DO14" s="517"/>
      <c r="DP14" s="516"/>
      <c r="DQ14" s="516"/>
      <c r="DR14" s="517">
        <f>DR97</f>
        <v>3320000</v>
      </c>
      <c r="DS14" s="604"/>
      <c r="DT14" s="517"/>
      <c r="DU14" s="516"/>
      <c r="DV14" s="516"/>
      <c r="DW14" s="517">
        <f>DW97</f>
        <v>2325000</v>
      </c>
      <c r="DX14" s="604"/>
      <c r="DY14" s="517"/>
      <c r="DZ14" s="516"/>
      <c r="EA14" s="516"/>
      <c r="EB14" s="517">
        <f>EB97</f>
        <v>2615000</v>
      </c>
      <c r="EC14" s="604"/>
      <c r="ED14" s="517"/>
      <c r="EE14" s="516"/>
      <c r="EF14" s="516"/>
      <c r="EG14" s="517">
        <f>EG97</f>
        <v>1885000</v>
      </c>
      <c r="EH14" s="604"/>
      <c r="EI14" s="517"/>
      <c r="EJ14" s="516"/>
      <c r="EK14" s="516"/>
      <c r="EL14" s="517">
        <f>EL97</f>
        <v>43525000</v>
      </c>
      <c r="EM14" s="604"/>
      <c r="EO14" s="144"/>
      <c r="EP14" s="42"/>
      <c r="EQ14" s="42"/>
    </row>
    <row r="15" spans="4:147" x14ac:dyDescent="0.3">
      <c r="D15" s="144" t="s">
        <v>384</v>
      </c>
      <c r="E15" s="494"/>
      <c r="F15" s="516"/>
      <c r="G15" s="517">
        <f>G112</f>
        <v>8349673</v>
      </c>
      <c r="H15" s="604"/>
      <c r="I15" s="95"/>
      <c r="J15" s="652"/>
      <c r="K15" s="516"/>
      <c r="L15" s="517">
        <f>L112</f>
        <v>827198</v>
      </c>
      <c r="M15" s="604"/>
      <c r="N15" s="95"/>
      <c r="O15" s="652"/>
      <c r="P15" s="516"/>
      <c r="Q15" s="517">
        <f>Q112</f>
        <v>3068181</v>
      </c>
      <c r="R15" s="604"/>
      <c r="S15" s="517"/>
      <c r="T15" s="516"/>
      <c r="U15" s="516"/>
      <c r="V15" s="517">
        <f>V112</f>
        <v>907194</v>
      </c>
      <c r="W15" s="604"/>
      <c r="X15" s="517"/>
      <c r="Y15" s="516"/>
      <c r="Z15" s="516"/>
      <c r="AA15" s="517">
        <f>AA112</f>
        <v>95339</v>
      </c>
      <c r="AB15" s="604"/>
      <c r="AC15" s="517"/>
      <c r="AD15" s="516"/>
      <c r="AE15" s="516"/>
      <c r="AF15" s="517">
        <f>AF112</f>
        <v>2800245</v>
      </c>
      <c r="AG15" s="604"/>
      <c r="AH15" s="517"/>
      <c r="AI15" s="516"/>
      <c r="AJ15" s="516"/>
      <c r="AK15" s="517">
        <f>AK112</f>
        <v>651516</v>
      </c>
      <c r="AL15" s="604"/>
      <c r="AM15" s="517"/>
      <c r="AN15" s="516"/>
      <c r="AO15" s="516"/>
      <c r="AP15" s="517">
        <f>AP112</f>
        <v>458033</v>
      </c>
      <c r="AQ15" s="604"/>
      <c r="AR15" s="517"/>
      <c r="AS15" s="516"/>
      <c r="AT15" s="516"/>
      <c r="AU15" s="517">
        <f>AU112</f>
        <v>587942</v>
      </c>
      <c r="AV15" s="604"/>
      <c r="AW15" s="517"/>
      <c r="AX15" s="516"/>
      <c r="AY15" s="516"/>
      <c r="AZ15" s="517">
        <f>AZ112</f>
        <v>328260</v>
      </c>
      <c r="BA15" s="604"/>
      <c r="BB15" s="517"/>
      <c r="BC15" s="516"/>
      <c r="BD15" s="516"/>
      <c r="BE15" s="517">
        <f>BE112</f>
        <v>29969</v>
      </c>
      <c r="BF15" s="604"/>
      <c r="BG15" s="517"/>
      <c r="BH15" s="516"/>
      <c r="BI15" s="516"/>
      <c r="BJ15" s="517">
        <f>BJ112</f>
        <v>0</v>
      </c>
      <c r="BK15" s="604"/>
      <c r="BL15" s="517"/>
      <c r="BM15" s="516"/>
      <c r="BN15" s="516"/>
      <c r="BO15" s="517">
        <f>BO112</f>
        <v>0</v>
      </c>
      <c r="BP15" s="604"/>
      <c r="BQ15" s="516"/>
      <c r="BR15" s="516"/>
      <c r="BS15" s="516"/>
      <c r="BT15" s="517">
        <f>BT112</f>
        <v>9753877</v>
      </c>
      <c r="BU15" s="604"/>
      <c r="BV15" s="517"/>
      <c r="BW15" s="516"/>
      <c r="BX15" s="516"/>
      <c r="BY15" s="517">
        <f>BY112</f>
        <v>7476976</v>
      </c>
      <c r="BZ15" s="604"/>
      <c r="CA15" s="95"/>
      <c r="CB15" s="652"/>
      <c r="CC15" s="516"/>
      <c r="CD15" s="517">
        <f>CD112</f>
        <v>195061</v>
      </c>
      <c r="CE15" s="604"/>
      <c r="CF15" s="95"/>
      <c r="CG15" s="652"/>
      <c r="CH15" s="516"/>
      <c r="CI15" s="517">
        <f>CI112</f>
        <v>0</v>
      </c>
      <c r="CJ15" s="604"/>
      <c r="CK15" s="517"/>
      <c r="CL15" s="516"/>
      <c r="CM15" s="516"/>
      <c r="CN15" s="517">
        <f>CN112</f>
        <v>956108</v>
      </c>
      <c r="CO15" s="604"/>
      <c r="CP15" s="517"/>
      <c r="CQ15" s="516"/>
      <c r="CR15" s="516"/>
      <c r="CS15" s="517">
        <f>CS112</f>
        <v>380371</v>
      </c>
      <c r="CT15" s="604"/>
      <c r="CU15" s="517"/>
      <c r="CV15" s="516"/>
      <c r="CW15" s="516"/>
      <c r="CX15" s="517">
        <f>CX112</f>
        <v>83879</v>
      </c>
      <c r="CY15" s="604"/>
      <c r="CZ15" s="517"/>
      <c r="DA15" s="516"/>
      <c r="DB15" s="516"/>
      <c r="DC15" s="517">
        <f>DC112</f>
        <v>27624</v>
      </c>
      <c r="DD15" s="604"/>
      <c r="DE15" s="517"/>
      <c r="DF15" s="516"/>
      <c r="DG15" s="516"/>
      <c r="DH15" s="517">
        <f>DH112</f>
        <v>481602</v>
      </c>
      <c r="DI15" s="604"/>
      <c r="DJ15" s="517"/>
      <c r="DK15" s="516"/>
      <c r="DL15" s="516"/>
      <c r="DM15" s="517">
        <f>DM112</f>
        <v>1204105</v>
      </c>
      <c r="DN15" s="604"/>
      <c r="DO15" s="517"/>
      <c r="DP15" s="516"/>
      <c r="DQ15" s="516"/>
      <c r="DR15" s="517">
        <f>DR112</f>
        <v>342784</v>
      </c>
      <c r="DS15" s="604"/>
      <c r="DT15" s="517"/>
      <c r="DU15" s="516"/>
      <c r="DV15" s="516"/>
      <c r="DW15" s="517">
        <f>DW112</f>
        <v>0</v>
      </c>
      <c r="DX15" s="604"/>
      <c r="DY15" s="517"/>
      <c r="DZ15" s="516"/>
      <c r="EA15" s="516"/>
      <c r="EB15" s="517">
        <f>EB112</f>
        <v>682120</v>
      </c>
      <c r="EC15" s="604"/>
      <c r="ED15" s="517"/>
      <c r="EE15" s="516"/>
      <c r="EF15" s="516"/>
      <c r="EG15" s="517">
        <f>EG112</f>
        <v>3123322</v>
      </c>
      <c r="EH15" s="604"/>
      <c r="EI15" s="517"/>
      <c r="EJ15" s="516"/>
      <c r="EK15" s="516"/>
      <c r="EL15" s="517">
        <f>EL112</f>
        <v>3671534</v>
      </c>
      <c r="EM15" s="604"/>
      <c r="EO15" s="144"/>
      <c r="EP15" s="42"/>
      <c r="EQ15" s="42"/>
    </row>
    <row r="16" spans="4:147" ht="12.75" customHeight="1" x14ac:dyDescent="0.3">
      <c r="D16" s="144" t="s">
        <v>385</v>
      </c>
      <c r="E16" s="494"/>
      <c r="F16" s="529"/>
      <c r="G16" s="605">
        <f>G190</f>
        <v>0</v>
      </c>
      <c r="H16" s="606"/>
      <c r="I16" s="95"/>
      <c r="J16" s="652"/>
      <c r="K16" s="529"/>
      <c r="L16" s="605">
        <f>L190</f>
        <v>0</v>
      </c>
      <c r="M16" s="606"/>
      <c r="N16" s="95"/>
      <c r="O16" s="652"/>
      <c r="P16" s="529"/>
      <c r="Q16" s="605">
        <f>Q190</f>
        <v>0</v>
      </c>
      <c r="R16" s="606"/>
      <c r="S16" s="517"/>
      <c r="T16" s="516"/>
      <c r="U16" s="529"/>
      <c r="V16" s="605">
        <f>V190</f>
        <v>0</v>
      </c>
      <c r="W16" s="606"/>
      <c r="X16" s="517"/>
      <c r="Y16" s="516"/>
      <c r="Z16" s="529"/>
      <c r="AA16" s="605">
        <f>AA190</f>
        <v>0</v>
      </c>
      <c r="AB16" s="606"/>
      <c r="AC16" s="517"/>
      <c r="AD16" s="516"/>
      <c r="AE16" s="529"/>
      <c r="AF16" s="605">
        <f>AF190</f>
        <v>0</v>
      </c>
      <c r="AG16" s="606"/>
      <c r="AH16" s="517"/>
      <c r="AI16" s="516"/>
      <c r="AJ16" s="529"/>
      <c r="AK16" s="605">
        <f>AK190</f>
        <v>0</v>
      </c>
      <c r="AL16" s="606"/>
      <c r="AM16" s="517"/>
      <c r="AN16" s="516"/>
      <c r="AO16" s="529"/>
      <c r="AP16" s="605">
        <f>AP190</f>
        <v>0</v>
      </c>
      <c r="AQ16" s="606"/>
      <c r="AR16" s="517"/>
      <c r="AS16" s="516"/>
      <c r="AT16" s="529"/>
      <c r="AU16" s="605">
        <f>AU190</f>
        <v>0</v>
      </c>
      <c r="AV16" s="606"/>
      <c r="AW16" s="517"/>
      <c r="AX16" s="516"/>
      <c r="AY16" s="529"/>
      <c r="AZ16" s="605">
        <f>AZ190</f>
        <v>0</v>
      </c>
      <c r="BA16" s="606"/>
      <c r="BB16" s="517"/>
      <c r="BC16" s="516"/>
      <c r="BD16" s="529"/>
      <c r="BE16" s="605">
        <f>BE190</f>
        <v>0</v>
      </c>
      <c r="BF16" s="606"/>
      <c r="BG16" s="517"/>
      <c r="BH16" s="516"/>
      <c r="BI16" s="529"/>
      <c r="BJ16" s="605">
        <f>BJ190</f>
        <v>0</v>
      </c>
      <c r="BK16" s="606"/>
      <c r="BL16" s="517"/>
      <c r="BM16" s="516"/>
      <c r="BN16" s="529"/>
      <c r="BO16" s="605">
        <f>BO190</f>
        <v>0</v>
      </c>
      <c r="BP16" s="606"/>
      <c r="BQ16" s="517"/>
      <c r="BR16" s="516"/>
      <c r="BS16" s="529"/>
      <c r="BT16" s="605">
        <f>BT190</f>
        <v>0</v>
      </c>
      <c r="BU16" s="606"/>
      <c r="BV16" s="517"/>
      <c r="BW16" s="516"/>
      <c r="BX16" s="529"/>
      <c r="BY16" s="605">
        <f>BY190</f>
        <v>0</v>
      </c>
      <c r="BZ16" s="606"/>
      <c r="CA16" s="95"/>
      <c r="CB16" s="652"/>
      <c r="CC16" s="529"/>
      <c r="CD16" s="605">
        <f>CD190</f>
        <v>0</v>
      </c>
      <c r="CE16" s="606"/>
      <c r="CF16" s="95"/>
      <c r="CG16" s="652"/>
      <c r="CH16" s="529"/>
      <c r="CI16" s="605">
        <f>CI190</f>
        <v>0</v>
      </c>
      <c r="CJ16" s="606"/>
      <c r="CK16" s="517"/>
      <c r="CL16" s="516"/>
      <c r="CM16" s="529"/>
      <c r="CN16" s="605">
        <f>CN190</f>
        <v>0</v>
      </c>
      <c r="CO16" s="606"/>
      <c r="CP16" s="517"/>
      <c r="CQ16" s="516"/>
      <c r="CR16" s="529"/>
      <c r="CS16" s="605">
        <f>CS190</f>
        <v>0</v>
      </c>
      <c r="CT16" s="606"/>
      <c r="CU16" s="517"/>
      <c r="CV16" s="516"/>
      <c r="CW16" s="529"/>
      <c r="CX16" s="605">
        <f>CX190</f>
        <v>0</v>
      </c>
      <c r="CY16" s="606"/>
      <c r="CZ16" s="517"/>
      <c r="DA16" s="516"/>
      <c r="DB16" s="529"/>
      <c r="DC16" s="605">
        <f>DC190</f>
        <v>0</v>
      </c>
      <c r="DD16" s="606"/>
      <c r="DE16" s="517"/>
      <c r="DF16" s="516"/>
      <c r="DG16" s="529"/>
      <c r="DH16" s="605">
        <f>DH190</f>
        <v>0</v>
      </c>
      <c r="DI16" s="606"/>
      <c r="DJ16" s="517"/>
      <c r="DK16" s="516"/>
      <c r="DL16" s="529"/>
      <c r="DM16" s="605">
        <f>DM190</f>
        <v>0</v>
      </c>
      <c r="DN16" s="606"/>
      <c r="DO16" s="517"/>
      <c r="DP16" s="516"/>
      <c r="DQ16" s="529"/>
      <c r="DR16" s="605">
        <f>DR190</f>
        <v>0</v>
      </c>
      <c r="DS16" s="606"/>
      <c r="DT16" s="517"/>
      <c r="DU16" s="516"/>
      <c r="DV16" s="529"/>
      <c r="DW16" s="605">
        <f>DW190</f>
        <v>0</v>
      </c>
      <c r="DX16" s="606"/>
      <c r="DY16" s="517"/>
      <c r="DZ16" s="516"/>
      <c r="EA16" s="529"/>
      <c r="EB16" s="605">
        <f>EB190</f>
        <v>0</v>
      </c>
      <c r="EC16" s="606"/>
      <c r="ED16" s="517"/>
      <c r="EE16" s="516"/>
      <c r="EF16" s="529"/>
      <c r="EG16" s="605">
        <f>EG190</f>
        <v>0</v>
      </c>
      <c r="EH16" s="606"/>
      <c r="EI16" s="517"/>
      <c r="EJ16" s="516"/>
      <c r="EK16" s="529"/>
      <c r="EL16" s="605">
        <f>EL190</f>
        <v>0</v>
      </c>
      <c r="EM16" s="606"/>
      <c r="EO16" s="144"/>
      <c r="EP16" s="42"/>
      <c r="EQ16" s="42"/>
    </row>
    <row r="17" spans="4:147" x14ac:dyDescent="0.3">
      <c r="D17" s="144"/>
      <c r="E17" s="494"/>
      <c r="G17" s="653"/>
      <c r="H17" s="517"/>
      <c r="I17" s="517"/>
      <c r="J17" s="516"/>
      <c r="K17" s="517"/>
      <c r="L17" s="517"/>
      <c r="M17" s="517"/>
      <c r="N17" s="517"/>
      <c r="O17" s="516"/>
      <c r="P17" s="601"/>
      <c r="Q17" s="517"/>
      <c r="R17" s="601"/>
      <c r="S17" s="517"/>
      <c r="T17" s="516"/>
      <c r="U17" s="601"/>
      <c r="V17" s="517"/>
      <c r="W17" s="601"/>
      <c r="X17" s="517"/>
      <c r="Y17" s="516"/>
      <c r="Z17" s="601"/>
      <c r="AA17" s="517"/>
      <c r="AB17" s="601"/>
      <c r="AC17" s="517"/>
      <c r="AD17" s="516"/>
      <c r="AE17" s="601"/>
      <c r="AF17" s="517"/>
      <c r="AG17" s="601"/>
      <c r="AH17" s="517"/>
      <c r="AI17" s="516"/>
      <c r="AJ17" s="601"/>
      <c r="AK17" s="517"/>
      <c r="AL17" s="601"/>
      <c r="AM17" s="517"/>
      <c r="AN17" s="516"/>
      <c r="AO17" s="601"/>
      <c r="AP17" s="517"/>
      <c r="AQ17" s="601"/>
      <c r="AR17" s="517"/>
      <c r="AS17" s="516"/>
      <c r="AT17" s="517"/>
      <c r="AU17" s="517"/>
      <c r="AV17" s="517"/>
      <c r="AW17" s="517"/>
      <c r="AX17" s="516"/>
      <c r="AY17" s="517"/>
      <c r="AZ17" s="517"/>
      <c r="BA17" s="601"/>
      <c r="BB17" s="517"/>
      <c r="BC17" s="516"/>
      <c r="BD17" s="517"/>
      <c r="BE17" s="517"/>
      <c r="BF17" s="517"/>
      <c r="BG17" s="517"/>
      <c r="BH17" s="516"/>
      <c r="BI17" s="601"/>
      <c r="BJ17" s="517"/>
      <c r="BK17" s="601"/>
      <c r="BL17" s="517"/>
      <c r="BM17" s="516"/>
      <c r="BN17" s="601"/>
      <c r="BO17" s="517"/>
      <c r="BP17" s="601"/>
      <c r="BQ17" s="517"/>
      <c r="BR17" s="516"/>
      <c r="BS17" s="517"/>
      <c r="BT17" s="517"/>
      <c r="BU17" s="517"/>
      <c r="BV17" s="517"/>
      <c r="BW17" s="516"/>
      <c r="BX17" s="517"/>
      <c r="BY17" s="517"/>
      <c r="BZ17" s="517"/>
      <c r="CA17" s="517"/>
      <c r="CB17" s="516"/>
      <c r="CC17" s="517"/>
      <c r="CD17" s="517"/>
      <c r="CE17" s="517"/>
      <c r="CF17" s="517"/>
      <c r="CG17" s="516"/>
      <c r="CH17" s="601"/>
      <c r="CI17" s="517"/>
      <c r="CJ17" s="601"/>
      <c r="CK17" s="517"/>
      <c r="CL17" s="516"/>
      <c r="CM17" s="601"/>
      <c r="CN17" s="517"/>
      <c r="CO17" s="601"/>
      <c r="CP17" s="517"/>
      <c r="CQ17" s="516"/>
      <c r="CR17" s="601"/>
      <c r="CS17" s="517"/>
      <c r="CT17" s="601"/>
      <c r="CU17" s="517"/>
      <c r="CV17" s="516"/>
      <c r="CW17" s="601"/>
      <c r="CX17" s="517"/>
      <c r="CY17" s="601"/>
      <c r="CZ17" s="517"/>
      <c r="DA17" s="516"/>
      <c r="DB17" s="601"/>
      <c r="DC17" s="517"/>
      <c r="DD17" s="601"/>
      <c r="DE17" s="517"/>
      <c r="DF17" s="516"/>
      <c r="DG17" s="601"/>
      <c r="DH17" s="517"/>
      <c r="DI17" s="601"/>
      <c r="DJ17" s="517"/>
      <c r="DK17" s="516"/>
      <c r="DL17" s="517"/>
      <c r="DM17" s="517"/>
      <c r="DN17" s="517"/>
      <c r="DO17" s="517"/>
      <c r="DP17" s="516"/>
      <c r="DQ17" s="517"/>
      <c r="DR17" s="517"/>
      <c r="DS17" s="601"/>
      <c r="DT17" s="517"/>
      <c r="DU17" s="516"/>
      <c r="DV17" s="517"/>
      <c r="DW17" s="517"/>
      <c r="DX17" s="517"/>
      <c r="DY17" s="517"/>
      <c r="DZ17" s="516"/>
      <c r="EA17" s="601"/>
      <c r="EB17" s="517"/>
      <c r="EC17" s="601"/>
      <c r="ED17" s="517"/>
      <c r="EE17" s="516"/>
      <c r="EF17" s="601"/>
      <c r="EG17" s="517"/>
      <c r="EH17" s="601"/>
      <c r="EI17" s="517"/>
      <c r="EJ17" s="516"/>
      <c r="EK17" s="517"/>
      <c r="EL17" s="517"/>
      <c r="EO17" s="144"/>
      <c r="EP17" s="42"/>
      <c r="EQ17" s="42"/>
    </row>
    <row r="18" spans="4:147" s="42" customFormat="1" ht="12.75" customHeight="1" x14ac:dyDescent="0.3">
      <c r="D18" s="234" t="s">
        <v>386</v>
      </c>
      <c r="E18" s="496"/>
      <c r="F18" s="151"/>
      <c r="G18" s="654">
        <f>SUM(G19:G22)</f>
        <v>71712000</v>
      </c>
      <c r="H18" s="654"/>
      <c r="I18" s="44"/>
      <c r="J18" s="607"/>
      <c r="K18" s="654"/>
      <c r="L18" s="654">
        <f>SUM(L19:L22)</f>
        <v>513949</v>
      </c>
      <c r="M18" s="654"/>
      <c r="N18" s="44"/>
      <c r="O18" s="607"/>
      <c r="P18" s="654"/>
      <c r="Q18" s="654">
        <f>SUM(Q19:Q22)</f>
        <v>384648</v>
      </c>
      <c r="R18" s="654"/>
      <c r="S18" s="44"/>
      <c r="T18" s="607"/>
      <c r="U18" s="654"/>
      <c r="V18" s="654">
        <f>SUM(V19:V22)</f>
        <v>416656</v>
      </c>
      <c r="W18" s="654"/>
      <c r="X18" s="44"/>
      <c r="Y18" s="607"/>
      <c r="Z18" s="654"/>
      <c r="AA18" s="654">
        <f>SUM(AA19:AA22)</f>
        <v>496510</v>
      </c>
      <c r="AB18" s="654"/>
      <c r="AC18" s="44"/>
      <c r="AD18" s="607"/>
      <c r="AE18" s="654"/>
      <c r="AF18" s="654">
        <f>SUM(AF19:AF22)</f>
        <v>802735</v>
      </c>
      <c r="AG18" s="654"/>
      <c r="AH18" s="44"/>
      <c r="AI18" s="607"/>
      <c r="AJ18" s="654"/>
      <c r="AK18" s="654">
        <f>SUM(AK19:AK22)</f>
        <v>474068</v>
      </c>
      <c r="AL18" s="654"/>
      <c r="AM18" s="44"/>
      <c r="AN18" s="607"/>
      <c r="AO18" s="654"/>
      <c r="AP18" s="654">
        <f>SUM(AP19:AP22)</f>
        <v>692919</v>
      </c>
      <c r="AQ18" s="654"/>
      <c r="AR18" s="44"/>
      <c r="AS18" s="607"/>
      <c r="AT18" s="654"/>
      <c r="AU18" s="654">
        <f>SUM(AU19:AU22)</f>
        <v>820886</v>
      </c>
      <c r="AV18" s="654"/>
      <c r="AW18" s="44"/>
      <c r="AX18" s="607"/>
      <c r="AY18" s="654"/>
      <c r="AZ18" s="654">
        <f>SUM(AZ19:AZ22)</f>
        <v>545821</v>
      </c>
      <c r="BA18" s="654"/>
      <c r="BB18" s="44"/>
      <c r="BC18" s="607"/>
      <c r="BD18" s="654"/>
      <c r="BE18" s="654">
        <f>SUM(BE19:BE22)</f>
        <v>342070</v>
      </c>
      <c r="BF18" s="654"/>
      <c r="BG18" s="44"/>
      <c r="BH18" s="607"/>
      <c r="BI18" s="654"/>
      <c r="BJ18" s="654">
        <f>SUM(BJ19:BJ22)</f>
        <v>0</v>
      </c>
      <c r="BK18" s="654"/>
      <c r="BL18" s="44"/>
      <c r="BM18" s="607"/>
      <c r="BN18" s="654"/>
      <c r="BO18" s="654">
        <f>SUM(BO19:BO22)</f>
        <v>0</v>
      </c>
      <c r="BP18" s="654"/>
      <c r="BQ18" s="44"/>
      <c r="BR18" s="607"/>
      <c r="BS18" s="654"/>
      <c r="BT18" s="654">
        <f>SUM(BT19:BT22)</f>
        <v>5490262</v>
      </c>
      <c r="BU18" s="654"/>
      <c r="BV18" s="44"/>
      <c r="BW18" s="607"/>
      <c r="BX18" s="654"/>
      <c r="BY18" s="654">
        <f>SUM(BY19:BY22)</f>
        <v>61373397</v>
      </c>
      <c r="BZ18" s="654"/>
      <c r="CA18" s="44"/>
      <c r="CB18" s="607"/>
      <c r="CC18" s="654"/>
      <c r="CD18" s="654">
        <f>SUM(CD19:CD22)</f>
        <v>168655</v>
      </c>
      <c r="CE18" s="654"/>
      <c r="CF18" s="44"/>
      <c r="CG18" s="607"/>
      <c r="CH18" s="654"/>
      <c r="CI18" s="654">
        <f>SUM(CI19:CI22)</f>
        <v>364413</v>
      </c>
      <c r="CJ18" s="654"/>
      <c r="CK18" s="44"/>
      <c r="CL18" s="607"/>
      <c r="CM18" s="654"/>
      <c r="CN18" s="654">
        <f>SUM(CN19:CN22)</f>
        <v>197910</v>
      </c>
      <c r="CO18" s="654"/>
      <c r="CP18" s="44"/>
      <c r="CQ18" s="607"/>
      <c r="CR18" s="654"/>
      <c r="CS18" s="654">
        <f>SUM(CS19:CS22)</f>
        <v>286915</v>
      </c>
      <c r="CT18" s="654"/>
      <c r="CU18" s="44"/>
      <c r="CV18" s="607"/>
      <c r="CW18" s="654"/>
      <c r="CX18" s="654">
        <f>SUM(CX19:CX22)</f>
        <v>263897</v>
      </c>
      <c r="CY18" s="654"/>
      <c r="CZ18" s="44"/>
      <c r="DA18" s="607"/>
      <c r="DB18" s="654"/>
      <c r="DC18" s="654">
        <f>SUM(DC19:DC22)</f>
        <v>151237</v>
      </c>
      <c r="DD18" s="654"/>
      <c r="DE18" s="44"/>
      <c r="DF18" s="607"/>
      <c r="DG18" s="654"/>
      <c r="DH18" s="654">
        <f>SUM(DH19:DH22)</f>
        <v>467133</v>
      </c>
      <c r="DI18" s="654"/>
      <c r="DJ18" s="44"/>
      <c r="DK18" s="607"/>
      <c r="DL18" s="654"/>
      <c r="DM18" s="654">
        <f>SUM(DM19:DM22)</f>
        <v>387424</v>
      </c>
      <c r="DN18" s="654"/>
      <c r="DO18" s="44"/>
      <c r="DP18" s="607"/>
      <c r="DQ18" s="654"/>
      <c r="DR18" s="654">
        <f>SUM(DR19:DR22)</f>
        <v>493196</v>
      </c>
      <c r="DS18" s="654"/>
      <c r="DT18" s="44"/>
      <c r="DU18" s="607"/>
      <c r="DV18" s="654"/>
      <c r="DW18" s="654">
        <f>SUM(DW19:DW22)</f>
        <v>57929886</v>
      </c>
      <c r="DX18" s="654"/>
      <c r="DY18" s="44"/>
      <c r="DZ18" s="607"/>
      <c r="EA18" s="654"/>
      <c r="EB18" s="654">
        <f>SUM(EB19:EB22)</f>
        <v>409969</v>
      </c>
      <c r="EC18" s="654"/>
      <c r="ED18" s="44"/>
      <c r="EE18" s="607"/>
      <c r="EF18" s="654"/>
      <c r="EG18" s="654">
        <f>SUM(EG19:EG22)</f>
        <v>252762</v>
      </c>
      <c r="EH18" s="654"/>
      <c r="EI18" s="44"/>
      <c r="EJ18" s="607"/>
      <c r="EK18" s="654"/>
      <c r="EL18" s="654">
        <f>SUM(EL19:EL22)</f>
        <v>60710666</v>
      </c>
      <c r="EM18" s="151"/>
      <c r="EO18" s="234"/>
    </row>
    <row r="19" spans="4:147" ht="12.75" customHeight="1" x14ac:dyDescent="0.3">
      <c r="D19" s="144" t="s">
        <v>387</v>
      </c>
      <c r="E19" s="494"/>
      <c r="F19" s="494"/>
      <c r="G19" s="601">
        <f>G24+G76</f>
        <v>68212000</v>
      </c>
      <c r="H19" s="55"/>
      <c r="I19" s="56"/>
      <c r="J19" s="611"/>
      <c r="K19" s="611"/>
      <c r="L19" s="56">
        <f>L24+L76</f>
        <v>0</v>
      </c>
      <c r="M19" s="55"/>
      <c r="N19" s="56"/>
      <c r="O19" s="611"/>
      <c r="P19" s="611"/>
      <c r="Q19" s="56">
        <f>Q24+Q76</f>
        <v>0</v>
      </c>
      <c r="R19" s="55"/>
      <c r="S19" s="56"/>
      <c r="T19" s="611"/>
      <c r="U19" s="611"/>
      <c r="V19" s="56">
        <f>V24+V76</f>
        <v>0</v>
      </c>
      <c r="W19" s="55"/>
      <c r="X19" s="56"/>
      <c r="Y19" s="611"/>
      <c r="Z19" s="611"/>
      <c r="AA19" s="56">
        <f>AA24+AA76</f>
        <v>0</v>
      </c>
      <c r="AB19" s="55"/>
      <c r="AC19" s="56"/>
      <c r="AD19" s="611"/>
      <c r="AE19" s="611"/>
      <c r="AF19" s="56">
        <f>AF24+AF76</f>
        <v>0</v>
      </c>
      <c r="AG19" s="55"/>
      <c r="AH19" s="56"/>
      <c r="AI19" s="611"/>
      <c r="AJ19" s="611"/>
      <c r="AK19" s="56">
        <f>AK24+AK76</f>
        <v>0</v>
      </c>
      <c r="AL19" s="55"/>
      <c r="AM19" s="56"/>
      <c r="AN19" s="611"/>
      <c r="AO19" s="611"/>
      <c r="AP19" s="56">
        <f>AP24+AP76</f>
        <v>0</v>
      </c>
      <c r="AQ19" s="55"/>
      <c r="AR19" s="56"/>
      <c r="AS19" s="611"/>
      <c r="AT19" s="611"/>
      <c r="AU19" s="56">
        <f>AU24+AU76</f>
        <v>0</v>
      </c>
      <c r="AV19" s="55"/>
      <c r="AW19" s="56"/>
      <c r="AX19" s="611"/>
      <c r="AY19" s="611"/>
      <c r="AZ19" s="56">
        <f>AZ24+AZ76</f>
        <v>0</v>
      </c>
      <c r="BA19" s="55"/>
      <c r="BB19" s="56"/>
      <c r="BC19" s="611"/>
      <c r="BD19" s="611"/>
      <c r="BE19" s="56">
        <f>BE24+BE76</f>
        <v>0</v>
      </c>
      <c r="BF19" s="55"/>
      <c r="BG19" s="56"/>
      <c r="BH19" s="611"/>
      <c r="BI19" s="611"/>
      <c r="BJ19" s="56">
        <f>BJ24+BJ76</f>
        <v>0</v>
      </c>
      <c r="BK19" s="55"/>
      <c r="BL19" s="56"/>
      <c r="BM19" s="611"/>
      <c r="BN19" s="611"/>
      <c r="BO19" s="56">
        <f>BO24+BO76</f>
        <v>0</v>
      </c>
      <c r="BP19" s="55"/>
      <c r="BQ19" s="56"/>
      <c r="BR19" s="611"/>
      <c r="BS19" s="611"/>
      <c r="BT19" s="56">
        <f>BT24+BT76</f>
        <v>0</v>
      </c>
      <c r="BU19" s="55"/>
      <c r="BV19" s="56"/>
      <c r="BW19" s="611"/>
      <c r="BX19" s="611"/>
      <c r="BY19" s="56">
        <f>BY24+BY76</f>
        <v>57718349</v>
      </c>
      <c r="BZ19" s="55"/>
      <c r="CA19" s="56"/>
      <c r="CB19" s="611"/>
      <c r="CC19" s="611"/>
      <c r="CD19" s="56">
        <f>CD24+CD76</f>
        <v>0</v>
      </c>
      <c r="CE19" s="55"/>
      <c r="CF19" s="56"/>
      <c r="CG19" s="611"/>
      <c r="CH19" s="611"/>
      <c r="CI19" s="56">
        <f>CI24+CI76</f>
        <v>0</v>
      </c>
      <c r="CJ19" s="55"/>
      <c r="CK19" s="56"/>
      <c r="CL19" s="611"/>
      <c r="CM19" s="611"/>
      <c r="CN19" s="56">
        <f>CN24+CN76</f>
        <v>0</v>
      </c>
      <c r="CO19" s="55"/>
      <c r="CP19" s="56"/>
      <c r="CQ19" s="611"/>
      <c r="CR19" s="611"/>
      <c r="CS19" s="56">
        <f>CS24+CS76</f>
        <v>0</v>
      </c>
      <c r="CT19" s="55"/>
      <c r="CU19" s="56"/>
      <c r="CV19" s="611"/>
      <c r="CW19" s="611"/>
      <c r="CX19" s="56">
        <f>CX24+CX76</f>
        <v>0</v>
      </c>
      <c r="CY19" s="55"/>
      <c r="CZ19" s="56"/>
      <c r="DA19" s="611"/>
      <c r="DB19" s="611"/>
      <c r="DC19" s="56">
        <f>DC24+DC76</f>
        <v>0</v>
      </c>
      <c r="DD19" s="55"/>
      <c r="DE19" s="56"/>
      <c r="DF19" s="611"/>
      <c r="DG19" s="611"/>
      <c r="DH19" s="56">
        <f>DH24+DH76</f>
        <v>0</v>
      </c>
      <c r="DI19" s="55"/>
      <c r="DJ19" s="56"/>
      <c r="DK19" s="611"/>
      <c r="DL19" s="611"/>
      <c r="DM19" s="56">
        <f>DM24+DM76</f>
        <v>0</v>
      </c>
      <c r="DN19" s="55"/>
      <c r="DO19" s="56"/>
      <c r="DP19" s="611"/>
      <c r="DQ19" s="611"/>
      <c r="DR19" s="56">
        <f>DR24+DR76</f>
        <v>0</v>
      </c>
      <c r="DS19" s="55"/>
      <c r="DT19" s="56"/>
      <c r="DU19" s="611"/>
      <c r="DV19" s="611"/>
      <c r="DW19" s="56">
        <f>DW24+DW76</f>
        <v>57718349</v>
      </c>
      <c r="DX19" s="55"/>
      <c r="DY19" s="56"/>
      <c r="DZ19" s="611"/>
      <c r="EA19" s="611"/>
      <c r="EB19" s="56">
        <f>EB24+EB76</f>
        <v>0</v>
      </c>
      <c r="EC19" s="55"/>
      <c r="ED19" s="56"/>
      <c r="EE19" s="611"/>
      <c r="EF19" s="611"/>
      <c r="EG19" s="56">
        <f>EG24+EG76</f>
        <v>0</v>
      </c>
      <c r="EH19" s="55"/>
      <c r="EI19" s="56"/>
      <c r="EJ19" s="611"/>
      <c r="EK19" s="611"/>
      <c r="EL19" s="56">
        <f>EL24+EL76</f>
        <v>57718349</v>
      </c>
      <c r="EM19" s="506"/>
      <c r="EO19" s="144"/>
      <c r="EP19" s="42"/>
      <c r="EQ19" s="42"/>
    </row>
    <row r="20" spans="4:147" ht="12.75" customHeight="1" x14ac:dyDescent="0.3">
      <c r="D20" s="144" t="s">
        <v>388</v>
      </c>
      <c r="E20" s="494"/>
      <c r="F20" s="494"/>
      <c r="G20" s="56">
        <v>0</v>
      </c>
      <c r="H20" s="55"/>
      <c r="I20" s="56"/>
      <c r="J20" s="611"/>
      <c r="K20" s="611"/>
      <c r="L20" s="56">
        <v>0</v>
      </c>
      <c r="M20" s="55"/>
      <c r="N20" s="56"/>
      <c r="O20" s="611"/>
      <c r="P20" s="611"/>
      <c r="Q20" s="56">
        <v>6</v>
      </c>
      <c r="R20" s="55"/>
      <c r="S20" s="56"/>
      <c r="T20" s="611"/>
      <c r="U20" s="611"/>
      <c r="V20" s="56">
        <v>0</v>
      </c>
      <c r="W20" s="55"/>
      <c r="X20" s="56"/>
      <c r="Y20" s="611"/>
      <c r="Z20" s="611"/>
      <c r="AA20" s="56">
        <v>0</v>
      </c>
      <c r="AB20" s="55"/>
      <c r="AC20" s="56"/>
      <c r="AD20" s="611"/>
      <c r="AE20" s="611"/>
      <c r="AF20" s="56">
        <v>0</v>
      </c>
      <c r="AG20" s="55"/>
      <c r="AH20" s="56"/>
      <c r="AI20" s="611"/>
      <c r="AJ20" s="611"/>
      <c r="AK20" s="56">
        <v>0</v>
      </c>
      <c r="AL20" s="55"/>
      <c r="AM20" s="56"/>
      <c r="AN20" s="611"/>
      <c r="AO20" s="611"/>
      <c r="AP20" s="56">
        <v>0</v>
      </c>
      <c r="AQ20" s="55"/>
      <c r="AR20" s="56"/>
      <c r="AS20" s="611"/>
      <c r="AT20" s="611"/>
      <c r="AU20" s="56">
        <v>1</v>
      </c>
      <c r="AV20" s="55"/>
      <c r="AW20" s="56"/>
      <c r="AX20" s="611"/>
      <c r="AY20" s="611"/>
      <c r="AZ20" s="56">
        <v>0</v>
      </c>
      <c r="BA20" s="55"/>
      <c r="BB20" s="56"/>
      <c r="BC20" s="611"/>
      <c r="BD20" s="611"/>
      <c r="BE20" s="56">
        <v>0</v>
      </c>
      <c r="BF20" s="55"/>
      <c r="BG20" s="56"/>
      <c r="BH20" s="611"/>
      <c r="BI20" s="611"/>
      <c r="BJ20" s="56">
        <v>0</v>
      </c>
      <c r="BK20" s="55"/>
      <c r="BL20" s="56"/>
      <c r="BM20" s="611"/>
      <c r="BN20" s="611"/>
      <c r="BO20" s="56">
        <v>0</v>
      </c>
      <c r="BP20" s="55"/>
      <c r="BQ20" s="56"/>
      <c r="BR20" s="611"/>
      <c r="BS20" s="611"/>
      <c r="BT20" s="56">
        <f>SUM(L20:BO20)</f>
        <v>7</v>
      </c>
      <c r="BU20" s="55"/>
      <c r="BV20" s="56"/>
      <c r="BW20" s="611"/>
      <c r="BX20" s="611"/>
      <c r="BY20" s="56">
        <v>0</v>
      </c>
      <c r="BZ20" s="55"/>
      <c r="CA20" s="56"/>
      <c r="CB20" s="611"/>
      <c r="CC20" s="611"/>
      <c r="CD20" s="56">
        <v>0</v>
      </c>
      <c r="CE20" s="55"/>
      <c r="CF20" s="56"/>
      <c r="CG20" s="611"/>
      <c r="CH20" s="611"/>
      <c r="CI20" s="56">
        <v>0</v>
      </c>
      <c r="CJ20" s="55"/>
      <c r="CK20" s="56"/>
      <c r="CL20" s="611"/>
      <c r="CM20" s="611"/>
      <c r="CN20" s="56">
        <v>0</v>
      </c>
      <c r="CO20" s="55"/>
      <c r="CP20" s="56"/>
      <c r="CQ20" s="611"/>
      <c r="CR20" s="611"/>
      <c r="CS20" s="56">
        <v>0</v>
      </c>
      <c r="CT20" s="55"/>
      <c r="CU20" s="56"/>
      <c r="CV20" s="611"/>
      <c r="CW20" s="611"/>
      <c r="CX20" s="56">
        <v>0</v>
      </c>
      <c r="CY20" s="55"/>
      <c r="CZ20" s="56"/>
      <c r="DA20" s="611"/>
      <c r="DB20" s="611"/>
      <c r="DC20" s="56">
        <v>0</v>
      </c>
      <c r="DD20" s="55"/>
      <c r="DE20" s="56"/>
      <c r="DF20" s="611"/>
      <c r="DG20" s="611"/>
      <c r="DH20" s="56">
        <v>0</v>
      </c>
      <c r="DI20" s="55"/>
      <c r="DJ20" s="56"/>
      <c r="DK20" s="611"/>
      <c r="DL20" s="611"/>
      <c r="DM20" s="56">
        <v>0</v>
      </c>
      <c r="DN20" s="55"/>
      <c r="DO20" s="56"/>
      <c r="DP20" s="611"/>
      <c r="DQ20" s="611"/>
      <c r="DR20" s="56">
        <v>0</v>
      </c>
      <c r="DS20" s="55"/>
      <c r="DT20" s="56"/>
      <c r="DU20" s="611"/>
      <c r="DV20" s="611"/>
      <c r="DW20" s="56">
        <v>0</v>
      </c>
      <c r="DX20" s="55"/>
      <c r="DY20" s="56"/>
      <c r="DZ20" s="611"/>
      <c r="EA20" s="611"/>
      <c r="EB20" s="56">
        <v>0</v>
      </c>
      <c r="EC20" s="55"/>
      <c r="ED20" s="56"/>
      <c r="EE20" s="611"/>
      <c r="EF20" s="611"/>
      <c r="EG20" s="56">
        <v>0</v>
      </c>
      <c r="EH20" s="55"/>
      <c r="EI20" s="56"/>
      <c r="EJ20" s="611"/>
      <c r="EK20" s="611"/>
      <c r="EL20" s="56">
        <f>SUM(CD20:DW20)</f>
        <v>0</v>
      </c>
      <c r="EM20" s="55"/>
      <c r="EO20" s="144"/>
      <c r="EP20" s="42"/>
      <c r="EQ20" s="42"/>
    </row>
    <row r="21" spans="4:147" ht="12.75" customHeight="1" x14ac:dyDescent="0.3">
      <c r="D21" s="144" t="s">
        <v>334</v>
      </c>
      <c r="E21" s="494"/>
      <c r="F21" s="494"/>
      <c r="G21" s="56">
        <v>3500000</v>
      </c>
      <c r="H21" s="55"/>
      <c r="I21" s="56"/>
      <c r="J21" s="611"/>
      <c r="K21" s="611"/>
      <c r="L21" s="56">
        <v>513949</v>
      </c>
      <c r="M21" s="55"/>
      <c r="N21" s="56"/>
      <c r="O21" s="611"/>
      <c r="P21" s="611"/>
      <c r="Q21" s="56">
        <v>384642</v>
      </c>
      <c r="R21" s="55"/>
      <c r="S21" s="56"/>
      <c r="T21" s="611"/>
      <c r="U21" s="611"/>
      <c r="V21" s="56">
        <v>416656</v>
      </c>
      <c r="W21" s="55"/>
      <c r="X21" s="56"/>
      <c r="Y21" s="611"/>
      <c r="Z21" s="611"/>
      <c r="AA21" s="56">
        <v>496510</v>
      </c>
      <c r="AB21" s="55"/>
      <c r="AC21" s="56"/>
      <c r="AD21" s="611"/>
      <c r="AE21" s="611"/>
      <c r="AF21" s="56">
        <v>802735</v>
      </c>
      <c r="AG21" s="55"/>
      <c r="AH21" s="56"/>
      <c r="AI21" s="611"/>
      <c r="AJ21" s="611"/>
      <c r="AK21" s="56">
        <v>474068</v>
      </c>
      <c r="AL21" s="55"/>
      <c r="AM21" s="56"/>
      <c r="AN21" s="611"/>
      <c r="AO21" s="611"/>
      <c r="AP21" s="56">
        <v>692919</v>
      </c>
      <c r="AQ21" s="55"/>
      <c r="AR21" s="56"/>
      <c r="AS21" s="611"/>
      <c r="AT21" s="611"/>
      <c r="AU21" s="56">
        <v>820885</v>
      </c>
      <c r="AV21" s="55"/>
      <c r="AW21" s="56"/>
      <c r="AX21" s="611"/>
      <c r="AY21" s="611"/>
      <c r="AZ21" s="56">
        <v>545821</v>
      </c>
      <c r="BA21" s="55"/>
      <c r="BB21" s="56"/>
      <c r="BC21" s="611"/>
      <c r="BD21" s="611"/>
      <c r="BE21" s="56">
        <v>342070</v>
      </c>
      <c r="BF21" s="55"/>
      <c r="BG21" s="56"/>
      <c r="BH21" s="611"/>
      <c r="BI21" s="611"/>
      <c r="BJ21" s="56">
        <v>0</v>
      </c>
      <c r="BK21" s="55"/>
      <c r="BL21" s="56"/>
      <c r="BM21" s="611"/>
      <c r="BN21" s="611"/>
      <c r="BO21" s="56">
        <v>0</v>
      </c>
      <c r="BP21" s="55"/>
      <c r="BQ21" s="56"/>
      <c r="BR21" s="611"/>
      <c r="BS21" s="611"/>
      <c r="BT21" s="56">
        <f>SUM(L21:BO21)</f>
        <v>5490255</v>
      </c>
      <c r="BU21" s="55"/>
      <c r="BV21" s="56"/>
      <c r="BW21" s="611"/>
      <c r="BX21" s="611"/>
      <c r="BY21" s="56">
        <v>3655048</v>
      </c>
      <c r="BZ21" s="55"/>
      <c r="CA21" s="56"/>
      <c r="CB21" s="611"/>
      <c r="CC21" s="611"/>
      <c r="CD21" s="56">
        <v>168655</v>
      </c>
      <c r="CE21" s="55"/>
      <c r="CF21" s="56"/>
      <c r="CG21" s="611"/>
      <c r="CH21" s="611"/>
      <c r="CI21" s="56">
        <v>364413</v>
      </c>
      <c r="CJ21" s="55"/>
      <c r="CK21" s="56"/>
      <c r="CL21" s="611"/>
      <c r="CM21" s="611"/>
      <c r="CN21" s="56">
        <v>197910</v>
      </c>
      <c r="CO21" s="55"/>
      <c r="CP21" s="56"/>
      <c r="CQ21" s="611"/>
      <c r="CR21" s="611"/>
      <c r="CS21" s="56">
        <v>286915</v>
      </c>
      <c r="CT21" s="55"/>
      <c r="CU21" s="56"/>
      <c r="CV21" s="611"/>
      <c r="CW21" s="611"/>
      <c r="CX21" s="56">
        <v>263897</v>
      </c>
      <c r="CY21" s="55"/>
      <c r="CZ21" s="56"/>
      <c r="DA21" s="611"/>
      <c r="DB21" s="611"/>
      <c r="DC21" s="56">
        <v>151237</v>
      </c>
      <c r="DD21" s="55"/>
      <c r="DE21" s="56"/>
      <c r="DF21" s="611"/>
      <c r="DG21" s="611"/>
      <c r="DH21" s="56">
        <v>467133</v>
      </c>
      <c r="DI21" s="55"/>
      <c r="DJ21" s="56"/>
      <c r="DK21" s="611"/>
      <c r="DL21" s="611"/>
      <c r="DM21" s="56">
        <v>387424</v>
      </c>
      <c r="DN21" s="55"/>
      <c r="DO21" s="56"/>
      <c r="DP21" s="611"/>
      <c r="DQ21" s="611"/>
      <c r="DR21" s="56">
        <v>493196</v>
      </c>
      <c r="DS21" s="55"/>
      <c r="DT21" s="56"/>
      <c r="DU21" s="611"/>
      <c r="DV21" s="611"/>
      <c r="DW21" s="56">
        <v>211537</v>
      </c>
      <c r="DX21" s="55"/>
      <c r="DY21" s="56"/>
      <c r="DZ21" s="611"/>
      <c r="EA21" s="611"/>
      <c r="EB21" s="56">
        <v>409969</v>
      </c>
      <c r="EC21" s="55"/>
      <c r="ED21" s="56"/>
      <c r="EE21" s="611"/>
      <c r="EF21" s="611"/>
      <c r="EG21" s="56">
        <v>252762</v>
      </c>
      <c r="EH21" s="55"/>
      <c r="EI21" s="56"/>
      <c r="EJ21" s="611"/>
      <c r="EK21" s="611"/>
      <c r="EL21" s="56">
        <f t="shared" ref="EL21:EL22" si="0">SUM(CD21:DW21)</f>
        <v>2992317</v>
      </c>
      <c r="EM21" s="55"/>
      <c r="EO21" s="144"/>
      <c r="EP21" s="42"/>
      <c r="EQ21" s="42"/>
    </row>
    <row r="22" spans="4:147" x14ac:dyDescent="0.3">
      <c r="D22" s="144" t="s">
        <v>389</v>
      </c>
      <c r="E22" s="494"/>
      <c r="F22" s="513"/>
      <c r="G22" s="117">
        <v>0</v>
      </c>
      <c r="H22" s="116"/>
      <c r="I22" s="56"/>
      <c r="J22" s="611"/>
      <c r="K22" s="620"/>
      <c r="L22" s="117">
        <v>0</v>
      </c>
      <c r="M22" s="116"/>
      <c r="N22" s="56"/>
      <c r="O22" s="611"/>
      <c r="P22" s="620"/>
      <c r="Q22" s="117">
        <v>0</v>
      </c>
      <c r="R22" s="116"/>
      <c r="S22" s="56"/>
      <c r="T22" s="611"/>
      <c r="U22" s="620"/>
      <c r="V22" s="117">
        <v>0</v>
      </c>
      <c r="W22" s="116"/>
      <c r="X22" s="56"/>
      <c r="Y22" s="611"/>
      <c r="Z22" s="620"/>
      <c r="AA22" s="117">
        <v>0</v>
      </c>
      <c r="AB22" s="116"/>
      <c r="AC22" s="56"/>
      <c r="AD22" s="611"/>
      <c r="AE22" s="620"/>
      <c r="AF22" s="117">
        <v>0</v>
      </c>
      <c r="AG22" s="116"/>
      <c r="AH22" s="56"/>
      <c r="AI22" s="611"/>
      <c r="AJ22" s="620"/>
      <c r="AK22" s="117">
        <v>0</v>
      </c>
      <c r="AL22" s="116"/>
      <c r="AM22" s="56"/>
      <c r="AN22" s="611"/>
      <c r="AO22" s="620"/>
      <c r="AP22" s="117">
        <v>0</v>
      </c>
      <c r="AQ22" s="116"/>
      <c r="AR22" s="56"/>
      <c r="AS22" s="611"/>
      <c r="AT22" s="620"/>
      <c r="AU22" s="117">
        <v>0</v>
      </c>
      <c r="AV22" s="116"/>
      <c r="AW22" s="56"/>
      <c r="AX22" s="611"/>
      <c r="AY22" s="620"/>
      <c r="AZ22" s="117">
        <v>0</v>
      </c>
      <c r="BA22" s="116"/>
      <c r="BB22" s="56"/>
      <c r="BC22" s="611"/>
      <c r="BD22" s="620"/>
      <c r="BE22" s="117">
        <v>0</v>
      </c>
      <c r="BF22" s="116"/>
      <c r="BG22" s="56"/>
      <c r="BH22" s="611"/>
      <c r="BI22" s="620"/>
      <c r="BJ22" s="117">
        <v>0</v>
      </c>
      <c r="BK22" s="116"/>
      <c r="BL22" s="56"/>
      <c r="BM22" s="611"/>
      <c r="BN22" s="620"/>
      <c r="BO22" s="117">
        <v>0</v>
      </c>
      <c r="BP22" s="116"/>
      <c r="BQ22" s="56"/>
      <c r="BR22" s="611"/>
      <c r="BS22" s="620"/>
      <c r="BT22" s="117">
        <f>SUM(L22:BO22)</f>
        <v>0</v>
      </c>
      <c r="BU22" s="116"/>
      <c r="BV22" s="56"/>
      <c r="BW22" s="611"/>
      <c r="BX22" s="620"/>
      <c r="BY22" s="117">
        <v>0</v>
      </c>
      <c r="BZ22" s="116"/>
      <c r="CA22" s="56"/>
      <c r="CB22" s="611"/>
      <c r="CC22" s="620"/>
      <c r="CD22" s="117">
        <v>0</v>
      </c>
      <c r="CE22" s="116"/>
      <c r="CF22" s="56"/>
      <c r="CG22" s="611"/>
      <c r="CH22" s="620"/>
      <c r="CI22" s="117">
        <v>0</v>
      </c>
      <c r="CJ22" s="116"/>
      <c r="CK22" s="56"/>
      <c r="CL22" s="611"/>
      <c r="CM22" s="620"/>
      <c r="CN22" s="117">
        <v>0</v>
      </c>
      <c r="CO22" s="116"/>
      <c r="CP22" s="56"/>
      <c r="CQ22" s="611"/>
      <c r="CR22" s="620"/>
      <c r="CS22" s="117">
        <v>0</v>
      </c>
      <c r="CT22" s="116"/>
      <c r="CU22" s="56"/>
      <c r="CV22" s="611"/>
      <c r="CW22" s="620"/>
      <c r="CX22" s="117">
        <v>0</v>
      </c>
      <c r="CY22" s="116"/>
      <c r="CZ22" s="56"/>
      <c r="DA22" s="611"/>
      <c r="DB22" s="620"/>
      <c r="DC22" s="117">
        <v>0</v>
      </c>
      <c r="DD22" s="116"/>
      <c r="DE22" s="56"/>
      <c r="DF22" s="611"/>
      <c r="DG22" s="620"/>
      <c r="DH22" s="117">
        <v>0</v>
      </c>
      <c r="DI22" s="116"/>
      <c r="DJ22" s="56"/>
      <c r="DK22" s="611"/>
      <c r="DL22" s="620"/>
      <c r="DM22" s="117">
        <v>0</v>
      </c>
      <c r="DN22" s="116"/>
      <c r="DO22" s="56"/>
      <c r="DP22" s="611"/>
      <c r="DQ22" s="620"/>
      <c r="DR22" s="117">
        <v>0</v>
      </c>
      <c r="DS22" s="116"/>
      <c r="DT22" s="56"/>
      <c r="DU22" s="611"/>
      <c r="DV22" s="620"/>
      <c r="DW22" s="117">
        <v>0</v>
      </c>
      <c r="DX22" s="116"/>
      <c r="DY22" s="56"/>
      <c r="DZ22" s="611"/>
      <c r="EA22" s="620"/>
      <c r="EB22" s="117">
        <v>0</v>
      </c>
      <c r="EC22" s="116"/>
      <c r="ED22" s="56"/>
      <c r="EE22" s="611"/>
      <c r="EF22" s="620"/>
      <c r="EG22" s="117">
        <v>0</v>
      </c>
      <c r="EH22" s="116"/>
      <c r="EI22" s="56"/>
      <c r="EJ22" s="611"/>
      <c r="EK22" s="620"/>
      <c r="EL22" s="117">
        <f t="shared" si="0"/>
        <v>0</v>
      </c>
      <c r="EM22" s="116"/>
      <c r="EO22" s="144"/>
      <c r="EP22" s="42"/>
      <c r="EQ22" s="42"/>
    </row>
    <row r="23" spans="4:147" x14ac:dyDescent="0.3">
      <c r="D23" s="144"/>
      <c r="E23" s="494"/>
      <c r="G23" s="56"/>
      <c r="H23" s="56"/>
      <c r="I23" s="56"/>
      <c r="J23" s="611"/>
      <c r="K23" s="56"/>
      <c r="L23" s="56"/>
      <c r="M23" s="56"/>
      <c r="N23" s="56"/>
      <c r="O23" s="611"/>
      <c r="P23" s="56"/>
      <c r="Q23" s="56"/>
      <c r="R23" s="56"/>
      <c r="S23" s="56"/>
      <c r="T23" s="611"/>
      <c r="U23" s="56"/>
      <c r="V23" s="56"/>
      <c r="W23" s="56"/>
      <c r="X23" s="56"/>
      <c r="Y23" s="611"/>
      <c r="Z23" s="56"/>
      <c r="AA23" s="56"/>
      <c r="AB23" s="56"/>
      <c r="AC23" s="56"/>
      <c r="AD23" s="611"/>
      <c r="AE23" s="56"/>
      <c r="AF23" s="56"/>
      <c r="AG23" s="56"/>
      <c r="AH23" s="56"/>
      <c r="AI23" s="611"/>
      <c r="AJ23" s="56"/>
      <c r="AK23" s="56"/>
      <c r="AL23" s="56"/>
      <c r="AM23" s="56"/>
      <c r="AN23" s="611"/>
      <c r="AO23" s="56"/>
      <c r="AP23" s="56"/>
      <c r="AQ23" s="56"/>
      <c r="AR23" s="56"/>
      <c r="AS23" s="611"/>
      <c r="AT23" s="56"/>
      <c r="AU23" s="56"/>
      <c r="AV23" s="56"/>
      <c r="AW23" s="56"/>
      <c r="AX23" s="611"/>
      <c r="AY23" s="56"/>
      <c r="AZ23" s="56"/>
      <c r="BA23" s="56"/>
      <c r="BB23" s="56"/>
      <c r="BC23" s="611"/>
      <c r="BD23" s="56"/>
      <c r="BE23" s="56"/>
      <c r="BF23" s="56"/>
      <c r="BG23" s="56"/>
      <c r="BH23" s="611"/>
      <c r="BI23" s="56"/>
      <c r="BJ23" s="56"/>
      <c r="BK23" s="56"/>
      <c r="BL23" s="56"/>
      <c r="BM23" s="611"/>
      <c r="BN23" s="56"/>
      <c r="BO23" s="56"/>
      <c r="BP23" s="56"/>
      <c r="BQ23" s="56"/>
      <c r="BR23" s="611"/>
      <c r="BS23" s="56"/>
      <c r="BT23" s="56"/>
      <c r="BU23" s="56"/>
      <c r="BV23" s="56"/>
      <c r="BW23" s="611"/>
      <c r="BX23" s="56"/>
      <c r="BY23" s="56"/>
      <c r="BZ23" s="56"/>
      <c r="CA23" s="56"/>
      <c r="CB23" s="611"/>
      <c r="CC23" s="56"/>
      <c r="CD23" s="56"/>
      <c r="CE23" s="56"/>
      <c r="CF23" s="56"/>
      <c r="CG23" s="611"/>
      <c r="CH23" s="56"/>
      <c r="CI23" s="56"/>
      <c r="CJ23" s="56"/>
      <c r="CK23" s="56"/>
      <c r="CL23" s="611"/>
      <c r="CM23" s="56"/>
      <c r="CN23" s="56"/>
      <c r="CO23" s="56"/>
      <c r="CP23" s="56"/>
      <c r="CQ23" s="611"/>
      <c r="CR23" s="56"/>
      <c r="CS23" s="56"/>
      <c r="CT23" s="56"/>
      <c r="CU23" s="56"/>
      <c r="CV23" s="611"/>
      <c r="CW23" s="56"/>
      <c r="CX23" s="56"/>
      <c r="CY23" s="56"/>
      <c r="CZ23" s="56"/>
      <c r="DA23" s="611"/>
      <c r="DB23" s="56"/>
      <c r="DC23" s="56"/>
      <c r="DD23" s="56"/>
      <c r="DE23" s="56"/>
      <c r="DF23" s="611"/>
      <c r="DG23" s="56"/>
      <c r="DH23" s="56"/>
      <c r="DI23" s="56"/>
      <c r="DJ23" s="56"/>
      <c r="DK23" s="611"/>
      <c r="DL23" s="56"/>
      <c r="DM23" s="56"/>
      <c r="DN23" s="56"/>
      <c r="DO23" s="56"/>
      <c r="DP23" s="611"/>
      <c r="DQ23" s="56"/>
      <c r="DR23" s="56"/>
      <c r="DS23" s="56"/>
      <c r="DT23" s="56"/>
      <c r="DU23" s="611"/>
      <c r="DV23" s="56"/>
      <c r="DW23" s="56"/>
      <c r="DX23" s="56"/>
      <c r="DY23" s="56"/>
      <c r="DZ23" s="611"/>
      <c r="EA23" s="56"/>
      <c r="EB23" s="56"/>
      <c r="EC23" s="56"/>
      <c r="ED23" s="56"/>
      <c r="EE23" s="611"/>
      <c r="EF23" s="56"/>
      <c r="EG23" s="56"/>
      <c r="EH23" s="56"/>
      <c r="EI23" s="56"/>
      <c r="EJ23" s="611"/>
      <c r="EK23" s="56"/>
      <c r="EL23" s="56"/>
      <c r="EO23" s="144"/>
      <c r="EP23" s="42"/>
      <c r="EQ23" s="42"/>
    </row>
    <row r="24" spans="4:147" s="42" customFormat="1" x14ac:dyDescent="0.3">
      <c r="D24" s="234" t="s">
        <v>336</v>
      </c>
      <c r="E24" s="496"/>
      <c r="G24" s="44">
        <f>SUM(G25:G26)</f>
        <v>0</v>
      </c>
      <c r="H24" s="44"/>
      <c r="I24" s="44"/>
      <c r="J24" s="607"/>
      <c r="K24" s="44"/>
      <c r="L24" s="44">
        <f>SUM(L25:L26)</f>
        <v>0</v>
      </c>
      <c r="M24" s="44"/>
      <c r="N24" s="44"/>
      <c r="O24" s="607"/>
      <c r="P24" s="44"/>
      <c r="Q24" s="44">
        <f>SUM(Q25:Q26)</f>
        <v>0</v>
      </c>
      <c r="R24" s="44"/>
      <c r="S24" s="44"/>
      <c r="T24" s="607"/>
      <c r="U24" s="44"/>
      <c r="V24" s="44">
        <f>SUM(V25:V26)</f>
        <v>0</v>
      </c>
      <c r="W24" s="44"/>
      <c r="X24" s="44"/>
      <c r="Y24" s="607"/>
      <c r="Z24" s="44"/>
      <c r="AA24" s="44">
        <f>SUM(AA25:AA26)</f>
        <v>0</v>
      </c>
      <c r="AB24" s="44"/>
      <c r="AC24" s="44"/>
      <c r="AD24" s="607"/>
      <c r="AE24" s="44"/>
      <c r="AF24" s="44">
        <f>SUM(AF25:AF26)</f>
        <v>0</v>
      </c>
      <c r="AG24" s="44"/>
      <c r="AH24" s="44"/>
      <c r="AI24" s="607"/>
      <c r="AJ24" s="44"/>
      <c r="AK24" s="44">
        <f>SUM(AK25:AK26)</f>
        <v>0</v>
      </c>
      <c r="AL24" s="44"/>
      <c r="AM24" s="44"/>
      <c r="AN24" s="607"/>
      <c r="AO24" s="44"/>
      <c r="AP24" s="44">
        <f>SUM(AP25:AP26)</f>
        <v>0</v>
      </c>
      <c r="AQ24" s="44"/>
      <c r="AR24" s="44"/>
      <c r="AS24" s="607"/>
      <c r="AT24" s="44"/>
      <c r="AU24" s="44">
        <f>SUM(AU25:AU26)</f>
        <v>0</v>
      </c>
      <c r="AV24" s="44"/>
      <c r="AW24" s="44"/>
      <c r="AX24" s="607"/>
      <c r="AY24" s="44"/>
      <c r="AZ24" s="44">
        <f>SUM(AZ25:AZ26)</f>
        <v>0</v>
      </c>
      <c r="BA24" s="44"/>
      <c r="BB24" s="44"/>
      <c r="BC24" s="607"/>
      <c r="BD24" s="44"/>
      <c r="BE24" s="44">
        <f>SUM(BE25:BE26)</f>
        <v>0</v>
      </c>
      <c r="BF24" s="44"/>
      <c r="BG24" s="44"/>
      <c r="BH24" s="607"/>
      <c r="BI24" s="44"/>
      <c r="BJ24" s="44">
        <f>SUM(BJ25:BJ26)</f>
        <v>0</v>
      </c>
      <c r="BK24" s="44"/>
      <c r="BL24" s="44"/>
      <c r="BM24" s="607"/>
      <c r="BN24" s="44"/>
      <c r="BO24" s="44">
        <f>SUM(BO25:BO26)</f>
        <v>0</v>
      </c>
      <c r="BP24" s="44"/>
      <c r="BQ24" s="44"/>
      <c r="BR24" s="607"/>
      <c r="BS24" s="136"/>
      <c r="BT24" s="44">
        <f>SUM(BT25:BT26)</f>
        <v>0</v>
      </c>
      <c r="BU24" s="56"/>
      <c r="BV24" s="44"/>
      <c r="BW24" s="607"/>
      <c r="BX24" s="44"/>
      <c r="BY24" s="44">
        <f>SUM(BY25:BY26)</f>
        <v>57718349</v>
      </c>
      <c r="BZ24" s="44"/>
      <c r="CA24" s="44"/>
      <c r="CB24" s="607"/>
      <c r="CC24" s="44"/>
      <c r="CD24" s="44">
        <f>SUM(CD25:CD26)</f>
        <v>0</v>
      </c>
      <c r="CE24" s="44"/>
      <c r="CF24" s="44"/>
      <c r="CG24" s="607"/>
      <c r="CH24" s="44"/>
      <c r="CI24" s="44">
        <f>SUM(CI25:CI26)</f>
        <v>0</v>
      </c>
      <c r="CJ24" s="44"/>
      <c r="CK24" s="44"/>
      <c r="CL24" s="607"/>
      <c r="CM24" s="44"/>
      <c r="CN24" s="44">
        <f>SUM(CN25:CN26)</f>
        <v>0</v>
      </c>
      <c r="CO24" s="44"/>
      <c r="CP24" s="44"/>
      <c r="CQ24" s="607"/>
      <c r="CR24" s="44"/>
      <c r="CS24" s="44">
        <f>SUM(CS25:CS26)</f>
        <v>0</v>
      </c>
      <c r="CT24" s="44"/>
      <c r="CU24" s="44"/>
      <c r="CV24" s="607"/>
      <c r="CW24" s="44"/>
      <c r="CX24" s="44">
        <f>SUM(CX25:CX26)</f>
        <v>0</v>
      </c>
      <c r="CY24" s="44"/>
      <c r="CZ24" s="44"/>
      <c r="DA24" s="607"/>
      <c r="DB24" s="44"/>
      <c r="DC24" s="44">
        <f>SUM(DC25:DC26)</f>
        <v>0</v>
      </c>
      <c r="DD24" s="44"/>
      <c r="DE24" s="44"/>
      <c r="DF24" s="607"/>
      <c r="DG24" s="44"/>
      <c r="DH24" s="44">
        <f>SUM(DH25:DH26)</f>
        <v>0</v>
      </c>
      <c r="DI24" s="44"/>
      <c r="DJ24" s="44"/>
      <c r="DK24" s="607"/>
      <c r="DL24" s="44"/>
      <c r="DM24" s="44">
        <f>SUM(DM25:DM26)</f>
        <v>0</v>
      </c>
      <c r="DN24" s="44"/>
      <c r="DO24" s="44"/>
      <c r="DP24" s="607"/>
      <c r="DQ24" s="44"/>
      <c r="DR24" s="44">
        <f>SUM(DR25:DR26)</f>
        <v>0</v>
      </c>
      <c r="DS24" s="44"/>
      <c r="DT24" s="44"/>
      <c r="DU24" s="607"/>
      <c r="DV24" s="44"/>
      <c r="DW24" s="44">
        <f>SUM(DW25:DW26)</f>
        <v>57718349</v>
      </c>
      <c r="DX24" s="44"/>
      <c r="DY24" s="44"/>
      <c r="DZ24" s="607"/>
      <c r="EA24" s="44"/>
      <c r="EB24" s="44">
        <f>SUM(EB25:EB26)</f>
        <v>0</v>
      </c>
      <c r="EC24" s="44"/>
      <c r="ED24" s="44"/>
      <c r="EE24" s="607"/>
      <c r="EF24" s="44"/>
      <c r="EG24" s="44">
        <f>SUM(EG25:EG26)</f>
        <v>0</v>
      </c>
      <c r="EH24" s="44"/>
      <c r="EI24" s="44"/>
      <c r="EJ24" s="607"/>
      <c r="EK24" s="44"/>
      <c r="EL24" s="44">
        <f>SUM(EL25:EL26)</f>
        <v>57718349</v>
      </c>
      <c r="EO24" s="234"/>
    </row>
    <row r="25" spans="4:147" x14ac:dyDescent="0.3">
      <c r="D25" s="144" t="s">
        <v>390</v>
      </c>
      <c r="E25" s="494"/>
      <c r="F25" s="500"/>
      <c r="G25" s="609">
        <f>G29+G33+G37+G41+G45+G49+G53+G57+G61+G65+G69+G73</f>
        <v>0</v>
      </c>
      <c r="H25" s="610"/>
      <c r="I25" s="56"/>
      <c r="J25" s="611"/>
      <c r="K25" s="612"/>
      <c r="L25" s="609">
        <f>L29+L33+L37+L41+L45+L49+L53+L57+L61+L65+L69+L73</f>
        <v>0</v>
      </c>
      <c r="M25" s="610"/>
      <c r="N25" s="56"/>
      <c r="O25" s="611"/>
      <c r="P25" s="612"/>
      <c r="Q25" s="609">
        <f>Q29+Q33+Q37+Q41+Q45+Q49+Q53+Q57+Q61+Q65+Q69+Q73</f>
        <v>0</v>
      </c>
      <c r="R25" s="610"/>
      <c r="S25" s="56"/>
      <c r="T25" s="52"/>
      <c r="U25" s="612"/>
      <c r="V25" s="609">
        <f>V29+V33+V37+V41+V45+V49+V53+V57+V61+V65+V69+V73</f>
        <v>0</v>
      </c>
      <c r="W25" s="610"/>
      <c r="X25" s="56"/>
      <c r="Y25" s="611"/>
      <c r="Z25" s="612"/>
      <c r="AA25" s="609">
        <f>AA29+AA33+AA37+AA41+AA45+AA49+AA53+AA57+AA61+AA65+AA69+AA73</f>
        <v>0</v>
      </c>
      <c r="AB25" s="610"/>
      <c r="AC25" s="56"/>
      <c r="AD25" s="611"/>
      <c r="AE25" s="612"/>
      <c r="AF25" s="609">
        <f>AF29+AF33+AF37+AF41+AF45+AF49+AF53+AF57+AF61+AF65+AF69+AF73</f>
        <v>0</v>
      </c>
      <c r="AG25" s="610"/>
      <c r="AH25" s="56"/>
      <c r="AI25" s="611"/>
      <c r="AJ25" s="612"/>
      <c r="AK25" s="609">
        <f>AK29+AK33+AK37+AK41+AK45+AK49+AK53+AK57+AK61+AK65+AK69+AK73</f>
        <v>0</v>
      </c>
      <c r="AL25" s="610"/>
      <c r="AM25" s="56"/>
      <c r="AN25" s="611"/>
      <c r="AO25" s="612"/>
      <c r="AP25" s="609">
        <f>AP29+AP33+AP37+AP41+AP45+AP49+AP53+AP57+AP61+AP65+AP69+AP73</f>
        <v>0</v>
      </c>
      <c r="AQ25" s="610"/>
      <c r="AR25" s="56"/>
      <c r="AS25" s="611"/>
      <c r="AT25" s="612"/>
      <c r="AU25" s="609">
        <f>AU29+AU33+AU37+AU41+AU45+AU49+AU53+AU57+AU61+AU65+AU69+AU73</f>
        <v>0</v>
      </c>
      <c r="AV25" s="610"/>
      <c r="AW25" s="56"/>
      <c r="AX25" s="611"/>
      <c r="AY25" s="612"/>
      <c r="AZ25" s="609">
        <f>AZ29+AZ33+AZ37+AZ41+AZ45+AZ49+AZ53+AZ57+AZ61+AZ65+AZ69+AZ73</f>
        <v>0</v>
      </c>
      <c r="BA25" s="610"/>
      <c r="BB25" s="56"/>
      <c r="BC25" s="611"/>
      <c r="BD25" s="612"/>
      <c r="BE25" s="609">
        <f>BE29+BE33+BE37+BE41+BE45+BE49+BE53+BE57+BE61+BE65+BE69+BE73</f>
        <v>0</v>
      </c>
      <c r="BF25" s="610"/>
      <c r="BG25" s="56"/>
      <c r="BH25" s="611"/>
      <c r="BI25" s="612"/>
      <c r="BJ25" s="609">
        <f>BJ29+BJ33+BJ37+BJ41+BJ45+BJ49+BJ53+BJ57+BJ61+BJ65+BJ69+BJ73</f>
        <v>0</v>
      </c>
      <c r="BK25" s="610"/>
      <c r="BL25" s="56"/>
      <c r="BM25" s="611"/>
      <c r="BN25" s="612"/>
      <c r="BO25" s="609">
        <f>BO29+BO33+BO37+BO41+BO45+BO49+BO53+BO57+BO61+BO65+BO69+BO73</f>
        <v>0</v>
      </c>
      <c r="BP25" s="610"/>
      <c r="BQ25" s="56"/>
      <c r="BR25" s="611"/>
      <c r="BS25" s="500"/>
      <c r="BT25" s="609">
        <f>BT29+BT33+BT37+BT41+BT45+BT49+BT53+BT57+BT61+BT65+BT69+BT73</f>
        <v>0</v>
      </c>
      <c r="BU25" s="610"/>
      <c r="BV25" s="56"/>
      <c r="BW25" s="611"/>
      <c r="BX25" s="612"/>
      <c r="BY25" s="609">
        <f>BY29+BY33+BY37+BY41+BY45+BY49+BY53+BY57+BY61+BY65+BY69+BY73</f>
        <v>37521037</v>
      </c>
      <c r="BZ25" s="610"/>
      <c r="CA25" s="56"/>
      <c r="CB25" s="611"/>
      <c r="CC25" s="612"/>
      <c r="CD25" s="609">
        <f>CD29+CD33+CD37+CD41+CD45+CD49+CD53+CD57+CD61+CD65+CD69+CD73</f>
        <v>0</v>
      </c>
      <c r="CE25" s="610"/>
      <c r="CF25" s="56"/>
      <c r="CG25" s="611"/>
      <c r="CH25" s="612"/>
      <c r="CI25" s="609">
        <f>CI29+CI33+CI37+CI41+CI45+CI49+CI53+CI57+CI61+CI65+CI69+CI73</f>
        <v>0</v>
      </c>
      <c r="CJ25" s="610"/>
      <c r="CK25" s="56"/>
      <c r="CL25" s="52"/>
      <c r="CM25" s="612"/>
      <c r="CN25" s="609">
        <f>CN29+CN33+CN37+CN41+CN45+CN49+CN53+CN57+CN61+CN65+CN69+CN73</f>
        <v>0</v>
      </c>
      <c r="CO25" s="610"/>
      <c r="CP25" s="56"/>
      <c r="CQ25" s="611"/>
      <c r="CR25" s="612"/>
      <c r="CS25" s="609">
        <f>CS29+CS33+CS37+CS41+CS45+CS49+CS53+CS57+CS61+CS65+CS69+CS73</f>
        <v>0</v>
      </c>
      <c r="CT25" s="610"/>
      <c r="CU25" s="56"/>
      <c r="CV25" s="611"/>
      <c r="CW25" s="612"/>
      <c r="CX25" s="609">
        <f>CX29+CX33+CX37+CX41+CX45+CX49+CX53+CX57+CX61+CX65+CX69+CX73</f>
        <v>0</v>
      </c>
      <c r="CY25" s="610"/>
      <c r="CZ25" s="56"/>
      <c r="DA25" s="611"/>
      <c r="DB25" s="612"/>
      <c r="DC25" s="609">
        <f>DC29+DC33+DC37+DC41+DC45+DC49+DC53+DC57+DC61+DC65+DC69+DC73</f>
        <v>0</v>
      </c>
      <c r="DD25" s="610"/>
      <c r="DE25" s="56"/>
      <c r="DF25" s="611"/>
      <c r="DG25" s="612"/>
      <c r="DH25" s="609">
        <f>DH29+DH33+DH37+DH41+DH45+DH49+DH53+DH57+DH61+DH65+DH69+DH73</f>
        <v>0</v>
      </c>
      <c r="DI25" s="610"/>
      <c r="DJ25" s="56"/>
      <c r="DK25" s="611"/>
      <c r="DL25" s="612"/>
      <c r="DM25" s="609">
        <f>DM29+DM33+DM37+DM41+DM45+DM49+DM53+DM57+DM61+DM65+DM69+DM73</f>
        <v>0</v>
      </c>
      <c r="DN25" s="610"/>
      <c r="DO25" s="56"/>
      <c r="DP25" s="611"/>
      <c r="DQ25" s="612"/>
      <c r="DR25" s="609">
        <f>DR29+DR33+DR37+DR41+DR45+DR49+DR53+DR57+DR61+DR65+DR69+DR73</f>
        <v>0</v>
      </c>
      <c r="DS25" s="610"/>
      <c r="DT25" s="56"/>
      <c r="DU25" s="611"/>
      <c r="DV25" s="612"/>
      <c r="DW25" s="609">
        <f>DW29+DW33+DW37+DW41+DW45+DW49+DW53+DW57+DW61+DW65+DW69+DW73</f>
        <v>37521037</v>
      </c>
      <c r="DX25" s="610"/>
      <c r="DY25" s="56"/>
      <c r="DZ25" s="611"/>
      <c r="EA25" s="612"/>
      <c r="EB25" s="609">
        <f>EB29+EB33+EB37+EB41+EB45+EB49+EB53+EB57+EB61+EB65+EB69+EB73</f>
        <v>0</v>
      </c>
      <c r="EC25" s="610"/>
      <c r="ED25" s="56"/>
      <c r="EE25" s="611"/>
      <c r="EF25" s="612"/>
      <c r="EG25" s="609">
        <f>EG29+EG33+EG37+EG41+EG45+EG49+EG53+EG57+EG61+EG65+EG69+EG73</f>
        <v>0</v>
      </c>
      <c r="EH25" s="610"/>
      <c r="EI25" s="56"/>
      <c r="EJ25" s="611"/>
      <c r="EK25" s="612"/>
      <c r="EL25" s="609">
        <f>EL29+EL33+EL37+EL41+EL45+EL49+EL53+EL57+EL61+EL65+EL69+EL73</f>
        <v>37521037</v>
      </c>
      <c r="EM25" s="501"/>
      <c r="EO25" s="144"/>
      <c r="EP25" s="42"/>
      <c r="EQ25" s="42"/>
    </row>
    <row r="26" spans="4:147" x14ac:dyDescent="0.3">
      <c r="D26" s="144" t="s">
        <v>340</v>
      </c>
      <c r="E26" s="494"/>
      <c r="F26" s="513"/>
      <c r="G26" s="117">
        <f>G30+G34+G38+G42+G46+G50+G54+G58+G62+G66+G70+G74</f>
        <v>0</v>
      </c>
      <c r="H26" s="116"/>
      <c r="I26" s="56"/>
      <c r="J26" s="611"/>
      <c r="K26" s="620"/>
      <c r="L26" s="117">
        <f>L30+L34+L38+L42+L46+L50+L54+L58+L62+L66+L70+L74</f>
        <v>0</v>
      </c>
      <c r="M26" s="116"/>
      <c r="N26" s="56"/>
      <c r="O26" s="611"/>
      <c r="P26" s="620"/>
      <c r="Q26" s="117">
        <f>Q30+Q34+Q38+Q42+Q46+Q50+Q54+Q58+Q62+Q66+Q70+Q74</f>
        <v>0</v>
      </c>
      <c r="R26" s="116"/>
      <c r="S26" s="56"/>
      <c r="T26" s="52"/>
      <c r="U26" s="620"/>
      <c r="V26" s="117">
        <f>V30+V34+V38+V42+V46+V50+V54+V58+V62+V66+V70+V74</f>
        <v>0</v>
      </c>
      <c r="W26" s="116"/>
      <c r="X26" s="56"/>
      <c r="Y26" s="611"/>
      <c r="Z26" s="620"/>
      <c r="AA26" s="117">
        <f>AA30+AA34+AA38+AA42+AA46+AA50+AA54+AA58+AA62+AA66+AA70+AA74</f>
        <v>0</v>
      </c>
      <c r="AB26" s="116"/>
      <c r="AC26" s="56"/>
      <c r="AD26" s="611"/>
      <c r="AE26" s="620"/>
      <c r="AF26" s="117">
        <f>AF30+AF34+AF38+AF42+AF46+AF50+AF54+AF58+AF62+AF66+AF70+AF74</f>
        <v>0</v>
      </c>
      <c r="AG26" s="116"/>
      <c r="AH26" s="56"/>
      <c r="AI26" s="611"/>
      <c r="AJ26" s="620"/>
      <c r="AK26" s="117">
        <f>AK30+AK34+AK38+AK42+AK46+AK50+AK54+AK58+AK62+AK66+AK70+AK74</f>
        <v>0</v>
      </c>
      <c r="AL26" s="116"/>
      <c r="AM26" s="56"/>
      <c r="AN26" s="611"/>
      <c r="AO26" s="620"/>
      <c r="AP26" s="117">
        <f>AP30+AP34+AP38+AP42+AP46+AP50+AP54+AP58+AP62+AP66+AP70+AP74</f>
        <v>0</v>
      </c>
      <c r="AQ26" s="116"/>
      <c r="AR26" s="56"/>
      <c r="AS26" s="611"/>
      <c r="AT26" s="620"/>
      <c r="AU26" s="117">
        <f>AU30+AU34+AU38+AU42+AU46+AU50+AU54+AU58+AU62+AU66+AU70+AU74</f>
        <v>0</v>
      </c>
      <c r="AV26" s="116"/>
      <c r="AW26" s="56"/>
      <c r="AX26" s="611"/>
      <c r="AY26" s="620"/>
      <c r="AZ26" s="117">
        <f>AZ30+AZ34+AZ38+AZ42+AZ46+AZ50+AZ54+AZ58+AZ62+AZ66+AZ70+AZ74</f>
        <v>0</v>
      </c>
      <c r="BA26" s="116"/>
      <c r="BB26" s="56"/>
      <c r="BC26" s="611"/>
      <c r="BD26" s="620"/>
      <c r="BE26" s="117">
        <f>BE30+BE34+BE38+BE42+BE46+BE50+BE54+BE58+BE62+BE66+BE70+BE74</f>
        <v>0</v>
      </c>
      <c r="BF26" s="116"/>
      <c r="BG26" s="56"/>
      <c r="BH26" s="611"/>
      <c r="BI26" s="620"/>
      <c r="BJ26" s="117">
        <f>BJ30+BJ34+BJ38+BJ42+BJ46+BJ50+BJ54+BJ58+BJ62+BJ66+BJ70+BJ74</f>
        <v>0</v>
      </c>
      <c r="BK26" s="116"/>
      <c r="BL26" s="56"/>
      <c r="BM26" s="611"/>
      <c r="BN26" s="620"/>
      <c r="BO26" s="117">
        <f>BO30+BO34+BO38+BO42+BO46+BO50+BO54+BO58+BO62+BO66+BO70+BO74</f>
        <v>0</v>
      </c>
      <c r="BP26" s="116"/>
      <c r="BQ26" s="56"/>
      <c r="BR26" s="611"/>
      <c r="BS26" s="513"/>
      <c r="BT26" s="117">
        <f>BT30+BT34+BT38+BT42+BT46+BT50+BT54+BT58+BT62+BT66+BT70+BT74</f>
        <v>0</v>
      </c>
      <c r="BU26" s="116"/>
      <c r="BV26" s="56"/>
      <c r="BW26" s="611"/>
      <c r="BX26" s="620"/>
      <c r="BY26" s="117">
        <f>BY30+BY34+BY38+BY42+BY46+BY50+BY54+BY58+BY62+BY66+BY70+BY74</f>
        <v>20197312</v>
      </c>
      <c r="BZ26" s="116"/>
      <c r="CA26" s="56"/>
      <c r="CB26" s="611"/>
      <c r="CC26" s="620"/>
      <c r="CD26" s="117">
        <f>CD30+CD34+CD38+CD42+CD46+CD50+CD54+CD58+CD62+CD66+CD70+CD74</f>
        <v>0</v>
      </c>
      <c r="CE26" s="116"/>
      <c r="CF26" s="56"/>
      <c r="CG26" s="611"/>
      <c r="CH26" s="620"/>
      <c r="CI26" s="117">
        <f>CI30+CI34+CI38+CI42+CI46+CI50+CI54+CI58+CI62+CI66+CI70+CI74</f>
        <v>0</v>
      </c>
      <c r="CJ26" s="116"/>
      <c r="CK26" s="56"/>
      <c r="CL26" s="52"/>
      <c r="CM26" s="620"/>
      <c r="CN26" s="117">
        <f>CN30+CN34+CN38+CN42+CN46+CN50+CN54+CN58+CN62+CN66+CN70+CN74</f>
        <v>0</v>
      </c>
      <c r="CO26" s="116"/>
      <c r="CP26" s="56"/>
      <c r="CQ26" s="611"/>
      <c r="CR26" s="620"/>
      <c r="CS26" s="117">
        <f>CS30+CS34+CS38+CS42+CS46+CS50+CS54+CS58+CS62+CS66+CS70+CS74</f>
        <v>0</v>
      </c>
      <c r="CT26" s="116"/>
      <c r="CU26" s="56"/>
      <c r="CV26" s="611"/>
      <c r="CW26" s="620"/>
      <c r="CX26" s="117">
        <f>CX30+CX34+CX38+CX42+CX46+CX50+CX54+CX58+CX62+CX66+CX70+CX74</f>
        <v>0</v>
      </c>
      <c r="CY26" s="116"/>
      <c r="CZ26" s="56"/>
      <c r="DA26" s="611"/>
      <c r="DB26" s="620"/>
      <c r="DC26" s="117">
        <f>DC30+DC34+DC38+DC42+DC46+DC50+DC54+DC58+DC62+DC66+DC70+DC74</f>
        <v>0</v>
      </c>
      <c r="DD26" s="116"/>
      <c r="DE26" s="56"/>
      <c r="DF26" s="611"/>
      <c r="DG26" s="620"/>
      <c r="DH26" s="117">
        <f>DH30+DH34+DH38+DH42+DH46+DH50+DH54+DH58+DH62+DH66+DH70+DH74</f>
        <v>0</v>
      </c>
      <c r="DI26" s="116"/>
      <c r="DJ26" s="56"/>
      <c r="DK26" s="611"/>
      <c r="DL26" s="620"/>
      <c r="DM26" s="117">
        <f>DM30+DM34+DM38+DM42+DM46+DM50+DM54+DM58+DM62+DM66+DM70+DM74</f>
        <v>0</v>
      </c>
      <c r="DN26" s="116"/>
      <c r="DO26" s="56"/>
      <c r="DP26" s="611"/>
      <c r="DQ26" s="620"/>
      <c r="DR26" s="117">
        <f>DR30+DR34+DR38+DR42+DR46+DR50+DR54+DR58+DR62+DR66+DR70+DR74</f>
        <v>0</v>
      </c>
      <c r="DS26" s="116"/>
      <c r="DT26" s="56"/>
      <c r="DU26" s="611"/>
      <c r="DV26" s="620"/>
      <c r="DW26" s="117">
        <f>DW30+DW34+DW38+DW42+DW46+DW50+DW54+DW58+DW62+DW66+DW70+DW74</f>
        <v>20197312</v>
      </c>
      <c r="DX26" s="116"/>
      <c r="DY26" s="56"/>
      <c r="DZ26" s="611"/>
      <c r="EA26" s="620"/>
      <c r="EB26" s="117">
        <f>EB30+EB34+EB38+EB42+EB46+EB50+EB54+EB58+EB62+EB66+EB70+EB74</f>
        <v>0</v>
      </c>
      <c r="EC26" s="116"/>
      <c r="ED26" s="56"/>
      <c r="EE26" s="611"/>
      <c r="EF26" s="620"/>
      <c r="EG26" s="117">
        <f>EG30+EG34+EG38+EG42+EG46+EG50+EG54+EG58+EG62+EG66+EG70+EG74</f>
        <v>0</v>
      </c>
      <c r="EH26" s="116"/>
      <c r="EI26" s="56"/>
      <c r="EJ26" s="611"/>
      <c r="EK26" s="620"/>
      <c r="EL26" s="117">
        <f>EL30+EL34+EL38+EL42+EL46+EL50+EL54+EL58+EL62+EL66+EL70+EL74</f>
        <v>20197312</v>
      </c>
      <c r="EM26" s="515"/>
      <c r="EO26" s="144"/>
      <c r="EP26" s="42"/>
      <c r="EQ26" s="42"/>
    </row>
    <row r="27" spans="4:147" x14ac:dyDescent="0.3">
      <c r="D27" s="144"/>
      <c r="E27" s="494"/>
      <c r="G27" s="56"/>
      <c r="H27" s="56"/>
      <c r="I27" s="56"/>
      <c r="J27" s="611"/>
      <c r="K27" s="56"/>
      <c r="L27" s="56"/>
      <c r="M27" s="56"/>
      <c r="N27" s="56"/>
      <c r="O27" s="611"/>
      <c r="P27" s="56"/>
      <c r="Q27" s="56"/>
      <c r="R27" s="56"/>
      <c r="S27" s="56"/>
      <c r="T27" s="611"/>
      <c r="U27" s="56"/>
      <c r="V27" s="56"/>
      <c r="W27" s="56"/>
      <c r="X27" s="56"/>
      <c r="Y27" s="611"/>
      <c r="Z27" s="56"/>
      <c r="AA27" s="56"/>
      <c r="AB27" s="56"/>
      <c r="AC27" s="56"/>
      <c r="AD27" s="611"/>
      <c r="AE27" s="56"/>
      <c r="AF27" s="56"/>
      <c r="AG27" s="56"/>
      <c r="AH27" s="56"/>
      <c r="AI27" s="611"/>
      <c r="AJ27" s="56"/>
      <c r="AK27" s="56"/>
      <c r="AL27" s="56"/>
      <c r="AM27" s="56"/>
      <c r="AN27" s="611"/>
      <c r="AO27" s="56"/>
      <c r="AP27" s="56"/>
      <c r="AQ27" s="56"/>
      <c r="AR27" s="56"/>
      <c r="AS27" s="611"/>
      <c r="AT27" s="56"/>
      <c r="AU27" s="56"/>
      <c r="AV27" s="56"/>
      <c r="AW27" s="56"/>
      <c r="AX27" s="611"/>
      <c r="AY27" s="56"/>
      <c r="AZ27" s="56"/>
      <c r="BA27" s="56"/>
      <c r="BB27" s="56"/>
      <c r="BC27" s="611"/>
      <c r="BD27" s="56"/>
      <c r="BE27" s="56"/>
      <c r="BF27" s="56"/>
      <c r="BG27" s="56"/>
      <c r="BH27" s="611"/>
      <c r="BI27" s="56"/>
      <c r="BJ27" s="56"/>
      <c r="BK27" s="56"/>
      <c r="BL27" s="56"/>
      <c r="BM27" s="611"/>
      <c r="BN27" s="56"/>
      <c r="BO27" s="56"/>
      <c r="BP27" s="56"/>
      <c r="BQ27" s="56"/>
      <c r="BR27" s="611"/>
      <c r="BT27" s="56"/>
      <c r="BU27" s="56"/>
      <c r="BV27" s="56"/>
      <c r="BW27" s="611"/>
      <c r="BX27" s="56"/>
      <c r="BY27" s="56"/>
      <c r="BZ27" s="56"/>
      <c r="CA27" s="56"/>
      <c r="CB27" s="611"/>
      <c r="CC27" s="56"/>
      <c r="CD27" s="56"/>
      <c r="CE27" s="56"/>
      <c r="CF27" s="56"/>
      <c r="CG27" s="611"/>
      <c r="CH27" s="56"/>
      <c r="CI27" s="56"/>
      <c r="CJ27" s="56"/>
      <c r="CK27" s="56"/>
      <c r="CL27" s="611"/>
      <c r="CM27" s="56"/>
      <c r="CN27" s="56"/>
      <c r="CO27" s="56"/>
      <c r="CP27" s="56"/>
      <c r="CQ27" s="611"/>
      <c r="CR27" s="56"/>
      <c r="CS27" s="56"/>
      <c r="CT27" s="56"/>
      <c r="CU27" s="56"/>
      <c r="CV27" s="611"/>
      <c r="CW27" s="56"/>
      <c r="CX27" s="56"/>
      <c r="CY27" s="56"/>
      <c r="CZ27" s="56"/>
      <c r="DA27" s="611"/>
      <c r="DB27" s="56"/>
      <c r="DC27" s="56"/>
      <c r="DD27" s="56"/>
      <c r="DE27" s="56"/>
      <c r="DF27" s="611"/>
      <c r="DG27" s="56"/>
      <c r="DH27" s="56"/>
      <c r="DI27" s="56"/>
      <c r="DJ27" s="56"/>
      <c r="DK27" s="611"/>
      <c r="DL27" s="56"/>
      <c r="DM27" s="56"/>
      <c r="DN27" s="56"/>
      <c r="DO27" s="56"/>
      <c r="DP27" s="611"/>
      <c r="DQ27" s="56"/>
      <c r="DR27" s="56"/>
      <c r="DS27" s="56"/>
      <c r="DT27" s="56"/>
      <c r="DU27" s="611"/>
      <c r="DV27" s="56"/>
      <c r="DW27" s="56"/>
      <c r="DX27" s="56"/>
      <c r="DY27" s="56"/>
      <c r="DZ27" s="611"/>
      <c r="EA27" s="56"/>
      <c r="EB27" s="56"/>
      <c r="EC27" s="56"/>
      <c r="ED27" s="56"/>
      <c r="EE27" s="611"/>
      <c r="EF27" s="56"/>
      <c r="EG27" s="56"/>
      <c r="EH27" s="56"/>
      <c r="EI27" s="56"/>
      <c r="EJ27" s="611"/>
      <c r="EK27" s="56"/>
      <c r="EL27" s="56"/>
      <c r="EO27" s="144"/>
      <c r="EP27" s="42"/>
      <c r="EQ27" s="42"/>
    </row>
    <row r="28" spans="4:147" ht="12.75" customHeight="1" x14ac:dyDescent="0.3">
      <c r="D28" s="144" t="s">
        <v>391</v>
      </c>
      <c r="E28" s="494"/>
      <c r="G28" s="56">
        <v>0</v>
      </c>
      <c r="H28" s="56"/>
      <c r="I28" s="56"/>
      <c r="J28" s="611"/>
      <c r="L28" s="56">
        <f>SUM(L29:L30)</f>
        <v>0</v>
      </c>
      <c r="M28" s="56"/>
      <c r="N28" s="56"/>
      <c r="O28" s="611"/>
      <c r="Q28" s="56">
        <f>SUM(Q29:Q30)</f>
        <v>0</v>
      </c>
      <c r="R28" s="56"/>
      <c r="S28" s="56"/>
      <c r="T28" s="611"/>
      <c r="V28" s="56">
        <f>SUM(V29:V30)</f>
        <v>0</v>
      </c>
      <c r="W28" s="56"/>
      <c r="X28" s="56"/>
      <c r="Y28" s="611"/>
      <c r="AA28" s="56">
        <f>SUM(AA29:AA30)</f>
        <v>0</v>
      </c>
      <c r="AB28" s="56"/>
      <c r="AC28" s="56"/>
      <c r="AD28" s="611"/>
      <c r="AF28" s="56">
        <f>SUM(AF29:AF30)</f>
        <v>0</v>
      </c>
      <c r="AG28" s="56"/>
      <c r="AH28" s="56"/>
      <c r="AI28" s="611"/>
      <c r="AK28" s="56">
        <f>SUM(AK29:AK30)</f>
        <v>0</v>
      </c>
      <c r="AL28" s="56"/>
      <c r="AM28" s="56"/>
      <c r="AN28" s="611"/>
      <c r="AP28" s="56">
        <f>SUM(AP29:AP30)</f>
        <v>0</v>
      </c>
      <c r="AQ28" s="56"/>
      <c r="AR28" s="56"/>
      <c r="AS28" s="611"/>
      <c r="AU28" s="56">
        <f>SUM(AU29:AU30)</f>
        <v>0</v>
      </c>
      <c r="AV28" s="56"/>
      <c r="AW28" s="56"/>
      <c r="AX28" s="611"/>
      <c r="AZ28" s="56">
        <f>SUM(AZ29:AZ30)</f>
        <v>0</v>
      </c>
      <c r="BA28" s="56"/>
      <c r="BB28" s="56"/>
      <c r="BC28" s="611"/>
      <c r="BE28" s="56">
        <f>SUM(BE29:BE30)</f>
        <v>0</v>
      </c>
      <c r="BF28" s="56"/>
      <c r="BG28" s="56"/>
      <c r="BH28" s="611"/>
      <c r="BJ28" s="56">
        <f>SUM(BJ29:BJ30)</f>
        <v>0</v>
      </c>
      <c r="BK28" s="56"/>
      <c r="BL28" s="56"/>
      <c r="BM28" s="611"/>
      <c r="BO28" s="56">
        <f>SUM(BO29:BO30)</f>
        <v>0</v>
      </c>
      <c r="BP28" s="56"/>
      <c r="BQ28" s="56"/>
      <c r="BR28" s="611"/>
      <c r="BT28" s="117">
        <f>SUM(BT29:BT30)</f>
        <v>0</v>
      </c>
      <c r="BU28" s="56"/>
      <c r="BV28" s="56"/>
      <c r="BW28" s="611"/>
      <c r="BY28" s="56">
        <f>SUM(BY29:BY30)</f>
        <v>57718349</v>
      </c>
      <c r="BZ28" s="56"/>
      <c r="CA28" s="56"/>
      <c r="CB28" s="611"/>
      <c r="CD28" s="56">
        <f>SUM(CD29:CD30)</f>
        <v>0</v>
      </c>
      <c r="CE28" s="56"/>
      <c r="CF28" s="56"/>
      <c r="CG28" s="611"/>
      <c r="CI28" s="56">
        <f>SUM(CI29:CI30)</f>
        <v>0</v>
      </c>
      <c r="CJ28" s="56"/>
      <c r="CK28" s="56"/>
      <c r="CL28" s="611"/>
      <c r="CN28" s="56">
        <f>SUM(CN29:CN30)</f>
        <v>0</v>
      </c>
      <c r="CO28" s="56"/>
      <c r="CP28" s="56"/>
      <c r="CQ28" s="611"/>
      <c r="CS28" s="56">
        <f>SUM(CS29:CS30)</f>
        <v>0</v>
      </c>
      <c r="CT28" s="56"/>
      <c r="CU28" s="56"/>
      <c r="CV28" s="611"/>
      <c r="CX28" s="56">
        <f>SUM(CX29:CX30)</f>
        <v>0</v>
      </c>
      <c r="CY28" s="56"/>
      <c r="CZ28" s="56"/>
      <c r="DA28" s="611"/>
      <c r="DC28" s="56">
        <f>SUM(DC29:DC30)</f>
        <v>0</v>
      </c>
      <c r="DD28" s="56"/>
      <c r="DE28" s="56"/>
      <c r="DF28" s="611"/>
      <c r="DH28" s="56">
        <f>SUM(DH29:DH30)</f>
        <v>0</v>
      </c>
      <c r="DI28" s="56"/>
      <c r="DJ28" s="56"/>
      <c r="DK28" s="611"/>
      <c r="DM28" s="56">
        <f>SUM(DM29:DM30)</f>
        <v>0</v>
      </c>
      <c r="DN28" s="56"/>
      <c r="DO28" s="56"/>
      <c r="DP28" s="611"/>
      <c r="DR28" s="56">
        <f>SUM(DR29:DR30)</f>
        <v>0</v>
      </c>
      <c r="DS28" s="56"/>
      <c r="DT28" s="56"/>
      <c r="DU28" s="611"/>
      <c r="DW28" s="56">
        <f>SUM(DW29:DW30)</f>
        <v>57718349</v>
      </c>
      <c r="DX28" s="56"/>
      <c r="DY28" s="56"/>
      <c r="DZ28" s="611"/>
      <c r="EB28" s="56">
        <f>SUM(EB29:EB30)</f>
        <v>0</v>
      </c>
      <c r="EC28" s="56"/>
      <c r="ED28" s="56"/>
      <c r="EE28" s="611"/>
      <c r="EG28" s="56">
        <f>SUM(EG29:EG30)</f>
        <v>0</v>
      </c>
      <c r="EH28" s="56"/>
      <c r="EI28" s="56"/>
      <c r="EJ28" s="611"/>
      <c r="EL28" s="56">
        <f>SUM(EL29:EL30)</f>
        <v>57718349</v>
      </c>
      <c r="EM28" s="56"/>
      <c r="EO28" s="144"/>
      <c r="EP28" s="42"/>
      <c r="EQ28" s="42"/>
    </row>
    <row r="29" spans="4:147" ht="12.75" customHeight="1" x14ac:dyDescent="0.3">
      <c r="D29" s="144" t="s">
        <v>390</v>
      </c>
      <c r="E29" s="494"/>
      <c r="F29" s="500"/>
      <c r="G29" s="609">
        <v>0</v>
      </c>
      <c r="H29" s="610"/>
      <c r="I29" s="56"/>
      <c r="J29" s="611"/>
      <c r="K29" s="500"/>
      <c r="L29" s="609">
        <v>0</v>
      </c>
      <c r="M29" s="610"/>
      <c r="N29" s="56"/>
      <c r="O29" s="611"/>
      <c r="P29" s="500"/>
      <c r="Q29" s="609">
        <v>0</v>
      </c>
      <c r="R29" s="610"/>
      <c r="S29" s="56"/>
      <c r="T29" s="611"/>
      <c r="U29" s="500"/>
      <c r="V29" s="609">
        <v>0</v>
      </c>
      <c r="W29" s="610"/>
      <c r="X29" s="56"/>
      <c r="Y29" s="611"/>
      <c r="Z29" s="500"/>
      <c r="AA29" s="609">
        <v>0</v>
      </c>
      <c r="AB29" s="610"/>
      <c r="AC29" s="56"/>
      <c r="AD29" s="611"/>
      <c r="AE29" s="500"/>
      <c r="AF29" s="609">
        <v>0</v>
      </c>
      <c r="AG29" s="610"/>
      <c r="AH29" s="56"/>
      <c r="AI29" s="611"/>
      <c r="AJ29" s="500"/>
      <c r="AK29" s="609">
        <v>0</v>
      </c>
      <c r="AL29" s="610"/>
      <c r="AM29" s="56"/>
      <c r="AN29" s="611"/>
      <c r="AO29" s="500"/>
      <c r="AP29" s="609">
        <v>0</v>
      </c>
      <c r="AQ29" s="610"/>
      <c r="AR29" s="56"/>
      <c r="AS29" s="611"/>
      <c r="AT29" s="500"/>
      <c r="AU29" s="609">
        <v>0</v>
      </c>
      <c r="AV29" s="610"/>
      <c r="AW29" s="56"/>
      <c r="AX29" s="611"/>
      <c r="AY29" s="500"/>
      <c r="AZ29" s="609">
        <v>0</v>
      </c>
      <c r="BA29" s="610"/>
      <c r="BB29" s="56"/>
      <c r="BC29" s="611"/>
      <c r="BD29" s="500"/>
      <c r="BE29" s="609">
        <v>0</v>
      </c>
      <c r="BF29" s="610"/>
      <c r="BG29" s="56"/>
      <c r="BH29" s="611"/>
      <c r="BI29" s="500"/>
      <c r="BJ29" s="609">
        <v>0</v>
      </c>
      <c r="BK29" s="610"/>
      <c r="BL29" s="56"/>
      <c r="BM29" s="611"/>
      <c r="BN29" s="500"/>
      <c r="BO29" s="609">
        <v>0</v>
      </c>
      <c r="BP29" s="610"/>
      <c r="BQ29" s="56"/>
      <c r="BR29" s="611"/>
      <c r="BS29" s="500"/>
      <c r="BT29" s="56">
        <f>SUM(L29:BO29)</f>
        <v>0</v>
      </c>
      <c r="BU29" s="610"/>
      <c r="BV29" s="56"/>
      <c r="BW29" s="611"/>
      <c r="BX29" s="500"/>
      <c r="BY29" s="609">
        <v>37521037</v>
      </c>
      <c r="BZ29" s="610"/>
      <c r="CA29" s="56"/>
      <c r="CB29" s="611"/>
      <c r="CC29" s="500"/>
      <c r="CD29" s="609">
        <v>0</v>
      </c>
      <c r="CE29" s="610"/>
      <c r="CF29" s="56"/>
      <c r="CG29" s="611"/>
      <c r="CH29" s="500"/>
      <c r="CI29" s="609">
        <v>0</v>
      </c>
      <c r="CJ29" s="610"/>
      <c r="CK29" s="56"/>
      <c r="CL29" s="611"/>
      <c r="CM29" s="500"/>
      <c r="CN29" s="609">
        <v>0</v>
      </c>
      <c r="CO29" s="610"/>
      <c r="CP29" s="56"/>
      <c r="CQ29" s="611"/>
      <c r="CR29" s="500"/>
      <c r="CS29" s="609">
        <v>0</v>
      </c>
      <c r="CT29" s="610"/>
      <c r="CU29" s="56"/>
      <c r="CV29" s="611"/>
      <c r="CW29" s="500"/>
      <c r="CX29" s="609">
        <v>0</v>
      </c>
      <c r="CY29" s="610"/>
      <c r="CZ29" s="56"/>
      <c r="DA29" s="611"/>
      <c r="DB29" s="500"/>
      <c r="DC29" s="609">
        <v>0</v>
      </c>
      <c r="DD29" s="610"/>
      <c r="DE29" s="56"/>
      <c r="DF29" s="611"/>
      <c r="DG29" s="500"/>
      <c r="DH29" s="609">
        <v>0</v>
      </c>
      <c r="DI29" s="610"/>
      <c r="DJ29" s="56"/>
      <c r="DK29" s="611"/>
      <c r="DL29" s="500"/>
      <c r="DM29" s="609">
        <v>0</v>
      </c>
      <c r="DN29" s="610"/>
      <c r="DO29" s="56"/>
      <c r="DP29" s="611"/>
      <c r="DQ29" s="500"/>
      <c r="DR29" s="609">
        <v>0</v>
      </c>
      <c r="DS29" s="610"/>
      <c r="DT29" s="56"/>
      <c r="DU29" s="611"/>
      <c r="DV29" s="500"/>
      <c r="DW29" s="609">
        <v>37521037</v>
      </c>
      <c r="DX29" s="610"/>
      <c r="DY29" s="56"/>
      <c r="DZ29" s="611"/>
      <c r="EA29" s="500"/>
      <c r="EB29" s="609">
        <v>0</v>
      </c>
      <c r="EC29" s="610"/>
      <c r="ED29" s="56"/>
      <c r="EE29" s="611"/>
      <c r="EF29" s="500"/>
      <c r="EG29" s="609">
        <v>0</v>
      </c>
      <c r="EH29" s="610"/>
      <c r="EI29" s="56"/>
      <c r="EJ29" s="611"/>
      <c r="EK29" s="500"/>
      <c r="EL29" s="609">
        <f t="shared" ref="EL29:EL30" si="1">SUM(CD29:DW29)</f>
        <v>37521037</v>
      </c>
      <c r="EM29" s="610">
        <f>SUM(CE29:CO29)</f>
        <v>0</v>
      </c>
      <c r="EO29" s="144"/>
      <c r="EP29" s="42"/>
      <c r="EQ29" s="42"/>
    </row>
    <row r="30" spans="4:147" ht="12.75" customHeight="1" x14ac:dyDescent="0.3">
      <c r="D30" s="144" t="s">
        <v>340</v>
      </c>
      <c r="E30" s="494"/>
      <c r="F30" s="513"/>
      <c r="G30" s="117">
        <v>0</v>
      </c>
      <c r="H30" s="116"/>
      <c r="I30" s="56"/>
      <c r="J30" s="611"/>
      <c r="K30" s="513"/>
      <c r="L30" s="117">
        <v>0</v>
      </c>
      <c r="M30" s="116"/>
      <c r="N30" s="56"/>
      <c r="O30" s="611"/>
      <c r="P30" s="513"/>
      <c r="Q30" s="117">
        <v>0</v>
      </c>
      <c r="R30" s="116"/>
      <c r="S30" s="56"/>
      <c r="T30" s="611"/>
      <c r="U30" s="513"/>
      <c r="V30" s="117">
        <v>0</v>
      </c>
      <c r="W30" s="116"/>
      <c r="X30" s="56"/>
      <c r="Y30" s="611"/>
      <c r="Z30" s="513"/>
      <c r="AA30" s="117">
        <v>0</v>
      </c>
      <c r="AB30" s="116"/>
      <c r="AC30" s="56"/>
      <c r="AD30" s="611"/>
      <c r="AE30" s="513"/>
      <c r="AF30" s="117">
        <v>0</v>
      </c>
      <c r="AG30" s="116"/>
      <c r="AH30" s="56"/>
      <c r="AI30" s="611"/>
      <c r="AJ30" s="513"/>
      <c r="AK30" s="117">
        <v>0</v>
      </c>
      <c r="AL30" s="116"/>
      <c r="AM30" s="56"/>
      <c r="AN30" s="611"/>
      <c r="AO30" s="513"/>
      <c r="AP30" s="117">
        <v>0</v>
      </c>
      <c r="AQ30" s="116"/>
      <c r="AR30" s="56"/>
      <c r="AS30" s="611"/>
      <c r="AT30" s="513"/>
      <c r="AU30" s="117">
        <v>0</v>
      </c>
      <c r="AV30" s="116"/>
      <c r="AW30" s="56"/>
      <c r="AX30" s="611"/>
      <c r="AY30" s="513"/>
      <c r="AZ30" s="117">
        <v>0</v>
      </c>
      <c r="BA30" s="116"/>
      <c r="BB30" s="56"/>
      <c r="BC30" s="611"/>
      <c r="BD30" s="513"/>
      <c r="BE30" s="117">
        <v>0</v>
      </c>
      <c r="BF30" s="116"/>
      <c r="BG30" s="56"/>
      <c r="BH30" s="611"/>
      <c r="BI30" s="513"/>
      <c r="BJ30" s="117">
        <v>0</v>
      </c>
      <c r="BK30" s="116"/>
      <c r="BL30" s="56"/>
      <c r="BM30" s="611"/>
      <c r="BN30" s="513"/>
      <c r="BO30" s="117">
        <v>0</v>
      </c>
      <c r="BP30" s="116"/>
      <c r="BQ30" s="56"/>
      <c r="BR30" s="611"/>
      <c r="BS30" s="513"/>
      <c r="BT30" s="117">
        <f>SUM(L30:BO30)</f>
        <v>0</v>
      </c>
      <c r="BU30" s="116"/>
      <c r="BV30" s="56"/>
      <c r="BW30" s="611"/>
      <c r="BX30" s="513"/>
      <c r="BY30" s="117">
        <v>20197312</v>
      </c>
      <c r="BZ30" s="116"/>
      <c r="CA30" s="56"/>
      <c r="CB30" s="611"/>
      <c r="CC30" s="513"/>
      <c r="CD30" s="117">
        <v>0</v>
      </c>
      <c r="CE30" s="116"/>
      <c r="CF30" s="56"/>
      <c r="CG30" s="611"/>
      <c r="CH30" s="513"/>
      <c r="CI30" s="117">
        <v>0</v>
      </c>
      <c r="CJ30" s="116"/>
      <c r="CK30" s="56"/>
      <c r="CL30" s="611"/>
      <c r="CM30" s="513"/>
      <c r="CN30" s="117">
        <v>0</v>
      </c>
      <c r="CO30" s="116"/>
      <c r="CP30" s="56"/>
      <c r="CQ30" s="611"/>
      <c r="CR30" s="513"/>
      <c r="CS30" s="117">
        <v>0</v>
      </c>
      <c r="CT30" s="116"/>
      <c r="CU30" s="56"/>
      <c r="CV30" s="611"/>
      <c r="CW30" s="513"/>
      <c r="CX30" s="117">
        <v>0</v>
      </c>
      <c r="CY30" s="116"/>
      <c r="CZ30" s="56"/>
      <c r="DA30" s="611"/>
      <c r="DB30" s="513"/>
      <c r="DC30" s="117">
        <v>0</v>
      </c>
      <c r="DD30" s="116"/>
      <c r="DE30" s="56"/>
      <c r="DF30" s="611"/>
      <c r="DG30" s="513"/>
      <c r="DH30" s="117">
        <v>0</v>
      </c>
      <c r="DI30" s="116"/>
      <c r="DJ30" s="56"/>
      <c r="DK30" s="611"/>
      <c r="DL30" s="513"/>
      <c r="DM30" s="117">
        <v>0</v>
      </c>
      <c r="DN30" s="116"/>
      <c r="DO30" s="56"/>
      <c r="DP30" s="611"/>
      <c r="DQ30" s="513"/>
      <c r="DR30" s="117">
        <v>0</v>
      </c>
      <c r="DS30" s="116"/>
      <c r="DT30" s="56"/>
      <c r="DU30" s="611"/>
      <c r="DV30" s="513"/>
      <c r="DW30" s="117">
        <v>20197312</v>
      </c>
      <c r="DX30" s="116"/>
      <c r="DY30" s="56"/>
      <c r="DZ30" s="611"/>
      <c r="EA30" s="513"/>
      <c r="EB30" s="117">
        <v>0</v>
      </c>
      <c r="EC30" s="116"/>
      <c r="ED30" s="56"/>
      <c r="EE30" s="611"/>
      <c r="EF30" s="513"/>
      <c r="EG30" s="117">
        <v>0</v>
      </c>
      <c r="EH30" s="116"/>
      <c r="EI30" s="56"/>
      <c r="EJ30" s="611"/>
      <c r="EK30" s="513"/>
      <c r="EL30" s="117">
        <f t="shared" si="1"/>
        <v>20197312</v>
      </c>
      <c r="EM30" s="116">
        <f>SUM(CE30:CO30)</f>
        <v>0</v>
      </c>
      <c r="EO30" s="144"/>
      <c r="EP30" s="42"/>
      <c r="EQ30" s="42"/>
    </row>
    <row r="31" spans="4:147" ht="12.75" hidden="1" customHeight="1" x14ac:dyDescent="0.3">
      <c r="D31" s="144"/>
      <c r="E31" s="494"/>
      <c r="G31" s="56"/>
      <c r="H31" s="56"/>
      <c r="I31" s="56"/>
      <c r="J31" s="611"/>
      <c r="K31" s="56"/>
      <c r="L31" s="56"/>
      <c r="M31" s="56"/>
      <c r="N31" s="56"/>
      <c r="O31" s="611"/>
      <c r="P31" s="56"/>
      <c r="Q31" s="56"/>
      <c r="R31" s="56"/>
      <c r="S31" s="56"/>
      <c r="T31" s="611"/>
      <c r="U31" s="56"/>
      <c r="V31" s="56"/>
      <c r="W31" s="56"/>
      <c r="X31" s="56"/>
      <c r="Y31" s="611"/>
      <c r="Z31" s="56"/>
      <c r="AA31" s="56"/>
      <c r="AB31" s="56"/>
      <c r="AC31" s="56"/>
      <c r="AD31" s="611"/>
      <c r="AE31" s="56"/>
      <c r="AF31" s="56"/>
      <c r="AG31" s="56"/>
      <c r="AH31" s="56"/>
      <c r="AI31" s="611"/>
      <c r="AJ31" s="56"/>
      <c r="AK31" s="56"/>
      <c r="AL31" s="56"/>
      <c r="AM31" s="56"/>
      <c r="AN31" s="611"/>
      <c r="AO31" s="56"/>
      <c r="AP31" s="56"/>
      <c r="AQ31" s="56"/>
      <c r="AR31" s="56"/>
      <c r="AS31" s="611"/>
      <c r="AT31" s="56"/>
      <c r="AU31" s="56"/>
      <c r="AV31" s="56"/>
      <c r="AW31" s="56"/>
      <c r="AX31" s="611"/>
      <c r="AY31" s="56"/>
      <c r="AZ31" s="56"/>
      <c r="BA31" s="56"/>
      <c r="BB31" s="56"/>
      <c r="BC31" s="611"/>
      <c r="BD31" s="56"/>
      <c r="BE31" s="56"/>
      <c r="BF31" s="56"/>
      <c r="BG31" s="56"/>
      <c r="BH31" s="611"/>
      <c r="BI31" s="56"/>
      <c r="BJ31" s="56"/>
      <c r="BK31" s="56"/>
      <c r="BL31" s="56"/>
      <c r="BM31" s="611"/>
      <c r="BN31" s="56"/>
      <c r="BO31" s="56"/>
      <c r="BP31" s="56"/>
      <c r="BQ31" s="56"/>
      <c r="BR31" s="611"/>
      <c r="BS31" s="56"/>
      <c r="BT31" s="56"/>
      <c r="BU31" s="56"/>
      <c r="BV31" s="56"/>
      <c r="BW31" s="611"/>
      <c r="BX31" s="56"/>
      <c r="BY31" s="56"/>
      <c r="BZ31" s="56"/>
      <c r="CA31" s="56"/>
      <c r="CB31" s="611"/>
      <c r="CC31" s="56"/>
      <c r="CD31" s="56"/>
      <c r="CE31" s="56"/>
      <c r="CF31" s="56"/>
      <c r="CG31" s="611"/>
      <c r="CH31" s="56"/>
      <c r="CI31" s="56"/>
      <c r="CJ31" s="56"/>
      <c r="CK31" s="56"/>
      <c r="CL31" s="611"/>
      <c r="CM31" s="56"/>
      <c r="CN31" s="56"/>
      <c r="CO31" s="56"/>
      <c r="CP31" s="56"/>
      <c r="CQ31" s="611"/>
      <c r="CR31" s="56"/>
      <c r="CS31" s="56"/>
      <c r="CT31" s="56"/>
      <c r="CU31" s="56"/>
      <c r="CV31" s="611"/>
      <c r="CW31" s="56"/>
      <c r="CX31" s="56"/>
      <c r="CY31" s="56"/>
      <c r="CZ31" s="56"/>
      <c r="DA31" s="611"/>
      <c r="DB31" s="56"/>
      <c r="DC31" s="56"/>
      <c r="DD31" s="56"/>
      <c r="DE31" s="56"/>
      <c r="DF31" s="611"/>
      <c r="DG31" s="56"/>
      <c r="DH31" s="56"/>
      <c r="DI31" s="56"/>
      <c r="DJ31" s="56"/>
      <c r="DK31" s="611"/>
      <c r="DL31" s="56"/>
      <c r="DM31" s="56"/>
      <c r="DN31" s="56"/>
      <c r="DO31" s="56"/>
      <c r="DP31" s="611"/>
      <c r="DQ31" s="56"/>
      <c r="DR31" s="56"/>
      <c r="DS31" s="56"/>
      <c r="DT31" s="56"/>
      <c r="DU31" s="611"/>
      <c r="DV31" s="56"/>
      <c r="DW31" s="56"/>
      <c r="DX31" s="56"/>
      <c r="DY31" s="56"/>
      <c r="DZ31" s="611"/>
      <c r="EA31" s="56"/>
      <c r="EB31" s="56"/>
      <c r="EC31" s="56"/>
      <c r="ED31" s="56"/>
      <c r="EE31" s="611"/>
      <c r="EF31" s="56"/>
      <c r="EG31" s="56"/>
      <c r="EH31" s="56"/>
      <c r="EI31" s="56"/>
      <c r="EJ31" s="611"/>
      <c r="EK31" s="56"/>
      <c r="EL31" s="56"/>
      <c r="EO31" s="144"/>
      <c r="EP31" s="42"/>
      <c r="EQ31" s="42"/>
    </row>
    <row r="32" spans="4:147" ht="12.75" hidden="1" customHeight="1" x14ac:dyDescent="0.3">
      <c r="D32" s="144" t="s">
        <v>337</v>
      </c>
      <c r="E32" s="494"/>
      <c r="G32" s="56">
        <v>0</v>
      </c>
      <c r="H32" s="56"/>
      <c r="I32" s="56"/>
      <c r="J32" s="611"/>
      <c r="L32" s="56">
        <f>SUM(L33:L34)</f>
        <v>0</v>
      </c>
      <c r="M32" s="56"/>
      <c r="N32" s="56"/>
      <c r="O32" s="611"/>
      <c r="Q32" s="56">
        <f>SUM(Q33:Q34)</f>
        <v>0</v>
      </c>
      <c r="R32" s="56"/>
      <c r="S32" s="56"/>
      <c r="T32" s="611"/>
      <c r="V32" s="56">
        <f>SUM(V33:V34)</f>
        <v>0</v>
      </c>
      <c r="W32" s="56"/>
      <c r="X32" s="56"/>
      <c r="Y32" s="611"/>
      <c r="AA32" s="56">
        <f>SUM(AA33:AA34)</f>
        <v>0</v>
      </c>
      <c r="AB32" s="56"/>
      <c r="AC32" s="56"/>
      <c r="AD32" s="611"/>
      <c r="AF32" s="56">
        <f>SUM(AF33:AF34)</f>
        <v>0</v>
      </c>
      <c r="AG32" s="56"/>
      <c r="AH32" s="56"/>
      <c r="AI32" s="611"/>
      <c r="AK32" s="56">
        <f>SUM(AK33:AK34)</f>
        <v>0</v>
      </c>
      <c r="AL32" s="56"/>
      <c r="AM32" s="56"/>
      <c r="AN32" s="611"/>
      <c r="AP32" s="56">
        <f>SUM(AP33:AP34)</f>
        <v>0</v>
      </c>
      <c r="AQ32" s="56"/>
      <c r="AR32" s="56"/>
      <c r="AS32" s="611"/>
      <c r="AU32" s="56">
        <f>SUM(AU33:AU34)</f>
        <v>0</v>
      </c>
      <c r="AV32" s="56"/>
      <c r="AW32" s="56"/>
      <c r="AX32" s="611"/>
      <c r="AZ32" s="56">
        <f>SUM(AZ33:AZ34)</f>
        <v>0</v>
      </c>
      <c r="BA32" s="56"/>
      <c r="BB32" s="56"/>
      <c r="BC32" s="611"/>
      <c r="BE32" s="56">
        <f>SUM(BE33:BE34)</f>
        <v>0</v>
      </c>
      <c r="BF32" s="56"/>
      <c r="BG32" s="56"/>
      <c r="BH32" s="611"/>
      <c r="BJ32" s="56">
        <f>SUM(BJ33:BJ34)</f>
        <v>0</v>
      </c>
      <c r="BK32" s="56"/>
      <c r="BL32" s="56"/>
      <c r="BM32" s="611"/>
      <c r="BO32" s="56">
        <f>SUM(BO33:BO34)</f>
        <v>0</v>
      </c>
      <c r="BP32" s="56"/>
      <c r="BQ32" s="56"/>
      <c r="BR32" s="611"/>
      <c r="BT32" s="117">
        <f>SUM(BT33:BT34)</f>
        <v>0</v>
      </c>
      <c r="BU32" s="56"/>
      <c r="BV32" s="56"/>
      <c r="BW32" s="611"/>
      <c r="BY32" s="56">
        <f>SUM(BY33:BY34)</f>
        <v>0</v>
      </c>
      <c r="BZ32" s="56"/>
      <c r="CA32" s="56"/>
      <c r="CB32" s="611"/>
      <c r="CD32" s="56">
        <f>SUM(CD33:CD34)</f>
        <v>0</v>
      </c>
      <c r="CE32" s="56"/>
      <c r="CF32" s="56"/>
      <c r="CG32" s="611"/>
      <c r="CI32" s="56">
        <f>SUM(CI33:CI34)</f>
        <v>0</v>
      </c>
      <c r="CJ32" s="56"/>
      <c r="CK32" s="56"/>
      <c r="CL32" s="611"/>
      <c r="CN32" s="56">
        <f>SUM(CN33:CN34)</f>
        <v>0</v>
      </c>
      <c r="CO32" s="56"/>
      <c r="CP32" s="56"/>
      <c r="CQ32" s="611"/>
      <c r="CS32" s="56">
        <f>SUM(CS33:CS34)</f>
        <v>0</v>
      </c>
      <c r="CT32" s="56"/>
      <c r="CU32" s="56"/>
      <c r="CV32" s="611"/>
      <c r="CX32" s="56">
        <f>SUM(CX33:CX34)</f>
        <v>0</v>
      </c>
      <c r="CY32" s="56"/>
      <c r="CZ32" s="56"/>
      <c r="DA32" s="611"/>
      <c r="DC32" s="56">
        <f>SUM(DC33:DC34)</f>
        <v>0</v>
      </c>
      <c r="DD32" s="56"/>
      <c r="DE32" s="56"/>
      <c r="DF32" s="611"/>
      <c r="DH32" s="56">
        <f>SUM(DH33:DH34)</f>
        <v>0</v>
      </c>
      <c r="DI32" s="56"/>
      <c r="DJ32" s="56"/>
      <c r="DK32" s="611"/>
      <c r="DM32" s="56">
        <f>SUM(DM33:DM34)</f>
        <v>0</v>
      </c>
      <c r="DN32" s="56"/>
      <c r="DO32" s="56"/>
      <c r="DP32" s="611"/>
      <c r="DR32" s="56">
        <f>SUM(DR33:DR34)</f>
        <v>0</v>
      </c>
      <c r="DS32" s="56"/>
      <c r="DT32" s="56"/>
      <c r="DU32" s="611"/>
      <c r="DW32" s="56">
        <f>SUM(DW33:DW34)</f>
        <v>0</v>
      </c>
      <c r="DX32" s="56"/>
      <c r="DY32" s="56"/>
      <c r="DZ32" s="611"/>
      <c r="EB32" s="56">
        <f>SUM(EB33:EB34)</f>
        <v>0</v>
      </c>
      <c r="EC32" s="56"/>
      <c r="ED32" s="56"/>
      <c r="EE32" s="611"/>
      <c r="EG32" s="56">
        <f>SUM(EG33:EG34)</f>
        <v>0</v>
      </c>
      <c r="EH32" s="56"/>
      <c r="EI32" s="56"/>
      <c r="EJ32" s="611"/>
      <c r="EL32" s="56">
        <f>SUM(EL33:EL34)</f>
        <v>0</v>
      </c>
      <c r="EM32" s="56"/>
      <c r="EO32" s="144"/>
      <c r="EP32" s="42"/>
      <c r="EQ32" s="42"/>
    </row>
    <row r="33" spans="4:147" ht="12.75" hidden="1" customHeight="1" x14ac:dyDescent="0.3">
      <c r="D33" s="144" t="s">
        <v>390</v>
      </c>
      <c r="E33" s="494"/>
      <c r="F33" s="500"/>
      <c r="G33" s="609">
        <v>0</v>
      </c>
      <c r="H33" s="610"/>
      <c r="I33" s="56"/>
      <c r="J33" s="611"/>
      <c r="K33" s="500"/>
      <c r="L33" s="609">
        <v>0</v>
      </c>
      <c r="M33" s="610"/>
      <c r="N33" s="56"/>
      <c r="O33" s="611"/>
      <c r="P33" s="500"/>
      <c r="Q33" s="609">
        <v>0</v>
      </c>
      <c r="R33" s="610"/>
      <c r="S33" s="56"/>
      <c r="T33" s="611"/>
      <c r="U33" s="500"/>
      <c r="V33" s="609">
        <v>0</v>
      </c>
      <c r="W33" s="610"/>
      <c r="X33" s="56"/>
      <c r="Y33" s="611"/>
      <c r="Z33" s="500"/>
      <c r="AA33" s="609">
        <v>0</v>
      </c>
      <c r="AB33" s="610"/>
      <c r="AC33" s="56"/>
      <c r="AD33" s="611"/>
      <c r="AE33" s="500"/>
      <c r="AF33" s="609">
        <v>0</v>
      </c>
      <c r="AG33" s="610"/>
      <c r="AH33" s="56"/>
      <c r="AI33" s="611"/>
      <c r="AJ33" s="500"/>
      <c r="AK33" s="609">
        <v>0</v>
      </c>
      <c r="AL33" s="610"/>
      <c r="AM33" s="56"/>
      <c r="AN33" s="611"/>
      <c r="AO33" s="500"/>
      <c r="AP33" s="609">
        <v>0</v>
      </c>
      <c r="AQ33" s="610"/>
      <c r="AR33" s="56"/>
      <c r="AS33" s="611"/>
      <c r="AT33" s="500"/>
      <c r="AU33" s="609">
        <v>0</v>
      </c>
      <c r="AV33" s="610"/>
      <c r="AW33" s="56"/>
      <c r="AX33" s="611"/>
      <c r="AY33" s="500"/>
      <c r="AZ33" s="609">
        <v>0</v>
      </c>
      <c r="BA33" s="610"/>
      <c r="BB33" s="56"/>
      <c r="BC33" s="611"/>
      <c r="BD33" s="500"/>
      <c r="BE33" s="609">
        <v>0</v>
      </c>
      <c r="BF33" s="610"/>
      <c r="BG33" s="56"/>
      <c r="BH33" s="611"/>
      <c r="BI33" s="500"/>
      <c r="BJ33" s="609">
        <v>0</v>
      </c>
      <c r="BK33" s="610"/>
      <c r="BL33" s="56"/>
      <c r="BM33" s="611"/>
      <c r="BN33" s="500"/>
      <c r="BO33" s="609">
        <v>0</v>
      </c>
      <c r="BP33" s="610"/>
      <c r="BQ33" s="56"/>
      <c r="BR33" s="611"/>
      <c r="BS33" s="500"/>
      <c r="BT33" s="56">
        <f>SUM(L33:BO33)</f>
        <v>0</v>
      </c>
      <c r="BU33" s="610"/>
      <c r="BV33" s="56"/>
      <c r="BW33" s="611"/>
      <c r="BX33" s="500"/>
      <c r="BY33" s="609">
        <f>SUM(Q33:BT33)</f>
        <v>0</v>
      </c>
      <c r="BZ33" s="610"/>
      <c r="CA33" s="56"/>
      <c r="CB33" s="611"/>
      <c r="CC33" s="500"/>
      <c r="CD33" s="609">
        <v>0</v>
      </c>
      <c r="CE33" s="610"/>
      <c r="CF33" s="56"/>
      <c r="CG33" s="611"/>
      <c r="CH33" s="500"/>
      <c r="CI33" s="609">
        <v>0</v>
      </c>
      <c r="CJ33" s="610"/>
      <c r="CK33" s="56"/>
      <c r="CL33" s="611"/>
      <c r="CM33" s="500"/>
      <c r="CN33" s="609">
        <v>0</v>
      </c>
      <c r="CO33" s="610"/>
      <c r="CP33" s="56"/>
      <c r="CQ33" s="611"/>
      <c r="CR33" s="500"/>
      <c r="CS33" s="609">
        <v>0</v>
      </c>
      <c r="CT33" s="610"/>
      <c r="CU33" s="56"/>
      <c r="CV33" s="611"/>
      <c r="CW33" s="500"/>
      <c r="CX33" s="609">
        <v>0</v>
      </c>
      <c r="CY33" s="610"/>
      <c r="CZ33" s="56"/>
      <c r="DA33" s="611"/>
      <c r="DB33" s="500"/>
      <c r="DC33" s="609">
        <v>0</v>
      </c>
      <c r="DD33" s="610"/>
      <c r="DE33" s="56"/>
      <c r="DF33" s="611"/>
      <c r="DG33" s="500"/>
      <c r="DH33" s="609">
        <v>0</v>
      </c>
      <c r="DI33" s="610"/>
      <c r="DJ33" s="56"/>
      <c r="DK33" s="611"/>
      <c r="DL33" s="500"/>
      <c r="DM33" s="609">
        <v>0</v>
      </c>
      <c r="DN33" s="610"/>
      <c r="DO33" s="56"/>
      <c r="DP33" s="611"/>
      <c r="DQ33" s="500"/>
      <c r="DR33" s="609">
        <v>0</v>
      </c>
      <c r="DS33" s="610"/>
      <c r="DT33" s="56"/>
      <c r="DU33" s="611"/>
      <c r="DV33" s="500"/>
      <c r="DW33" s="609">
        <v>0</v>
      </c>
      <c r="DX33" s="610"/>
      <c r="DY33" s="56"/>
      <c r="DZ33" s="611"/>
      <c r="EA33" s="500"/>
      <c r="EB33" s="609">
        <v>0</v>
      </c>
      <c r="EC33" s="610"/>
      <c r="ED33" s="56"/>
      <c r="EE33" s="611"/>
      <c r="EF33" s="500"/>
      <c r="EG33" s="609">
        <v>0</v>
      </c>
      <c r="EH33" s="610"/>
      <c r="EI33" s="56"/>
      <c r="EJ33" s="611"/>
      <c r="EK33" s="500"/>
      <c r="EL33" s="609">
        <f>SUM(CD33:EG33)</f>
        <v>0</v>
      </c>
      <c r="EM33" s="610">
        <f>SUM(CE33:CO33)</f>
        <v>0</v>
      </c>
      <c r="EO33" s="144"/>
      <c r="EP33" s="42"/>
      <c r="EQ33" s="42"/>
    </row>
    <row r="34" spans="4:147" ht="12.75" hidden="1" customHeight="1" x14ac:dyDescent="0.3">
      <c r="D34" s="144" t="s">
        <v>340</v>
      </c>
      <c r="E34" s="494"/>
      <c r="F34" s="513"/>
      <c r="G34" s="117">
        <v>0</v>
      </c>
      <c r="H34" s="116"/>
      <c r="I34" s="56"/>
      <c r="J34" s="611"/>
      <c r="K34" s="513"/>
      <c r="L34" s="117">
        <v>0</v>
      </c>
      <c r="M34" s="116"/>
      <c r="N34" s="56"/>
      <c r="O34" s="611"/>
      <c r="P34" s="513"/>
      <c r="Q34" s="117">
        <v>0</v>
      </c>
      <c r="R34" s="116"/>
      <c r="S34" s="56"/>
      <c r="T34" s="611"/>
      <c r="U34" s="513"/>
      <c r="V34" s="117">
        <v>0</v>
      </c>
      <c r="W34" s="116"/>
      <c r="X34" s="56"/>
      <c r="Y34" s="611"/>
      <c r="Z34" s="513"/>
      <c r="AA34" s="117">
        <v>0</v>
      </c>
      <c r="AB34" s="116"/>
      <c r="AC34" s="56"/>
      <c r="AD34" s="611"/>
      <c r="AE34" s="513"/>
      <c r="AF34" s="117">
        <v>0</v>
      </c>
      <c r="AG34" s="116"/>
      <c r="AH34" s="56"/>
      <c r="AI34" s="611"/>
      <c r="AJ34" s="513"/>
      <c r="AK34" s="117">
        <v>0</v>
      </c>
      <c r="AL34" s="116"/>
      <c r="AM34" s="56"/>
      <c r="AN34" s="611"/>
      <c r="AO34" s="513"/>
      <c r="AP34" s="117">
        <v>0</v>
      </c>
      <c r="AQ34" s="116"/>
      <c r="AR34" s="56"/>
      <c r="AS34" s="611"/>
      <c r="AT34" s="513"/>
      <c r="AU34" s="117">
        <v>0</v>
      </c>
      <c r="AV34" s="116"/>
      <c r="AW34" s="56"/>
      <c r="AX34" s="611"/>
      <c r="AY34" s="513"/>
      <c r="AZ34" s="117">
        <v>0</v>
      </c>
      <c r="BA34" s="116"/>
      <c r="BB34" s="56"/>
      <c r="BC34" s="611"/>
      <c r="BD34" s="513"/>
      <c r="BE34" s="117">
        <v>0</v>
      </c>
      <c r="BF34" s="116"/>
      <c r="BG34" s="56"/>
      <c r="BH34" s="611"/>
      <c r="BI34" s="513"/>
      <c r="BJ34" s="117">
        <v>0</v>
      </c>
      <c r="BK34" s="116"/>
      <c r="BL34" s="56"/>
      <c r="BM34" s="611"/>
      <c r="BN34" s="513"/>
      <c r="BO34" s="117">
        <v>0</v>
      </c>
      <c r="BP34" s="116"/>
      <c r="BQ34" s="56"/>
      <c r="BR34" s="611"/>
      <c r="BS34" s="513"/>
      <c r="BT34" s="117">
        <f>SUM(L34:BO34)</f>
        <v>0</v>
      </c>
      <c r="BU34" s="116"/>
      <c r="BV34" s="56"/>
      <c r="BW34" s="611"/>
      <c r="BX34" s="513"/>
      <c r="BY34" s="117">
        <f>SUM(Q34:BT34)</f>
        <v>0</v>
      </c>
      <c r="BZ34" s="116"/>
      <c r="CA34" s="56"/>
      <c r="CB34" s="611"/>
      <c r="CC34" s="513"/>
      <c r="CD34" s="117">
        <v>0</v>
      </c>
      <c r="CE34" s="116"/>
      <c r="CF34" s="56"/>
      <c r="CG34" s="611"/>
      <c r="CH34" s="513"/>
      <c r="CI34" s="117">
        <v>0</v>
      </c>
      <c r="CJ34" s="116"/>
      <c r="CK34" s="56"/>
      <c r="CL34" s="611"/>
      <c r="CM34" s="513"/>
      <c r="CN34" s="117">
        <v>0</v>
      </c>
      <c r="CO34" s="116"/>
      <c r="CP34" s="56"/>
      <c r="CQ34" s="611"/>
      <c r="CR34" s="513"/>
      <c r="CS34" s="117">
        <v>0</v>
      </c>
      <c r="CT34" s="116"/>
      <c r="CU34" s="56"/>
      <c r="CV34" s="611"/>
      <c r="CW34" s="513"/>
      <c r="CX34" s="117">
        <v>0</v>
      </c>
      <c r="CY34" s="116"/>
      <c r="CZ34" s="56"/>
      <c r="DA34" s="611"/>
      <c r="DB34" s="513"/>
      <c r="DC34" s="117">
        <v>0</v>
      </c>
      <c r="DD34" s="116"/>
      <c r="DE34" s="56"/>
      <c r="DF34" s="611"/>
      <c r="DG34" s="513"/>
      <c r="DH34" s="117">
        <v>0</v>
      </c>
      <c r="DI34" s="116"/>
      <c r="DJ34" s="56"/>
      <c r="DK34" s="611"/>
      <c r="DL34" s="513"/>
      <c r="DM34" s="117">
        <v>0</v>
      </c>
      <c r="DN34" s="116"/>
      <c r="DO34" s="56"/>
      <c r="DP34" s="611"/>
      <c r="DQ34" s="513"/>
      <c r="DR34" s="117">
        <v>0</v>
      </c>
      <c r="DS34" s="116"/>
      <c r="DT34" s="56"/>
      <c r="DU34" s="611"/>
      <c r="DV34" s="513"/>
      <c r="DW34" s="117">
        <v>0</v>
      </c>
      <c r="DX34" s="116"/>
      <c r="DY34" s="56"/>
      <c r="DZ34" s="611"/>
      <c r="EA34" s="513"/>
      <c r="EB34" s="117">
        <v>0</v>
      </c>
      <c r="EC34" s="116"/>
      <c r="ED34" s="56"/>
      <c r="EE34" s="611"/>
      <c r="EF34" s="513"/>
      <c r="EG34" s="117">
        <v>0</v>
      </c>
      <c r="EH34" s="116"/>
      <c r="EI34" s="56"/>
      <c r="EJ34" s="611"/>
      <c r="EK34" s="513"/>
      <c r="EL34" s="117">
        <f>SUM(CD34:EG34)</f>
        <v>0</v>
      </c>
      <c r="EM34" s="116">
        <f>SUM(CE34:CO34)</f>
        <v>0</v>
      </c>
      <c r="EO34" s="144"/>
      <c r="EP34" s="42"/>
      <c r="EQ34" s="42"/>
    </row>
    <row r="35" spans="4:147" hidden="1" x14ac:dyDescent="0.3">
      <c r="D35" s="144"/>
      <c r="E35" s="494"/>
      <c r="G35" s="56"/>
      <c r="H35" s="56"/>
      <c r="I35" s="56"/>
      <c r="J35" s="611"/>
      <c r="K35" s="56"/>
      <c r="L35" s="56"/>
      <c r="M35" s="56"/>
      <c r="N35" s="56"/>
      <c r="O35" s="611"/>
      <c r="P35" s="56"/>
      <c r="Q35" s="56"/>
      <c r="R35" s="56"/>
      <c r="S35" s="56"/>
      <c r="T35" s="611"/>
      <c r="U35" s="56"/>
      <c r="V35" s="56"/>
      <c r="W35" s="56"/>
      <c r="X35" s="56"/>
      <c r="Y35" s="611"/>
      <c r="Z35" s="56"/>
      <c r="AA35" s="56"/>
      <c r="AB35" s="56"/>
      <c r="AC35" s="56"/>
      <c r="AD35" s="611"/>
      <c r="AE35" s="56"/>
      <c r="AF35" s="56"/>
      <c r="AG35" s="56"/>
      <c r="AH35" s="56"/>
      <c r="AI35" s="611"/>
      <c r="AJ35" s="56"/>
      <c r="AK35" s="56"/>
      <c r="AL35" s="56"/>
      <c r="AM35" s="56"/>
      <c r="AN35" s="611"/>
      <c r="AO35" s="56"/>
      <c r="AP35" s="56"/>
      <c r="AQ35" s="56"/>
      <c r="AR35" s="56"/>
      <c r="AS35" s="611"/>
      <c r="AT35" s="56"/>
      <c r="AU35" s="56"/>
      <c r="AV35" s="56"/>
      <c r="AW35" s="56"/>
      <c r="AX35" s="611"/>
      <c r="AY35" s="56"/>
      <c r="AZ35" s="56"/>
      <c r="BA35" s="56"/>
      <c r="BB35" s="56"/>
      <c r="BC35" s="611"/>
      <c r="BD35" s="56"/>
      <c r="BE35" s="56"/>
      <c r="BF35" s="56"/>
      <c r="BG35" s="56"/>
      <c r="BH35" s="611"/>
      <c r="BI35" s="56"/>
      <c r="BJ35" s="56"/>
      <c r="BK35" s="56"/>
      <c r="BL35" s="56"/>
      <c r="BM35" s="611"/>
      <c r="BN35" s="56"/>
      <c r="BO35" s="56"/>
      <c r="BP35" s="56"/>
      <c r="BQ35" s="56"/>
      <c r="BR35" s="611"/>
      <c r="BS35" s="56"/>
      <c r="BT35" s="56"/>
      <c r="BU35" s="56"/>
      <c r="BV35" s="56"/>
      <c r="BW35" s="611"/>
      <c r="BX35" s="56"/>
      <c r="BY35" s="56"/>
      <c r="BZ35" s="56"/>
      <c r="CA35" s="56"/>
      <c r="CB35" s="611"/>
      <c r="CC35" s="56"/>
      <c r="CD35" s="56"/>
      <c r="CE35" s="56"/>
      <c r="CF35" s="56"/>
      <c r="CG35" s="611"/>
      <c r="CH35" s="56"/>
      <c r="CI35" s="56"/>
      <c r="CJ35" s="56"/>
      <c r="CK35" s="56"/>
      <c r="CL35" s="611"/>
      <c r="CM35" s="56"/>
      <c r="CN35" s="56"/>
      <c r="CO35" s="56"/>
      <c r="CP35" s="56"/>
      <c r="CQ35" s="611"/>
      <c r="CR35" s="56"/>
      <c r="CS35" s="56"/>
      <c r="CT35" s="56"/>
      <c r="CU35" s="56"/>
      <c r="CV35" s="611"/>
      <c r="CW35" s="56"/>
      <c r="CX35" s="56"/>
      <c r="CY35" s="56"/>
      <c r="CZ35" s="56"/>
      <c r="DA35" s="611"/>
      <c r="DB35" s="56"/>
      <c r="DC35" s="56"/>
      <c r="DD35" s="56"/>
      <c r="DE35" s="56"/>
      <c r="DF35" s="611"/>
      <c r="DG35" s="56"/>
      <c r="DH35" s="56"/>
      <c r="DI35" s="56"/>
      <c r="DJ35" s="56"/>
      <c r="DK35" s="611"/>
      <c r="DL35" s="56"/>
      <c r="DM35" s="56"/>
      <c r="DN35" s="56"/>
      <c r="DO35" s="56"/>
      <c r="DP35" s="611"/>
      <c r="DQ35" s="56"/>
      <c r="DR35" s="56"/>
      <c r="DS35" s="56"/>
      <c r="DT35" s="56"/>
      <c r="DU35" s="611"/>
      <c r="DV35" s="56"/>
      <c r="DW35" s="56"/>
      <c r="DX35" s="56"/>
      <c r="DY35" s="56"/>
      <c r="DZ35" s="611"/>
      <c r="EA35" s="56"/>
      <c r="EB35" s="56"/>
      <c r="EC35" s="56"/>
      <c r="ED35" s="56"/>
      <c r="EE35" s="611"/>
      <c r="EF35" s="56"/>
      <c r="EG35" s="56"/>
      <c r="EH35" s="56"/>
      <c r="EI35" s="56"/>
      <c r="EJ35" s="611"/>
      <c r="EK35" s="56"/>
      <c r="EL35" s="56"/>
      <c r="EO35" s="144"/>
      <c r="EP35" s="42"/>
      <c r="EQ35" s="42"/>
    </row>
    <row r="36" spans="4:147" hidden="1" x14ac:dyDescent="0.3">
      <c r="D36" s="144" t="s">
        <v>341</v>
      </c>
      <c r="E36" s="494"/>
      <c r="G36" s="56">
        <v>0</v>
      </c>
      <c r="H36" s="56"/>
      <c r="I36" s="56"/>
      <c r="J36" s="611"/>
      <c r="L36" s="56">
        <f>SUM(L37:L38)</f>
        <v>0</v>
      </c>
      <c r="M36" s="56"/>
      <c r="N36" s="56"/>
      <c r="O36" s="611"/>
      <c r="Q36" s="56">
        <f>SUM(Q37:Q38)</f>
        <v>0</v>
      </c>
      <c r="R36" s="56"/>
      <c r="S36" s="56"/>
      <c r="T36" s="611"/>
      <c r="V36" s="56">
        <f>SUM(V37:V38)</f>
        <v>0</v>
      </c>
      <c r="W36" s="56"/>
      <c r="X36" s="56"/>
      <c r="Y36" s="611"/>
      <c r="AA36" s="56">
        <f>SUM(AA37:AA38)</f>
        <v>0</v>
      </c>
      <c r="AB36" s="56"/>
      <c r="AC36" s="56"/>
      <c r="AD36" s="611"/>
      <c r="AF36" s="56">
        <f>SUM(AF37:AF38)</f>
        <v>0</v>
      </c>
      <c r="AG36" s="56"/>
      <c r="AH36" s="56"/>
      <c r="AI36" s="611"/>
      <c r="AK36" s="56">
        <f>SUM(AK37:AK38)</f>
        <v>0</v>
      </c>
      <c r="AL36" s="56"/>
      <c r="AM36" s="56"/>
      <c r="AN36" s="611"/>
      <c r="AP36" s="56">
        <f>SUM(AP37:AP38)</f>
        <v>0</v>
      </c>
      <c r="AQ36" s="56"/>
      <c r="AR36" s="56"/>
      <c r="AS36" s="611"/>
      <c r="AU36" s="56">
        <f>SUM(AU37:AU38)</f>
        <v>0</v>
      </c>
      <c r="AV36" s="56"/>
      <c r="AW36" s="56"/>
      <c r="AX36" s="611"/>
      <c r="AZ36" s="56">
        <f>SUM(AZ37:AZ38)</f>
        <v>0</v>
      </c>
      <c r="BA36" s="56"/>
      <c r="BB36" s="56"/>
      <c r="BC36" s="611"/>
      <c r="BE36" s="56">
        <f>SUM(BE37:BE38)</f>
        <v>0</v>
      </c>
      <c r="BF36" s="56"/>
      <c r="BG36" s="56"/>
      <c r="BH36" s="611"/>
      <c r="BJ36" s="56">
        <f>SUM(BJ37:BJ38)</f>
        <v>0</v>
      </c>
      <c r="BK36" s="56"/>
      <c r="BL36" s="56"/>
      <c r="BM36" s="611"/>
      <c r="BO36" s="56">
        <f>SUM(BO37:BO38)</f>
        <v>0</v>
      </c>
      <c r="BP36" s="56"/>
      <c r="BQ36" s="56"/>
      <c r="BR36" s="611"/>
      <c r="BT36" s="56">
        <f>SUM(BT37:BT38)</f>
        <v>0</v>
      </c>
      <c r="BU36" s="56"/>
      <c r="BV36" s="56"/>
      <c r="BW36" s="611"/>
      <c r="BY36" s="56">
        <f>SUM(BY37:BY38)</f>
        <v>0</v>
      </c>
      <c r="BZ36" s="56"/>
      <c r="CA36" s="56"/>
      <c r="CB36" s="611"/>
      <c r="CD36" s="56">
        <f>SUM(CD37:CD38)</f>
        <v>0</v>
      </c>
      <c r="CE36" s="56"/>
      <c r="CF36" s="56"/>
      <c r="CG36" s="611"/>
      <c r="CI36" s="56">
        <f>SUM(CI37:CI38)</f>
        <v>0</v>
      </c>
      <c r="CJ36" s="56"/>
      <c r="CK36" s="56"/>
      <c r="CL36" s="611"/>
      <c r="CN36" s="56">
        <f>SUM(CN37:CN38)</f>
        <v>0</v>
      </c>
      <c r="CO36" s="56"/>
      <c r="CP36" s="56"/>
      <c r="CQ36" s="611"/>
      <c r="CS36" s="56">
        <f>SUM(CS37:CS38)</f>
        <v>0</v>
      </c>
      <c r="CT36" s="56"/>
      <c r="CU36" s="56"/>
      <c r="CV36" s="611"/>
      <c r="CX36" s="56">
        <f>SUM(CX37:CX38)</f>
        <v>0</v>
      </c>
      <c r="CY36" s="56"/>
      <c r="CZ36" s="56"/>
      <c r="DA36" s="611"/>
      <c r="DC36" s="56">
        <f>SUM(DC37:DC38)</f>
        <v>0</v>
      </c>
      <c r="DD36" s="56"/>
      <c r="DE36" s="56"/>
      <c r="DF36" s="611"/>
      <c r="DH36" s="56">
        <f>SUM(DH37:DH38)</f>
        <v>0</v>
      </c>
      <c r="DI36" s="56"/>
      <c r="DJ36" s="56"/>
      <c r="DK36" s="611"/>
      <c r="DM36" s="56">
        <f>SUM(DM37:DM38)</f>
        <v>0</v>
      </c>
      <c r="DN36" s="56"/>
      <c r="DO36" s="56"/>
      <c r="DP36" s="611"/>
      <c r="DR36" s="56">
        <f>SUM(DR37:DR38)</f>
        <v>0</v>
      </c>
      <c r="DS36" s="56"/>
      <c r="DT36" s="56"/>
      <c r="DU36" s="611"/>
      <c r="DW36" s="56">
        <f>SUM(DW37:DW38)</f>
        <v>0</v>
      </c>
      <c r="DX36" s="56"/>
      <c r="DY36" s="56"/>
      <c r="DZ36" s="611"/>
      <c r="EB36" s="56">
        <f>SUM(EB37:EB38)</f>
        <v>0</v>
      </c>
      <c r="EC36" s="56"/>
      <c r="ED36" s="56"/>
      <c r="EE36" s="611"/>
      <c r="EG36" s="56">
        <f>SUM(EG37:EG38)</f>
        <v>0</v>
      </c>
      <c r="EH36" s="56"/>
      <c r="EI36" s="56"/>
      <c r="EJ36" s="611"/>
      <c r="EL36" s="56">
        <f>SUM(EL37:EL38)</f>
        <v>0</v>
      </c>
      <c r="EM36" s="56"/>
      <c r="EO36" s="144"/>
      <c r="EP36" s="42"/>
      <c r="EQ36" s="42"/>
    </row>
    <row r="37" spans="4:147" hidden="1" x14ac:dyDescent="0.3">
      <c r="D37" s="144" t="s">
        <v>390</v>
      </c>
      <c r="E37" s="494"/>
      <c r="F37" s="500"/>
      <c r="G37" s="609">
        <v>0</v>
      </c>
      <c r="H37" s="610"/>
      <c r="I37" s="56"/>
      <c r="J37" s="611"/>
      <c r="K37" s="500"/>
      <c r="L37" s="609">
        <v>0</v>
      </c>
      <c r="M37" s="610"/>
      <c r="N37" s="56"/>
      <c r="O37" s="611"/>
      <c r="P37" s="500"/>
      <c r="Q37" s="609">
        <v>0</v>
      </c>
      <c r="R37" s="610"/>
      <c r="S37" s="56"/>
      <c r="T37" s="611"/>
      <c r="U37" s="500"/>
      <c r="V37" s="609">
        <v>0</v>
      </c>
      <c r="W37" s="610"/>
      <c r="X37" s="56"/>
      <c r="Y37" s="611"/>
      <c r="Z37" s="500"/>
      <c r="AA37" s="609">
        <v>0</v>
      </c>
      <c r="AB37" s="610"/>
      <c r="AC37" s="56"/>
      <c r="AD37" s="611"/>
      <c r="AE37" s="500"/>
      <c r="AF37" s="609">
        <v>0</v>
      </c>
      <c r="AG37" s="610"/>
      <c r="AH37" s="56"/>
      <c r="AI37" s="611"/>
      <c r="AJ37" s="500"/>
      <c r="AK37" s="609">
        <v>0</v>
      </c>
      <c r="AL37" s="610"/>
      <c r="AM37" s="56"/>
      <c r="AN37" s="611"/>
      <c r="AO37" s="500"/>
      <c r="AP37" s="609">
        <v>0</v>
      </c>
      <c r="AQ37" s="610"/>
      <c r="AR37" s="56"/>
      <c r="AS37" s="611"/>
      <c r="AT37" s="500"/>
      <c r="AU37" s="609">
        <v>0</v>
      </c>
      <c r="AV37" s="610"/>
      <c r="AW37" s="56"/>
      <c r="AX37" s="611"/>
      <c r="AY37" s="500"/>
      <c r="AZ37" s="609">
        <v>0</v>
      </c>
      <c r="BA37" s="610"/>
      <c r="BB37" s="56"/>
      <c r="BC37" s="611"/>
      <c r="BD37" s="500"/>
      <c r="BE37" s="609">
        <v>0</v>
      </c>
      <c r="BF37" s="610"/>
      <c r="BG37" s="56"/>
      <c r="BH37" s="611"/>
      <c r="BI37" s="500"/>
      <c r="BJ37" s="609">
        <v>0</v>
      </c>
      <c r="BK37" s="610"/>
      <c r="BL37" s="56"/>
      <c r="BM37" s="611"/>
      <c r="BN37" s="500"/>
      <c r="BO37" s="609">
        <v>0</v>
      </c>
      <c r="BP37" s="610"/>
      <c r="BQ37" s="56"/>
      <c r="BR37" s="611"/>
      <c r="BS37" s="500"/>
      <c r="BT37" s="609">
        <f>SUM(L37:BO37)</f>
        <v>0</v>
      </c>
      <c r="BU37" s="610"/>
      <c r="BV37" s="56"/>
      <c r="BW37" s="611"/>
      <c r="BX37" s="500"/>
      <c r="BY37" s="609">
        <f>SUM(Q37:BT37)</f>
        <v>0</v>
      </c>
      <c r="BZ37" s="610"/>
      <c r="CA37" s="56"/>
      <c r="CB37" s="611"/>
      <c r="CC37" s="500"/>
      <c r="CD37" s="609">
        <v>0</v>
      </c>
      <c r="CE37" s="610"/>
      <c r="CF37" s="56"/>
      <c r="CG37" s="611"/>
      <c r="CH37" s="500"/>
      <c r="CI37" s="609">
        <v>0</v>
      </c>
      <c r="CJ37" s="610"/>
      <c r="CK37" s="56"/>
      <c r="CL37" s="611"/>
      <c r="CM37" s="500"/>
      <c r="CN37" s="609">
        <v>0</v>
      </c>
      <c r="CO37" s="610"/>
      <c r="CP37" s="56"/>
      <c r="CQ37" s="611"/>
      <c r="CR37" s="500"/>
      <c r="CS37" s="609">
        <v>0</v>
      </c>
      <c r="CT37" s="610"/>
      <c r="CU37" s="56"/>
      <c r="CV37" s="611"/>
      <c r="CW37" s="500"/>
      <c r="CX37" s="609">
        <v>0</v>
      </c>
      <c r="CY37" s="610"/>
      <c r="CZ37" s="56"/>
      <c r="DA37" s="611"/>
      <c r="DB37" s="500"/>
      <c r="DC37" s="609">
        <v>0</v>
      </c>
      <c r="DD37" s="610"/>
      <c r="DE37" s="56"/>
      <c r="DF37" s="611"/>
      <c r="DG37" s="500"/>
      <c r="DH37" s="609">
        <v>0</v>
      </c>
      <c r="DI37" s="610"/>
      <c r="DJ37" s="56"/>
      <c r="DK37" s="611"/>
      <c r="DL37" s="500"/>
      <c r="DM37" s="609">
        <v>0</v>
      </c>
      <c r="DN37" s="610"/>
      <c r="DO37" s="56"/>
      <c r="DP37" s="611"/>
      <c r="DQ37" s="500"/>
      <c r="DR37" s="609">
        <v>0</v>
      </c>
      <c r="DS37" s="610"/>
      <c r="DT37" s="56"/>
      <c r="DU37" s="611"/>
      <c r="DV37" s="500"/>
      <c r="DW37" s="609">
        <v>0</v>
      </c>
      <c r="DX37" s="610"/>
      <c r="DY37" s="56"/>
      <c r="DZ37" s="611"/>
      <c r="EA37" s="500"/>
      <c r="EB37" s="609">
        <v>0</v>
      </c>
      <c r="EC37" s="610"/>
      <c r="ED37" s="56"/>
      <c r="EE37" s="611"/>
      <c r="EF37" s="500"/>
      <c r="EG37" s="609">
        <v>0</v>
      </c>
      <c r="EH37" s="610"/>
      <c r="EI37" s="56"/>
      <c r="EJ37" s="611"/>
      <c r="EK37" s="500"/>
      <c r="EL37" s="609">
        <f>SUM(CD37:EG37)</f>
        <v>0</v>
      </c>
      <c r="EM37" s="610"/>
      <c r="EO37" s="144"/>
      <c r="EP37" s="42"/>
      <c r="EQ37" s="42"/>
    </row>
    <row r="38" spans="4:147" hidden="1" x14ac:dyDescent="0.3">
      <c r="D38" s="144" t="s">
        <v>340</v>
      </c>
      <c r="E38" s="494"/>
      <c r="F38" s="513"/>
      <c r="G38" s="117">
        <v>0</v>
      </c>
      <c r="H38" s="116"/>
      <c r="I38" s="56"/>
      <c r="J38" s="611"/>
      <c r="K38" s="513"/>
      <c r="L38" s="117">
        <v>0</v>
      </c>
      <c r="M38" s="116"/>
      <c r="N38" s="56"/>
      <c r="O38" s="611"/>
      <c r="P38" s="513"/>
      <c r="Q38" s="117">
        <v>0</v>
      </c>
      <c r="R38" s="116"/>
      <c r="S38" s="56"/>
      <c r="T38" s="611"/>
      <c r="U38" s="513"/>
      <c r="V38" s="117">
        <v>0</v>
      </c>
      <c r="W38" s="116"/>
      <c r="X38" s="56"/>
      <c r="Y38" s="611"/>
      <c r="Z38" s="513"/>
      <c r="AA38" s="117">
        <v>0</v>
      </c>
      <c r="AB38" s="116"/>
      <c r="AC38" s="56"/>
      <c r="AD38" s="611"/>
      <c r="AE38" s="513"/>
      <c r="AF38" s="117">
        <v>0</v>
      </c>
      <c r="AG38" s="116"/>
      <c r="AH38" s="56"/>
      <c r="AI38" s="611"/>
      <c r="AJ38" s="513"/>
      <c r="AK38" s="117">
        <v>0</v>
      </c>
      <c r="AL38" s="116"/>
      <c r="AM38" s="56"/>
      <c r="AN38" s="611"/>
      <c r="AO38" s="513"/>
      <c r="AP38" s="117">
        <v>0</v>
      </c>
      <c r="AQ38" s="116"/>
      <c r="AR38" s="56"/>
      <c r="AS38" s="611"/>
      <c r="AT38" s="513"/>
      <c r="AU38" s="117">
        <v>0</v>
      </c>
      <c r="AV38" s="116"/>
      <c r="AW38" s="56"/>
      <c r="AX38" s="611"/>
      <c r="AY38" s="513"/>
      <c r="AZ38" s="117">
        <v>0</v>
      </c>
      <c r="BA38" s="116"/>
      <c r="BB38" s="56"/>
      <c r="BC38" s="611"/>
      <c r="BD38" s="513"/>
      <c r="BE38" s="117">
        <v>0</v>
      </c>
      <c r="BF38" s="116"/>
      <c r="BG38" s="56"/>
      <c r="BH38" s="611"/>
      <c r="BI38" s="513"/>
      <c r="BJ38" s="117">
        <v>0</v>
      </c>
      <c r="BK38" s="116"/>
      <c r="BL38" s="56"/>
      <c r="BM38" s="611"/>
      <c r="BN38" s="513"/>
      <c r="BO38" s="117">
        <v>0</v>
      </c>
      <c r="BP38" s="116"/>
      <c r="BQ38" s="56"/>
      <c r="BR38" s="611"/>
      <c r="BS38" s="513"/>
      <c r="BT38" s="117">
        <f>SUM(L38:BO38)</f>
        <v>0</v>
      </c>
      <c r="BU38" s="116"/>
      <c r="BV38" s="56"/>
      <c r="BW38" s="611"/>
      <c r="BX38" s="513"/>
      <c r="BY38" s="117">
        <f>SUM(Q38:BT38)</f>
        <v>0</v>
      </c>
      <c r="BZ38" s="116"/>
      <c r="CA38" s="56"/>
      <c r="CB38" s="611"/>
      <c r="CC38" s="513"/>
      <c r="CD38" s="117">
        <v>0</v>
      </c>
      <c r="CE38" s="116"/>
      <c r="CF38" s="56"/>
      <c r="CG38" s="611"/>
      <c r="CH38" s="513"/>
      <c r="CI38" s="117">
        <v>0</v>
      </c>
      <c r="CJ38" s="116"/>
      <c r="CK38" s="56"/>
      <c r="CL38" s="611"/>
      <c r="CM38" s="513"/>
      <c r="CN38" s="117">
        <v>0</v>
      </c>
      <c r="CO38" s="116"/>
      <c r="CP38" s="56"/>
      <c r="CQ38" s="611"/>
      <c r="CR38" s="513"/>
      <c r="CS38" s="117">
        <v>0</v>
      </c>
      <c r="CT38" s="116"/>
      <c r="CU38" s="56"/>
      <c r="CV38" s="611"/>
      <c r="CW38" s="513"/>
      <c r="CX38" s="117">
        <v>0</v>
      </c>
      <c r="CY38" s="116"/>
      <c r="CZ38" s="56"/>
      <c r="DA38" s="611"/>
      <c r="DB38" s="513"/>
      <c r="DC38" s="117">
        <v>0</v>
      </c>
      <c r="DD38" s="116"/>
      <c r="DE38" s="56"/>
      <c r="DF38" s="611"/>
      <c r="DG38" s="513"/>
      <c r="DH38" s="117">
        <v>0</v>
      </c>
      <c r="DI38" s="116"/>
      <c r="DJ38" s="56"/>
      <c r="DK38" s="611"/>
      <c r="DL38" s="513"/>
      <c r="DM38" s="117">
        <v>0</v>
      </c>
      <c r="DN38" s="116"/>
      <c r="DO38" s="56"/>
      <c r="DP38" s="611"/>
      <c r="DQ38" s="513"/>
      <c r="DR38" s="117">
        <v>0</v>
      </c>
      <c r="DS38" s="116"/>
      <c r="DT38" s="56"/>
      <c r="DU38" s="611"/>
      <c r="DV38" s="513"/>
      <c r="DW38" s="117">
        <v>0</v>
      </c>
      <c r="DX38" s="116"/>
      <c r="DY38" s="56"/>
      <c r="DZ38" s="611"/>
      <c r="EA38" s="513"/>
      <c r="EB38" s="117">
        <v>0</v>
      </c>
      <c r="EC38" s="116"/>
      <c r="ED38" s="56"/>
      <c r="EE38" s="611"/>
      <c r="EF38" s="513"/>
      <c r="EG38" s="117">
        <v>0</v>
      </c>
      <c r="EH38" s="116"/>
      <c r="EI38" s="56"/>
      <c r="EJ38" s="611"/>
      <c r="EK38" s="513"/>
      <c r="EL38" s="117">
        <f>SUM(CD38:EG38)</f>
        <v>0</v>
      </c>
      <c r="EM38" s="116"/>
      <c r="EO38" s="144"/>
      <c r="EP38" s="42"/>
      <c r="EQ38" s="42"/>
    </row>
    <row r="39" spans="4:147" ht="12.75" hidden="1" customHeight="1" x14ac:dyDescent="0.3">
      <c r="D39" s="144"/>
      <c r="E39" s="494"/>
      <c r="G39" s="56"/>
      <c r="H39" s="56"/>
      <c r="I39" s="56"/>
      <c r="J39" s="611"/>
      <c r="K39" s="56"/>
      <c r="L39" s="56"/>
      <c r="M39" s="56"/>
      <c r="N39" s="56"/>
      <c r="O39" s="611"/>
      <c r="P39" s="56"/>
      <c r="Q39" s="56"/>
      <c r="R39" s="56"/>
      <c r="S39" s="56"/>
      <c r="T39" s="611"/>
      <c r="U39" s="56"/>
      <c r="V39" s="56"/>
      <c r="W39" s="56"/>
      <c r="X39" s="56"/>
      <c r="Y39" s="611"/>
      <c r="Z39" s="56"/>
      <c r="AA39" s="56"/>
      <c r="AB39" s="56"/>
      <c r="AC39" s="56"/>
      <c r="AD39" s="611"/>
      <c r="AE39" s="56"/>
      <c r="AF39" s="56"/>
      <c r="AG39" s="56"/>
      <c r="AH39" s="56"/>
      <c r="AI39" s="611"/>
      <c r="AJ39" s="56"/>
      <c r="AK39" s="56"/>
      <c r="AL39" s="56"/>
      <c r="AM39" s="56"/>
      <c r="AN39" s="611"/>
      <c r="AO39" s="56"/>
      <c r="AP39" s="56"/>
      <c r="AQ39" s="56"/>
      <c r="AR39" s="56"/>
      <c r="AS39" s="611"/>
      <c r="AT39" s="56"/>
      <c r="AU39" s="56"/>
      <c r="AV39" s="56"/>
      <c r="AW39" s="56"/>
      <c r="AX39" s="611"/>
      <c r="AY39" s="56"/>
      <c r="AZ39" s="56"/>
      <c r="BA39" s="56"/>
      <c r="BB39" s="56"/>
      <c r="BC39" s="611"/>
      <c r="BD39" s="56"/>
      <c r="BE39" s="56"/>
      <c r="BF39" s="56"/>
      <c r="BG39" s="56"/>
      <c r="BH39" s="611"/>
      <c r="BI39" s="56"/>
      <c r="BJ39" s="56"/>
      <c r="BK39" s="56"/>
      <c r="BL39" s="56"/>
      <c r="BM39" s="611"/>
      <c r="BN39" s="56"/>
      <c r="BO39" s="56"/>
      <c r="BP39" s="56"/>
      <c r="BQ39" s="56"/>
      <c r="BR39" s="611"/>
      <c r="BS39" s="56"/>
      <c r="BT39" s="56"/>
      <c r="BU39" s="56"/>
      <c r="BV39" s="56"/>
      <c r="BW39" s="611"/>
      <c r="BX39" s="56"/>
      <c r="BY39" s="56"/>
      <c r="BZ39" s="56"/>
      <c r="CA39" s="56"/>
      <c r="CB39" s="611"/>
      <c r="CC39" s="56"/>
      <c r="CD39" s="56"/>
      <c r="CE39" s="56"/>
      <c r="CF39" s="56"/>
      <c r="CG39" s="611"/>
      <c r="CH39" s="56"/>
      <c r="CI39" s="56"/>
      <c r="CJ39" s="56"/>
      <c r="CK39" s="56"/>
      <c r="CL39" s="611"/>
      <c r="CM39" s="56"/>
      <c r="CN39" s="56"/>
      <c r="CO39" s="56"/>
      <c r="CP39" s="56"/>
      <c r="CQ39" s="611"/>
      <c r="CR39" s="56"/>
      <c r="CS39" s="56"/>
      <c r="CT39" s="56"/>
      <c r="CU39" s="56"/>
      <c r="CV39" s="611"/>
      <c r="CW39" s="56"/>
      <c r="CX39" s="56"/>
      <c r="CY39" s="56"/>
      <c r="CZ39" s="56"/>
      <c r="DA39" s="611"/>
      <c r="DB39" s="56"/>
      <c r="DC39" s="56"/>
      <c r="DD39" s="56"/>
      <c r="DE39" s="56"/>
      <c r="DF39" s="611"/>
      <c r="DG39" s="56"/>
      <c r="DH39" s="56"/>
      <c r="DI39" s="56"/>
      <c r="DJ39" s="56"/>
      <c r="DK39" s="611"/>
      <c r="DL39" s="56"/>
      <c r="DM39" s="56"/>
      <c r="DN39" s="56"/>
      <c r="DO39" s="56"/>
      <c r="DP39" s="611"/>
      <c r="DQ39" s="56"/>
      <c r="DR39" s="56"/>
      <c r="DS39" s="56"/>
      <c r="DT39" s="56"/>
      <c r="DU39" s="611"/>
      <c r="DV39" s="56"/>
      <c r="DW39" s="56"/>
      <c r="DX39" s="56"/>
      <c r="DY39" s="56"/>
      <c r="DZ39" s="611"/>
      <c r="EA39" s="56"/>
      <c r="EB39" s="56"/>
      <c r="EC39" s="56"/>
      <c r="ED39" s="56"/>
      <c r="EE39" s="611"/>
      <c r="EF39" s="56"/>
      <c r="EG39" s="56"/>
      <c r="EH39" s="56"/>
      <c r="EI39" s="56"/>
      <c r="EJ39" s="611"/>
      <c r="EK39" s="56"/>
      <c r="EL39" s="56"/>
      <c r="EO39" s="144"/>
      <c r="EP39" s="42"/>
      <c r="EQ39" s="42"/>
    </row>
    <row r="40" spans="4:147" ht="12.75" hidden="1" customHeight="1" x14ac:dyDescent="0.3">
      <c r="D40" s="144" t="s">
        <v>342</v>
      </c>
      <c r="E40" s="494"/>
      <c r="G40" s="56">
        <f>SUM(G41:G42)</f>
        <v>0</v>
      </c>
      <c r="H40" s="56"/>
      <c r="I40" s="56"/>
      <c r="J40" s="611"/>
      <c r="K40" s="56"/>
      <c r="L40" s="56">
        <f>SUM(L41:L42)</f>
        <v>0</v>
      </c>
      <c r="M40" s="56"/>
      <c r="N40" s="56"/>
      <c r="O40" s="611"/>
      <c r="Q40" s="56">
        <f>SUM(Q41:Q42)</f>
        <v>0</v>
      </c>
      <c r="R40" s="56"/>
      <c r="S40" s="56"/>
      <c r="T40" s="611"/>
      <c r="V40" s="56">
        <f>SUM(V41:V42)</f>
        <v>0</v>
      </c>
      <c r="W40" s="56"/>
      <c r="X40" s="56"/>
      <c r="Y40" s="611"/>
      <c r="AA40" s="56">
        <f>SUM(AA41:AA42)</f>
        <v>0</v>
      </c>
      <c r="AB40" s="56"/>
      <c r="AC40" s="56"/>
      <c r="AD40" s="611"/>
      <c r="AF40" s="56">
        <f>SUM(AF41:AF42)</f>
        <v>0</v>
      </c>
      <c r="AG40" s="56"/>
      <c r="AH40" s="56"/>
      <c r="AI40" s="611"/>
      <c r="AK40" s="56">
        <f>SUM(AK41:AK42)</f>
        <v>0</v>
      </c>
      <c r="AL40" s="56"/>
      <c r="AM40" s="56"/>
      <c r="AN40" s="611"/>
      <c r="AP40" s="56">
        <f>SUM(AP41:AP42)</f>
        <v>0</v>
      </c>
      <c r="AQ40" s="56"/>
      <c r="AR40" s="56"/>
      <c r="AS40" s="611"/>
      <c r="AU40" s="56">
        <f>SUM(AU41:AU42)</f>
        <v>0</v>
      </c>
      <c r="AV40" s="56"/>
      <c r="AW40" s="56"/>
      <c r="AX40" s="611"/>
      <c r="AZ40" s="56">
        <f>SUM(AZ41:AZ42)</f>
        <v>0</v>
      </c>
      <c r="BA40" s="56"/>
      <c r="BB40" s="56"/>
      <c r="BC40" s="611"/>
      <c r="BE40" s="56">
        <f>SUM(BE41:BE42)</f>
        <v>0</v>
      </c>
      <c r="BF40" s="56"/>
      <c r="BG40" s="56"/>
      <c r="BH40" s="611"/>
      <c r="BJ40" s="56">
        <f>SUM(BJ41:BJ42)</f>
        <v>0</v>
      </c>
      <c r="BK40" s="56"/>
      <c r="BL40" s="56"/>
      <c r="BM40" s="611"/>
      <c r="BO40" s="56">
        <f>SUM(BO41:BO42)</f>
        <v>0</v>
      </c>
      <c r="BP40" s="56"/>
      <c r="BQ40" s="56"/>
      <c r="BR40" s="611"/>
      <c r="BS40" s="56"/>
      <c r="BT40" s="56">
        <f>SUM(BT41:BT42)</f>
        <v>0</v>
      </c>
      <c r="BU40" s="56"/>
      <c r="BV40" s="56"/>
      <c r="BW40" s="611"/>
      <c r="BX40" s="56"/>
      <c r="BY40" s="56">
        <f>SUM(BY41:BY42)</f>
        <v>0</v>
      </c>
      <c r="BZ40" s="56"/>
      <c r="CA40" s="56"/>
      <c r="CB40" s="611"/>
      <c r="CC40" s="56"/>
      <c r="CD40" s="56">
        <f>SUM(CD41:CD42)</f>
        <v>0</v>
      </c>
      <c r="CE40" s="56"/>
      <c r="CF40" s="56"/>
      <c r="CG40" s="611"/>
      <c r="CI40" s="56">
        <f>SUM(CI41:CI42)</f>
        <v>0</v>
      </c>
      <c r="CJ40" s="56"/>
      <c r="CK40" s="56"/>
      <c r="CL40" s="611"/>
      <c r="CN40" s="56">
        <f>SUM(CN41:CN42)</f>
        <v>0</v>
      </c>
      <c r="CO40" s="56"/>
      <c r="CP40" s="56"/>
      <c r="CQ40" s="611"/>
      <c r="CS40" s="56">
        <f>SUM(CS41:CS42)</f>
        <v>0</v>
      </c>
      <c r="CT40" s="56"/>
      <c r="CU40" s="56"/>
      <c r="CV40" s="611"/>
      <c r="CX40" s="56">
        <f>SUM(CX41:CX42)</f>
        <v>0</v>
      </c>
      <c r="CY40" s="56"/>
      <c r="CZ40" s="56"/>
      <c r="DA40" s="611"/>
      <c r="DC40" s="56">
        <f>SUM(DC41:DC42)</f>
        <v>0</v>
      </c>
      <c r="DD40" s="56"/>
      <c r="DE40" s="56"/>
      <c r="DF40" s="611"/>
      <c r="DH40" s="56">
        <f>SUM(DH41:DH42)</f>
        <v>0</v>
      </c>
      <c r="DI40" s="56"/>
      <c r="DJ40" s="56"/>
      <c r="DK40" s="611"/>
      <c r="DM40" s="56">
        <f>SUM(DM41:DM42)</f>
        <v>0</v>
      </c>
      <c r="DN40" s="56"/>
      <c r="DO40" s="56"/>
      <c r="DP40" s="611"/>
      <c r="DR40" s="56">
        <f>SUM(DR41:DR42)</f>
        <v>0</v>
      </c>
      <c r="DS40" s="56"/>
      <c r="DT40" s="56"/>
      <c r="DU40" s="611"/>
      <c r="DW40" s="56">
        <f>SUM(DW41:DW42)</f>
        <v>0</v>
      </c>
      <c r="DX40" s="56"/>
      <c r="DY40" s="56"/>
      <c r="DZ40" s="611"/>
      <c r="EB40" s="56">
        <f>SUM(EB41:EB42)</f>
        <v>0</v>
      </c>
      <c r="EC40" s="56"/>
      <c r="ED40" s="56"/>
      <c r="EE40" s="611"/>
      <c r="EG40" s="56">
        <f>SUM(EG41:EG42)</f>
        <v>0</v>
      </c>
      <c r="EH40" s="56"/>
      <c r="EI40" s="56"/>
      <c r="EJ40" s="611"/>
      <c r="EK40" s="56"/>
      <c r="EL40" s="56">
        <f>SUM(EL41:EL42)</f>
        <v>0</v>
      </c>
      <c r="EO40" s="144"/>
      <c r="EP40" s="42"/>
      <c r="EQ40" s="42"/>
    </row>
    <row r="41" spans="4:147" ht="12.75" hidden="1" customHeight="1" x14ac:dyDescent="0.3">
      <c r="D41" s="144" t="s">
        <v>390</v>
      </c>
      <c r="E41" s="494"/>
      <c r="F41" s="500"/>
      <c r="G41" s="609">
        <v>0</v>
      </c>
      <c r="H41" s="610"/>
      <c r="I41" s="56"/>
      <c r="J41" s="611"/>
      <c r="K41" s="612"/>
      <c r="L41" s="609">
        <v>0</v>
      </c>
      <c r="M41" s="610"/>
      <c r="N41" s="56"/>
      <c r="O41" s="611"/>
      <c r="P41" s="500"/>
      <c r="Q41" s="609">
        <v>0</v>
      </c>
      <c r="R41" s="610"/>
      <c r="S41" s="56"/>
      <c r="T41" s="611"/>
      <c r="U41" s="500"/>
      <c r="V41" s="609">
        <v>0</v>
      </c>
      <c r="W41" s="610"/>
      <c r="X41" s="56"/>
      <c r="Y41" s="611"/>
      <c r="Z41" s="500"/>
      <c r="AA41" s="609">
        <v>0</v>
      </c>
      <c r="AB41" s="610"/>
      <c r="AC41" s="56"/>
      <c r="AD41" s="611"/>
      <c r="AE41" s="500"/>
      <c r="AF41" s="609">
        <v>0</v>
      </c>
      <c r="AG41" s="610"/>
      <c r="AH41" s="56"/>
      <c r="AI41" s="611"/>
      <c r="AJ41" s="500"/>
      <c r="AK41" s="609">
        <v>0</v>
      </c>
      <c r="AL41" s="610"/>
      <c r="AM41" s="56"/>
      <c r="AN41" s="611"/>
      <c r="AO41" s="500"/>
      <c r="AP41" s="609">
        <v>0</v>
      </c>
      <c r="AQ41" s="610"/>
      <c r="AR41" s="56"/>
      <c r="AS41" s="611"/>
      <c r="AT41" s="500"/>
      <c r="AU41" s="609">
        <v>0</v>
      </c>
      <c r="AV41" s="610"/>
      <c r="AW41" s="56"/>
      <c r="AX41" s="611"/>
      <c r="AY41" s="500"/>
      <c r="AZ41" s="609">
        <v>0</v>
      </c>
      <c r="BA41" s="610"/>
      <c r="BB41" s="56"/>
      <c r="BC41" s="611"/>
      <c r="BD41" s="500"/>
      <c r="BE41" s="609">
        <v>0</v>
      </c>
      <c r="BF41" s="610"/>
      <c r="BG41" s="56"/>
      <c r="BH41" s="611"/>
      <c r="BI41" s="500"/>
      <c r="BJ41" s="609">
        <v>0</v>
      </c>
      <c r="BK41" s="610"/>
      <c r="BL41" s="56"/>
      <c r="BM41" s="611"/>
      <c r="BN41" s="500"/>
      <c r="BO41" s="609">
        <v>0</v>
      </c>
      <c r="BP41" s="610"/>
      <c r="BQ41" s="56"/>
      <c r="BR41" s="611"/>
      <c r="BS41" s="612"/>
      <c r="BT41" s="609">
        <f>SUM(L41:BO41)</f>
        <v>0</v>
      </c>
      <c r="BU41" s="610"/>
      <c r="BV41" s="56"/>
      <c r="BW41" s="611"/>
      <c r="BX41" s="612"/>
      <c r="BY41" s="609">
        <v>0</v>
      </c>
      <c r="BZ41" s="610"/>
      <c r="CA41" s="56"/>
      <c r="CB41" s="611"/>
      <c r="CC41" s="612"/>
      <c r="CD41" s="609">
        <v>0</v>
      </c>
      <c r="CE41" s="610"/>
      <c r="CF41" s="56"/>
      <c r="CG41" s="611"/>
      <c r="CH41" s="500"/>
      <c r="CI41" s="609">
        <v>0</v>
      </c>
      <c r="CJ41" s="610"/>
      <c r="CK41" s="56"/>
      <c r="CL41" s="611"/>
      <c r="CM41" s="500"/>
      <c r="CN41" s="609">
        <v>0</v>
      </c>
      <c r="CO41" s="610"/>
      <c r="CP41" s="56"/>
      <c r="CQ41" s="611"/>
      <c r="CR41" s="500"/>
      <c r="CS41" s="609">
        <v>0</v>
      </c>
      <c r="CT41" s="610"/>
      <c r="CU41" s="56"/>
      <c r="CV41" s="611"/>
      <c r="CW41" s="500"/>
      <c r="CX41" s="609">
        <v>0</v>
      </c>
      <c r="CY41" s="610"/>
      <c r="CZ41" s="56"/>
      <c r="DA41" s="611"/>
      <c r="DB41" s="500"/>
      <c r="DC41" s="609">
        <v>0</v>
      </c>
      <c r="DD41" s="610"/>
      <c r="DE41" s="56"/>
      <c r="DF41" s="611"/>
      <c r="DG41" s="500"/>
      <c r="DH41" s="609">
        <v>0</v>
      </c>
      <c r="DI41" s="610"/>
      <c r="DJ41" s="56"/>
      <c r="DK41" s="611"/>
      <c r="DL41" s="500"/>
      <c r="DM41" s="609">
        <v>0</v>
      </c>
      <c r="DN41" s="610"/>
      <c r="DO41" s="56"/>
      <c r="DP41" s="611"/>
      <c r="DQ41" s="500"/>
      <c r="DR41" s="609">
        <v>0</v>
      </c>
      <c r="DS41" s="610"/>
      <c r="DT41" s="56"/>
      <c r="DU41" s="611"/>
      <c r="DV41" s="500"/>
      <c r="DW41" s="609">
        <v>0</v>
      </c>
      <c r="DX41" s="610"/>
      <c r="DY41" s="56"/>
      <c r="DZ41" s="611"/>
      <c r="EA41" s="500"/>
      <c r="EB41" s="609">
        <v>0</v>
      </c>
      <c r="EC41" s="610"/>
      <c r="ED41" s="56"/>
      <c r="EE41" s="611"/>
      <c r="EF41" s="500"/>
      <c r="EG41" s="609">
        <v>0</v>
      </c>
      <c r="EH41" s="610"/>
      <c r="EI41" s="56"/>
      <c r="EJ41" s="611"/>
      <c r="EK41" s="612"/>
      <c r="EL41" s="609">
        <f>SUM(CD41:DM41)</f>
        <v>0</v>
      </c>
      <c r="EM41" s="501"/>
      <c r="EO41" s="144"/>
      <c r="EP41" s="42"/>
      <c r="EQ41" s="42"/>
    </row>
    <row r="42" spans="4:147" ht="12.75" hidden="1" customHeight="1" x14ac:dyDescent="0.3">
      <c r="D42" s="144" t="s">
        <v>340</v>
      </c>
      <c r="E42" s="494"/>
      <c r="F42" s="513"/>
      <c r="G42" s="117">
        <v>0</v>
      </c>
      <c r="H42" s="116"/>
      <c r="I42" s="56"/>
      <c r="J42" s="611"/>
      <c r="K42" s="620"/>
      <c r="L42" s="117">
        <v>0</v>
      </c>
      <c r="M42" s="116"/>
      <c r="N42" s="56"/>
      <c r="O42" s="611"/>
      <c r="P42" s="513"/>
      <c r="Q42" s="117">
        <v>0</v>
      </c>
      <c r="R42" s="116"/>
      <c r="S42" s="56"/>
      <c r="T42" s="611"/>
      <c r="U42" s="513"/>
      <c r="V42" s="117">
        <v>0</v>
      </c>
      <c r="W42" s="116"/>
      <c r="X42" s="56"/>
      <c r="Y42" s="611"/>
      <c r="Z42" s="513"/>
      <c r="AA42" s="117">
        <v>0</v>
      </c>
      <c r="AB42" s="116"/>
      <c r="AC42" s="56"/>
      <c r="AD42" s="611"/>
      <c r="AE42" s="513"/>
      <c r="AF42" s="117">
        <v>0</v>
      </c>
      <c r="AG42" s="116"/>
      <c r="AH42" s="56"/>
      <c r="AI42" s="611"/>
      <c r="AJ42" s="513"/>
      <c r="AK42" s="117">
        <v>0</v>
      </c>
      <c r="AL42" s="116"/>
      <c r="AM42" s="56"/>
      <c r="AN42" s="611"/>
      <c r="AO42" s="513"/>
      <c r="AP42" s="117">
        <v>0</v>
      </c>
      <c r="AQ42" s="116"/>
      <c r="AR42" s="56"/>
      <c r="AS42" s="611"/>
      <c r="AT42" s="513"/>
      <c r="AU42" s="117">
        <v>0</v>
      </c>
      <c r="AV42" s="116"/>
      <c r="AW42" s="56"/>
      <c r="AX42" s="611"/>
      <c r="AY42" s="513"/>
      <c r="AZ42" s="117">
        <v>0</v>
      </c>
      <c r="BA42" s="116"/>
      <c r="BB42" s="56"/>
      <c r="BC42" s="611"/>
      <c r="BD42" s="513"/>
      <c r="BE42" s="117">
        <v>0</v>
      </c>
      <c r="BF42" s="116"/>
      <c r="BG42" s="56"/>
      <c r="BH42" s="611"/>
      <c r="BI42" s="513"/>
      <c r="BJ42" s="117">
        <v>0</v>
      </c>
      <c r="BK42" s="116"/>
      <c r="BL42" s="56"/>
      <c r="BM42" s="611"/>
      <c r="BN42" s="513"/>
      <c r="BO42" s="117">
        <v>0</v>
      </c>
      <c r="BP42" s="116"/>
      <c r="BQ42" s="56"/>
      <c r="BR42" s="611"/>
      <c r="BS42" s="620"/>
      <c r="BT42" s="117">
        <f>SUM(L42:BO42)</f>
        <v>0</v>
      </c>
      <c r="BU42" s="116"/>
      <c r="BV42" s="56"/>
      <c r="BW42" s="611"/>
      <c r="BX42" s="620"/>
      <c r="BY42" s="117">
        <v>0</v>
      </c>
      <c r="BZ42" s="116"/>
      <c r="CA42" s="56"/>
      <c r="CB42" s="611"/>
      <c r="CC42" s="620"/>
      <c r="CD42" s="117">
        <v>0</v>
      </c>
      <c r="CE42" s="116"/>
      <c r="CF42" s="56"/>
      <c r="CG42" s="611"/>
      <c r="CH42" s="513"/>
      <c r="CI42" s="117">
        <v>0</v>
      </c>
      <c r="CJ42" s="116"/>
      <c r="CK42" s="56"/>
      <c r="CL42" s="611"/>
      <c r="CM42" s="513"/>
      <c r="CN42" s="117">
        <v>0</v>
      </c>
      <c r="CO42" s="116"/>
      <c r="CP42" s="56"/>
      <c r="CQ42" s="611"/>
      <c r="CR42" s="513"/>
      <c r="CS42" s="117">
        <v>0</v>
      </c>
      <c r="CT42" s="116"/>
      <c r="CU42" s="56"/>
      <c r="CV42" s="611"/>
      <c r="CW42" s="513"/>
      <c r="CX42" s="117">
        <v>0</v>
      </c>
      <c r="CY42" s="116"/>
      <c r="CZ42" s="56"/>
      <c r="DA42" s="611"/>
      <c r="DB42" s="513"/>
      <c r="DC42" s="117">
        <v>0</v>
      </c>
      <c r="DD42" s="116"/>
      <c r="DE42" s="56"/>
      <c r="DF42" s="611"/>
      <c r="DG42" s="513"/>
      <c r="DH42" s="117">
        <v>0</v>
      </c>
      <c r="DI42" s="116"/>
      <c r="DJ42" s="56"/>
      <c r="DK42" s="611"/>
      <c r="DL42" s="513"/>
      <c r="DM42" s="117">
        <v>0</v>
      </c>
      <c r="DN42" s="116"/>
      <c r="DO42" s="56"/>
      <c r="DP42" s="611"/>
      <c r="DQ42" s="513"/>
      <c r="DR42" s="117">
        <v>0</v>
      </c>
      <c r="DS42" s="116"/>
      <c r="DT42" s="56"/>
      <c r="DU42" s="611"/>
      <c r="DV42" s="513"/>
      <c r="DW42" s="117">
        <v>0</v>
      </c>
      <c r="DX42" s="116"/>
      <c r="DY42" s="56"/>
      <c r="DZ42" s="611"/>
      <c r="EA42" s="513"/>
      <c r="EB42" s="117">
        <v>0</v>
      </c>
      <c r="EC42" s="116"/>
      <c r="ED42" s="56"/>
      <c r="EE42" s="611"/>
      <c r="EF42" s="513"/>
      <c r="EG42" s="117">
        <v>0</v>
      </c>
      <c r="EH42" s="116"/>
      <c r="EI42" s="56"/>
      <c r="EJ42" s="611"/>
      <c r="EK42" s="620"/>
      <c r="EL42" s="117">
        <f>SUM(CD42:DM42)</f>
        <v>0</v>
      </c>
      <c r="EM42" s="515"/>
      <c r="EO42" s="144"/>
      <c r="EP42" s="42"/>
      <c r="EQ42" s="42"/>
    </row>
    <row r="43" spans="4:147" ht="12.75" hidden="1" customHeight="1" x14ac:dyDescent="0.3">
      <c r="D43" s="144"/>
      <c r="E43" s="494"/>
      <c r="G43" s="56"/>
      <c r="H43" s="56"/>
      <c r="I43" s="56"/>
      <c r="J43" s="611"/>
      <c r="K43" s="56"/>
      <c r="L43" s="56"/>
      <c r="M43" s="56"/>
      <c r="N43" s="56"/>
      <c r="O43" s="611"/>
      <c r="Q43" s="56"/>
      <c r="R43" s="56"/>
      <c r="S43" s="56"/>
      <c r="T43" s="611"/>
      <c r="V43" s="56"/>
      <c r="W43" s="56"/>
      <c r="X43" s="56"/>
      <c r="Y43" s="611"/>
      <c r="AA43" s="56"/>
      <c r="AB43" s="56"/>
      <c r="AC43" s="56"/>
      <c r="AD43" s="611"/>
      <c r="AF43" s="56"/>
      <c r="AG43" s="56"/>
      <c r="AH43" s="56"/>
      <c r="AI43" s="611"/>
      <c r="AK43" s="56"/>
      <c r="AL43" s="56"/>
      <c r="AM43" s="56"/>
      <c r="AN43" s="611"/>
      <c r="AP43" s="56"/>
      <c r="AQ43" s="56"/>
      <c r="AR43" s="56"/>
      <c r="AS43" s="611"/>
      <c r="AU43" s="56"/>
      <c r="AV43" s="56"/>
      <c r="AW43" s="56"/>
      <c r="AX43" s="611"/>
      <c r="AZ43" s="56"/>
      <c r="BA43" s="56"/>
      <c r="BB43" s="56"/>
      <c r="BC43" s="611"/>
      <c r="BE43" s="56"/>
      <c r="BF43" s="56"/>
      <c r="BG43" s="56"/>
      <c r="BH43" s="611"/>
      <c r="BJ43" s="56"/>
      <c r="BK43" s="56"/>
      <c r="BL43" s="56"/>
      <c r="BM43" s="611"/>
      <c r="BO43" s="56"/>
      <c r="BP43" s="56"/>
      <c r="BQ43" s="56"/>
      <c r="BR43" s="611"/>
      <c r="BS43" s="56"/>
      <c r="BT43" s="56"/>
      <c r="BU43" s="56"/>
      <c r="BV43" s="56"/>
      <c r="BW43" s="611"/>
      <c r="BX43" s="56"/>
      <c r="BY43" s="56"/>
      <c r="BZ43" s="56"/>
      <c r="CA43" s="56"/>
      <c r="CB43" s="611"/>
      <c r="CC43" s="56"/>
      <c r="CD43" s="56"/>
      <c r="CE43" s="56"/>
      <c r="CF43" s="56"/>
      <c r="CG43" s="611"/>
      <c r="CI43" s="56"/>
      <c r="CJ43" s="56"/>
      <c r="CK43" s="56"/>
      <c r="CL43" s="611"/>
      <c r="CN43" s="56"/>
      <c r="CO43" s="56"/>
      <c r="CP43" s="56"/>
      <c r="CQ43" s="611"/>
      <c r="CS43" s="56"/>
      <c r="CT43" s="56"/>
      <c r="CU43" s="56"/>
      <c r="CV43" s="611"/>
      <c r="CX43" s="56"/>
      <c r="CY43" s="56"/>
      <c r="CZ43" s="56"/>
      <c r="DA43" s="611"/>
      <c r="DC43" s="56"/>
      <c r="DD43" s="56"/>
      <c r="DE43" s="56"/>
      <c r="DF43" s="611"/>
      <c r="DH43" s="56"/>
      <c r="DI43" s="56"/>
      <c r="DJ43" s="56"/>
      <c r="DK43" s="611"/>
      <c r="DM43" s="56"/>
      <c r="DN43" s="56"/>
      <c r="DO43" s="56"/>
      <c r="DP43" s="611"/>
      <c r="DR43" s="56"/>
      <c r="DS43" s="56"/>
      <c r="DT43" s="56"/>
      <c r="DU43" s="611"/>
      <c r="DW43" s="56"/>
      <c r="DX43" s="56"/>
      <c r="DY43" s="56"/>
      <c r="DZ43" s="611"/>
      <c r="EB43" s="56"/>
      <c r="EC43" s="56"/>
      <c r="ED43" s="56"/>
      <c r="EE43" s="611"/>
      <c r="EG43" s="56"/>
      <c r="EH43" s="56"/>
      <c r="EI43" s="56"/>
      <c r="EJ43" s="611"/>
      <c r="EK43" s="56"/>
      <c r="EL43" s="56"/>
      <c r="EO43" s="144"/>
      <c r="EP43" s="42"/>
      <c r="EQ43" s="42"/>
    </row>
    <row r="44" spans="4:147" ht="12.75" hidden="1" customHeight="1" x14ac:dyDescent="0.3">
      <c r="D44" s="144" t="s">
        <v>343</v>
      </c>
      <c r="E44" s="494"/>
      <c r="G44" s="56">
        <v>0</v>
      </c>
      <c r="H44" s="56"/>
      <c r="I44" s="56"/>
      <c r="J44" s="611"/>
      <c r="L44" s="56">
        <f>SUM(L45:L46)</f>
        <v>0</v>
      </c>
      <c r="M44" s="56"/>
      <c r="N44" s="56"/>
      <c r="O44" s="611"/>
      <c r="Q44" s="56">
        <f>SUM(Q45:Q46)</f>
        <v>0</v>
      </c>
      <c r="R44" s="56"/>
      <c r="S44" s="56"/>
      <c r="T44" s="611"/>
      <c r="V44" s="56">
        <f>SUM(V45:V46)</f>
        <v>0</v>
      </c>
      <c r="W44" s="56"/>
      <c r="X44" s="56"/>
      <c r="Y44" s="611"/>
      <c r="AA44" s="56">
        <f>SUM(AA45:AA46)</f>
        <v>0</v>
      </c>
      <c r="AB44" s="56"/>
      <c r="AC44" s="56"/>
      <c r="AD44" s="611"/>
      <c r="AF44" s="56">
        <f>SUM(AF45:AF46)</f>
        <v>0</v>
      </c>
      <c r="AG44" s="56"/>
      <c r="AH44" s="56"/>
      <c r="AI44" s="611"/>
      <c r="AK44" s="56">
        <f>SUM(AK45:AK46)</f>
        <v>0</v>
      </c>
      <c r="AL44" s="56"/>
      <c r="AM44" s="56"/>
      <c r="AN44" s="611"/>
      <c r="AP44" s="56">
        <f>SUM(AP45:AP46)</f>
        <v>0</v>
      </c>
      <c r="AQ44" s="56"/>
      <c r="AR44" s="56"/>
      <c r="AS44" s="611"/>
      <c r="AU44" s="56">
        <f>SUM(AU45:AU46)</f>
        <v>0</v>
      </c>
      <c r="AV44" s="56"/>
      <c r="AW44" s="56"/>
      <c r="AX44" s="611"/>
      <c r="AZ44" s="56">
        <f>SUM(AZ45:AZ46)</f>
        <v>0</v>
      </c>
      <c r="BA44" s="56"/>
      <c r="BB44" s="56"/>
      <c r="BC44" s="611"/>
      <c r="BE44" s="56">
        <f>SUM(BE45:BE46)</f>
        <v>0</v>
      </c>
      <c r="BF44" s="56"/>
      <c r="BG44" s="56"/>
      <c r="BH44" s="611"/>
      <c r="BJ44" s="56">
        <f>SUM(BJ45:BJ46)</f>
        <v>0</v>
      </c>
      <c r="BK44" s="56"/>
      <c r="BL44" s="56"/>
      <c r="BM44" s="611"/>
      <c r="BO44" s="56">
        <f>SUM(BO45:BO46)</f>
        <v>0</v>
      </c>
      <c r="BP44" s="56"/>
      <c r="BQ44" s="56"/>
      <c r="BR44" s="611"/>
      <c r="BT44" s="117">
        <f>SUM(BT45:BT46)</f>
        <v>0</v>
      </c>
      <c r="BU44" s="56"/>
      <c r="BV44" s="56"/>
      <c r="BW44" s="611"/>
      <c r="BY44" s="56">
        <f>SUM(BY45:BY46)</f>
        <v>0</v>
      </c>
      <c r="BZ44" s="56"/>
      <c r="CA44" s="56"/>
      <c r="CB44" s="611"/>
      <c r="CD44" s="56">
        <f>SUM(CD45:CD46)</f>
        <v>0</v>
      </c>
      <c r="CE44" s="56"/>
      <c r="CF44" s="56"/>
      <c r="CG44" s="611"/>
      <c r="CI44" s="56">
        <f>SUM(CI45:CI46)</f>
        <v>0</v>
      </c>
      <c r="CJ44" s="56"/>
      <c r="CK44" s="56"/>
      <c r="CL44" s="611"/>
      <c r="CN44" s="56">
        <f>SUM(CN45:CN46)</f>
        <v>0</v>
      </c>
      <c r="CO44" s="56"/>
      <c r="CP44" s="56"/>
      <c r="CQ44" s="611"/>
      <c r="CS44" s="56">
        <f>SUM(CS45:CS46)</f>
        <v>0</v>
      </c>
      <c r="CT44" s="56"/>
      <c r="CU44" s="56"/>
      <c r="CV44" s="611"/>
      <c r="CX44" s="56">
        <f>SUM(CX45:CX46)</f>
        <v>0</v>
      </c>
      <c r="CY44" s="56"/>
      <c r="CZ44" s="56"/>
      <c r="DA44" s="611"/>
      <c r="DC44" s="56">
        <f>SUM(DC45:DC46)</f>
        <v>0</v>
      </c>
      <c r="DD44" s="56"/>
      <c r="DE44" s="56"/>
      <c r="DF44" s="611"/>
      <c r="DH44" s="56">
        <f>SUM(DH45:DH46)</f>
        <v>0</v>
      </c>
      <c r="DI44" s="56"/>
      <c r="DJ44" s="56"/>
      <c r="DK44" s="611"/>
      <c r="DM44" s="56">
        <f>SUM(DM45:DM46)</f>
        <v>0</v>
      </c>
      <c r="DN44" s="56"/>
      <c r="DO44" s="56"/>
      <c r="DP44" s="611"/>
      <c r="DR44" s="56">
        <f>SUM(DR45:DR46)</f>
        <v>0</v>
      </c>
      <c r="DS44" s="56"/>
      <c r="DT44" s="56"/>
      <c r="DU44" s="611"/>
      <c r="DW44" s="56">
        <f>SUM(DW45:DW46)</f>
        <v>0</v>
      </c>
      <c r="DX44" s="56"/>
      <c r="DY44" s="56"/>
      <c r="DZ44" s="611"/>
      <c r="EB44" s="56">
        <f>SUM(EB45:EB46)</f>
        <v>0</v>
      </c>
      <c r="EC44" s="56"/>
      <c r="ED44" s="56"/>
      <c r="EE44" s="611"/>
      <c r="EG44" s="56">
        <f>SUM(EG45:EG46)</f>
        <v>0</v>
      </c>
      <c r="EH44" s="56"/>
      <c r="EI44" s="56"/>
      <c r="EJ44" s="611"/>
      <c r="EL44" s="56">
        <f>SUM(EL45:EL46)</f>
        <v>0</v>
      </c>
      <c r="EM44" s="56"/>
      <c r="EO44" s="144"/>
      <c r="EP44" s="42"/>
      <c r="EQ44" s="42"/>
    </row>
    <row r="45" spans="4:147" ht="12.75" hidden="1" customHeight="1" x14ac:dyDescent="0.3">
      <c r="D45" s="144" t="s">
        <v>390</v>
      </c>
      <c r="E45" s="494"/>
      <c r="F45" s="500"/>
      <c r="G45" s="609">
        <v>0</v>
      </c>
      <c r="H45" s="610"/>
      <c r="I45" s="56"/>
      <c r="J45" s="611"/>
      <c r="K45" s="500"/>
      <c r="L45" s="609">
        <v>0</v>
      </c>
      <c r="M45" s="610"/>
      <c r="N45" s="56"/>
      <c r="O45" s="611"/>
      <c r="P45" s="500"/>
      <c r="Q45" s="609">
        <v>0</v>
      </c>
      <c r="R45" s="610"/>
      <c r="S45" s="56"/>
      <c r="T45" s="611"/>
      <c r="U45" s="500"/>
      <c r="V45" s="609">
        <v>0</v>
      </c>
      <c r="W45" s="610"/>
      <c r="X45" s="56"/>
      <c r="Y45" s="611"/>
      <c r="Z45" s="500"/>
      <c r="AA45" s="609">
        <v>0</v>
      </c>
      <c r="AB45" s="610"/>
      <c r="AC45" s="56"/>
      <c r="AD45" s="611"/>
      <c r="AE45" s="500"/>
      <c r="AF45" s="609">
        <v>0</v>
      </c>
      <c r="AG45" s="610"/>
      <c r="AH45" s="56"/>
      <c r="AI45" s="611"/>
      <c r="AJ45" s="500"/>
      <c r="AK45" s="609">
        <v>0</v>
      </c>
      <c r="AL45" s="610"/>
      <c r="AM45" s="56"/>
      <c r="AN45" s="611"/>
      <c r="AO45" s="500"/>
      <c r="AP45" s="609">
        <v>0</v>
      </c>
      <c r="AQ45" s="610"/>
      <c r="AR45" s="56"/>
      <c r="AS45" s="611"/>
      <c r="AT45" s="500"/>
      <c r="AU45" s="609">
        <v>0</v>
      </c>
      <c r="AV45" s="610"/>
      <c r="AW45" s="56"/>
      <c r="AX45" s="611"/>
      <c r="AY45" s="500"/>
      <c r="AZ45" s="609">
        <v>0</v>
      </c>
      <c r="BA45" s="610"/>
      <c r="BB45" s="56"/>
      <c r="BC45" s="611"/>
      <c r="BD45" s="500"/>
      <c r="BE45" s="609">
        <v>0</v>
      </c>
      <c r="BF45" s="610"/>
      <c r="BG45" s="56"/>
      <c r="BH45" s="611"/>
      <c r="BI45" s="500"/>
      <c r="BJ45" s="609">
        <v>0</v>
      </c>
      <c r="BK45" s="610"/>
      <c r="BL45" s="56"/>
      <c r="BM45" s="611"/>
      <c r="BN45" s="500"/>
      <c r="BO45" s="609">
        <v>0</v>
      </c>
      <c r="BP45" s="610"/>
      <c r="BQ45" s="56"/>
      <c r="BR45" s="611"/>
      <c r="BS45" s="500"/>
      <c r="BT45" s="56">
        <f>SUM(L45:BO45)</f>
        <v>0</v>
      </c>
      <c r="BU45" s="610"/>
      <c r="BV45" s="56"/>
      <c r="BW45" s="611"/>
      <c r="BX45" s="500"/>
      <c r="BY45" s="609">
        <f>SUM(Q45:BT45)</f>
        <v>0</v>
      </c>
      <c r="BZ45" s="610"/>
      <c r="CA45" s="56"/>
      <c r="CB45" s="611"/>
      <c r="CC45" s="500"/>
      <c r="CD45" s="609">
        <v>0</v>
      </c>
      <c r="CE45" s="610"/>
      <c r="CF45" s="56"/>
      <c r="CG45" s="611"/>
      <c r="CH45" s="500"/>
      <c r="CI45" s="609">
        <v>0</v>
      </c>
      <c r="CJ45" s="610"/>
      <c r="CK45" s="56"/>
      <c r="CL45" s="611"/>
      <c r="CM45" s="500"/>
      <c r="CN45" s="609">
        <v>0</v>
      </c>
      <c r="CO45" s="610"/>
      <c r="CP45" s="56"/>
      <c r="CQ45" s="611"/>
      <c r="CR45" s="500"/>
      <c r="CS45" s="609">
        <v>0</v>
      </c>
      <c r="CT45" s="610"/>
      <c r="CU45" s="56"/>
      <c r="CV45" s="611"/>
      <c r="CW45" s="500"/>
      <c r="CX45" s="609">
        <v>0</v>
      </c>
      <c r="CY45" s="610"/>
      <c r="CZ45" s="56"/>
      <c r="DA45" s="611"/>
      <c r="DB45" s="500"/>
      <c r="DC45" s="609">
        <v>0</v>
      </c>
      <c r="DD45" s="610"/>
      <c r="DE45" s="56"/>
      <c r="DF45" s="611"/>
      <c r="DG45" s="500"/>
      <c r="DH45" s="609">
        <v>0</v>
      </c>
      <c r="DI45" s="610"/>
      <c r="DJ45" s="56"/>
      <c r="DK45" s="611"/>
      <c r="DL45" s="500"/>
      <c r="DM45" s="609">
        <v>0</v>
      </c>
      <c r="DN45" s="610"/>
      <c r="DO45" s="56"/>
      <c r="DP45" s="611"/>
      <c r="DQ45" s="500"/>
      <c r="DR45" s="609">
        <v>0</v>
      </c>
      <c r="DS45" s="610"/>
      <c r="DT45" s="56"/>
      <c r="DU45" s="611"/>
      <c r="DV45" s="500"/>
      <c r="DW45" s="609">
        <v>0</v>
      </c>
      <c r="DX45" s="610"/>
      <c r="DY45" s="56"/>
      <c r="DZ45" s="611"/>
      <c r="EA45" s="500"/>
      <c r="EB45" s="609">
        <v>0</v>
      </c>
      <c r="EC45" s="610"/>
      <c r="ED45" s="56"/>
      <c r="EE45" s="611"/>
      <c r="EF45" s="500"/>
      <c r="EG45" s="609">
        <v>0</v>
      </c>
      <c r="EH45" s="610"/>
      <c r="EI45" s="56"/>
      <c r="EJ45" s="611"/>
      <c r="EK45" s="500"/>
      <c r="EL45" s="609">
        <f>SUM(CD45:EG45)</f>
        <v>0</v>
      </c>
      <c r="EM45" s="610">
        <f>SUM(CE45:CO45)</f>
        <v>0</v>
      </c>
      <c r="EO45" s="144"/>
      <c r="EP45" s="42"/>
      <c r="EQ45" s="42"/>
    </row>
    <row r="46" spans="4:147" ht="12.75" hidden="1" customHeight="1" x14ac:dyDescent="0.3">
      <c r="D46" s="144" t="s">
        <v>340</v>
      </c>
      <c r="E46" s="494"/>
      <c r="F46" s="513"/>
      <c r="G46" s="117">
        <v>0</v>
      </c>
      <c r="H46" s="116"/>
      <c r="I46" s="56"/>
      <c r="J46" s="611"/>
      <c r="K46" s="513"/>
      <c r="L46" s="117">
        <v>0</v>
      </c>
      <c r="M46" s="116"/>
      <c r="N46" s="56"/>
      <c r="O46" s="611"/>
      <c r="P46" s="513"/>
      <c r="Q46" s="117">
        <v>0</v>
      </c>
      <c r="R46" s="116"/>
      <c r="S46" s="56"/>
      <c r="T46" s="611"/>
      <c r="U46" s="513"/>
      <c r="V46" s="117">
        <v>0</v>
      </c>
      <c r="W46" s="116"/>
      <c r="X46" s="56"/>
      <c r="Y46" s="611"/>
      <c r="Z46" s="513"/>
      <c r="AA46" s="117">
        <v>0</v>
      </c>
      <c r="AB46" s="116"/>
      <c r="AC46" s="56"/>
      <c r="AD46" s="611"/>
      <c r="AE46" s="513"/>
      <c r="AF46" s="117">
        <v>0</v>
      </c>
      <c r="AG46" s="116"/>
      <c r="AH46" s="56"/>
      <c r="AI46" s="611"/>
      <c r="AJ46" s="513"/>
      <c r="AK46" s="117">
        <v>0</v>
      </c>
      <c r="AL46" s="116"/>
      <c r="AM46" s="56"/>
      <c r="AN46" s="611"/>
      <c r="AO46" s="513"/>
      <c r="AP46" s="117">
        <v>0</v>
      </c>
      <c r="AQ46" s="116"/>
      <c r="AR46" s="56"/>
      <c r="AS46" s="611"/>
      <c r="AT46" s="513"/>
      <c r="AU46" s="117">
        <v>0</v>
      </c>
      <c r="AV46" s="116"/>
      <c r="AW46" s="56"/>
      <c r="AX46" s="611"/>
      <c r="AY46" s="513"/>
      <c r="AZ46" s="117">
        <v>0</v>
      </c>
      <c r="BA46" s="116"/>
      <c r="BB46" s="56"/>
      <c r="BC46" s="611"/>
      <c r="BD46" s="513"/>
      <c r="BE46" s="117">
        <v>0</v>
      </c>
      <c r="BF46" s="116"/>
      <c r="BG46" s="56"/>
      <c r="BH46" s="611"/>
      <c r="BI46" s="513"/>
      <c r="BJ46" s="117">
        <v>0</v>
      </c>
      <c r="BK46" s="116"/>
      <c r="BL46" s="56"/>
      <c r="BM46" s="611"/>
      <c r="BN46" s="513"/>
      <c r="BO46" s="117">
        <v>0</v>
      </c>
      <c r="BP46" s="116"/>
      <c r="BQ46" s="56"/>
      <c r="BR46" s="611"/>
      <c r="BS46" s="513"/>
      <c r="BT46" s="117">
        <f>SUM(L46:BO46)</f>
        <v>0</v>
      </c>
      <c r="BU46" s="116"/>
      <c r="BV46" s="56"/>
      <c r="BW46" s="611"/>
      <c r="BX46" s="513"/>
      <c r="BY46" s="117">
        <f>SUM(Q46:BT46)</f>
        <v>0</v>
      </c>
      <c r="BZ46" s="116"/>
      <c r="CA46" s="56"/>
      <c r="CB46" s="611"/>
      <c r="CC46" s="513"/>
      <c r="CD46" s="117">
        <v>0</v>
      </c>
      <c r="CE46" s="116"/>
      <c r="CF46" s="56"/>
      <c r="CG46" s="611"/>
      <c r="CH46" s="513"/>
      <c r="CI46" s="117">
        <v>0</v>
      </c>
      <c r="CJ46" s="116"/>
      <c r="CK46" s="56"/>
      <c r="CL46" s="611"/>
      <c r="CM46" s="513"/>
      <c r="CN46" s="117">
        <v>0</v>
      </c>
      <c r="CO46" s="116"/>
      <c r="CP46" s="56"/>
      <c r="CQ46" s="611"/>
      <c r="CR46" s="513"/>
      <c r="CS46" s="117">
        <v>0</v>
      </c>
      <c r="CT46" s="116"/>
      <c r="CU46" s="56"/>
      <c r="CV46" s="611"/>
      <c r="CW46" s="513"/>
      <c r="CX46" s="117">
        <v>0</v>
      </c>
      <c r="CY46" s="116"/>
      <c r="CZ46" s="56"/>
      <c r="DA46" s="611"/>
      <c r="DB46" s="513"/>
      <c r="DC46" s="117">
        <v>0</v>
      </c>
      <c r="DD46" s="116"/>
      <c r="DE46" s="56"/>
      <c r="DF46" s="611"/>
      <c r="DG46" s="513"/>
      <c r="DH46" s="117">
        <v>0</v>
      </c>
      <c r="DI46" s="116"/>
      <c r="DJ46" s="56"/>
      <c r="DK46" s="611"/>
      <c r="DL46" s="513"/>
      <c r="DM46" s="117">
        <v>0</v>
      </c>
      <c r="DN46" s="116"/>
      <c r="DO46" s="56"/>
      <c r="DP46" s="611"/>
      <c r="DQ46" s="513"/>
      <c r="DR46" s="117">
        <v>0</v>
      </c>
      <c r="DS46" s="116"/>
      <c r="DT46" s="56"/>
      <c r="DU46" s="611"/>
      <c r="DV46" s="513"/>
      <c r="DW46" s="117">
        <v>0</v>
      </c>
      <c r="DX46" s="116"/>
      <c r="DY46" s="56"/>
      <c r="DZ46" s="611"/>
      <c r="EA46" s="513"/>
      <c r="EB46" s="117">
        <v>0</v>
      </c>
      <c r="EC46" s="116"/>
      <c r="ED46" s="56"/>
      <c r="EE46" s="611"/>
      <c r="EF46" s="513"/>
      <c r="EG46" s="117">
        <v>0</v>
      </c>
      <c r="EH46" s="116"/>
      <c r="EI46" s="56"/>
      <c r="EJ46" s="611"/>
      <c r="EK46" s="513"/>
      <c r="EL46" s="117">
        <f>SUM(CD46:EG46)</f>
        <v>0</v>
      </c>
      <c r="EM46" s="116">
        <f>SUM(CE46:CO46)</f>
        <v>0</v>
      </c>
      <c r="EO46" s="144"/>
      <c r="EP46" s="42"/>
      <c r="EQ46" s="42"/>
    </row>
    <row r="47" spans="4:147" hidden="1" x14ac:dyDescent="0.3">
      <c r="D47" s="144"/>
      <c r="E47" s="494"/>
      <c r="G47" s="56"/>
      <c r="H47" s="56"/>
      <c r="I47" s="56"/>
      <c r="J47" s="611"/>
      <c r="K47" s="56"/>
      <c r="L47" s="56"/>
      <c r="M47" s="56"/>
      <c r="N47" s="56"/>
      <c r="O47" s="611"/>
      <c r="P47" s="56"/>
      <c r="Q47" s="56"/>
      <c r="R47" s="56"/>
      <c r="S47" s="56"/>
      <c r="T47" s="611"/>
      <c r="U47" s="56"/>
      <c r="V47" s="56"/>
      <c r="W47" s="56"/>
      <c r="X47" s="56"/>
      <c r="Y47" s="611"/>
      <c r="Z47" s="56"/>
      <c r="AA47" s="56"/>
      <c r="AB47" s="56"/>
      <c r="AC47" s="56"/>
      <c r="AD47" s="611"/>
      <c r="AE47" s="56"/>
      <c r="AF47" s="56"/>
      <c r="AG47" s="56"/>
      <c r="AH47" s="56"/>
      <c r="AI47" s="611"/>
      <c r="AJ47" s="56"/>
      <c r="AK47" s="56"/>
      <c r="AL47" s="56"/>
      <c r="AM47" s="56"/>
      <c r="AN47" s="611"/>
      <c r="AO47" s="56"/>
      <c r="AP47" s="56"/>
      <c r="AQ47" s="56"/>
      <c r="AR47" s="56"/>
      <c r="AS47" s="611"/>
      <c r="AT47" s="56"/>
      <c r="AU47" s="56"/>
      <c r="AV47" s="56"/>
      <c r="AW47" s="56"/>
      <c r="AX47" s="611"/>
      <c r="AY47" s="56"/>
      <c r="AZ47" s="56"/>
      <c r="BA47" s="56"/>
      <c r="BB47" s="56"/>
      <c r="BC47" s="611"/>
      <c r="BD47" s="56"/>
      <c r="BE47" s="56"/>
      <c r="BF47" s="56"/>
      <c r="BG47" s="56"/>
      <c r="BH47" s="611"/>
      <c r="BI47" s="56"/>
      <c r="BJ47" s="56"/>
      <c r="BK47" s="56"/>
      <c r="BL47" s="56"/>
      <c r="BM47" s="611"/>
      <c r="BN47" s="56"/>
      <c r="BO47" s="56"/>
      <c r="BP47" s="56"/>
      <c r="BQ47" s="56"/>
      <c r="BR47" s="611"/>
      <c r="BS47" s="56"/>
      <c r="BT47" s="56"/>
      <c r="BU47" s="56"/>
      <c r="BV47" s="56"/>
      <c r="BW47" s="611"/>
      <c r="BX47" s="56"/>
      <c r="BY47" s="56"/>
      <c r="BZ47" s="56"/>
      <c r="CA47" s="56"/>
      <c r="CB47" s="611"/>
      <c r="CC47" s="56"/>
      <c r="CD47" s="56"/>
      <c r="CE47" s="56"/>
      <c r="CF47" s="56"/>
      <c r="CG47" s="611"/>
      <c r="CH47" s="56"/>
      <c r="CI47" s="56"/>
      <c r="CJ47" s="56"/>
      <c r="CK47" s="56"/>
      <c r="CL47" s="611"/>
      <c r="CM47" s="56"/>
      <c r="CN47" s="56"/>
      <c r="CO47" s="56"/>
      <c r="CP47" s="56"/>
      <c r="CQ47" s="611"/>
      <c r="CR47" s="56"/>
      <c r="CS47" s="56"/>
      <c r="CT47" s="56"/>
      <c r="CU47" s="56"/>
      <c r="CV47" s="611"/>
      <c r="CW47" s="56"/>
      <c r="CX47" s="56"/>
      <c r="CY47" s="56"/>
      <c r="CZ47" s="56"/>
      <c r="DA47" s="611"/>
      <c r="DB47" s="56"/>
      <c r="DC47" s="56"/>
      <c r="DD47" s="56"/>
      <c r="DE47" s="56"/>
      <c r="DF47" s="611"/>
      <c r="DG47" s="56"/>
      <c r="DH47" s="56"/>
      <c r="DI47" s="56"/>
      <c r="DJ47" s="56"/>
      <c r="DK47" s="611"/>
      <c r="DL47" s="56"/>
      <c r="DM47" s="56"/>
      <c r="DN47" s="56"/>
      <c r="DO47" s="56"/>
      <c r="DP47" s="611"/>
      <c r="DQ47" s="56"/>
      <c r="DR47" s="56"/>
      <c r="DS47" s="56"/>
      <c r="DT47" s="56"/>
      <c r="DU47" s="611"/>
      <c r="DV47" s="56"/>
      <c r="DW47" s="56"/>
      <c r="DX47" s="56"/>
      <c r="DY47" s="56"/>
      <c r="DZ47" s="611"/>
      <c r="EA47" s="56"/>
      <c r="EB47" s="56"/>
      <c r="EC47" s="56"/>
      <c r="ED47" s="56"/>
      <c r="EE47" s="611"/>
      <c r="EF47" s="56"/>
      <c r="EG47" s="56"/>
      <c r="EH47" s="56"/>
      <c r="EI47" s="56"/>
      <c r="EJ47" s="611"/>
      <c r="EK47" s="56"/>
      <c r="EL47" s="56"/>
      <c r="EO47" s="144"/>
      <c r="EP47" s="42"/>
      <c r="EQ47" s="42"/>
    </row>
    <row r="48" spans="4:147" hidden="1" x14ac:dyDescent="0.3">
      <c r="D48" s="144" t="s">
        <v>344</v>
      </c>
      <c r="E48" s="494"/>
      <c r="G48" s="56">
        <v>0</v>
      </c>
      <c r="H48" s="56"/>
      <c r="I48" s="56"/>
      <c r="J48" s="611"/>
      <c r="L48" s="56">
        <f>SUM(L49:L50)</f>
        <v>0</v>
      </c>
      <c r="M48" s="56"/>
      <c r="N48" s="56"/>
      <c r="O48" s="611"/>
      <c r="Q48" s="56">
        <f>SUM(Q49:Q50)</f>
        <v>0</v>
      </c>
      <c r="R48" s="56"/>
      <c r="S48" s="56"/>
      <c r="T48" s="611"/>
      <c r="V48" s="56">
        <f>SUM(V49:V50)</f>
        <v>0</v>
      </c>
      <c r="W48" s="56"/>
      <c r="X48" s="56"/>
      <c r="Y48" s="611"/>
      <c r="AA48" s="56">
        <f>SUM(AA49:AA50)</f>
        <v>0</v>
      </c>
      <c r="AB48" s="56"/>
      <c r="AC48" s="56"/>
      <c r="AD48" s="611"/>
      <c r="AF48" s="56">
        <f>SUM(AF49:AF50)</f>
        <v>0</v>
      </c>
      <c r="AG48" s="56"/>
      <c r="AH48" s="56"/>
      <c r="AI48" s="611"/>
      <c r="AK48" s="56">
        <f>SUM(AK49:AK50)</f>
        <v>0</v>
      </c>
      <c r="AL48" s="56"/>
      <c r="AM48" s="56"/>
      <c r="AN48" s="611"/>
      <c r="AP48" s="56">
        <f>SUM(AP49:AP50)</f>
        <v>0</v>
      </c>
      <c r="AQ48" s="56"/>
      <c r="AR48" s="56"/>
      <c r="AS48" s="611"/>
      <c r="AU48" s="56">
        <f>SUM(AU49:AU50)</f>
        <v>0</v>
      </c>
      <c r="AV48" s="56"/>
      <c r="AW48" s="56"/>
      <c r="AX48" s="611"/>
      <c r="AZ48" s="56">
        <f>SUM(AZ49:AZ50)</f>
        <v>0</v>
      </c>
      <c r="BA48" s="56"/>
      <c r="BB48" s="56"/>
      <c r="BC48" s="611"/>
      <c r="BE48" s="56">
        <f>SUM(BE49:BE50)</f>
        <v>0</v>
      </c>
      <c r="BF48" s="56"/>
      <c r="BG48" s="56"/>
      <c r="BH48" s="611"/>
      <c r="BJ48" s="56">
        <f>SUM(BJ49:BJ50)</f>
        <v>0</v>
      </c>
      <c r="BK48" s="56"/>
      <c r="BL48" s="56"/>
      <c r="BM48" s="611"/>
      <c r="BO48" s="56">
        <f>SUM(BO49:BO50)</f>
        <v>0</v>
      </c>
      <c r="BP48" s="56"/>
      <c r="BQ48" s="56"/>
      <c r="BR48" s="611"/>
      <c r="BT48" s="56">
        <f>SUM(BT49:BT50)</f>
        <v>0</v>
      </c>
      <c r="BU48" s="56"/>
      <c r="BV48" s="56"/>
      <c r="BW48" s="611"/>
      <c r="BY48" s="56">
        <f>SUM(BY49:BY50)</f>
        <v>0</v>
      </c>
      <c r="BZ48" s="56"/>
      <c r="CA48" s="56"/>
      <c r="CB48" s="611"/>
      <c r="CD48" s="56">
        <f>SUM(CD49:CD50)</f>
        <v>0</v>
      </c>
      <c r="CE48" s="56"/>
      <c r="CF48" s="56"/>
      <c r="CG48" s="611"/>
      <c r="CI48" s="56">
        <f>SUM(CI49:CI50)</f>
        <v>0</v>
      </c>
      <c r="CJ48" s="56"/>
      <c r="CK48" s="56"/>
      <c r="CL48" s="611"/>
      <c r="CN48" s="56">
        <f>SUM(CN49:CN50)</f>
        <v>0</v>
      </c>
      <c r="CO48" s="56"/>
      <c r="CP48" s="56"/>
      <c r="CQ48" s="611"/>
      <c r="CS48" s="56">
        <f>SUM(CS49:CS50)</f>
        <v>0</v>
      </c>
      <c r="CT48" s="56"/>
      <c r="CU48" s="56"/>
      <c r="CV48" s="611"/>
      <c r="CX48" s="56">
        <f>SUM(CX49:CX50)</f>
        <v>0</v>
      </c>
      <c r="CY48" s="56"/>
      <c r="CZ48" s="56"/>
      <c r="DA48" s="611"/>
      <c r="DC48" s="56">
        <f>SUM(DC49:DC50)</f>
        <v>0</v>
      </c>
      <c r="DD48" s="56"/>
      <c r="DE48" s="56"/>
      <c r="DF48" s="611"/>
      <c r="DH48" s="56">
        <f>SUM(DH49:DH50)</f>
        <v>0</v>
      </c>
      <c r="DI48" s="56"/>
      <c r="DJ48" s="56"/>
      <c r="DK48" s="611"/>
      <c r="DM48" s="56">
        <f>SUM(DM49:DM50)</f>
        <v>0</v>
      </c>
      <c r="DN48" s="56"/>
      <c r="DO48" s="56"/>
      <c r="DP48" s="611"/>
      <c r="DR48" s="56">
        <f>SUM(DR49:DR50)</f>
        <v>0</v>
      </c>
      <c r="DS48" s="56"/>
      <c r="DT48" s="56"/>
      <c r="DU48" s="611"/>
      <c r="DW48" s="56">
        <f>SUM(DW49:DW50)</f>
        <v>0</v>
      </c>
      <c r="DX48" s="56"/>
      <c r="DY48" s="56"/>
      <c r="DZ48" s="611"/>
      <c r="EB48" s="56">
        <f>SUM(EB49:EB50)</f>
        <v>0</v>
      </c>
      <c r="EC48" s="56"/>
      <c r="ED48" s="56"/>
      <c r="EE48" s="611"/>
      <c r="EG48" s="56">
        <f>SUM(EG49:EG50)</f>
        <v>0</v>
      </c>
      <c r="EH48" s="56"/>
      <c r="EI48" s="56"/>
      <c r="EJ48" s="611"/>
      <c r="EL48" s="56">
        <f>SUM(EL49:EL50)</f>
        <v>0</v>
      </c>
      <c r="EM48" s="56"/>
      <c r="EO48" s="144"/>
      <c r="EP48" s="42"/>
      <c r="EQ48" s="42"/>
    </row>
    <row r="49" spans="4:147" hidden="1" x14ac:dyDescent="0.3">
      <c r="D49" s="144" t="s">
        <v>390</v>
      </c>
      <c r="E49" s="494"/>
      <c r="F49" s="500"/>
      <c r="G49" s="609">
        <v>0</v>
      </c>
      <c r="H49" s="610"/>
      <c r="I49" s="56"/>
      <c r="J49" s="611"/>
      <c r="K49" s="500"/>
      <c r="L49" s="609">
        <v>0</v>
      </c>
      <c r="M49" s="610"/>
      <c r="N49" s="56"/>
      <c r="O49" s="611"/>
      <c r="P49" s="500"/>
      <c r="Q49" s="609">
        <v>0</v>
      </c>
      <c r="R49" s="610"/>
      <c r="S49" s="56"/>
      <c r="T49" s="611"/>
      <c r="U49" s="500"/>
      <c r="V49" s="609">
        <v>0</v>
      </c>
      <c r="W49" s="610"/>
      <c r="X49" s="56"/>
      <c r="Y49" s="611"/>
      <c r="Z49" s="500"/>
      <c r="AA49" s="609">
        <v>0</v>
      </c>
      <c r="AB49" s="610"/>
      <c r="AC49" s="56"/>
      <c r="AD49" s="611"/>
      <c r="AE49" s="500"/>
      <c r="AF49" s="609">
        <v>0</v>
      </c>
      <c r="AG49" s="610"/>
      <c r="AH49" s="56"/>
      <c r="AI49" s="611"/>
      <c r="AJ49" s="500"/>
      <c r="AK49" s="609">
        <v>0</v>
      </c>
      <c r="AL49" s="610"/>
      <c r="AM49" s="56"/>
      <c r="AN49" s="611"/>
      <c r="AO49" s="500"/>
      <c r="AP49" s="609">
        <v>0</v>
      </c>
      <c r="AQ49" s="610"/>
      <c r="AR49" s="56"/>
      <c r="AS49" s="611"/>
      <c r="AT49" s="500"/>
      <c r="AU49" s="609">
        <v>0</v>
      </c>
      <c r="AV49" s="610"/>
      <c r="AW49" s="56"/>
      <c r="AX49" s="611"/>
      <c r="AY49" s="500"/>
      <c r="AZ49" s="609">
        <v>0</v>
      </c>
      <c r="BA49" s="610"/>
      <c r="BB49" s="56"/>
      <c r="BC49" s="611"/>
      <c r="BD49" s="500"/>
      <c r="BE49" s="609">
        <v>0</v>
      </c>
      <c r="BF49" s="610"/>
      <c r="BG49" s="56"/>
      <c r="BH49" s="611"/>
      <c r="BI49" s="500"/>
      <c r="BJ49" s="609">
        <v>0</v>
      </c>
      <c r="BK49" s="610"/>
      <c r="BL49" s="56"/>
      <c r="BM49" s="611"/>
      <c r="BN49" s="500"/>
      <c r="BO49" s="609">
        <v>0</v>
      </c>
      <c r="BP49" s="610"/>
      <c r="BQ49" s="56"/>
      <c r="BR49" s="611"/>
      <c r="BS49" s="500"/>
      <c r="BT49" s="609">
        <f>SUM(L49:BO49)</f>
        <v>0</v>
      </c>
      <c r="BU49" s="610"/>
      <c r="BV49" s="56"/>
      <c r="BW49" s="611"/>
      <c r="BX49" s="500"/>
      <c r="BY49" s="609">
        <f>SUM(Q49:BT49)</f>
        <v>0</v>
      </c>
      <c r="BZ49" s="610"/>
      <c r="CA49" s="56"/>
      <c r="CB49" s="611"/>
      <c r="CC49" s="500"/>
      <c r="CD49" s="609">
        <v>0</v>
      </c>
      <c r="CE49" s="610"/>
      <c r="CF49" s="56"/>
      <c r="CG49" s="611"/>
      <c r="CH49" s="500"/>
      <c r="CI49" s="609">
        <v>0</v>
      </c>
      <c r="CJ49" s="610"/>
      <c r="CK49" s="56"/>
      <c r="CL49" s="611"/>
      <c r="CM49" s="500"/>
      <c r="CN49" s="609">
        <v>0</v>
      </c>
      <c r="CO49" s="610"/>
      <c r="CP49" s="56"/>
      <c r="CQ49" s="611"/>
      <c r="CR49" s="500"/>
      <c r="CS49" s="609">
        <v>0</v>
      </c>
      <c r="CT49" s="610"/>
      <c r="CU49" s="56"/>
      <c r="CV49" s="611"/>
      <c r="CW49" s="500"/>
      <c r="CX49" s="609">
        <v>0</v>
      </c>
      <c r="CY49" s="610"/>
      <c r="CZ49" s="56"/>
      <c r="DA49" s="611"/>
      <c r="DB49" s="500"/>
      <c r="DC49" s="609">
        <v>0</v>
      </c>
      <c r="DD49" s="610"/>
      <c r="DE49" s="56"/>
      <c r="DF49" s="611"/>
      <c r="DG49" s="500"/>
      <c r="DH49" s="609">
        <v>0</v>
      </c>
      <c r="DI49" s="610"/>
      <c r="DJ49" s="56"/>
      <c r="DK49" s="611"/>
      <c r="DL49" s="500"/>
      <c r="DM49" s="609">
        <v>0</v>
      </c>
      <c r="DN49" s="610"/>
      <c r="DO49" s="56"/>
      <c r="DP49" s="611"/>
      <c r="DQ49" s="500"/>
      <c r="DR49" s="609">
        <v>0</v>
      </c>
      <c r="DS49" s="610"/>
      <c r="DT49" s="56"/>
      <c r="DU49" s="611"/>
      <c r="DV49" s="500"/>
      <c r="DW49" s="609">
        <v>0</v>
      </c>
      <c r="DX49" s="610"/>
      <c r="DY49" s="56"/>
      <c r="DZ49" s="611"/>
      <c r="EA49" s="500"/>
      <c r="EB49" s="609">
        <v>0</v>
      </c>
      <c r="EC49" s="610"/>
      <c r="ED49" s="56"/>
      <c r="EE49" s="611"/>
      <c r="EF49" s="500"/>
      <c r="EG49" s="609">
        <v>0</v>
      </c>
      <c r="EH49" s="610"/>
      <c r="EI49" s="56"/>
      <c r="EJ49" s="611"/>
      <c r="EK49" s="500"/>
      <c r="EL49" s="609">
        <f>SUM(CD49:EG49)</f>
        <v>0</v>
      </c>
      <c r="EM49" s="610"/>
      <c r="EO49" s="144"/>
      <c r="EP49" s="42"/>
      <c r="EQ49" s="42"/>
    </row>
    <row r="50" spans="4:147" hidden="1" x14ac:dyDescent="0.3">
      <c r="D50" s="144" t="s">
        <v>340</v>
      </c>
      <c r="E50" s="494"/>
      <c r="F50" s="513"/>
      <c r="G50" s="117">
        <v>0</v>
      </c>
      <c r="H50" s="116"/>
      <c r="I50" s="56"/>
      <c r="J50" s="611"/>
      <c r="K50" s="513"/>
      <c r="L50" s="117">
        <v>0</v>
      </c>
      <c r="M50" s="116"/>
      <c r="N50" s="56"/>
      <c r="O50" s="611"/>
      <c r="P50" s="513"/>
      <c r="Q50" s="117">
        <v>0</v>
      </c>
      <c r="R50" s="116"/>
      <c r="S50" s="56"/>
      <c r="T50" s="611"/>
      <c r="U50" s="513"/>
      <c r="V50" s="117">
        <v>0</v>
      </c>
      <c r="W50" s="116"/>
      <c r="X50" s="56"/>
      <c r="Y50" s="611"/>
      <c r="Z50" s="513"/>
      <c r="AA50" s="117">
        <v>0</v>
      </c>
      <c r="AB50" s="116"/>
      <c r="AC50" s="56"/>
      <c r="AD50" s="611"/>
      <c r="AE50" s="513"/>
      <c r="AF50" s="117">
        <v>0</v>
      </c>
      <c r="AG50" s="116"/>
      <c r="AH50" s="56"/>
      <c r="AI50" s="611"/>
      <c r="AJ50" s="513"/>
      <c r="AK50" s="117">
        <v>0</v>
      </c>
      <c r="AL50" s="116"/>
      <c r="AM50" s="56"/>
      <c r="AN50" s="611"/>
      <c r="AO50" s="513"/>
      <c r="AP50" s="117">
        <v>0</v>
      </c>
      <c r="AQ50" s="116"/>
      <c r="AR50" s="56"/>
      <c r="AS50" s="611"/>
      <c r="AT50" s="513"/>
      <c r="AU50" s="117">
        <v>0</v>
      </c>
      <c r="AV50" s="116"/>
      <c r="AW50" s="56"/>
      <c r="AX50" s="611"/>
      <c r="AY50" s="513"/>
      <c r="AZ50" s="117">
        <v>0</v>
      </c>
      <c r="BA50" s="116"/>
      <c r="BB50" s="56"/>
      <c r="BC50" s="611"/>
      <c r="BD50" s="513"/>
      <c r="BE50" s="117">
        <v>0</v>
      </c>
      <c r="BF50" s="116"/>
      <c r="BG50" s="56"/>
      <c r="BH50" s="611"/>
      <c r="BI50" s="513"/>
      <c r="BJ50" s="117">
        <v>0</v>
      </c>
      <c r="BK50" s="116"/>
      <c r="BL50" s="56"/>
      <c r="BM50" s="611"/>
      <c r="BN50" s="513"/>
      <c r="BO50" s="117">
        <v>0</v>
      </c>
      <c r="BP50" s="116"/>
      <c r="BQ50" s="56"/>
      <c r="BR50" s="611"/>
      <c r="BS50" s="513"/>
      <c r="BT50" s="117">
        <f>SUM(L50:BO50)</f>
        <v>0</v>
      </c>
      <c r="BU50" s="116"/>
      <c r="BV50" s="56"/>
      <c r="BW50" s="611"/>
      <c r="BX50" s="513"/>
      <c r="BY50" s="117">
        <f>SUM(Q50:BT50)</f>
        <v>0</v>
      </c>
      <c r="BZ50" s="116"/>
      <c r="CA50" s="56"/>
      <c r="CB50" s="611"/>
      <c r="CC50" s="513"/>
      <c r="CD50" s="117">
        <v>0</v>
      </c>
      <c r="CE50" s="116"/>
      <c r="CF50" s="56"/>
      <c r="CG50" s="611"/>
      <c r="CH50" s="513"/>
      <c r="CI50" s="117">
        <v>0</v>
      </c>
      <c r="CJ50" s="116"/>
      <c r="CK50" s="56"/>
      <c r="CL50" s="611"/>
      <c r="CM50" s="513"/>
      <c r="CN50" s="117">
        <v>0</v>
      </c>
      <c r="CO50" s="116"/>
      <c r="CP50" s="56"/>
      <c r="CQ50" s="611"/>
      <c r="CR50" s="513"/>
      <c r="CS50" s="117">
        <v>0</v>
      </c>
      <c r="CT50" s="116"/>
      <c r="CU50" s="56"/>
      <c r="CV50" s="611"/>
      <c r="CW50" s="513"/>
      <c r="CX50" s="117">
        <v>0</v>
      </c>
      <c r="CY50" s="116"/>
      <c r="CZ50" s="56"/>
      <c r="DA50" s="611"/>
      <c r="DB50" s="513"/>
      <c r="DC50" s="117">
        <v>0</v>
      </c>
      <c r="DD50" s="116"/>
      <c r="DE50" s="56"/>
      <c r="DF50" s="611"/>
      <c r="DG50" s="513"/>
      <c r="DH50" s="117">
        <v>0</v>
      </c>
      <c r="DI50" s="116"/>
      <c r="DJ50" s="56"/>
      <c r="DK50" s="611"/>
      <c r="DL50" s="513"/>
      <c r="DM50" s="117">
        <v>0</v>
      </c>
      <c r="DN50" s="116"/>
      <c r="DO50" s="56"/>
      <c r="DP50" s="611"/>
      <c r="DQ50" s="513"/>
      <c r="DR50" s="117">
        <v>0</v>
      </c>
      <c r="DS50" s="116"/>
      <c r="DT50" s="56"/>
      <c r="DU50" s="611"/>
      <c r="DV50" s="513"/>
      <c r="DW50" s="117">
        <v>0</v>
      </c>
      <c r="DX50" s="116"/>
      <c r="DY50" s="56"/>
      <c r="DZ50" s="611"/>
      <c r="EA50" s="513"/>
      <c r="EB50" s="117">
        <v>0</v>
      </c>
      <c r="EC50" s="116"/>
      <c r="ED50" s="56"/>
      <c r="EE50" s="611"/>
      <c r="EF50" s="513"/>
      <c r="EG50" s="117">
        <v>0</v>
      </c>
      <c r="EH50" s="116"/>
      <c r="EI50" s="56"/>
      <c r="EJ50" s="611"/>
      <c r="EK50" s="513"/>
      <c r="EL50" s="117">
        <f>SUM(CD50:EG50)</f>
        <v>0</v>
      </c>
      <c r="EM50" s="116"/>
      <c r="EO50" s="144"/>
      <c r="EP50" s="42"/>
      <c r="EQ50" s="42"/>
    </row>
    <row r="51" spans="4:147" ht="12.75" hidden="1" customHeight="1" x14ac:dyDescent="0.3">
      <c r="D51" s="144"/>
      <c r="E51" s="494"/>
      <c r="G51" s="56"/>
      <c r="H51" s="56"/>
      <c r="I51" s="56"/>
      <c r="J51" s="611"/>
      <c r="K51" s="56"/>
      <c r="L51" s="56"/>
      <c r="M51" s="56"/>
      <c r="N51" s="56"/>
      <c r="O51" s="611"/>
      <c r="P51" s="56"/>
      <c r="Q51" s="56"/>
      <c r="R51" s="56"/>
      <c r="S51" s="56"/>
      <c r="T51" s="611"/>
      <c r="U51" s="56"/>
      <c r="V51" s="56"/>
      <c r="W51" s="56"/>
      <c r="X51" s="56"/>
      <c r="Y51" s="611"/>
      <c r="Z51" s="56"/>
      <c r="AA51" s="56"/>
      <c r="AB51" s="56"/>
      <c r="AC51" s="56"/>
      <c r="AD51" s="611"/>
      <c r="AE51" s="56"/>
      <c r="AF51" s="56"/>
      <c r="AG51" s="56"/>
      <c r="AH51" s="56"/>
      <c r="AI51" s="611"/>
      <c r="AJ51" s="56"/>
      <c r="AK51" s="56"/>
      <c r="AL51" s="56"/>
      <c r="AM51" s="56"/>
      <c r="AN51" s="611"/>
      <c r="AO51" s="56"/>
      <c r="AP51" s="56"/>
      <c r="AQ51" s="56"/>
      <c r="AR51" s="56"/>
      <c r="AS51" s="611"/>
      <c r="AT51" s="56"/>
      <c r="AU51" s="56"/>
      <c r="AV51" s="56"/>
      <c r="AW51" s="56"/>
      <c r="AX51" s="611"/>
      <c r="AY51" s="56"/>
      <c r="AZ51" s="56"/>
      <c r="BA51" s="56"/>
      <c r="BB51" s="56"/>
      <c r="BC51" s="611"/>
      <c r="BD51" s="56"/>
      <c r="BE51" s="56"/>
      <c r="BF51" s="56"/>
      <c r="BG51" s="56"/>
      <c r="BH51" s="611"/>
      <c r="BI51" s="56"/>
      <c r="BJ51" s="56"/>
      <c r="BK51" s="56"/>
      <c r="BL51" s="56"/>
      <c r="BM51" s="611"/>
      <c r="BN51" s="56"/>
      <c r="BO51" s="56"/>
      <c r="BP51" s="56"/>
      <c r="BQ51" s="56"/>
      <c r="BR51" s="611"/>
      <c r="BS51" s="56"/>
      <c r="BT51" s="56"/>
      <c r="BU51" s="56"/>
      <c r="BV51" s="56"/>
      <c r="BW51" s="611"/>
      <c r="BX51" s="56"/>
      <c r="BY51" s="56"/>
      <c r="BZ51" s="56"/>
      <c r="CA51" s="56"/>
      <c r="CB51" s="611"/>
      <c r="CC51" s="56"/>
      <c r="CD51" s="56"/>
      <c r="CE51" s="56"/>
      <c r="CF51" s="56"/>
      <c r="CG51" s="611"/>
      <c r="CH51" s="56"/>
      <c r="CI51" s="56"/>
      <c r="CJ51" s="56"/>
      <c r="CK51" s="56"/>
      <c r="CL51" s="611"/>
      <c r="CM51" s="56"/>
      <c r="CN51" s="56"/>
      <c r="CO51" s="56"/>
      <c r="CP51" s="56"/>
      <c r="CQ51" s="611"/>
      <c r="CR51" s="56"/>
      <c r="CS51" s="56"/>
      <c r="CT51" s="56"/>
      <c r="CU51" s="56"/>
      <c r="CV51" s="611"/>
      <c r="CW51" s="56"/>
      <c r="CX51" s="56"/>
      <c r="CY51" s="56"/>
      <c r="CZ51" s="56"/>
      <c r="DA51" s="611"/>
      <c r="DB51" s="56"/>
      <c r="DC51" s="56"/>
      <c r="DD51" s="56"/>
      <c r="DE51" s="56"/>
      <c r="DF51" s="611"/>
      <c r="DG51" s="56"/>
      <c r="DH51" s="56"/>
      <c r="DI51" s="56"/>
      <c r="DJ51" s="56"/>
      <c r="DK51" s="611"/>
      <c r="DL51" s="56"/>
      <c r="DM51" s="56"/>
      <c r="DN51" s="56"/>
      <c r="DO51" s="56"/>
      <c r="DP51" s="611"/>
      <c r="DQ51" s="56"/>
      <c r="DR51" s="56"/>
      <c r="DS51" s="56"/>
      <c r="DT51" s="56"/>
      <c r="DU51" s="611"/>
      <c r="DV51" s="56"/>
      <c r="DW51" s="56"/>
      <c r="DX51" s="56"/>
      <c r="DY51" s="56"/>
      <c r="DZ51" s="611"/>
      <c r="EA51" s="56"/>
      <c r="EB51" s="56"/>
      <c r="EC51" s="56"/>
      <c r="ED51" s="56"/>
      <c r="EE51" s="611"/>
      <c r="EF51" s="56"/>
      <c r="EG51" s="56"/>
      <c r="EH51" s="56"/>
      <c r="EI51" s="56"/>
      <c r="EJ51" s="611"/>
      <c r="EK51" s="56"/>
      <c r="EL51" s="56"/>
      <c r="EO51" s="144"/>
      <c r="EP51" s="42"/>
      <c r="EQ51" s="42"/>
    </row>
    <row r="52" spans="4:147" ht="12.75" hidden="1" customHeight="1" x14ac:dyDescent="0.3">
      <c r="D52" s="144" t="s">
        <v>345</v>
      </c>
      <c r="E52" s="494"/>
      <c r="G52" s="56">
        <f>SUM(G53:G54)</f>
        <v>0</v>
      </c>
      <c r="H52" s="56"/>
      <c r="I52" s="56"/>
      <c r="J52" s="611"/>
      <c r="K52" s="56"/>
      <c r="L52" s="56">
        <f>SUM(L53:L54)</f>
        <v>0</v>
      </c>
      <c r="M52" s="56"/>
      <c r="N52" s="56"/>
      <c r="O52" s="611"/>
      <c r="Q52" s="56">
        <f>SUM(Q53:Q54)</f>
        <v>0</v>
      </c>
      <c r="R52" s="56"/>
      <c r="S52" s="56"/>
      <c r="T52" s="611"/>
      <c r="V52" s="56">
        <f>SUM(V53:V54)</f>
        <v>0</v>
      </c>
      <c r="W52" s="56"/>
      <c r="X52" s="56"/>
      <c r="Y52" s="611"/>
      <c r="AA52" s="56">
        <f>SUM(AA53:AA54)</f>
        <v>0</v>
      </c>
      <c r="AB52" s="56"/>
      <c r="AC52" s="56"/>
      <c r="AD52" s="611"/>
      <c r="AF52" s="56">
        <f>SUM(AF53:AF54)</f>
        <v>0</v>
      </c>
      <c r="AG52" s="56"/>
      <c r="AH52" s="56"/>
      <c r="AI52" s="611"/>
      <c r="AK52" s="56">
        <f>SUM(AK53:AK54)</f>
        <v>0</v>
      </c>
      <c r="AL52" s="56"/>
      <c r="AM52" s="56"/>
      <c r="AN52" s="611"/>
      <c r="AP52" s="56">
        <f>SUM(AP53:AP54)</f>
        <v>0</v>
      </c>
      <c r="AQ52" s="56"/>
      <c r="AR52" s="56"/>
      <c r="AS52" s="611"/>
      <c r="AU52" s="56">
        <f>SUM(AU53:AU54)</f>
        <v>0</v>
      </c>
      <c r="AV52" s="56"/>
      <c r="AW52" s="56"/>
      <c r="AX52" s="611"/>
      <c r="AZ52" s="56">
        <f>SUM(AZ53:AZ54)</f>
        <v>0</v>
      </c>
      <c r="BA52" s="56"/>
      <c r="BB52" s="56"/>
      <c r="BC52" s="611"/>
      <c r="BE52" s="56">
        <f>SUM(BE53:BE54)</f>
        <v>0</v>
      </c>
      <c r="BF52" s="56"/>
      <c r="BG52" s="56"/>
      <c r="BH52" s="611"/>
      <c r="BJ52" s="56">
        <f>SUM(BJ53:BJ54)</f>
        <v>0</v>
      </c>
      <c r="BK52" s="56"/>
      <c r="BL52" s="56"/>
      <c r="BM52" s="611"/>
      <c r="BO52" s="56">
        <f>SUM(BO53:BO54)</f>
        <v>0</v>
      </c>
      <c r="BP52" s="56"/>
      <c r="BQ52" s="56"/>
      <c r="BR52" s="611"/>
      <c r="BS52" s="56"/>
      <c r="BT52" s="56">
        <f>SUM(BT53:BT54)</f>
        <v>0</v>
      </c>
      <c r="BU52" s="56"/>
      <c r="BV52" s="56"/>
      <c r="BW52" s="611"/>
      <c r="BX52" s="56"/>
      <c r="BY52" s="56">
        <f>SUM(BY53:BY54)</f>
        <v>0</v>
      </c>
      <c r="BZ52" s="56"/>
      <c r="CA52" s="56"/>
      <c r="CB52" s="611"/>
      <c r="CC52" s="56"/>
      <c r="CD52" s="56">
        <f>SUM(CD53:CD54)</f>
        <v>0</v>
      </c>
      <c r="CE52" s="56"/>
      <c r="CF52" s="56"/>
      <c r="CG52" s="611"/>
      <c r="CI52" s="56">
        <f>SUM(CI53:CI54)</f>
        <v>0</v>
      </c>
      <c r="CJ52" s="56"/>
      <c r="CK52" s="56"/>
      <c r="CL52" s="611"/>
      <c r="CN52" s="56">
        <f>SUM(CN53:CN54)</f>
        <v>0</v>
      </c>
      <c r="CO52" s="56"/>
      <c r="CP52" s="56"/>
      <c r="CQ52" s="611"/>
      <c r="CS52" s="56">
        <f>SUM(CS53:CS54)</f>
        <v>0</v>
      </c>
      <c r="CT52" s="56"/>
      <c r="CU52" s="56"/>
      <c r="CV52" s="611"/>
      <c r="CX52" s="56">
        <f>SUM(CX53:CX54)</f>
        <v>0</v>
      </c>
      <c r="CY52" s="56"/>
      <c r="CZ52" s="56"/>
      <c r="DA52" s="611"/>
      <c r="DC52" s="56">
        <f>SUM(DC53:DC54)</f>
        <v>0</v>
      </c>
      <c r="DD52" s="56"/>
      <c r="DE52" s="56"/>
      <c r="DF52" s="611"/>
      <c r="DH52" s="56">
        <f>SUM(DH53:DH54)</f>
        <v>0</v>
      </c>
      <c r="DI52" s="56"/>
      <c r="DJ52" s="56"/>
      <c r="DK52" s="611"/>
      <c r="DM52" s="56">
        <f>SUM(DM53:DM54)</f>
        <v>0</v>
      </c>
      <c r="DN52" s="56"/>
      <c r="DO52" s="56"/>
      <c r="DP52" s="611"/>
      <c r="DR52" s="56">
        <f>SUM(DR53:DR54)</f>
        <v>0</v>
      </c>
      <c r="DS52" s="56"/>
      <c r="DT52" s="56"/>
      <c r="DU52" s="611"/>
      <c r="DW52" s="56">
        <f>SUM(DW53:DW54)</f>
        <v>0</v>
      </c>
      <c r="DX52" s="56"/>
      <c r="DY52" s="56"/>
      <c r="DZ52" s="611"/>
      <c r="EB52" s="56">
        <f>SUM(EB53:EB54)</f>
        <v>0</v>
      </c>
      <c r="EC52" s="56"/>
      <c r="ED52" s="56"/>
      <c r="EE52" s="611"/>
      <c r="EG52" s="56">
        <f>SUM(EG53:EG54)</f>
        <v>0</v>
      </c>
      <c r="EH52" s="56"/>
      <c r="EI52" s="56"/>
      <c r="EJ52" s="611"/>
      <c r="EK52" s="56"/>
      <c r="EL52" s="56">
        <f>SUM(EL53:EL54)</f>
        <v>0</v>
      </c>
      <c r="EO52" s="144"/>
      <c r="EP52" s="42"/>
      <c r="EQ52" s="42"/>
    </row>
    <row r="53" spans="4:147" ht="12.75" hidden="1" customHeight="1" x14ac:dyDescent="0.3">
      <c r="D53" s="144" t="s">
        <v>390</v>
      </c>
      <c r="E53" s="494"/>
      <c r="F53" s="500"/>
      <c r="G53" s="609">
        <v>0</v>
      </c>
      <c r="H53" s="610"/>
      <c r="I53" s="56"/>
      <c r="J53" s="611"/>
      <c r="K53" s="612"/>
      <c r="L53" s="609">
        <v>0</v>
      </c>
      <c r="M53" s="610"/>
      <c r="N53" s="56"/>
      <c r="O53" s="611"/>
      <c r="P53" s="500"/>
      <c r="Q53" s="609">
        <v>0</v>
      </c>
      <c r="R53" s="610"/>
      <c r="S53" s="56"/>
      <c r="T53" s="611"/>
      <c r="U53" s="500"/>
      <c r="V53" s="609">
        <v>0</v>
      </c>
      <c r="W53" s="610"/>
      <c r="X53" s="56"/>
      <c r="Y53" s="611"/>
      <c r="Z53" s="500"/>
      <c r="AA53" s="609">
        <v>0</v>
      </c>
      <c r="AB53" s="610"/>
      <c r="AC53" s="56"/>
      <c r="AD53" s="611"/>
      <c r="AE53" s="500"/>
      <c r="AF53" s="609">
        <v>0</v>
      </c>
      <c r="AG53" s="610"/>
      <c r="AH53" s="56"/>
      <c r="AI53" s="611"/>
      <c r="AJ53" s="500"/>
      <c r="AK53" s="609">
        <v>0</v>
      </c>
      <c r="AL53" s="610"/>
      <c r="AM53" s="56"/>
      <c r="AN53" s="611"/>
      <c r="AO53" s="500"/>
      <c r="AP53" s="609">
        <v>0</v>
      </c>
      <c r="AQ53" s="610"/>
      <c r="AR53" s="56"/>
      <c r="AS53" s="611"/>
      <c r="AT53" s="500"/>
      <c r="AU53" s="609">
        <v>0</v>
      </c>
      <c r="AV53" s="610"/>
      <c r="AW53" s="56"/>
      <c r="AX53" s="611"/>
      <c r="AY53" s="500"/>
      <c r="AZ53" s="609">
        <v>0</v>
      </c>
      <c r="BA53" s="610"/>
      <c r="BB53" s="56"/>
      <c r="BC53" s="611"/>
      <c r="BD53" s="500"/>
      <c r="BE53" s="609">
        <v>0</v>
      </c>
      <c r="BF53" s="610"/>
      <c r="BG53" s="56"/>
      <c r="BH53" s="611"/>
      <c r="BI53" s="500"/>
      <c r="BJ53" s="609">
        <v>0</v>
      </c>
      <c r="BK53" s="610"/>
      <c r="BL53" s="56"/>
      <c r="BM53" s="611"/>
      <c r="BN53" s="500"/>
      <c r="BO53" s="609">
        <v>0</v>
      </c>
      <c r="BP53" s="610"/>
      <c r="BQ53" s="56"/>
      <c r="BR53" s="611"/>
      <c r="BS53" s="612"/>
      <c r="BT53" s="609">
        <f>SUM(L53:BO53)</f>
        <v>0</v>
      </c>
      <c r="BU53" s="610"/>
      <c r="BV53" s="56"/>
      <c r="BW53" s="611"/>
      <c r="BX53" s="612"/>
      <c r="BY53" s="609">
        <v>0</v>
      </c>
      <c r="BZ53" s="610"/>
      <c r="CA53" s="56"/>
      <c r="CB53" s="611"/>
      <c r="CC53" s="612"/>
      <c r="CD53" s="609">
        <v>0</v>
      </c>
      <c r="CE53" s="610"/>
      <c r="CF53" s="56"/>
      <c r="CG53" s="611"/>
      <c r="CH53" s="500"/>
      <c r="CI53" s="609">
        <v>0</v>
      </c>
      <c r="CJ53" s="610"/>
      <c r="CK53" s="56"/>
      <c r="CL53" s="611"/>
      <c r="CM53" s="500"/>
      <c r="CN53" s="609">
        <v>0</v>
      </c>
      <c r="CO53" s="610"/>
      <c r="CP53" s="56"/>
      <c r="CQ53" s="611"/>
      <c r="CR53" s="500"/>
      <c r="CS53" s="609">
        <v>0</v>
      </c>
      <c r="CT53" s="610"/>
      <c r="CU53" s="56"/>
      <c r="CV53" s="611"/>
      <c r="CW53" s="500"/>
      <c r="CX53" s="609">
        <v>0</v>
      </c>
      <c r="CY53" s="610"/>
      <c r="CZ53" s="56"/>
      <c r="DA53" s="611"/>
      <c r="DB53" s="500"/>
      <c r="DC53" s="609">
        <v>0</v>
      </c>
      <c r="DD53" s="610"/>
      <c r="DE53" s="56"/>
      <c r="DF53" s="611"/>
      <c r="DG53" s="500"/>
      <c r="DH53" s="609">
        <v>0</v>
      </c>
      <c r="DI53" s="610"/>
      <c r="DJ53" s="56"/>
      <c r="DK53" s="611"/>
      <c r="DL53" s="500"/>
      <c r="DM53" s="609">
        <v>0</v>
      </c>
      <c r="DN53" s="610"/>
      <c r="DO53" s="56"/>
      <c r="DP53" s="611"/>
      <c r="DQ53" s="500"/>
      <c r="DR53" s="609">
        <v>0</v>
      </c>
      <c r="DS53" s="610"/>
      <c r="DT53" s="56"/>
      <c r="DU53" s="611"/>
      <c r="DV53" s="500"/>
      <c r="DW53" s="609">
        <v>0</v>
      </c>
      <c r="DX53" s="610"/>
      <c r="DY53" s="56"/>
      <c r="DZ53" s="611"/>
      <c r="EA53" s="500"/>
      <c r="EB53" s="609">
        <v>0</v>
      </c>
      <c r="EC53" s="610"/>
      <c r="ED53" s="56"/>
      <c r="EE53" s="611"/>
      <c r="EF53" s="500"/>
      <c r="EG53" s="609">
        <v>0</v>
      </c>
      <c r="EH53" s="610"/>
      <c r="EI53" s="56"/>
      <c r="EJ53" s="611"/>
      <c r="EK53" s="612"/>
      <c r="EL53" s="609">
        <f>SUM(CD53:DM53)</f>
        <v>0</v>
      </c>
      <c r="EM53" s="501"/>
      <c r="EO53" s="144"/>
      <c r="EP53" s="42"/>
      <c r="EQ53" s="42"/>
    </row>
    <row r="54" spans="4:147" ht="12.75" hidden="1" customHeight="1" x14ac:dyDescent="0.3">
      <c r="D54" s="144" t="s">
        <v>340</v>
      </c>
      <c r="E54" s="494"/>
      <c r="F54" s="513"/>
      <c r="G54" s="117">
        <v>0</v>
      </c>
      <c r="H54" s="116"/>
      <c r="I54" s="56"/>
      <c r="J54" s="611"/>
      <c r="K54" s="620"/>
      <c r="L54" s="117">
        <v>0</v>
      </c>
      <c r="M54" s="116"/>
      <c r="N54" s="56"/>
      <c r="O54" s="611"/>
      <c r="P54" s="513"/>
      <c r="Q54" s="117">
        <v>0</v>
      </c>
      <c r="R54" s="116"/>
      <c r="S54" s="56"/>
      <c r="T54" s="611"/>
      <c r="U54" s="513"/>
      <c r="V54" s="117">
        <v>0</v>
      </c>
      <c r="W54" s="116"/>
      <c r="X54" s="56"/>
      <c r="Y54" s="611"/>
      <c r="Z54" s="513"/>
      <c r="AA54" s="117">
        <v>0</v>
      </c>
      <c r="AB54" s="116"/>
      <c r="AC54" s="56"/>
      <c r="AD54" s="611"/>
      <c r="AE54" s="513"/>
      <c r="AF54" s="117">
        <v>0</v>
      </c>
      <c r="AG54" s="116"/>
      <c r="AH54" s="56"/>
      <c r="AI54" s="611"/>
      <c r="AJ54" s="513"/>
      <c r="AK54" s="117">
        <v>0</v>
      </c>
      <c r="AL54" s="116"/>
      <c r="AM54" s="56"/>
      <c r="AN54" s="611"/>
      <c r="AO54" s="513"/>
      <c r="AP54" s="117">
        <v>0</v>
      </c>
      <c r="AQ54" s="116"/>
      <c r="AR54" s="56"/>
      <c r="AS54" s="611"/>
      <c r="AT54" s="513"/>
      <c r="AU54" s="117">
        <v>0</v>
      </c>
      <c r="AV54" s="116"/>
      <c r="AW54" s="56"/>
      <c r="AX54" s="611"/>
      <c r="AY54" s="513"/>
      <c r="AZ54" s="117">
        <v>0</v>
      </c>
      <c r="BA54" s="116"/>
      <c r="BB54" s="56"/>
      <c r="BC54" s="611"/>
      <c r="BD54" s="513"/>
      <c r="BE54" s="117">
        <v>0</v>
      </c>
      <c r="BF54" s="116"/>
      <c r="BG54" s="56"/>
      <c r="BH54" s="611"/>
      <c r="BI54" s="513"/>
      <c r="BJ54" s="117">
        <v>0</v>
      </c>
      <c r="BK54" s="116"/>
      <c r="BL54" s="56"/>
      <c r="BM54" s="611"/>
      <c r="BN54" s="513"/>
      <c r="BO54" s="117">
        <v>0</v>
      </c>
      <c r="BP54" s="116"/>
      <c r="BQ54" s="56"/>
      <c r="BR54" s="611"/>
      <c r="BS54" s="620"/>
      <c r="BT54" s="117">
        <f>SUM(L54:BO54)</f>
        <v>0</v>
      </c>
      <c r="BU54" s="116"/>
      <c r="BV54" s="56"/>
      <c r="BW54" s="611"/>
      <c r="BX54" s="620"/>
      <c r="BY54" s="117">
        <v>0</v>
      </c>
      <c r="BZ54" s="116"/>
      <c r="CA54" s="56"/>
      <c r="CB54" s="611"/>
      <c r="CC54" s="620"/>
      <c r="CD54" s="117">
        <v>0</v>
      </c>
      <c r="CE54" s="116"/>
      <c r="CF54" s="56"/>
      <c r="CG54" s="611"/>
      <c r="CH54" s="513"/>
      <c r="CI54" s="117">
        <v>0</v>
      </c>
      <c r="CJ54" s="116"/>
      <c r="CK54" s="56"/>
      <c r="CL54" s="611"/>
      <c r="CM54" s="513"/>
      <c r="CN54" s="117">
        <v>0</v>
      </c>
      <c r="CO54" s="116"/>
      <c r="CP54" s="56"/>
      <c r="CQ54" s="611"/>
      <c r="CR54" s="513"/>
      <c r="CS54" s="117">
        <v>0</v>
      </c>
      <c r="CT54" s="116"/>
      <c r="CU54" s="56"/>
      <c r="CV54" s="611"/>
      <c r="CW54" s="513"/>
      <c r="CX54" s="117">
        <v>0</v>
      </c>
      <c r="CY54" s="116"/>
      <c r="CZ54" s="56"/>
      <c r="DA54" s="611"/>
      <c r="DB54" s="513"/>
      <c r="DC54" s="117">
        <v>0</v>
      </c>
      <c r="DD54" s="116"/>
      <c r="DE54" s="56"/>
      <c r="DF54" s="611"/>
      <c r="DG54" s="513"/>
      <c r="DH54" s="117">
        <v>0</v>
      </c>
      <c r="DI54" s="116"/>
      <c r="DJ54" s="56"/>
      <c r="DK54" s="611"/>
      <c r="DL54" s="513"/>
      <c r="DM54" s="117">
        <v>0</v>
      </c>
      <c r="DN54" s="116"/>
      <c r="DO54" s="56"/>
      <c r="DP54" s="611"/>
      <c r="DQ54" s="513"/>
      <c r="DR54" s="117">
        <v>0</v>
      </c>
      <c r="DS54" s="116"/>
      <c r="DT54" s="56"/>
      <c r="DU54" s="611"/>
      <c r="DV54" s="513"/>
      <c r="DW54" s="117">
        <v>0</v>
      </c>
      <c r="DX54" s="116"/>
      <c r="DY54" s="56"/>
      <c r="DZ54" s="611"/>
      <c r="EA54" s="513"/>
      <c r="EB54" s="117">
        <v>0</v>
      </c>
      <c r="EC54" s="116"/>
      <c r="ED54" s="56"/>
      <c r="EE54" s="611"/>
      <c r="EF54" s="513"/>
      <c r="EG54" s="117">
        <v>0</v>
      </c>
      <c r="EH54" s="116"/>
      <c r="EI54" s="56"/>
      <c r="EJ54" s="611"/>
      <c r="EK54" s="620"/>
      <c r="EL54" s="117">
        <f>SUM(CD54:DM54)</f>
        <v>0</v>
      </c>
      <c r="EM54" s="515"/>
      <c r="EO54" s="144"/>
      <c r="EP54" s="42"/>
      <c r="EQ54" s="42"/>
    </row>
    <row r="55" spans="4:147" ht="12.75" hidden="1" customHeight="1" x14ac:dyDescent="0.3">
      <c r="D55" s="144"/>
      <c r="E55" s="494"/>
      <c r="G55" s="56"/>
      <c r="H55" s="56"/>
      <c r="I55" s="56"/>
      <c r="J55" s="611"/>
      <c r="K55" s="56"/>
      <c r="L55" s="56"/>
      <c r="M55" s="56"/>
      <c r="N55" s="56"/>
      <c r="O55" s="611"/>
      <c r="Q55" s="56"/>
      <c r="R55" s="56"/>
      <c r="S55" s="56"/>
      <c r="T55" s="611"/>
      <c r="V55" s="56"/>
      <c r="W55" s="56"/>
      <c r="X55" s="56"/>
      <c r="Y55" s="611"/>
      <c r="AA55" s="56"/>
      <c r="AB55" s="56"/>
      <c r="AC55" s="56"/>
      <c r="AD55" s="611"/>
      <c r="AF55" s="56"/>
      <c r="AG55" s="56"/>
      <c r="AH55" s="56"/>
      <c r="AI55" s="611"/>
      <c r="AK55" s="56"/>
      <c r="AL55" s="56"/>
      <c r="AM55" s="56"/>
      <c r="AN55" s="611"/>
      <c r="AP55" s="56"/>
      <c r="AQ55" s="56"/>
      <c r="AR55" s="56"/>
      <c r="AS55" s="611"/>
      <c r="AU55" s="56"/>
      <c r="AV55" s="56"/>
      <c r="AW55" s="56"/>
      <c r="AX55" s="611"/>
      <c r="AZ55" s="56"/>
      <c r="BA55" s="56"/>
      <c r="BB55" s="56"/>
      <c r="BC55" s="611"/>
      <c r="BE55" s="56"/>
      <c r="BF55" s="56"/>
      <c r="BG55" s="56"/>
      <c r="BH55" s="611"/>
      <c r="BJ55" s="56"/>
      <c r="BK55" s="56"/>
      <c r="BL55" s="56"/>
      <c r="BM55" s="611"/>
      <c r="BO55" s="56"/>
      <c r="BP55" s="56"/>
      <c r="BQ55" s="56"/>
      <c r="BR55" s="611"/>
      <c r="BS55" s="56"/>
      <c r="BT55" s="56"/>
      <c r="BU55" s="56"/>
      <c r="BV55" s="56"/>
      <c r="BW55" s="611"/>
      <c r="BX55" s="56"/>
      <c r="BY55" s="56"/>
      <c r="BZ55" s="56"/>
      <c r="CA55" s="56"/>
      <c r="CB55" s="611"/>
      <c r="CC55" s="56"/>
      <c r="CD55" s="56"/>
      <c r="CE55" s="56"/>
      <c r="CF55" s="56"/>
      <c r="CG55" s="611"/>
      <c r="CI55" s="56"/>
      <c r="CJ55" s="56"/>
      <c r="CK55" s="56"/>
      <c r="CL55" s="611"/>
      <c r="CN55" s="56"/>
      <c r="CO55" s="56"/>
      <c r="CP55" s="56"/>
      <c r="CQ55" s="611"/>
      <c r="CS55" s="56"/>
      <c r="CT55" s="56"/>
      <c r="CU55" s="56"/>
      <c r="CV55" s="611"/>
      <c r="CX55" s="56"/>
      <c r="CY55" s="56"/>
      <c r="CZ55" s="56"/>
      <c r="DA55" s="611"/>
      <c r="DC55" s="56"/>
      <c r="DD55" s="56"/>
      <c r="DE55" s="56"/>
      <c r="DF55" s="611"/>
      <c r="DH55" s="56"/>
      <c r="DI55" s="56"/>
      <c r="DJ55" s="56"/>
      <c r="DK55" s="611"/>
      <c r="DM55" s="56"/>
      <c r="DN55" s="56"/>
      <c r="DO55" s="56"/>
      <c r="DP55" s="611"/>
      <c r="DR55" s="56"/>
      <c r="DS55" s="56"/>
      <c r="DT55" s="56"/>
      <c r="DU55" s="611"/>
      <c r="DW55" s="56"/>
      <c r="DX55" s="56"/>
      <c r="DY55" s="56"/>
      <c r="DZ55" s="611"/>
      <c r="EB55" s="56"/>
      <c r="EC55" s="56"/>
      <c r="ED55" s="56"/>
      <c r="EE55" s="611"/>
      <c r="EG55" s="56"/>
      <c r="EH55" s="56"/>
      <c r="EI55" s="56"/>
      <c r="EJ55" s="611"/>
      <c r="EK55" s="56"/>
      <c r="EL55" s="56"/>
      <c r="EO55" s="144"/>
      <c r="EP55" s="42"/>
      <c r="EQ55" s="42"/>
    </row>
    <row r="56" spans="4:147" ht="12.75" hidden="1" customHeight="1" x14ac:dyDescent="0.3">
      <c r="D56" s="144" t="s">
        <v>346</v>
      </c>
      <c r="E56" s="494"/>
      <c r="G56" s="56">
        <v>0</v>
      </c>
      <c r="H56" s="56"/>
      <c r="I56" s="56"/>
      <c r="J56" s="611"/>
      <c r="L56" s="56">
        <f>SUM(L57:L58)</f>
        <v>0</v>
      </c>
      <c r="M56" s="56"/>
      <c r="N56" s="56"/>
      <c r="O56" s="611"/>
      <c r="Q56" s="56">
        <f>SUM(Q57:Q58)</f>
        <v>0</v>
      </c>
      <c r="R56" s="56"/>
      <c r="S56" s="56"/>
      <c r="T56" s="611"/>
      <c r="V56" s="56">
        <f>SUM(V57:V58)</f>
        <v>0</v>
      </c>
      <c r="W56" s="56"/>
      <c r="X56" s="56"/>
      <c r="Y56" s="611"/>
      <c r="AA56" s="56">
        <f>SUM(AA57:AA58)</f>
        <v>0</v>
      </c>
      <c r="AB56" s="56"/>
      <c r="AC56" s="56"/>
      <c r="AD56" s="611"/>
      <c r="AF56" s="56">
        <f>SUM(AF57:AF58)</f>
        <v>0</v>
      </c>
      <c r="AG56" s="56"/>
      <c r="AH56" s="56"/>
      <c r="AI56" s="611"/>
      <c r="AK56" s="56">
        <f>SUM(AK57:AK58)</f>
        <v>0</v>
      </c>
      <c r="AL56" s="56"/>
      <c r="AM56" s="56"/>
      <c r="AN56" s="611"/>
      <c r="AP56" s="56">
        <f>SUM(AP57:AP58)</f>
        <v>0</v>
      </c>
      <c r="AQ56" s="56"/>
      <c r="AR56" s="56"/>
      <c r="AS56" s="611"/>
      <c r="AU56" s="56">
        <f>SUM(AU57:AU58)</f>
        <v>0</v>
      </c>
      <c r="AV56" s="56"/>
      <c r="AW56" s="56"/>
      <c r="AX56" s="611"/>
      <c r="AZ56" s="56">
        <f>SUM(AZ57:AZ58)</f>
        <v>0</v>
      </c>
      <c r="BA56" s="56"/>
      <c r="BB56" s="56"/>
      <c r="BC56" s="611"/>
      <c r="BE56" s="56">
        <f>SUM(BE57:BE58)</f>
        <v>0</v>
      </c>
      <c r="BF56" s="56"/>
      <c r="BG56" s="56"/>
      <c r="BH56" s="611"/>
      <c r="BJ56" s="56">
        <f>SUM(BJ57:BJ58)</f>
        <v>0</v>
      </c>
      <c r="BK56" s="56"/>
      <c r="BL56" s="56"/>
      <c r="BM56" s="611"/>
      <c r="BO56" s="56">
        <f>SUM(BO57:BO58)</f>
        <v>0</v>
      </c>
      <c r="BP56" s="56"/>
      <c r="BQ56" s="56"/>
      <c r="BR56" s="611"/>
      <c r="BT56" s="117">
        <f>SUM(BT57:BT58)</f>
        <v>0</v>
      </c>
      <c r="BU56" s="56"/>
      <c r="BV56" s="56"/>
      <c r="BW56" s="611"/>
      <c r="BY56" s="56">
        <f>SUM(BY57:BY58)</f>
        <v>0</v>
      </c>
      <c r="BZ56" s="56"/>
      <c r="CA56" s="56"/>
      <c r="CB56" s="611"/>
      <c r="CD56" s="56">
        <f>SUM(CD57:CD58)</f>
        <v>0</v>
      </c>
      <c r="CE56" s="56"/>
      <c r="CF56" s="56"/>
      <c r="CG56" s="611"/>
      <c r="CI56" s="56">
        <f>SUM(CI57:CI58)</f>
        <v>0</v>
      </c>
      <c r="CJ56" s="56"/>
      <c r="CK56" s="56"/>
      <c r="CL56" s="611"/>
      <c r="CN56" s="56">
        <f>SUM(CN57:CN58)</f>
        <v>0</v>
      </c>
      <c r="CO56" s="56"/>
      <c r="CP56" s="56"/>
      <c r="CQ56" s="611"/>
      <c r="CS56" s="56">
        <f>SUM(CS57:CS58)</f>
        <v>0</v>
      </c>
      <c r="CT56" s="56"/>
      <c r="CU56" s="56"/>
      <c r="CV56" s="611"/>
      <c r="CX56" s="56">
        <f>SUM(CX57:CX58)</f>
        <v>0</v>
      </c>
      <c r="CY56" s="56"/>
      <c r="CZ56" s="56"/>
      <c r="DA56" s="611"/>
      <c r="DC56" s="56">
        <f>SUM(DC57:DC58)</f>
        <v>0</v>
      </c>
      <c r="DD56" s="56"/>
      <c r="DE56" s="56"/>
      <c r="DF56" s="611"/>
      <c r="DH56" s="56">
        <f>SUM(DH57:DH58)</f>
        <v>0</v>
      </c>
      <c r="DI56" s="56"/>
      <c r="DJ56" s="56"/>
      <c r="DK56" s="611"/>
      <c r="DM56" s="56">
        <f>SUM(DM57:DM58)</f>
        <v>0</v>
      </c>
      <c r="DN56" s="56"/>
      <c r="DO56" s="56"/>
      <c r="DP56" s="611"/>
      <c r="DR56" s="56">
        <f>SUM(DR57:DR58)</f>
        <v>0</v>
      </c>
      <c r="DS56" s="56"/>
      <c r="DT56" s="56"/>
      <c r="DU56" s="611"/>
      <c r="DW56" s="56">
        <f>SUM(DW57:DW58)</f>
        <v>0</v>
      </c>
      <c r="DX56" s="56"/>
      <c r="DY56" s="56"/>
      <c r="DZ56" s="611"/>
      <c r="EB56" s="56">
        <f>SUM(EB57:EB58)</f>
        <v>0</v>
      </c>
      <c r="EC56" s="56"/>
      <c r="ED56" s="56"/>
      <c r="EE56" s="611"/>
      <c r="EG56" s="56">
        <f>SUM(EG57:EG58)</f>
        <v>0</v>
      </c>
      <c r="EH56" s="56"/>
      <c r="EI56" s="56"/>
      <c r="EJ56" s="611"/>
      <c r="EL56" s="56">
        <f>SUM(EL57:EL58)</f>
        <v>0</v>
      </c>
      <c r="EM56" s="56"/>
      <c r="EO56" s="144"/>
      <c r="EP56" s="42"/>
      <c r="EQ56" s="42"/>
    </row>
    <row r="57" spans="4:147" ht="12.75" hidden="1" customHeight="1" x14ac:dyDescent="0.3">
      <c r="D57" s="144" t="s">
        <v>390</v>
      </c>
      <c r="E57" s="494"/>
      <c r="F57" s="500"/>
      <c r="G57" s="609">
        <v>0</v>
      </c>
      <c r="H57" s="610"/>
      <c r="I57" s="56"/>
      <c r="J57" s="611"/>
      <c r="K57" s="500"/>
      <c r="L57" s="609">
        <v>0</v>
      </c>
      <c r="M57" s="610"/>
      <c r="N57" s="56"/>
      <c r="O57" s="611"/>
      <c r="P57" s="500"/>
      <c r="Q57" s="609">
        <v>0</v>
      </c>
      <c r="R57" s="610"/>
      <c r="S57" s="56"/>
      <c r="T57" s="611"/>
      <c r="U57" s="500"/>
      <c r="V57" s="609">
        <v>0</v>
      </c>
      <c r="W57" s="610"/>
      <c r="X57" s="56"/>
      <c r="Y57" s="611"/>
      <c r="Z57" s="500"/>
      <c r="AA57" s="609">
        <v>0</v>
      </c>
      <c r="AB57" s="610"/>
      <c r="AC57" s="56"/>
      <c r="AD57" s="611"/>
      <c r="AE57" s="500"/>
      <c r="AF57" s="609">
        <v>0</v>
      </c>
      <c r="AG57" s="610"/>
      <c r="AH57" s="56"/>
      <c r="AI57" s="611"/>
      <c r="AJ57" s="500"/>
      <c r="AK57" s="609">
        <v>0</v>
      </c>
      <c r="AL57" s="610"/>
      <c r="AM57" s="56"/>
      <c r="AN57" s="611"/>
      <c r="AO57" s="500"/>
      <c r="AP57" s="609">
        <v>0</v>
      </c>
      <c r="AQ57" s="610"/>
      <c r="AR57" s="56"/>
      <c r="AS57" s="611"/>
      <c r="AT57" s="500"/>
      <c r="AU57" s="609">
        <v>0</v>
      </c>
      <c r="AV57" s="610"/>
      <c r="AW57" s="56"/>
      <c r="AX57" s="611"/>
      <c r="AY57" s="500"/>
      <c r="AZ57" s="609">
        <v>0</v>
      </c>
      <c r="BA57" s="610"/>
      <c r="BB57" s="56"/>
      <c r="BC57" s="611"/>
      <c r="BD57" s="500"/>
      <c r="BE57" s="609">
        <v>0</v>
      </c>
      <c r="BF57" s="610"/>
      <c r="BG57" s="56"/>
      <c r="BH57" s="611"/>
      <c r="BI57" s="500"/>
      <c r="BJ57" s="609">
        <v>0</v>
      </c>
      <c r="BK57" s="610"/>
      <c r="BL57" s="56"/>
      <c r="BM57" s="611"/>
      <c r="BN57" s="500"/>
      <c r="BO57" s="609">
        <v>0</v>
      </c>
      <c r="BP57" s="610"/>
      <c r="BQ57" s="56"/>
      <c r="BR57" s="611"/>
      <c r="BS57" s="500"/>
      <c r="BT57" s="56">
        <f>SUM(L57:BO57)</f>
        <v>0</v>
      </c>
      <c r="BU57" s="610"/>
      <c r="BV57" s="56"/>
      <c r="BW57" s="611"/>
      <c r="BX57" s="500"/>
      <c r="BY57" s="609">
        <f>SUM(Q57:BT57)</f>
        <v>0</v>
      </c>
      <c r="BZ57" s="610"/>
      <c r="CA57" s="56"/>
      <c r="CB57" s="611"/>
      <c r="CC57" s="500"/>
      <c r="CD57" s="609">
        <v>0</v>
      </c>
      <c r="CE57" s="610"/>
      <c r="CF57" s="56"/>
      <c r="CG57" s="611"/>
      <c r="CH57" s="500"/>
      <c r="CI57" s="609">
        <v>0</v>
      </c>
      <c r="CJ57" s="610"/>
      <c r="CK57" s="56"/>
      <c r="CL57" s="611"/>
      <c r="CM57" s="500"/>
      <c r="CN57" s="609">
        <v>0</v>
      </c>
      <c r="CO57" s="610"/>
      <c r="CP57" s="56"/>
      <c r="CQ57" s="611"/>
      <c r="CR57" s="500"/>
      <c r="CS57" s="609">
        <v>0</v>
      </c>
      <c r="CT57" s="610"/>
      <c r="CU57" s="56"/>
      <c r="CV57" s="611"/>
      <c r="CW57" s="500"/>
      <c r="CX57" s="609">
        <v>0</v>
      </c>
      <c r="CY57" s="610"/>
      <c r="CZ57" s="56"/>
      <c r="DA57" s="611"/>
      <c r="DB57" s="500"/>
      <c r="DC57" s="609">
        <v>0</v>
      </c>
      <c r="DD57" s="610"/>
      <c r="DE57" s="56"/>
      <c r="DF57" s="611"/>
      <c r="DG57" s="500"/>
      <c r="DH57" s="609">
        <v>0</v>
      </c>
      <c r="DI57" s="610"/>
      <c r="DJ57" s="56"/>
      <c r="DK57" s="611"/>
      <c r="DL57" s="500"/>
      <c r="DM57" s="609">
        <v>0</v>
      </c>
      <c r="DN57" s="610"/>
      <c r="DO57" s="56"/>
      <c r="DP57" s="611"/>
      <c r="DQ57" s="500"/>
      <c r="DR57" s="609">
        <v>0</v>
      </c>
      <c r="DS57" s="610"/>
      <c r="DT57" s="56"/>
      <c r="DU57" s="611"/>
      <c r="DV57" s="500"/>
      <c r="DW57" s="609">
        <v>0</v>
      </c>
      <c r="DX57" s="610"/>
      <c r="DY57" s="56"/>
      <c r="DZ57" s="611"/>
      <c r="EA57" s="500"/>
      <c r="EB57" s="609">
        <v>0</v>
      </c>
      <c r="EC57" s="610"/>
      <c r="ED57" s="56"/>
      <c r="EE57" s="611"/>
      <c r="EF57" s="500"/>
      <c r="EG57" s="609">
        <v>0</v>
      </c>
      <c r="EH57" s="610"/>
      <c r="EI57" s="56"/>
      <c r="EJ57" s="611"/>
      <c r="EK57" s="500"/>
      <c r="EL57" s="609">
        <f>SUM(CD57:EG57)</f>
        <v>0</v>
      </c>
      <c r="EM57" s="610">
        <f>SUM(CE57:CO57)</f>
        <v>0</v>
      </c>
      <c r="EO57" s="144"/>
      <c r="EP57" s="42"/>
      <c r="EQ57" s="42"/>
    </row>
    <row r="58" spans="4:147" ht="12.75" hidden="1" customHeight="1" x14ac:dyDescent="0.3">
      <c r="D58" s="144" t="s">
        <v>340</v>
      </c>
      <c r="E58" s="494"/>
      <c r="F58" s="513"/>
      <c r="G58" s="117">
        <v>0</v>
      </c>
      <c r="H58" s="116"/>
      <c r="I58" s="56"/>
      <c r="J58" s="611"/>
      <c r="K58" s="513"/>
      <c r="L58" s="117">
        <v>0</v>
      </c>
      <c r="M58" s="116"/>
      <c r="N58" s="56"/>
      <c r="O58" s="611"/>
      <c r="P58" s="513"/>
      <c r="Q58" s="117">
        <v>0</v>
      </c>
      <c r="R58" s="116"/>
      <c r="S58" s="56"/>
      <c r="T58" s="611"/>
      <c r="U58" s="513"/>
      <c r="V58" s="117">
        <v>0</v>
      </c>
      <c r="W58" s="116"/>
      <c r="X58" s="56"/>
      <c r="Y58" s="611"/>
      <c r="Z58" s="513"/>
      <c r="AA58" s="117">
        <v>0</v>
      </c>
      <c r="AB58" s="116"/>
      <c r="AC58" s="56"/>
      <c r="AD58" s="611"/>
      <c r="AE58" s="513"/>
      <c r="AF58" s="117">
        <v>0</v>
      </c>
      <c r="AG58" s="116"/>
      <c r="AH58" s="56"/>
      <c r="AI58" s="611"/>
      <c r="AJ58" s="513"/>
      <c r="AK58" s="117">
        <v>0</v>
      </c>
      <c r="AL58" s="116"/>
      <c r="AM58" s="56"/>
      <c r="AN58" s="611"/>
      <c r="AO58" s="513"/>
      <c r="AP58" s="117">
        <v>0</v>
      </c>
      <c r="AQ58" s="116"/>
      <c r="AR58" s="56"/>
      <c r="AS58" s="611"/>
      <c r="AT58" s="513"/>
      <c r="AU58" s="117">
        <v>0</v>
      </c>
      <c r="AV58" s="116"/>
      <c r="AW58" s="56"/>
      <c r="AX58" s="611"/>
      <c r="AY58" s="513"/>
      <c r="AZ58" s="117">
        <v>0</v>
      </c>
      <c r="BA58" s="116"/>
      <c r="BB58" s="56"/>
      <c r="BC58" s="611"/>
      <c r="BD58" s="513"/>
      <c r="BE58" s="117">
        <v>0</v>
      </c>
      <c r="BF58" s="116"/>
      <c r="BG58" s="56"/>
      <c r="BH58" s="611"/>
      <c r="BI58" s="513"/>
      <c r="BJ58" s="117">
        <v>0</v>
      </c>
      <c r="BK58" s="116"/>
      <c r="BL58" s="56"/>
      <c r="BM58" s="611"/>
      <c r="BN58" s="513"/>
      <c r="BO58" s="117">
        <v>0</v>
      </c>
      <c r="BP58" s="116"/>
      <c r="BQ58" s="56"/>
      <c r="BR58" s="611"/>
      <c r="BS58" s="513"/>
      <c r="BT58" s="117">
        <f>SUM(L58:BO58)</f>
        <v>0</v>
      </c>
      <c r="BU58" s="116"/>
      <c r="BV58" s="56"/>
      <c r="BW58" s="611"/>
      <c r="BX58" s="513"/>
      <c r="BY58" s="117">
        <f>SUM(Q58:BT58)</f>
        <v>0</v>
      </c>
      <c r="BZ58" s="116"/>
      <c r="CA58" s="56"/>
      <c r="CB58" s="611"/>
      <c r="CC58" s="513"/>
      <c r="CD58" s="117">
        <v>0</v>
      </c>
      <c r="CE58" s="116"/>
      <c r="CF58" s="56"/>
      <c r="CG58" s="611"/>
      <c r="CH58" s="513"/>
      <c r="CI58" s="117">
        <v>0</v>
      </c>
      <c r="CJ58" s="116"/>
      <c r="CK58" s="56"/>
      <c r="CL58" s="611"/>
      <c r="CM58" s="513"/>
      <c r="CN58" s="117">
        <v>0</v>
      </c>
      <c r="CO58" s="116"/>
      <c r="CP58" s="56"/>
      <c r="CQ58" s="611"/>
      <c r="CR58" s="513"/>
      <c r="CS58" s="117">
        <v>0</v>
      </c>
      <c r="CT58" s="116"/>
      <c r="CU58" s="56"/>
      <c r="CV58" s="611"/>
      <c r="CW58" s="513"/>
      <c r="CX58" s="117">
        <v>0</v>
      </c>
      <c r="CY58" s="116"/>
      <c r="CZ58" s="56"/>
      <c r="DA58" s="611"/>
      <c r="DB58" s="513"/>
      <c r="DC58" s="117">
        <v>0</v>
      </c>
      <c r="DD58" s="116"/>
      <c r="DE58" s="56"/>
      <c r="DF58" s="611"/>
      <c r="DG58" s="513"/>
      <c r="DH58" s="117">
        <v>0</v>
      </c>
      <c r="DI58" s="116"/>
      <c r="DJ58" s="56"/>
      <c r="DK58" s="611"/>
      <c r="DL58" s="513"/>
      <c r="DM58" s="117">
        <v>0</v>
      </c>
      <c r="DN58" s="116"/>
      <c r="DO58" s="56"/>
      <c r="DP58" s="611"/>
      <c r="DQ58" s="513"/>
      <c r="DR58" s="117">
        <v>0</v>
      </c>
      <c r="DS58" s="116"/>
      <c r="DT58" s="56"/>
      <c r="DU58" s="611"/>
      <c r="DV58" s="513"/>
      <c r="DW58" s="117">
        <v>0</v>
      </c>
      <c r="DX58" s="116"/>
      <c r="DY58" s="56"/>
      <c r="DZ58" s="611"/>
      <c r="EA58" s="513"/>
      <c r="EB58" s="117">
        <v>0</v>
      </c>
      <c r="EC58" s="116"/>
      <c r="ED58" s="56"/>
      <c r="EE58" s="611"/>
      <c r="EF58" s="513"/>
      <c r="EG58" s="117">
        <v>0</v>
      </c>
      <c r="EH58" s="116"/>
      <c r="EI58" s="56"/>
      <c r="EJ58" s="611"/>
      <c r="EK58" s="513"/>
      <c r="EL58" s="117">
        <f>SUM(CD58:EG58)</f>
        <v>0</v>
      </c>
      <c r="EM58" s="116">
        <f>SUM(CE58:CO58)</f>
        <v>0</v>
      </c>
      <c r="EO58" s="144"/>
      <c r="EP58" s="42"/>
      <c r="EQ58" s="42"/>
    </row>
    <row r="59" spans="4:147" hidden="1" x14ac:dyDescent="0.3">
      <c r="D59" s="144"/>
      <c r="E59" s="494"/>
      <c r="G59" s="56"/>
      <c r="H59" s="56"/>
      <c r="I59" s="56"/>
      <c r="J59" s="611"/>
      <c r="K59" s="56"/>
      <c r="L59" s="56"/>
      <c r="M59" s="56"/>
      <c r="N59" s="56"/>
      <c r="O59" s="611"/>
      <c r="P59" s="56"/>
      <c r="Q59" s="56"/>
      <c r="R59" s="56"/>
      <c r="S59" s="56"/>
      <c r="T59" s="611"/>
      <c r="U59" s="56"/>
      <c r="V59" s="56"/>
      <c r="W59" s="56"/>
      <c r="X59" s="56"/>
      <c r="Y59" s="611"/>
      <c r="Z59" s="56"/>
      <c r="AA59" s="56"/>
      <c r="AB59" s="56"/>
      <c r="AC59" s="56"/>
      <c r="AD59" s="611"/>
      <c r="AE59" s="56"/>
      <c r="AF59" s="56"/>
      <c r="AG59" s="56"/>
      <c r="AH59" s="56"/>
      <c r="AI59" s="611"/>
      <c r="AJ59" s="56"/>
      <c r="AK59" s="56"/>
      <c r="AL59" s="56"/>
      <c r="AM59" s="56"/>
      <c r="AN59" s="611"/>
      <c r="AO59" s="56"/>
      <c r="AP59" s="56"/>
      <c r="AQ59" s="56"/>
      <c r="AR59" s="56"/>
      <c r="AS59" s="611"/>
      <c r="AT59" s="56"/>
      <c r="AU59" s="56"/>
      <c r="AV59" s="56"/>
      <c r="AW59" s="56"/>
      <c r="AX59" s="611"/>
      <c r="AY59" s="56"/>
      <c r="AZ59" s="56"/>
      <c r="BA59" s="56"/>
      <c r="BB59" s="56"/>
      <c r="BC59" s="611"/>
      <c r="BD59" s="56"/>
      <c r="BE59" s="56"/>
      <c r="BF59" s="56"/>
      <c r="BG59" s="56"/>
      <c r="BH59" s="611"/>
      <c r="BI59" s="56"/>
      <c r="BJ59" s="56"/>
      <c r="BK59" s="56"/>
      <c r="BL59" s="56"/>
      <c r="BM59" s="611"/>
      <c r="BN59" s="56"/>
      <c r="BO59" s="56"/>
      <c r="BP59" s="56"/>
      <c r="BQ59" s="56"/>
      <c r="BR59" s="611"/>
      <c r="BS59" s="56"/>
      <c r="BT59" s="56"/>
      <c r="BU59" s="56"/>
      <c r="BV59" s="56"/>
      <c r="BW59" s="611"/>
      <c r="BX59" s="56"/>
      <c r="BY59" s="56"/>
      <c r="BZ59" s="56"/>
      <c r="CA59" s="56"/>
      <c r="CB59" s="611"/>
      <c r="CC59" s="56"/>
      <c r="CD59" s="56"/>
      <c r="CE59" s="56"/>
      <c r="CF59" s="56"/>
      <c r="CG59" s="611"/>
      <c r="CH59" s="56"/>
      <c r="CI59" s="56"/>
      <c r="CJ59" s="56"/>
      <c r="CK59" s="56"/>
      <c r="CL59" s="611"/>
      <c r="CM59" s="56"/>
      <c r="CN59" s="56"/>
      <c r="CO59" s="56"/>
      <c r="CP59" s="56"/>
      <c r="CQ59" s="611"/>
      <c r="CR59" s="56"/>
      <c r="CS59" s="56"/>
      <c r="CT59" s="56"/>
      <c r="CU59" s="56"/>
      <c r="CV59" s="611"/>
      <c r="CW59" s="56"/>
      <c r="CX59" s="56"/>
      <c r="CY59" s="56"/>
      <c r="CZ59" s="56"/>
      <c r="DA59" s="611"/>
      <c r="DB59" s="56"/>
      <c r="DC59" s="56"/>
      <c r="DD59" s="56"/>
      <c r="DE59" s="56"/>
      <c r="DF59" s="611"/>
      <c r="DG59" s="56"/>
      <c r="DH59" s="56"/>
      <c r="DI59" s="56"/>
      <c r="DJ59" s="56"/>
      <c r="DK59" s="611"/>
      <c r="DL59" s="56"/>
      <c r="DM59" s="56"/>
      <c r="DN59" s="56"/>
      <c r="DO59" s="56"/>
      <c r="DP59" s="611"/>
      <c r="DQ59" s="56"/>
      <c r="DR59" s="56"/>
      <c r="DS59" s="56"/>
      <c r="DT59" s="56"/>
      <c r="DU59" s="611"/>
      <c r="DV59" s="56"/>
      <c r="DW59" s="56"/>
      <c r="DX59" s="56"/>
      <c r="DY59" s="56"/>
      <c r="DZ59" s="611"/>
      <c r="EA59" s="56"/>
      <c r="EB59" s="56"/>
      <c r="EC59" s="56"/>
      <c r="ED59" s="56"/>
      <c r="EE59" s="611"/>
      <c r="EF59" s="56"/>
      <c r="EG59" s="56"/>
      <c r="EH59" s="56"/>
      <c r="EI59" s="56"/>
      <c r="EJ59" s="611"/>
      <c r="EK59" s="56"/>
      <c r="EL59" s="56"/>
      <c r="EO59" s="144"/>
      <c r="EP59" s="42"/>
      <c r="EQ59" s="42"/>
    </row>
    <row r="60" spans="4:147" hidden="1" x14ac:dyDescent="0.3">
      <c r="D60" s="144" t="s">
        <v>347</v>
      </c>
      <c r="E60" s="494"/>
      <c r="G60" s="56">
        <v>0</v>
      </c>
      <c r="H60" s="56"/>
      <c r="I60" s="56"/>
      <c r="J60" s="611"/>
      <c r="L60" s="56">
        <f>SUM(L61:L62)</f>
        <v>0</v>
      </c>
      <c r="M60" s="56"/>
      <c r="N60" s="56"/>
      <c r="O60" s="611"/>
      <c r="Q60" s="56">
        <f>SUM(Q61:Q62)</f>
        <v>0</v>
      </c>
      <c r="R60" s="56"/>
      <c r="S60" s="56"/>
      <c r="T60" s="611"/>
      <c r="V60" s="56">
        <f>SUM(V61:V62)</f>
        <v>0</v>
      </c>
      <c r="W60" s="56"/>
      <c r="X60" s="56"/>
      <c r="Y60" s="611"/>
      <c r="AA60" s="56">
        <f>SUM(AA61:AA62)</f>
        <v>0</v>
      </c>
      <c r="AB60" s="56"/>
      <c r="AC60" s="56"/>
      <c r="AD60" s="611"/>
      <c r="AF60" s="56">
        <f>SUM(AF61:AF62)</f>
        <v>0</v>
      </c>
      <c r="AG60" s="56"/>
      <c r="AH60" s="56"/>
      <c r="AI60" s="611"/>
      <c r="AK60" s="56">
        <f>SUM(AK61:AK62)</f>
        <v>0</v>
      </c>
      <c r="AL60" s="56"/>
      <c r="AM60" s="56"/>
      <c r="AN60" s="611"/>
      <c r="AP60" s="56">
        <f>SUM(AP61:AP62)</f>
        <v>0</v>
      </c>
      <c r="AQ60" s="56"/>
      <c r="AR60" s="56"/>
      <c r="AS60" s="611"/>
      <c r="AU60" s="56">
        <f>SUM(AU61:AU62)</f>
        <v>0</v>
      </c>
      <c r="AV60" s="56"/>
      <c r="AW60" s="56"/>
      <c r="AX60" s="611"/>
      <c r="AZ60" s="56">
        <f>SUM(AZ61:AZ62)</f>
        <v>0</v>
      </c>
      <c r="BA60" s="56"/>
      <c r="BB60" s="56"/>
      <c r="BC60" s="611"/>
      <c r="BE60" s="56">
        <f>SUM(BE61:BE62)</f>
        <v>0</v>
      </c>
      <c r="BF60" s="56"/>
      <c r="BG60" s="56"/>
      <c r="BH60" s="611"/>
      <c r="BJ60" s="56">
        <f>SUM(BJ61:BJ62)</f>
        <v>0</v>
      </c>
      <c r="BK60" s="56"/>
      <c r="BL60" s="56"/>
      <c r="BM60" s="611"/>
      <c r="BO60" s="56">
        <f>SUM(BO61:BO62)</f>
        <v>0</v>
      </c>
      <c r="BP60" s="56"/>
      <c r="BQ60" s="56"/>
      <c r="BR60" s="611"/>
      <c r="BT60" s="56">
        <f>SUM(BT61:BT62)</f>
        <v>0</v>
      </c>
      <c r="BU60" s="56"/>
      <c r="BV60" s="56"/>
      <c r="BW60" s="611"/>
      <c r="BY60" s="56">
        <f>SUM(BY61:BY62)</f>
        <v>0</v>
      </c>
      <c r="BZ60" s="56"/>
      <c r="CA60" s="56"/>
      <c r="CB60" s="611"/>
      <c r="CD60" s="56">
        <f>SUM(CD61:CD62)</f>
        <v>0</v>
      </c>
      <c r="CE60" s="56"/>
      <c r="CF60" s="56"/>
      <c r="CG60" s="611"/>
      <c r="CI60" s="56">
        <f>SUM(CI61:CI62)</f>
        <v>0</v>
      </c>
      <c r="CJ60" s="56"/>
      <c r="CK60" s="56"/>
      <c r="CL60" s="611"/>
      <c r="CN60" s="56">
        <f>SUM(CN61:CN62)</f>
        <v>0</v>
      </c>
      <c r="CO60" s="56"/>
      <c r="CP60" s="56"/>
      <c r="CQ60" s="611"/>
      <c r="CS60" s="56">
        <f>SUM(CS61:CS62)</f>
        <v>0</v>
      </c>
      <c r="CT60" s="56"/>
      <c r="CU60" s="56"/>
      <c r="CV60" s="611"/>
      <c r="CX60" s="56">
        <f>SUM(CX61:CX62)</f>
        <v>0</v>
      </c>
      <c r="CY60" s="56"/>
      <c r="CZ60" s="56"/>
      <c r="DA60" s="611"/>
      <c r="DC60" s="56">
        <f>SUM(DC61:DC62)</f>
        <v>0</v>
      </c>
      <c r="DD60" s="56"/>
      <c r="DE60" s="56"/>
      <c r="DF60" s="611"/>
      <c r="DH60" s="56">
        <f>SUM(DH61:DH62)</f>
        <v>0</v>
      </c>
      <c r="DI60" s="56"/>
      <c r="DJ60" s="56"/>
      <c r="DK60" s="611"/>
      <c r="DM60" s="56">
        <f>SUM(DM61:DM62)</f>
        <v>0</v>
      </c>
      <c r="DN60" s="56"/>
      <c r="DO60" s="56"/>
      <c r="DP60" s="611"/>
      <c r="DR60" s="56">
        <f>SUM(DR61:DR62)</f>
        <v>0</v>
      </c>
      <c r="DS60" s="56"/>
      <c r="DT60" s="56"/>
      <c r="DU60" s="611"/>
      <c r="DW60" s="56">
        <f>SUM(DW61:DW62)</f>
        <v>0</v>
      </c>
      <c r="DX60" s="56"/>
      <c r="DY60" s="56"/>
      <c r="DZ60" s="611"/>
      <c r="EB60" s="56">
        <f>SUM(EB61:EB62)</f>
        <v>0</v>
      </c>
      <c r="EC60" s="56"/>
      <c r="ED60" s="56"/>
      <c r="EE60" s="611"/>
      <c r="EG60" s="56">
        <f>SUM(EG61:EG62)</f>
        <v>0</v>
      </c>
      <c r="EH60" s="56"/>
      <c r="EI60" s="56"/>
      <c r="EJ60" s="611"/>
      <c r="EL60" s="56">
        <f>SUM(EL61:EL62)</f>
        <v>0</v>
      </c>
      <c r="EM60" s="56"/>
      <c r="EO60" s="144"/>
      <c r="EP60" s="42"/>
      <c r="EQ60" s="42"/>
    </row>
    <row r="61" spans="4:147" hidden="1" x14ac:dyDescent="0.3">
      <c r="D61" s="144" t="s">
        <v>390</v>
      </c>
      <c r="E61" s="494"/>
      <c r="F61" s="500"/>
      <c r="G61" s="609">
        <v>0</v>
      </c>
      <c r="H61" s="610"/>
      <c r="I61" s="56"/>
      <c r="J61" s="611"/>
      <c r="K61" s="500"/>
      <c r="L61" s="609">
        <v>0</v>
      </c>
      <c r="M61" s="610"/>
      <c r="N61" s="56"/>
      <c r="O61" s="611"/>
      <c r="P61" s="500"/>
      <c r="Q61" s="609">
        <v>0</v>
      </c>
      <c r="R61" s="610"/>
      <c r="S61" s="56"/>
      <c r="T61" s="611"/>
      <c r="U61" s="500"/>
      <c r="V61" s="609">
        <v>0</v>
      </c>
      <c r="W61" s="610"/>
      <c r="X61" s="56"/>
      <c r="Y61" s="611"/>
      <c r="Z61" s="500"/>
      <c r="AA61" s="609">
        <v>0</v>
      </c>
      <c r="AB61" s="610"/>
      <c r="AC61" s="56"/>
      <c r="AD61" s="611"/>
      <c r="AE61" s="500"/>
      <c r="AF61" s="609">
        <v>0</v>
      </c>
      <c r="AG61" s="610"/>
      <c r="AH61" s="56"/>
      <c r="AI61" s="611"/>
      <c r="AJ61" s="500"/>
      <c r="AK61" s="609">
        <v>0</v>
      </c>
      <c r="AL61" s="610"/>
      <c r="AM61" s="56"/>
      <c r="AN61" s="611"/>
      <c r="AO61" s="500"/>
      <c r="AP61" s="609">
        <v>0</v>
      </c>
      <c r="AQ61" s="610"/>
      <c r="AR61" s="56"/>
      <c r="AS61" s="611"/>
      <c r="AT61" s="500"/>
      <c r="AU61" s="609">
        <v>0</v>
      </c>
      <c r="AV61" s="610"/>
      <c r="AW61" s="56"/>
      <c r="AX61" s="611"/>
      <c r="AY61" s="500"/>
      <c r="AZ61" s="609">
        <v>0</v>
      </c>
      <c r="BA61" s="610"/>
      <c r="BB61" s="56"/>
      <c r="BC61" s="611"/>
      <c r="BD61" s="500"/>
      <c r="BE61" s="609">
        <v>0</v>
      </c>
      <c r="BF61" s="610"/>
      <c r="BG61" s="56"/>
      <c r="BH61" s="611"/>
      <c r="BI61" s="500"/>
      <c r="BJ61" s="609">
        <v>0</v>
      </c>
      <c r="BK61" s="610"/>
      <c r="BL61" s="56"/>
      <c r="BM61" s="611"/>
      <c r="BN61" s="500"/>
      <c r="BO61" s="609">
        <v>0</v>
      </c>
      <c r="BP61" s="610"/>
      <c r="BQ61" s="56"/>
      <c r="BR61" s="611"/>
      <c r="BS61" s="500"/>
      <c r="BT61" s="609">
        <f>SUM(L61:BO61)</f>
        <v>0</v>
      </c>
      <c r="BU61" s="610"/>
      <c r="BV61" s="56"/>
      <c r="BW61" s="611"/>
      <c r="BX61" s="500"/>
      <c r="BY61" s="609">
        <f>SUM(Q61:BT61)</f>
        <v>0</v>
      </c>
      <c r="BZ61" s="610"/>
      <c r="CA61" s="56"/>
      <c r="CB61" s="611"/>
      <c r="CC61" s="500"/>
      <c r="CD61" s="609">
        <v>0</v>
      </c>
      <c r="CE61" s="610"/>
      <c r="CF61" s="56"/>
      <c r="CG61" s="611"/>
      <c r="CH61" s="500"/>
      <c r="CI61" s="609">
        <v>0</v>
      </c>
      <c r="CJ61" s="610"/>
      <c r="CK61" s="56"/>
      <c r="CL61" s="611"/>
      <c r="CM61" s="500"/>
      <c r="CN61" s="609">
        <v>0</v>
      </c>
      <c r="CO61" s="610"/>
      <c r="CP61" s="56"/>
      <c r="CQ61" s="611"/>
      <c r="CR61" s="500"/>
      <c r="CS61" s="609">
        <v>0</v>
      </c>
      <c r="CT61" s="610"/>
      <c r="CU61" s="56"/>
      <c r="CV61" s="611"/>
      <c r="CW61" s="500"/>
      <c r="CX61" s="609">
        <v>0</v>
      </c>
      <c r="CY61" s="610"/>
      <c r="CZ61" s="56"/>
      <c r="DA61" s="611"/>
      <c r="DB61" s="500"/>
      <c r="DC61" s="609">
        <v>0</v>
      </c>
      <c r="DD61" s="610"/>
      <c r="DE61" s="56"/>
      <c r="DF61" s="611"/>
      <c r="DG61" s="500"/>
      <c r="DH61" s="609">
        <v>0</v>
      </c>
      <c r="DI61" s="610"/>
      <c r="DJ61" s="56"/>
      <c r="DK61" s="611"/>
      <c r="DL61" s="500"/>
      <c r="DM61" s="609">
        <v>0</v>
      </c>
      <c r="DN61" s="610"/>
      <c r="DO61" s="56"/>
      <c r="DP61" s="611"/>
      <c r="DQ61" s="500"/>
      <c r="DR61" s="609">
        <v>0</v>
      </c>
      <c r="DS61" s="610"/>
      <c r="DT61" s="56"/>
      <c r="DU61" s="611"/>
      <c r="DV61" s="500"/>
      <c r="DW61" s="609">
        <v>0</v>
      </c>
      <c r="DX61" s="610"/>
      <c r="DY61" s="56"/>
      <c r="DZ61" s="611"/>
      <c r="EA61" s="500"/>
      <c r="EB61" s="609">
        <v>0</v>
      </c>
      <c r="EC61" s="610"/>
      <c r="ED61" s="56"/>
      <c r="EE61" s="611"/>
      <c r="EF61" s="500"/>
      <c r="EG61" s="609">
        <v>0</v>
      </c>
      <c r="EH61" s="610"/>
      <c r="EI61" s="56"/>
      <c r="EJ61" s="611"/>
      <c r="EK61" s="500"/>
      <c r="EL61" s="609">
        <f>SUM(CD61:EG61)</f>
        <v>0</v>
      </c>
      <c r="EM61" s="610"/>
      <c r="EO61" s="144"/>
      <c r="EP61" s="42"/>
      <c r="EQ61" s="42"/>
    </row>
    <row r="62" spans="4:147" hidden="1" x14ac:dyDescent="0.3">
      <c r="D62" s="144" t="s">
        <v>340</v>
      </c>
      <c r="E62" s="494"/>
      <c r="F62" s="513"/>
      <c r="G62" s="117">
        <v>0</v>
      </c>
      <c r="H62" s="116"/>
      <c r="I62" s="56"/>
      <c r="J62" s="611"/>
      <c r="K62" s="513"/>
      <c r="L62" s="117">
        <v>0</v>
      </c>
      <c r="M62" s="116"/>
      <c r="N62" s="56"/>
      <c r="O62" s="611"/>
      <c r="P62" s="513"/>
      <c r="Q62" s="117">
        <v>0</v>
      </c>
      <c r="R62" s="116"/>
      <c r="S62" s="56"/>
      <c r="T62" s="611"/>
      <c r="U62" s="513"/>
      <c r="V62" s="117">
        <v>0</v>
      </c>
      <c r="W62" s="116"/>
      <c r="X62" s="56"/>
      <c r="Y62" s="611"/>
      <c r="Z62" s="513"/>
      <c r="AA62" s="117">
        <v>0</v>
      </c>
      <c r="AB62" s="116"/>
      <c r="AC62" s="56"/>
      <c r="AD62" s="611"/>
      <c r="AE62" s="513"/>
      <c r="AF62" s="117">
        <v>0</v>
      </c>
      <c r="AG62" s="116"/>
      <c r="AH62" s="56"/>
      <c r="AI62" s="611"/>
      <c r="AJ62" s="513"/>
      <c r="AK62" s="117">
        <v>0</v>
      </c>
      <c r="AL62" s="116"/>
      <c r="AM62" s="56"/>
      <c r="AN62" s="611"/>
      <c r="AO62" s="513"/>
      <c r="AP62" s="117">
        <v>0</v>
      </c>
      <c r="AQ62" s="116"/>
      <c r="AR62" s="56"/>
      <c r="AS62" s="611"/>
      <c r="AT62" s="513"/>
      <c r="AU62" s="117">
        <v>0</v>
      </c>
      <c r="AV62" s="116"/>
      <c r="AW62" s="56"/>
      <c r="AX62" s="611"/>
      <c r="AY62" s="513"/>
      <c r="AZ62" s="117">
        <v>0</v>
      </c>
      <c r="BA62" s="116"/>
      <c r="BB62" s="56"/>
      <c r="BC62" s="611"/>
      <c r="BD62" s="513"/>
      <c r="BE62" s="117">
        <v>0</v>
      </c>
      <c r="BF62" s="116"/>
      <c r="BG62" s="56"/>
      <c r="BH62" s="611"/>
      <c r="BI62" s="513"/>
      <c r="BJ62" s="117">
        <v>0</v>
      </c>
      <c r="BK62" s="116"/>
      <c r="BL62" s="56"/>
      <c r="BM62" s="611"/>
      <c r="BN62" s="513"/>
      <c r="BO62" s="117">
        <v>0</v>
      </c>
      <c r="BP62" s="116"/>
      <c r="BQ62" s="56"/>
      <c r="BR62" s="611"/>
      <c r="BS62" s="513"/>
      <c r="BT62" s="117">
        <f>SUM(L62:BO62)</f>
        <v>0</v>
      </c>
      <c r="BU62" s="116"/>
      <c r="BV62" s="56"/>
      <c r="BW62" s="611"/>
      <c r="BX62" s="513"/>
      <c r="BY62" s="117">
        <f>SUM(Q62:BT62)</f>
        <v>0</v>
      </c>
      <c r="BZ62" s="116"/>
      <c r="CA62" s="56"/>
      <c r="CB62" s="611"/>
      <c r="CC62" s="513"/>
      <c r="CD62" s="117">
        <v>0</v>
      </c>
      <c r="CE62" s="116"/>
      <c r="CF62" s="56"/>
      <c r="CG62" s="611"/>
      <c r="CH62" s="513"/>
      <c r="CI62" s="117">
        <v>0</v>
      </c>
      <c r="CJ62" s="116"/>
      <c r="CK62" s="56"/>
      <c r="CL62" s="611"/>
      <c r="CM62" s="513"/>
      <c r="CN62" s="117">
        <v>0</v>
      </c>
      <c r="CO62" s="116"/>
      <c r="CP62" s="56"/>
      <c r="CQ62" s="611"/>
      <c r="CR62" s="513"/>
      <c r="CS62" s="117">
        <v>0</v>
      </c>
      <c r="CT62" s="116"/>
      <c r="CU62" s="56"/>
      <c r="CV62" s="611"/>
      <c r="CW62" s="513"/>
      <c r="CX62" s="117">
        <v>0</v>
      </c>
      <c r="CY62" s="116"/>
      <c r="CZ62" s="56"/>
      <c r="DA62" s="611"/>
      <c r="DB62" s="513"/>
      <c r="DC62" s="117">
        <v>0</v>
      </c>
      <c r="DD62" s="116"/>
      <c r="DE62" s="56"/>
      <c r="DF62" s="611"/>
      <c r="DG62" s="513"/>
      <c r="DH62" s="117">
        <v>0</v>
      </c>
      <c r="DI62" s="116"/>
      <c r="DJ62" s="56"/>
      <c r="DK62" s="611"/>
      <c r="DL62" s="513"/>
      <c r="DM62" s="117">
        <v>0</v>
      </c>
      <c r="DN62" s="116"/>
      <c r="DO62" s="56"/>
      <c r="DP62" s="611"/>
      <c r="DQ62" s="513"/>
      <c r="DR62" s="117">
        <v>0</v>
      </c>
      <c r="DS62" s="116"/>
      <c r="DT62" s="56"/>
      <c r="DU62" s="611"/>
      <c r="DV62" s="513"/>
      <c r="DW62" s="117">
        <v>0</v>
      </c>
      <c r="DX62" s="116"/>
      <c r="DY62" s="56"/>
      <c r="DZ62" s="611"/>
      <c r="EA62" s="513"/>
      <c r="EB62" s="117">
        <v>0</v>
      </c>
      <c r="EC62" s="116"/>
      <c r="ED62" s="56"/>
      <c r="EE62" s="611"/>
      <c r="EF62" s="513"/>
      <c r="EG62" s="117">
        <v>0</v>
      </c>
      <c r="EH62" s="116"/>
      <c r="EI62" s="56"/>
      <c r="EJ62" s="611"/>
      <c r="EK62" s="513"/>
      <c r="EL62" s="117">
        <f>SUM(CD62:EG62)</f>
        <v>0</v>
      </c>
      <c r="EM62" s="116"/>
      <c r="EO62" s="144"/>
      <c r="EP62" s="42"/>
      <c r="EQ62" s="42"/>
    </row>
    <row r="63" spans="4:147" ht="12.75" hidden="1" customHeight="1" x14ac:dyDescent="0.3">
      <c r="D63" s="144"/>
      <c r="E63" s="494"/>
      <c r="G63" s="56"/>
      <c r="H63" s="56"/>
      <c r="I63" s="56"/>
      <c r="J63" s="611"/>
      <c r="K63" s="56"/>
      <c r="L63" s="56"/>
      <c r="M63" s="56"/>
      <c r="N63" s="56"/>
      <c r="O63" s="611"/>
      <c r="P63" s="56"/>
      <c r="Q63" s="56"/>
      <c r="R63" s="56"/>
      <c r="S63" s="56"/>
      <c r="T63" s="611"/>
      <c r="U63" s="56"/>
      <c r="V63" s="56"/>
      <c r="W63" s="56"/>
      <c r="X63" s="56"/>
      <c r="Y63" s="611"/>
      <c r="Z63" s="56"/>
      <c r="AA63" s="56"/>
      <c r="AB63" s="56"/>
      <c r="AC63" s="56"/>
      <c r="AD63" s="611"/>
      <c r="AE63" s="56"/>
      <c r="AF63" s="56"/>
      <c r="AG63" s="56"/>
      <c r="AH63" s="56"/>
      <c r="AI63" s="611"/>
      <c r="AJ63" s="56"/>
      <c r="AK63" s="56"/>
      <c r="AL63" s="56"/>
      <c r="AM63" s="56"/>
      <c r="AN63" s="611"/>
      <c r="AO63" s="56"/>
      <c r="AP63" s="56"/>
      <c r="AQ63" s="56"/>
      <c r="AR63" s="56"/>
      <c r="AS63" s="611"/>
      <c r="AT63" s="56"/>
      <c r="AU63" s="56"/>
      <c r="AV63" s="56"/>
      <c r="AW63" s="56"/>
      <c r="AX63" s="611"/>
      <c r="AY63" s="56"/>
      <c r="AZ63" s="56"/>
      <c r="BA63" s="56"/>
      <c r="BB63" s="56"/>
      <c r="BC63" s="611"/>
      <c r="BD63" s="56"/>
      <c r="BE63" s="56"/>
      <c r="BF63" s="56"/>
      <c r="BG63" s="56"/>
      <c r="BH63" s="611"/>
      <c r="BI63" s="56"/>
      <c r="BJ63" s="56"/>
      <c r="BK63" s="56"/>
      <c r="BL63" s="56"/>
      <c r="BM63" s="611"/>
      <c r="BN63" s="56"/>
      <c r="BO63" s="56"/>
      <c r="BP63" s="56"/>
      <c r="BQ63" s="56"/>
      <c r="BR63" s="611"/>
      <c r="BS63" s="56"/>
      <c r="BT63" s="56"/>
      <c r="BU63" s="56"/>
      <c r="BV63" s="56"/>
      <c r="BW63" s="611"/>
      <c r="BX63" s="56"/>
      <c r="BY63" s="56"/>
      <c r="BZ63" s="56"/>
      <c r="CA63" s="56"/>
      <c r="CB63" s="611"/>
      <c r="CC63" s="56"/>
      <c r="CD63" s="56"/>
      <c r="CE63" s="56"/>
      <c r="CF63" s="56"/>
      <c r="CG63" s="611"/>
      <c r="CH63" s="56"/>
      <c r="CI63" s="56"/>
      <c r="CJ63" s="56"/>
      <c r="CK63" s="56"/>
      <c r="CL63" s="611"/>
      <c r="CM63" s="56"/>
      <c r="CN63" s="56"/>
      <c r="CO63" s="56"/>
      <c r="CP63" s="56"/>
      <c r="CQ63" s="611"/>
      <c r="CR63" s="56"/>
      <c r="CS63" s="56"/>
      <c r="CT63" s="56"/>
      <c r="CU63" s="56"/>
      <c r="CV63" s="611"/>
      <c r="CW63" s="56"/>
      <c r="CX63" s="56"/>
      <c r="CY63" s="56"/>
      <c r="CZ63" s="56"/>
      <c r="DA63" s="611"/>
      <c r="DB63" s="56"/>
      <c r="DC63" s="56"/>
      <c r="DD63" s="56"/>
      <c r="DE63" s="56"/>
      <c r="DF63" s="611"/>
      <c r="DG63" s="56"/>
      <c r="DH63" s="56"/>
      <c r="DI63" s="56"/>
      <c r="DJ63" s="56"/>
      <c r="DK63" s="611"/>
      <c r="DL63" s="56"/>
      <c r="DM63" s="56"/>
      <c r="DN63" s="56"/>
      <c r="DO63" s="56"/>
      <c r="DP63" s="611"/>
      <c r="DQ63" s="56"/>
      <c r="DR63" s="56"/>
      <c r="DS63" s="56"/>
      <c r="DT63" s="56"/>
      <c r="DU63" s="611"/>
      <c r="DV63" s="56"/>
      <c r="DW63" s="56"/>
      <c r="DX63" s="56"/>
      <c r="DY63" s="56"/>
      <c r="DZ63" s="611"/>
      <c r="EA63" s="56"/>
      <c r="EB63" s="56"/>
      <c r="EC63" s="56"/>
      <c r="ED63" s="56"/>
      <c r="EE63" s="611"/>
      <c r="EF63" s="56"/>
      <c r="EG63" s="56"/>
      <c r="EH63" s="56"/>
      <c r="EI63" s="56"/>
      <c r="EJ63" s="611"/>
      <c r="EK63" s="56"/>
      <c r="EL63" s="56"/>
      <c r="EO63" s="144"/>
      <c r="EP63" s="42"/>
      <c r="EQ63" s="42"/>
    </row>
    <row r="64" spans="4:147" ht="12.75" hidden="1" customHeight="1" x14ac:dyDescent="0.3">
      <c r="D64" s="144" t="s">
        <v>348</v>
      </c>
      <c r="E64" s="494"/>
      <c r="G64" s="56">
        <f>SUM(G65:G66)</f>
        <v>0</v>
      </c>
      <c r="H64" s="56"/>
      <c r="I64" s="56"/>
      <c r="J64" s="611"/>
      <c r="K64" s="56"/>
      <c r="L64" s="56">
        <f>SUM(L65:L66)</f>
        <v>0</v>
      </c>
      <c r="M64" s="56"/>
      <c r="N64" s="56"/>
      <c r="O64" s="611"/>
      <c r="Q64" s="56">
        <f>SUM(Q65:Q66)</f>
        <v>0</v>
      </c>
      <c r="R64" s="56"/>
      <c r="S64" s="56"/>
      <c r="T64" s="611"/>
      <c r="V64" s="56">
        <f>SUM(V65:V66)</f>
        <v>0</v>
      </c>
      <c r="W64" s="56"/>
      <c r="X64" s="56"/>
      <c r="Y64" s="611"/>
      <c r="AA64" s="56">
        <f>SUM(AA65:AA66)</f>
        <v>0</v>
      </c>
      <c r="AB64" s="56"/>
      <c r="AC64" s="56"/>
      <c r="AD64" s="611"/>
      <c r="AF64" s="56">
        <f>SUM(AF65:AF66)</f>
        <v>0</v>
      </c>
      <c r="AG64" s="56"/>
      <c r="AH64" s="56"/>
      <c r="AI64" s="611"/>
      <c r="AK64" s="56">
        <f>SUM(AK65:AK66)</f>
        <v>0</v>
      </c>
      <c r="AL64" s="56"/>
      <c r="AM64" s="56"/>
      <c r="AN64" s="611"/>
      <c r="AP64" s="56">
        <f>SUM(AP65:AP66)</f>
        <v>0</v>
      </c>
      <c r="AQ64" s="56"/>
      <c r="AR64" s="56"/>
      <c r="AS64" s="611"/>
      <c r="AU64" s="56">
        <f>SUM(AU65:AU66)</f>
        <v>0</v>
      </c>
      <c r="AV64" s="56"/>
      <c r="AW64" s="56"/>
      <c r="AX64" s="611"/>
      <c r="AZ64" s="56">
        <f>SUM(AZ65:AZ66)</f>
        <v>0</v>
      </c>
      <c r="BA64" s="56"/>
      <c r="BB64" s="56"/>
      <c r="BC64" s="611"/>
      <c r="BE64" s="56">
        <f>SUM(BE65:BE66)</f>
        <v>0</v>
      </c>
      <c r="BF64" s="56"/>
      <c r="BG64" s="56"/>
      <c r="BH64" s="611"/>
      <c r="BJ64" s="56">
        <f>SUM(BJ65:BJ66)</f>
        <v>0</v>
      </c>
      <c r="BK64" s="56"/>
      <c r="BL64" s="56"/>
      <c r="BM64" s="611"/>
      <c r="BO64" s="56">
        <f>SUM(BO65:BO66)</f>
        <v>0</v>
      </c>
      <c r="BP64" s="56"/>
      <c r="BQ64" s="56"/>
      <c r="BR64" s="611"/>
      <c r="BS64" s="56"/>
      <c r="BT64" s="56">
        <f>SUM(BT65:BT66)</f>
        <v>0</v>
      </c>
      <c r="BU64" s="56"/>
      <c r="BV64" s="56"/>
      <c r="BW64" s="611"/>
      <c r="BX64" s="56"/>
      <c r="BY64" s="56">
        <f>SUM(BY65:BY66)</f>
        <v>0</v>
      </c>
      <c r="BZ64" s="56"/>
      <c r="CA64" s="56"/>
      <c r="CB64" s="611"/>
      <c r="CC64" s="56"/>
      <c r="CD64" s="56">
        <f>SUM(CD65:CD66)</f>
        <v>0</v>
      </c>
      <c r="CE64" s="56"/>
      <c r="CF64" s="56"/>
      <c r="CG64" s="611"/>
      <c r="CI64" s="56">
        <f>SUM(CI65:CI66)</f>
        <v>0</v>
      </c>
      <c r="CJ64" s="56"/>
      <c r="CK64" s="56"/>
      <c r="CL64" s="611"/>
      <c r="CN64" s="56">
        <f>SUM(CN65:CN66)</f>
        <v>0</v>
      </c>
      <c r="CO64" s="56"/>
      <c r="CP64" s="56"/>
      <c r="CQ64" s="611"/>
      <c r="CS64" s="56">
        <f>SUM(CS65:CS66)</f>
        <v>0</v>
      </c>
      <c r="CT64" s="56"/>
      <c r="CU64" s="56"/>
      <c r="CV64" s="611"/>
      <c r="CX64" s="56">
        <f>SUM(CX65:CX66)</f>
        <v>0</v>
      </c>
      <c r="CY64" s="56"/>
      <c r="CZ64" s="56"/>
      <c r="DA64" s="611"/>
      <c r="DC64" s="56">
        <f>SUM(DC65:DC66)</f>
        <v>0</v>
      </c>
      <c r="DD64" s="56"/>
      <c r="DE64" s="56"/>
      <c r="DF64" s="611"/>
      <c r="DH64" s="56">
        <f>SUM(DH65:DH66)</f>
        <v>0</v>
      </c>
      <c r="DI64" s="56"/>
      <c r="DJ64" s="56"/>
      <c r="DK64" s="611"/>
      <c r="DM64" s="56">
        <f>SUM(DM65:DM66)</f>
        <v>0</v>
      </c>
      <c r="DN64" s="56"/>
      <c r="DO64" s="56"/>
      <c r="DP64" s="611"/>
      <c r="DR64" s="56">
        <f>SUM(DR65:DR66)</f>
        <v>0</v>
      </c>
      <c r="DS64" s="56"/>
      <c r="DT64" s="56"/>
      <c r="DU64" s="611"/>
      <c r="DW64" s="56">
        <f>SUM(DW65:DW66)</f>
        <v>0</v>
      </c>
      <c r="DX64" s="56"/>
      <c r="DY64" s="56"/>
      <c r="DZ64" s="611"/>
      <c r="EB64" s="56">
        <f>SUM(EB65:EB66)</f>
        <v>0</v>
      </c>
      <c r="EC64" s="56"/>
      <c r="ED64" s="56"/>
      <c r="EE64" s="611"/>
      <c r="EG64" s="56">
        <f>SUM(EG65:EG66)</f>
        <v>0</v>
      </c>
      <c r="EH64" s="56"/>
      <c r="EI64" s="56"/>
      <c r="EJ64" s="611"/>
      <c r="EK64" s="56"/>
      <c r="EL64" s="56">
        <f>SUM(EL65:EL66)</f>
        <v>0</v>
      </c>
      <c r="EO64" s="144"/>
      <c r="EP64" s="42"/>
      <c r="EQ64" s="42"/>
    </row>
    <row r="65" spans="4:147" ht="12.75" hidden="1" customHeight="1" x14ac:dyDescent="0.3">
      <c r="D65" s="144" t="s">
        <v>390</v>
      </c>
      <c r="E65" s="494"/>
      <c r="F65" s="500"/>
      <c r="G65" s="609">
        <v>0</v>
      </c>
      <c r="H65" s="610"/>
      <c r="I65" s="56"/>
      <c r="J65" s="611"/>
      <c r="K65" s="612"/>
      <c r="L65" s="609">
        <v>0</v>
      </c>
      <c r="M65" s="610"/>
      <c r="N65" s="56"/>
      <c r="O65" s="611"/>
      <c r="P65" s="500"/>
      <c r="Q65" s="609">
        <v>0</v>
      </c>
      <c r="R65" s="610"/>
      <c r="S65" s="56"/>
      <c r="T65" s="611"/>
      <c r="U65" s="500"/>
      <c r="V65" s="609">
        <v>0</v>
      </c>
      <c r="W65" s="610"/>
      <c r="X65" s="56"/>
      <c r="Y65" s="611"/>
      <c r="Z65" s="500"/>
      <c r="AA65" s="609">
        <v>0</v>
      </c>
      <c r="AB65" s="610"/>
      <c r="AC65" s="56"/>
      <c r="AD65" s="611"/>
      <c r="AE65" s="500"/>
      <c r="AF65" s="609">
        <v>0</v>
      </c>
      <c r="AG65" s="610"/>
      <c r="AH65" s="56"/>
      <c r="AI65" s="611"/>
      <c r="AJ65" s="500"/>
      <c r="AK65" s="609">
        <v>0</v>
      </c>
      <c r="AL65" s="610"/>
      <c r="AM65" s="56"/>
      <c r="AN65" s="611"/>
      <c r="AO65" s="500"/>
      <c r="AP65" s="609">
        <v>0</v>
      </c>
      <c r="AQ65" s="610"/>
      <c r="AR65" s="56"/>
      <c r="AS65" s="611"/>
      <c r="AT65" s="500"/>
      <c r="AU65" s="609">
        <v>0</v>
      </c>
      <c r="AV65" s="610"/>
      <c r="AW65" s="56"/>
      <c r="AX65" s="611"/>
      <c r="AY65" s="500"/>
      <c r="AZ65" s="609">
        <v>0</v>
      </c>
      <c r="BA65" s="610"/>
      <c r="BB65" s="56"/>
      <c r="BC65" s="611"/>
      <c r="BD65" s="500"/>
      <c r="BE65" s="609">
        <v>0</v>
      </c>
      <c r="BF65" s="610"/>
      <c r="BG65" s="56"/>
      <c r="BH65" s="611"/>
      <c r="BI65" s="500"/>
      <c r="BJ65" s="609">
        <v>0</v>
      </c>
      <c r="BK65" s="610"/>
      <c r="BL65" s="56"/>
      <c r="BM65" s="611"/>
      <c r="BN65" s="500"/>
      <c r="BO65" s="609">
        <v>0</v>
      </c>
      <c r="BP65" s="610"/>
      <c r="BQ65" s="56"/>
      <c r="BR65" s="611"/>
      <c r="BS65" s="612"/>
      <c r="BT65" s="609">
        <f>SUM(L65:BO65)</f>
        <v>0</v>
      </c>
      <c r="BU65" s="610"/>
      <c r="BV65" s="56"/>
      <c r="BW65" s="611"/>
      <c r="BX65" s="612"/>
      <c r="BY65" s="609">
        <v>0</v>
      </c>
      <c r="BZ65" s="610"/>
      <c r="CA65" s="56"/>
      <c r="CB65" s="611"/>
      <c r="CC65" s="612"/>
      <c r="CD65" s="609">
        <v>0</v>
      </c>
      <c r="CE65" s="610"/>
      <c r="CF65" s="56"/>
      <c r="CG65" s="611"/>
      <c r="CH65" s="500"/>
      <c r="CI65" s="609">
        <v>0</v>
      </c>
      <c r="CJ65" s="610"/>
      <c r="CK65" s="56"/>
      <c r="CL65" s="611"/>
      <c r="CM65" s="500"/>
      <c r="CN65" s="609">
        <v>0</v>
      </c>
      <c r="CO65" s="610"/>
      <c r="CP65" s="56"/>
      <c r="CQ65" s="611"/>
      <c r="CR65" s="500"/>
      <c r="CS65" s="609">
        <v>0</v>
      </c>
      <c r="CT65" s="610"/>
      <c r="CU65" s="56"/>
      <c r="CV65" s="611"/>
      <c r="CW65" s="500"/>
      <c r="CX65" s="609">
        <v>0</v>
      </c>
      <c r="CY65" s="610"/>
      <c r="CZ65" s="56"/>
      <c r="DA65" s="611"/>
      <c r="DB65" s="500"/>
      <c r="DC65" s="609">
        <v>0</v>
      </c>
      <c r="DD65" s="610"/>
      <c r="DE65" s="56"/>
      <c r="DF65" s="611"/>
      <c r="DG65" s="500"/>
      <c r="DH65" s="609">
        <v>0</v>
      </c>
      <c r="DI65" s="610"/>
      <c r="DJ65" s="56"/>
      <c r="DK65" s="611"/>
      <c r="DL65" s="500"/>
      <c r="DM65" s="609">
        <v>0</v>
      </c>
      <c r="DN65" s="610"/>
      <c r="DO65" s="56"/>
      <c r="DP65" s="611"/>
      <c r="DQ65" s="500"/>
      <c r="DR65" s="609">
        <v>0</v>
      </c>
      <c r="DS65" s="610"/>
      <c r="DT65" s="56"/>
      <c r="DU65" s="611"/>
      <c r="DV65" s="500"/>
      <c r="DW65" s="609">
        <v>0</v>
      </c>
      <c r="DX65" s="610"/>
      <c r="DY65" s="56"/>
      <c r="DZ65" s="611"/>
      <c r="EA65" s="500"/>
      <c r="EB65" s="609">
        <v>0</v>
      </c>
      <c r="EC65" s="610"/>
      <c r="ED65" s="56"/>
      <c r="EE65" s="611"/>
      <c r="EF65" s="500"/>
      <c r="EG65" s="609">
        <v>0</v>
      </c>
      <c r="EH65" s="610"/>
      <c r="EI65" s="56"/>
      <c r="EJ65" s="611"/>
      <c r="EK65" s="612"/>
      <c r="EL65" s="609">
        <f>SUM(CD65:DM65)</f>
        <v>0</v>
      </c>
      <c r="EM65" s="501"/>
      <c r="EO65" s="144"/>
      <c r="EP65" s="42"/>
      <c r="EQ65" s="42"/>
    </row>
    <row r="66" spans="4:147" ht="12.75" hidden="1" customHeight="1" x14ac:dyDescent="0.3">
      <c r="D66" s="144" t="s">
        <v>340</v>
      </c>
      <c r="E66" s="494"/>
      <c r="F66" s="513"/>
      <c r="G66" s="117">
        <v>0</v>
      </c>
      <c r="H66" s="116"/>
      <c r="I66" s="56"/>
      <c r="J66" s="611"/>
      <c r="K66" s="620"/>
      <c r="L66" s="117">
        <v>0</v>
      </c>
      <c r="M66" s="116"/>
      <c r="N66" s="56"/>
      <c r="O66" s="611"/>
      <c r="P66" s="513"/>
      <c r="Q66" s="117">
        <v>0</v>
      </c>
      <c r="R66" s="116"/>
      <c r="S66" s="56"/>
      <c r="T66" s="611"/>
      <c r="U66" s="513"/>
      <c r="V66" s="117">
        <v>0</v>
      </c>
      <c r="W66" s="116"/>
      <c r="X66" s="56"/>
      <c r="Y66" s="611"/>
      <c r="Z66" s="513"/>
      <c r="AA66" s="117">
        <v>0</v>
      </c>
      <c r="AB66" s="116"/>
      <c r="AC66" s="56"/>
      <c r="AD66" s="611"/>
      <c r="AE66" s="513"/>
      <c r="AF66" s="117">
        <v>0</v>
      </c>
      <c r="AG66" s="116"/>
      <c r="AH66" s="56"/>
      <c r="AI66" s="611"/>
      <c r="AJ66" s="513"/>
      <c r="AK66" s="117">
        <v>0</v>
      </c>
      <c r="AL66" s="116"/>
      <c r="AM66" s="56"/>
      <c r="AN66" s="611"/>
      <c r="AO66" s="513"/>
      <c r="AP66" s="117">
        <v>0</v>
      </c>
      <c r="AQ66" s="116"/>
      <c r="AR66" s="56"/>
      <c r="AS66" s="611"/>
      <c r="AT66" s="513"/>
      <c r="AU66" s="117">
        <v>0</v>
      </c>
      <c r="AV66" s="116"/>
      <c r="AW66" s="56"/>
      <c r="AX66" s="611"/>
      <c r="AY66" s="513"/>
      <c r="AZ66" s="117">
        <v>0</v>
      </c>
      <c r="BA66" s="116"/>
      <c r="BB66" s="56"/>
      <c r="BC66" s="611"/>
      <c r="BD66" s="513"/>
      <c r="BE66" s="117">
        <v>0</v>
      </c>
      <c r="BF66" s="116"/>
      <c r="BG66" s="56"/>
      <c r="BH66" s="611"/>
      <c r="BI66" s="513"/>
      <c r="BJ66" s="117">
        <v>0</v>
      </c>
      <c r="BK66" s="116"/>
      <c r="BL66" s="56"/>
      <c r="BM66" s="611"/>
      <c r="BN66" s="513"/>
      <c r="BO66" s="117">
        <v>0</v>
      </c>
      <c r="BP66" s="116"/>
      <c r="BQ66" s="56"/>
      <c r="BR66" s="611"/>
      <c r="BS66" s="620"/>
      <c r="BT66" s="117">
        <f>SUM(L66:BO66)</f>
        <v>0</v>
      </c>
      <c r="BU66" s="116"/>
      <c r="BV66" s="56"/>
      <c r="BW66" s="611"/>
      <c r="BX66" s="620"/>
      <c r="BY66" s="117">
        <v>0</v>
      </c>
      <c r="BZ66" s="116"/>
      <c r="CA66" s="56"/>
      <c r="CB66" s="611"/>
      <c r="CC66" s="620"/>
      <c r="CD66" s="117">
        <v>0</v>
      </c>
      <c r="CE66" s="116"/>
      <c r="CF66" s="56"/>
      <c r="CG66" s="611"/>
      <c r="CH66" s="513"/>
      <c r="CI66" s="117">
        <v>0</v>
      </c>
      <c r="CJ66" s="116"/>
      <c r="CK66" s="56"/>
      <c r="CL66" s="611"/>
      <c r="CM66" s="513"/>
      <c r="CN66" s="117">
        <v>0</v>
      </c>
      <c r="CO66" s="116"/>
      <c r="CP66" s="56"/>
      <c r="CQ66" s="611"/>
      <c r="CR66" s="513"/>
      <c r="CS66" s="117">
        <v>0</v>
      </c>
      <c r="CT66" s="116"/>
      <c r="CU66" s="56"/>
      <c r="CV66" s="611"/>
      <c r="CW66" s="513"/>
      <c r="CX66" s="117">
        <v>0</v>
      </c>
      <c r="CY66" s="116"/>
      <c r="CZ66" s="56"/>
      <c r="DA66" s="611"/>
      <c r="DB66" s="513"/>
      <c r="DC66" s="117">
        <v>0</v>
      </c>
      <c r="DD66" s="116"/>
      <c r="DE66" s="56"/>
      <c r="DF66" s="611"/>
      <c r="DG66" s="513"/>
      <c r="DH66" s="117">
        <v>0</v>
      </c>
      <c r="DI66" s="116"/>
      <c r="DJ66" s="56"/>
      <c r="DK66" s="611"/>
      <c r="DL66" s="513"/>
      <c r="DM66" s="117">
        <v>0</v>
      </c>
      <c r="DN66" s="116"/>
      <c r="DO66" s="56"/>
      <c r="DP66" s="611"/>
      <c r="DQ66" s="513"/>
      <c r="DR66" s="117">
        <v>0</v>
      </c>
      <c r="DS66" s="116"/>
      <c r="DT66" s="56"/>
      <c r="DU66" s="611"/>
      <c r="DV66" s="513"/>
      <c r="DW66" s="117">
        <v>0</v>
      </c>
      <c r="DX66" s="116"/>
      <c r="DY66" s="56"/>
      <c r="DZ66" s="611"/>
      <c r="EA66" s="513"/>
      <c r="EB66" s="117">
        <v>0</v>
      </c>
      <c r="EC66" s="116"/>
      <c r="ED66" s="56"/>
      <c r="EE66" s="611"/>
      <c r="EF66" s="513"/>
      <c r="EG66" s="117">
        <v>0</v>
      </c>
      <c r="EH66" s="116"/>
      <c r="EI66" s="56"/>
      <c r="EJ66" s="611"/>
      <c r="EK66" s="620"/>
      <c r="EL66" s="117">
        <f>SUM(CD66:DM66)</f>
        <v>0</v>
      </c>
      <c r="EM66" s="515"/>
      <c r="EO66" s="144"/>
      <c r="EP66" s="42"/>
      <c r="EQ66" s="42"/>
    </row>
    <row r="67" spans="4:147" ht="12.75" hidden="1" customHeight="1" x14ac:dyDescent="0.3">
      <c r="D67" s="144"/>
      <c r="E67" s="494"/>
      <c r="G67" s="56"/>
      <c r="H67" s="56"/>
      <c r="I67" s="56"/>
      <c r="J67" s="611"/>
      <c r="K67" s="56"/>
      <c r="L67" s="56"/>
      <c r="M67" s="56"/>
      <c r="N67" s="56"/>
      <c r="O67" s="611"/>
      <c r="Q67" s="56"/>
      <c r="R67" s="56"/>
      <c r="S67" s="56"/>
      <c r="T67" s="611"/>
      <c r="V67" s="56"/>
      <c r="W67" s="56"/>
      <c r="X67" s="56"/>
      <c r="Y67" s="611"/>
      <c r="AA67" s="56"/>
      <c r="AB67" s="56"/>
      <c r="AC67" s="56"/>
      <c r="AD67" s="611"/>
      <c r="AF67" s="56"/>
      <c r="AG67" s="56"/>
      <c r="AH67" s="56"/>
      <c r="AI67" s="611"/>
      <c r="AK67" s="56"/>
      <c r="AL67" s="56"/>
      <c r="AM67" s="56"/>
      <c r="AN67" s="611"/>
      <c r="AP67" s="56"/>
      <c r="AQ67" s="56"/>
      <c r="AR67" s="56"/>
      <c r="AS67" s="611"/>
      <c r="AU67" s="56"/>
      <c r="AV67" s="56"/>
      <c r="AW67" s="56"/>
      <c r="AX67" s="611"/>
      <c r="AZ67" s="56"/>
      <c r="BA67" s="56"/>
      <c r="BB67" s="56"/>
      <c r="BC67" s="611"/>
      <c r="BE67" s="56"/>
      <c r="BF67" s="56"/>
      <c r="BG67" s="56"/>
      <c r="BH67" s="611"/>
      <c r="BJ67" s="56"/>
      <c r="BK67" s="56"/>
      <c r="BL67" s="56"/>
      <c r="BM67" s="611"/>
      <c r="BO67" s="56"/>
      <c r="BP67" s="56"/>
      <c r="BQ67" s="56"/>
      <c r="BR67" s="611"/>
      <c r="BS67" s="56"/>
      <c r="BT67" s="56"/>
      <c r="BU67" s="56"/>
      <c r="BV67" s="56"/>
      <c r="BW67" s="611"/>
      <c r="BX67" s="56"/>
      <c r="BY67" s="56"/>
      <c r="BZ67" s="56"/>
      <c r="CA67" s="56"/>
      <c r="CB67" s="611"/>
      <c r="CC67" s="56"/>
      <c r="CD67" s="56"/>
      <c r="CE67" s="56"/>
      <c r="CF67" s="56"/>
      <c r="CG67" s="611"/>
      <c r="CI67" s="56"/>
      <c r="CJ67" s="56"/>
      <c r="CK67" s="56"/>
      <c r="CL67" s="611"/>
      <c r="CN67" s="56"/>
      <c r="CO67" s="56"/>
      <c r="CP67" s="56"/>
      <c r="CQ67" s="611"/>
      <c r="CS67" s="56"/>
      <c r="CT67" s="56"/>
      <c r="CU67" s="56"/>
      <c r="CV67" s="611"/>
      <c r="CX67" s="56"/>
      <c r="CY67" s="56"/>
      <c r="CZ67" s="56"/>
      <c r="DA67" s="611"/>
      <c r="DC67" s="56"/>
      <c r="DD67" s="56"/>
      <c r="DE67" s="56"/>
      <c r="DF67" s="611"/>
      <c r="DH67" s="56"/>
      <c r="DI67" s="56"/>
      <c r="DJ67" s="56"/>
      <c r="DK67" s="611"/>
      <c r="DM67" s="56"/>
      <c r="DN67" s="56"/>
      <c r="DO67" s="56"/>
      <c r="DP67" s="611"/>
      <c r="DR67" s="56"/>
      <c r="DS67" s="56"/>
      <c r="DT67" s="56"/>
      <c r="DU67" s="611"/>
      <c r="DW67" s="56"/>
      <c r="DX67" s="56"/>
      <c r="DY67" s="56"/>
      <c r="DZ67" s="611"/>
      <c r="EB67" s="56"/>
      <c r="EC67" s="56"/>
      <c r="ED67" s="56"/>
      <c r="EE67" s="611"/>
      <c r="EG67" s="56"/>
      <c r="EH67" s="56"/>
      <c r="EI67" s="56"/>
      <c r="EJ67" s="611"/>
      <c r="EK67" s="56"/>
      <c r="EL67" s="56"/>
      <c r="EO67" s="144"/>
      <c r="EP67" s="42"/>
      <c r="EQ67" s="42"/>
    </row>
    <row r="68" spans="4:147" ht="12.75" hidden="1" customHeight="1" x14ac:dyDescent="0.3">
      <c r="D68" s="144" t="s">
        <v>377</v>
      </c>
      <c r="E68" s="494"/>
      <c r="G68" s="56">
        <f>SUM(G69:G70)</f>
        <v>0</v>
      </c>
      <c r="H68" s="56"/>
      <c r="I68" s="56"/>
      <c r="J68" s="611"/>
      <c r="K68" s="56"/>
      <c r="L68" s="56">
        <f>SUM(L69:L70)</f>
        <v>0</v>
      </c>
      <c r="M68" s="56"/>
      <c r="N68" s="56"/>
      <c r="O68" s="611"/>
      <c r="Q68" s="56">
        <f>SUM(Q69:Q70)</f>
        <v>0</v>
      </c>
      <c r="R68" s="56"/>
      <c r="S68" s="56"/>
      <c r="T68" s="611"/>
      <c r="V68" s="56">
        <f>SUM(V69:V70)</f>
        <v>0</v>
      </c>
      <c r="W68" s="56"/>
      <c r="X68" s="56"/>
      <c r="Y68" s="611"/>
      <c r="AA68" s="56">
        <f>SUM(AA69:AA70)</f>
        <v>0</v>
      </c>
      <c r="AB68" s="56"/>
      <c r="AC68" s="56"/>
      <c r="AD68" s="611"/>
      <c r="AF68" s="56">
        <f>SUM(AF69:AF70)</f>
        <v>0</v>
      </c>
      <c r="AG68" s="56"/>
      <c r="AH68" s="56"/>
      <c r="AI68" s="611"/>
      <c r="AK68" s="56">
        <f>SUM(AK69:AK70)</f>
        <v>0</v>
      </c>
      <c r="AL68" s="56"/>
      <c r="AM68" s="56"/>
      <c r="AN68" s="611"/>
      <c r="AP68" s="56">
        <f>SUM(AP69:AP70)</f>
        <v>0</v>
      </c>
      <c r="AQ68" s="56"/>
      <c r="AR68" s="56"/>
      <c r="AS68" s="611"/>
      <c r="AU68" s="56">
        <f>SUM(AU69:AU70)</f>
        <v>0</v>
      </c>
      <c r="AV68" s="56"/>
      <c r="AW68" s="56"/>
      <c r="AX68" s="611"/>
      <c r="AZ68" s="56">
        <f>SUM(AZ69:AZ70)</f>
        <v>0</v>
      </c>
      <c r="BA68" s="56"/>
      <c r="BB68" s="56"/>
      <c r="BC68" s="611"/>
      <c r="BE68" s="56">
        <f>SUM(BE69:BE70)</f>
        <v>0</v>
      </c>
      <c r="BF68" s="56"/>
      <c r="BG68" s="56"/>
      <c r="BH68" s="611"/>
      <c r="BJ68" s="56">
        <f>SUM(BJ69:BJ70)</f>
        <v>0</v>
      </c>
      <c r="BK68" s="56"/>
      <c r="BL68" s="56"/>
      <c r="BM68" s="611"/>
      <c r="BO68" s="56">
        <f>SUM(BO69:BO70)</f>
        <v>0</v>
      </c>
      <c r="BP68" s="56"/>
      <c r="BQ68" s="56"/>
      <c r="BR68" s="611"/>
      <c r="BS68" s="56"/>
      <c r="BT68" s="56">
        <f>SUM(BT69:BT70)</f>
        <v>0</v>
      </c>
      <c r="BU68" s="56"/>
      <c r="BV68" s="56"/>
      <c r="BW68" s="611"/>
      <c r="BX68" s="56"/>
      <c r="BY68" s="56">
        <f>SUM(BY69:BY70)</f>
        <v>0</v>
      </c>
      <c r="BZ68" s="56"/>
      <c r="CA68" s="56"/>
      <c r="CB68" s="611"/>
      <c r="CC68" s="56"/>
      <c r="CD68" s="56">
        <f>SUM(CD69:CD70)</f>
        <v>0</v>
      </c>
      <c r="CE68" s="56"/>
      <c r="CF68" s="56"/>
      <c r="CG68" s="611"/>
      <c r="CI68" s="56">
        <f>SUM(CI69:CI70)</f>
        <v>0</v>
      </c>
      <c r="CJ68" s="56"/>
      <c r="CK68" s="56"/>
      <c r="CL68" s="611"/>
      <c r="CN68" s="56">
        <f>SUM(CN69:CN70)</f>
        <v>0</v>
      </c>
      <c r="CO68" s="56"/>
      <c r="CP68" s="56"/>
      <c r="CQ68" s="611"/>
      <c r="CS68" s="56">
        <f>SUM(CS69:CS70)</f>
        <v>0</v>
      </c>
      <c r="CT68" s="56"/>
      <c r="CU68" s="56"/>
      <c r="CV68" s="611"/>
      <c r="CX68" s="56">
        <f>SUM(CX69:CX70)</f>
        <v>0</v>
      </c>
      <c r="CY68" s="56"/>
      <c r="CZ68" s="56"/>
      <c r="DA68" s="611"/>
      <c r="DC68" s="56">
        <f>SUM(DC69:DC70)</f>
        <v>0</v>
      </c>
      <c r="DD68" s="56"/>
      <c r="DE68" s="56"/>
      <c r="DF68" s="611"/>
      <c r="DH68" s="56">
        <f>SUM(DH69:DH70)</f>
        <v>0</v>
      </c>
      <c r="DI68" s="56"/>
      <c r="DJ68" s="56"/>
      <c r="DK68" s="611"/>
      <c r="DM68" s="56">
        <f>SUM(DM69:DM70)</f>
        <v>0</v>
      </c>
      <c r="DN68" s="56"/>
      <c r="DO68" s="56"/>
      <c r="DP68" s="611"/>
      <c r="DR68" s="56">
        <f>SUM(DR69:DR70)</f>
        <v>0</v>
      </c>
      <c r="DS68" s="56"/>
      <c r="DT68" s="56"/>
      <c r="DU68" s="611"/>
      <c r="DW68" s="56">
        <f>SUM(DW69:DW70)</f>
        <v>0</v>
      </c>
      <c r="DX68" s="56"/>
      <c r="DY68" s="56"/>
      <c r="DZ68" s="611"/>
      <c r="EB68" s="56">
        <f>SUM(EB69:EB70)</f>
        <v>0</v>
      </c>
      <c r="EC68" s="56"/>
      <c r="ED68" s="56"/>
      <c r="EE68" s="611"/>
      <c r="EG68" s="56">
        <f>SUM(EG69:EG70)</f>
        <v>0</v>
      </c>
      <c r="EH68" s="56"/>
      <c r="EI68" s="56"/>
      <c r="EJ68" s="611"/>
      <c r="EK68" s="56"/>
      <c r="EL68" s="56">
        <f>SUM(EL69:EL70)</f>
        <v>0</v>
      </c>
      <c r="EO68" s="144"/>
      <c r="EP68" s="42"/>
      <c r="EQ68" s="42"/>
    </row>
    <row r="69" spans="4:147" ht="12.75" hidden="1" customHeight="1" x14ac:dyDescent="0.3">
      <c r="D69" s="144" t="s">
        <v>390</v>
      </c>
      <c r="E69" s="494"/>
      <c r="F69" s="500"/>
      <c r="G69" s="609">
        <v>0</v>
      </c>
      <c r="H69" s="610"/>
      <c r="I69" s="56"/>
      <c r="J69" s="611"/>
      <c r="K69" s="612"/>
      <c r="L69" s="609">
        <v>0</v>
      </c>
      <c r="M69" s="610"/>
      <c r="N69" s="56"/>
      <c r="O69" s="611"/>
      <c r="P69" s="500"/>
      <c r="Q69" s="609">
        <v>0</v>
      </c>
      <c r="R69" s="610"/>
      <c r="S69" s="56"/>
      <c r="T69" s="611"/>
      <c r="U69" s="500"/>
      <c r="V69" s="609">
        <v>0</v>
      </c>
      <c r="W69" s="610"/>
      <c r="X69" s="56"/>
      <c r="Y69" s="611"/>
      <c r="Z69" s="500"/>
      <c r="AA69" s="609">
        <v>0</v>
      </c>
      <c r="AB69" s="610"/>
      <c r="AC69" s="56"/>
      <c r="AD69" s="611"/>
      <c r="AE69" s="500"/>
      <c r="AF69" s="609">
        <v>0</v>
      </c>
      <c r="AG69" s="610"/>
      <c r="AH69" s="56"/>
      <c r="AI69" s="611"/>
      <c r="AJ69" s="500"/>
      <c r="AK69" s="609">
        <v>0</v>
      </c>
      <c r="AL69" s="610"/>
      <c r="AM69" s="56"/>
      <c r="AN69" s="611"/>
      <c r="AO69" s="500"/>
      <c r="AP69" s="609">
        <v>0</v>
      </c>
      <c r="AQ69" s="610"/>
      <c r="AR69" s="56"/>
      <c r="AS69" s="611"/>
      <c r="AT69" s="500"/>
      <c r="AU69" s="609">
        <v>0</v>
      </c>
      <c r="AV69" s="610"/>
      <c r="AW69" s="56"/>
      <c r="AX69" s="611"/>
      <c r="AY69" s="500"/>
      <c r="AZ69" s="609">
        <v>0</v>
      </c>
      <c r="BA69" s="610"/>
      <c r="BB69" s="56"/>
      <c r="BC69" s="611"/>
      <c r="BD69" s="500"/>
      <c r="BE69" s="609">
        <v>0</v>
      </c>
      <c r="BF69" s="610"/>
      <c r="BG69" s="56"/>
      <c r="BH69" s="611"/>
      <c r="BI69" s="500"/>
      <c r="BJ69" s="609">
        <v>0</v>
      </c>
      <c r="BK69" s="610"/>
      <c r="BL69" s="56"/>
      <c r="BM69" s="611"/>
      <c r="BN69" s="500"/>
      <c r="BO69" s="609">
        <v>0</v>
      </c>
      <c r="BP69" s="610"/>
      <c r="BQ69" s="56"/>
      <c r="BR69" s="611"/>
      <c r="BS69" s="612"/>
      <c r="BT69" s="609">
        <f>SUM(L69:BO69)</f>
        <v>0</v>
      </c>
      <c r="BU69" s="610"/>
      <c r="BV69" s="56"/>
      <c r="BW69" s="611"/>
      <c r="BX69" s="612"/>
      <c r="BY69" s="609">
        <v>0</v>
      </c>
      <c r="BZ69" s="610"/>
      <c r="CA69" s="56"/>
      <c r="CB69" s="611"/>
      <c r="CC69" s="612"/>
      <c r="CD69" s="609">
        <v>0</v>
      </c>
      <c r="CE69" s="610"/>
      <c r="CF69" s="56"/>
      <c r="CG69" s="611"/>
      <c r="CH69" s="500"/>
      <c r="CI69" s="609">
        <v>0</v>
      </c>
      <c r="CJ69" s="610"/>
      <c r="CK69" s="56"/>
      <c r="CL69" s="611"/>
      <c r="CM69" s="500"/>
      <c r="CN69" s="609">
        <v>0</v>
      </c>
      <c r="CO69" s="610"/>
      <c r="CP69" s="56"/>
      <c r="CQ69" s="611"/>
      <c r="CR69" s="500"/>
      <c r="CS69" s="609">
        <v>0</v>
      </c>
      <c r="CT69" s="610"/>
      <c r="CU69" s="56"/>
      <c r="CV69" s="611"/>
      <c r="CW69" s="500"/>
      <c r="CX69" s="609">
        <v>0</v>
      </c>
      <c r="CY69" s="610"/>
      <c r="CZ69" s="56"/>
      <c r="DA69" s="611"/>
      <c r="DB69" s="500"/>
      <c r="DC69" s="609">
        <v>0</v>
      </c>
      <c r="DD69" s="610"/>
      <c r="DE69" s="56"/>
      <c r="DF69" s="611"/>
      <c r="DG69" s="500"/>
      <c r="DH69" s="609">
        <v>0</v>
      </c>
      <c r="DI69" s="610"/>
      <c r="DJ69" s="56"/>
      <c r="DK69" s="611"/>
      <c r="DL69" s="500"/>
      <c r="DM69" s="609">
        <v>0</v>
      </c>
      <c r="DN69" s="610"/>
      <c r="DO69" s="56"/>
      <c r="DP69" s="611"/>
      <c r="DQ69" s="500"/>
      <c r="DR69" s="609">
        <v>0</v>
      </c>
      <c r="DS69" s="610"/>
      <c r="DT69" s="56"/>
      <c r="DU69" s="611"/>
      <c r="DV69" s="500"/>
      <c r="DW69" s="609">
        <v>0</v>
      </c>
      <c r="DX69" s="610"/>
      <c r="DY69" s="56"/>
      <c r="DZ69" s="611"/>
      <c r="EA69" s="500"/>
      <c r="EB69" s="609">
        <v>0</v>
      </c>
      <c r="EC69" s="610"/>
      <c r="ED69" s="56"/>
      <c r="EE69" s="611"/>
      <c r="EF69" s="500"/>
      <c r="EG69" s="609">
        <v>0</v>
      </c>
      <c r="EH69" s="610"/>
      <c r="EI69" s="56"/>
      <c r="EJ69" s="611"/>
      <c r="EK69" s="612"/>
      <c r="EL69" s="609">
        <f>SUM(CD69:DM69)</f>
        <v>0</v>
      </c>
      <c r="EM69" s="501"/>
      <c r="EO69" s="144"/>
      <c r="EP69" s="42"/>
      <c r="EQ69" s="42"/>
    </row>
    <row r="70" spans="4:147" ht="12.75" hidden="1" customHeight="1" x14ac:dyDescent="0.3">
      <c r="D70" s="144" t="s">
        <v>340</v>
      </c>
      <c r="E70" s="494"/>
      <c r="F70" s="513"/>
      <c r="G70" s="117">
        <v>0</v>
      </c>
      <c r="H70" s="116"/>
      <c r="I70" s="56"/>
      <c r="J70" s="611"/>
      <c r="K70" s="620"/>
      <c r="L70" s="117">
        <v>0</v>
      </c>
      <c r="M70" s="116"/>
      <c r="N70" s="56"/>
      <c r="O70" s="611"/>
      <c r="P70" s="513"/>
      <c r="Q70" s="117">
        <v>0</v>
      </c>
      <c r="R70" s="116"/>
      <c r="S70" s="56"/>
      <c r="T70" s="611"/>
      <c r="U70" s="513"/>
      <c r="V70" s="117">
        <v>0</v>
      </c>
      <c r="W70" s="116"/>
      <c r="X70" s="56"/>
      <c r="Y70" s="611"/>
      <c r="Z70" s="513"/>
      <c r="AA70" s="117">
        <v>0</v>
      </c>
      <c r="AB70" s="116"/>
      <c r="AC70" s="56"/>
      <c r="AD70" s="611"/>
      <c r="AE70" s="513"/>
      <c r="AF70" s="117">
        <v>0</v>
      </c>
      <c r="AG70" s="116"/>
      <c r="AH70" s="56"/>
      <c r="AI70" s="611"/>
      <c r="AJ70" s="513"/>
      <c r="AK70" s="117">
        <v>0</v>
      </c>
      <c r="AL70" s="116"/>
      <c r="AM70" s="56"/>
      <c r="AN70" s="611"/>
      <c r="AO70" s="513"/>
      <c r="AP70" s="117">
        <v>0</v>
      </c>
      <c r="AQ70" s="116"/>
      <c r="AR70" s="56"/>
      <c r="AS70" s="611"/>
      <c r="AT70" s="513"/>
      <c r="AU70" s="117">
        <v>0</v>
      </c>
      <c r="AV70" s="116"/>
      <c r="AW70" s="56"/>
      <c r="AX70" s="611"/>
      <c r="AY70" s="513"/>
      <c r="AZ70" s="117">
        <v>0</v>
      </c>
      <c r="BA70" s="116"/>
      <c r="BB70" s="56"/>
      <c r="BC70" s="611"/>
      <c r="BD70" s="513"/>
      <c r="BE70" s="117">
        <v>0</v>
      </c>
      <c r="BF70" s="116"/>
      <c r="BG70" s="56"/>
      <c r="BH70" s="611"/>
      <c r="BI70" s="513"/>
      <c r="BJ70" s="117">
        <v>0</v>
      </c>
      <c r="BK70" s="116"/>
      <c r="BL70" s="56"/>
      <c r="BM70" s="611"/>
      <c r="BN70" s="513"/>
      <c r="BO70" s="117">
        <v>0</v>
      </c>
      <c r="BP70" s="116"/>
      <c r="BQ70" s="56"/>
      <c r="BR70" s="611"/>
      <c r="BS70" s="620"/>
      <c r="BT70" s="117">
        <f>SUM(L70:BO70)</f>
        <v>0</v>
      </c>
      <c r="BU70" s="116"/>
      <c r="BV70" s="56"/>
      <c r="BW70" s="611"/>
      <c r="BX70" s="620"/>
      <c r="BY70" s="117">
        <v>0</v>
      </c>
      <c r="BZ70" s="116"/>
      <c r="CA70" s="56"/>
      <c r="CB70" s="611"/>
      <c r="CC70" s="620"/>
      <c r="CD70" s="117">
        <v>0</v>
      </c>
      <c r="CE70" s="116"/>
      <c r="CF70" s="56"/>
      <c r="CG70" s="611"/>
      <c r="CH70" s="513"/>
      <c r="CI70" s="117">
        <v>0</v>
      </c>
      <c r="CJ70" s="116"/>
      <c r="CK70" s="56"/>
      <c r="CL70" s="611"/>
      <c r="CM70" s="513"/>
      <c r="CN70" s="117">
        <v>0</v>
      </c>
      <c r="CO70" s="116"/>
      <c r="CP70" s="56"/>
      <c r="CQ70" s="611"/>
      <c r="CR70" s="513"/>
      <c r="CS70" s="117">
        <v>0</v>
      </c>
      <c r="CT70" s="116"/>
      <c r="CU70" s="56"/>
      <c r="CV70" s="611"/>
      <c r="CW70" s="513"/>
      <c r="CX70" s="117">
        <v>0</v>
      </c>
      <c r="CY70" s="116"/>
      <c r="CZ70" s="56"/>
      <c r="DA70" s="611"/>
      <c r="DB70" s="513"/>
      <c r="DC70" s="117">
        <v>0</v>
      </c>
      <c r="DD70" s="116"/>
      <c r="DE70" s="56"/>
      <c r="DF70" s="611"/>
      <c r="DG70" s="513"/>
      <c r="DH70" s="117">
        <v>0</v>
      </c>
      <c r="DI70" s="116"/>
      <c r="DJ70" s="56"/>
      <c r="DK70" s="611"/>
      <c r="DL70" s="513"/>
      <c r="DM70" s="117">
        <v>0</v>
      </c>
      <c r="DN70" s="116"/>
      <c r="DO70" s="56"/>
      <c r="DP70" s="611"/>
      <c r="DQ70" s="513"/>
      <c r="DR70" s="117">
        <v>0</v>
      </c>
      <c r="DS70" s="116"/>
      <c r="DT70" s="56"/>
      <c r="DU70" s="611"/>
      <c r="DV70" s="513"/>
      <c r="DW70" s="117">
        <v>0</v>
      </c>
      <c r="DX70" s="116"/>
      <c r="DY70" s="56"/>
      <c r="DZ70" s="611"/>
      <c r="EA70" s="513"/>
      <c r="EB70" s="117">
        <v>0</v>
      </c>
      <c r="EC70" s="116"/>
      <c r="ED70" s="56"/>
      <c r="EE70" s="611"/>
      <c r="EF70" s="513"/>
      <c r="EG70" s="117">
        <v>0</v>
      </c>
      <c r="EH70" s="116"/>
      <c r="EI70" s="56"/>
      <c r="EJ70" s="611"/>
      <c r="EK70" s="620"/>
      <c r="EL70" s="117">
        <f>SUM(CD70:DM70)</f>
        <v>0</v>
      </c>
      <c r="EM70" s="515"/>
      <c r="EO70" s="144"/>
      <c r="EP70" s="42"/>
      <c r="EQ70" s="42"/>
    </row>
    <row r="71" spans="4:147" ht="12.75" hidden="1" customHeight="1" x14ac:dyDescent="0.3">
      <c r="D71" s="144"/>
      <c r="E71" s="494"/>
      <c r="G71" s="56"/>
      <c r="H71" s="56"/>
      <c r="I71" s="56"/>
      <c r="J71" s="611"/>
      <c r="K71" s="56"/>
      <c r="L71" s="56"/>
      <c r="M71" s="56"/>
      <c r="N71" s="56"/>
      <c r="O71" s="611"/>
      <c r="Q71" s="56"/>
      <c r="R71" s="56"/>
      <c r="S71" s="56"/>
      <c r="T71" s="611"/>
      <c r="V71" s="56"/>
      <c r="W71" s="56"/>
      <c r="X71" s="56"/>
      <c r="Y71" s="611"/>
      <c r="AA71" s="56"/>
      <c r="AB71" s="56"/>
      <c r="AC71" s="56"/>
      <c r="AD71" s="611"/>
      <c r="AF71" s="56"/>
      <c r="AG71" s="56"/>
      <c r="AH71" s="56"/>
      <c r="AI71" s="611"/>
      <c r="AK71" s="56"/>
      <c r="AL71" s="56"/>
      <c r="AM71" s="56"/>
      <c r="AN71" s="611"/>
      <c r="AP71" s="56"/>
      <c r="AQ71" s="56"/>
      <c r="AR71" s="56"/>
      <c r="AS71" s="611"/>
      <c r="AU71" s="56"/>
      <c r="AV71" s="56"/>
      <c r="AW71" s="56"/>
      <c r="AX71" s="611"/>
      <c r="AZ71" s="56"/>
      <c r="BA71" s="56"/>
      <c r="BB71" s="56"/>
      <c r="BC71" s="611"/>
      <c r="BE71" s="56"/>
      <c r="BF71" s="56"/>
      <c r="BG71" s="56"/>
      <c r="BH71" s="611"/>
      <c r="BJ71" s="56"/>
      <c r="BK71" s="56"/>
      <c r="BL71" s="56"/>
      <c r="BM71" s="611"/>
      <c r="BO71" s="56"/>
      <c r="BP71" s="56"/>
      <c r="BQ71" s="56"/>
      <c r="BR71" s="611"/>
      <c r="BS71" s="56"/>
      <c r="BT71" s="56"/>
      <c r="BU71" s="56"/>
      <c r="BV71" s="56"/>
      <c r="BW71" s="611"/>
      <c r="BX71" s="56"/>
      <c r="BY71" s="56"/>
      <c r="BZ71" s="56"/>
      <c r="CA71" s="56"/>
      <c r="CB71" s="611"/>
      <c r="CC71" s="56"/>
      <c r="CD71" s="56"/>
      <c r="CE71" s="56"/>
      <c r="CF71" s="56"/>
      <c r="CG71" s="611"/>
      <c r="CI71" s="56"/>
      <c r="CJ71" s="56"/>
      <c r="CK71" s="56"/>
      <c r="CL71" s="611"/>
      <c r="CN71" s="56"/>
      <c r="CO71" s="56"/>
      <c r="CP71" s="56"/>
      <c r="CQ71" s="611"/>
      <c r="CS71" s="56"/>
      <c r="CT71" s="56"/>
      <c r="CU71" s="56"/>
      <c r="CV71" s="611"/>
      <c r="CX71" s="56"/>
      <c r="CY71" s="56"/>
      <c r="CZ71" s="56"/>
      <c r="DA71" s="611"/>
      <c r="DC71" s="56"/>
      <c r="DD71" s="56"/>
      <c r="DE71" s="56"/>
      <c r="DF71" s="611"/>
      <c r="DH71" s="56"/>
      <c r="DI71" s="56"/>
      <c r="DJ71" s="56"/>
      <c r="DK71" s="611"/>
      <c r="DM71" s="56"/>
      <c r="DN71" s="56"/>
      <c r="DO71" s="56"/>
      <c r="DP71" s="611"/>
      <c r="DR71" s="56"/>
      <c r="DS71" s="56"/>
      <c r="DT71" s="56"/>
      <c r="DU71" s="611"/>
      <c r="DW71" s="56"/>
      <c r="DX71" s="56"/>
      <c r="DY71" s="56"/>
      <c r="DZ71" s="611"/>
      <c r="EB71" s="56"/>
      <c r="EC71" s="56"/>
      <c r="ED71" s="56"/>
      <c r="EE71" s="611"/>
      <c r="EG71" s="56"/>
      <c r="EH71" s="56"/>
      <c r="EI71" s="56"/>
      <c r="EJ71" s="611"/>
      <c r="EK71" s="56"/>
      <c r="EL71" s="56"/>
      <c r="EO71" s="144"/>
      <c r="EP71" s="42"/>
      <c r="EQ71" s="42"/>
    </row>
    <row r="72" spans="4:147" ht="12.75" hidden="1" customHeight="1" x14ac:dyDescent="0.3">
      <c r="D72" s="144" t="s">
        <v>377</v>
      </c>
      <c r="E72" s="494"/>
      <c r="G72" s="56">
        <f>SUM(G73:G74)</f>
        <v>0</v>
      </c>
      <c r="H72" s="56"/>
      <c r="I72" s="56"/>
      <c r="J72" s="611"/>
      <c r="K72" s="56"/>
      <c r="L72" s="56">
        <f>SUM(L73:L74)</f>
        <v>0</v>
      </c>
      <c r="M72" s="56"/>
      <c r="N72" s="56"/>
      <c r="O72" s="611"/>
      <c r="Q72" s="56">
        <f>SUM(Q73:Q74)</f>
        <v>0</v>
      </c>
      <c r="R72" s="56"/>
      <c r="S72" s="56"/>
      <c r="T72" s="611"/>
      <c r="V72" s="56">
        <f>SUM(V73:V74)</f>
        <v>0</v>
      </c>
      <c r="W72" s="56"/>
      <c r="X72" s="56"/>
      <c r="Y72" s="611"/>
      <c r="AA72" s="56">
        <f>SUM(AA73:AA74)</f>
        <v>0</v>
      </c>
      <c r="AB72" s="56"/>
      <c r="AC72" s="56"/>
      <c r="AD72" s="611"/>
      <c r="AF72" s="56">
        <f>SUM(AF73:AF74)</f>
        <v>0</v>
      </c>
      <c r="AG72" s="56"/>
      <c r="AH72" s="56"/>
      <c r="AI72" s="611"/>
      <c r="AK72" s="56">
        <f>SUM(AK73:AK74)</f>
        <v>0</v>
      </c>
      <c r="AL72" s="56"/>
      <c r="AM72" s="56"/>
      <c r="AN72" s="611"/>
      <c r="AP72" s="56">
        <f>SUM(AP73:AP74)</f>
        <v>0</v>
      </c>
      <c r="AQ72" s="56"/>
      <c r="AR72" s="56"/>
      <c r="AS72" s="611"/>
      <c r="AU72" s="56">
        <f>SUM(AU73:AU74)</f>
        <v>0</v>
      </c>
      <c r="AV72" s="56"/>
      <c r="AW72" s="56"/>
      <c r="AX72" s="611"/>
      <c r="AZ72" s="56">
        <f>SUM(AZ73:AZ74)</f>
        <v>0</v>
      </c>
      <c r="BA72" s="56"/>
      <c r="BB72" s="56"/>
      <c r="BC72" s="611"/>
      <c r="BE72" s="56">
        <f>SUM(BE73:BE74)</f>
        <v>0</v>
      </c>
      <c r="BF72" s="56"/>
      <c r="BG72" s="56"/>
      <c r="BH72" s="611"/>
      <c r="BJ72" s="56">
        <f>SUM(BJ73:BJ74)</f>
        <v>0</v>
      </c>
      <c r="BK72" s="56"/>
      <c r="BL72" s="56"/>
      <c r="BM72" s="611"/>
      <c r="BO72" s="56">
        <f>SUM(BO73:BO74)</f>
        <v>0</v>
      </c>
      <c r="BP72" s="56"/>
      <c r="BQ72" s="56"/>
      <c r="BR72" s="611"/>
      <c r="BS72" s="56"/>
      <c r="BT72" s="56">
        <f>SUM(BT73:BT74)</f>
        <v>0</v>
      </c>
      <c r="BU72" s="56"/>
      <c r="BV72" s="56"/>
      <c r="BW72" s="611"/>
      <c r="BX72" s="56"/>
      <c r="BY72" s="56">
        <f>SUM(BY73:BY74)</f>
        <v>0</v>
      </c>
      <c r="BZ72" s="56"/>
      <c r="CA72" s="56"/>
      <c r="CB72" s="611"/>
      <c r="CC72" s="56"/>
      <c r="CD72" s="56">
        <f>SUM(CD73:CD74)</f>
        <v>0</v>
      </c>
      <c r="CE72" s="56"/>
      <c r="CF72" s="56"/>
      <c r="CG72" s="611"/>
      <c r="CI72" s="56">
        <f>SUM(CI73:CI74)</f>
        <v>0</v>
      </c>
      <c r="CJ72" s="56"/>
      <c r="CK72" s="56"/>
      <c r="CL72" s="611"/>
      <c r="CN72" s="56">
        <f>SUM(CN73:CN74)</f>
        <v>0</v>
      </c>
      <c r="CO72" s="56"/>
      <c r="CP72" s="56"/>
      <c r="CQ72" s="611"/>
      <c r="CS72" s="56">
        <f>SUM(CS73:CS74)</f>
        <v>0</v>
      </c>
      <c r="CT72" s="56"/>
      <c r="CU72" s="56"/>
      <c r="CV72" s="611"/>
      <c r="CX72" s="56">
        <f>SUM(CX73:CX74)</f>
        <v>0</v>
      </c>
      <c r="CY72" s="56"/>
      <c r="CZ72" s="56"/>
      <c r="DA72" s="611"/>
      <c r="DC72" s="56">
        <f>SUM(DC73:DC74)</f>
        <v>0</v>
      </c>
      <c r="DD72" s="56"/>
      <c r="DE72" s="56"/>
      <c r="DF72" s="611"/>
      <c r="DH72" s="56">
        <f>SUM(DH73:DH74)</f>
        <v>0</v>
      </c>
      <c r="DI72" s="56"/>
      <c r="DJ72" s="56"/>
      <c r="DK72" s="611"/>
      <c r="DM72" s="56">
        <f>SUM(DM73:DM74)</f>
        <v>0</v>
      </c>
      <c r="DN72" s="56"/>
      <c r="DO72" s="56"/>
      <c r="DP72" s="611"/>
      <c r="DR72" s="56">
        <f>SUM(DR73:DR74)</f>
        <v>0</v>
      </c>
      <c r="DS72" s="56"/>
      <c r="DT72" s="56"/>
      <c r="DU72" s="611"/>
      <c r="DW72" s="56">
        <f>SUM(DW73:DW74)</f>
        <v>0</v>
      </c>
      <c r="DX72" s="56"/>
      <c r="DY72" s="56"/>
      <c r="DZ72" s="611"/>
      <c r="EB72" s="56">
        <f>SUM(EB73:EB74)</f>
        <v>0</v>
      </c>
      <c r="EC72" s="56"/>
      <c r="ED72" s="56"/>
      <c r="EE72" s="611"/>
      <c r="EG72" s="56">
        <f>SUM(EG73:EG74)</f>
        <v>0</v>
      </c>
      <c r="EH72" s="56"/>
      <c r="EI72" s="56"/>
      <c r="EJ72" s="611"/>
      <c r="EK72" s="56"/>
      <c r="EL72" s="56">
        <f>SUM(EL73:EL74)</f>
        <v>0</v>
      </c>
      <c r="EO72" s="144"/>
      <c r="EP72" s="42"/>
      <c r="EQ72" s="42"/>
    </row>
    <row r="73" spans="4:147" ht="12.75" hidden="1" customHeight="1" x14ac:dyDescent="0.3">
      <c r="D73" s="144" t="s">
        <v>390</v>
      </c>
      <c r="E73" s="494"/>
      <c r="F73" s="500"/>
      <c r="G73" s="609">
        <v>0</v>
      </c>
      <c r="H73" s="610"/>
      <c r="I73" s="56"/>
      <c r="J73" s="611"/>
      <c r="K73" s="612"/>
      <c r="L73" s="609">
        <v>0</v>
      </c>
      <c r="M73" s="610"/>
      <c r="N73" s="56"/>
      <c r="O73" s="611"/>
      <c r="P73" s="500"/>
      <c r="Q73" s="609">
        <v>0</v>
      </c>
      <c r="R73" s="610"/>
      <c r="S73" s="56"/>
      <c r="T73" s="611"/>
      <c r="U73" s="500"/>
      <c r="V73" s="609">
        <v>0</v>
      </c>
      <c r="W73" s="610"/>
      <c r="X73" s="56"/>
      <c r="Y73" s="611"/>
      <c r="Z73" s="500"/>
      <c r="AA73" s="609">
        <v>0</v>
      </c>
      <c r="AB73" s="610"/>
      <c r="AC73" s="56"/>
      <c r="AD73" s="611"/>
      <c r="AE73" s="500"/>
      <c r="AF73" s="609">
        <v>0</v>
      </c>
      <c r="AG73" s="610"/>
      <c r="AH73" s="56"/>
      <c r="AI73" s="611"/>
      <c r="AJ73" s="500"/>
      <c r="AK73" s="609">
        <v>0</v>
      </c>
      <c r="AL73" s="610"/>
      <c r="AM73" s="56"/>
      <c r="AN73" s="611"/>
      <c r="AO73" s="500"/>
      <c r="AP73" s="609">
        <v>0</v>
      </c>
      <c r="AQ73" s="610"/>
      <c r="AR73" s="56"/>
      <c r="AS73" s="611"/>
      <c r="AT73" s="500"/>
      <c r="AU73" s="609">
        <v>0</v>
      </c>
      <c r="AV73" s="610"/>
      <c r="AW73" s="56"/>
      <c r="AX73" s="611"/>
      <c r="AY73" s="500"/>
      <c r="AZ73" s="609">
        <v>0</v>
      </c>
      <c r="BA73" s="610"/>
      <c r="BB73" s="56"/>
      <c r="BC73" s="611"/>
      <c r="BD73" s="500"/>
      <c r="BE73" s="609">
        <v>0</v>
      </c>
      <c r="BF73" s="610"/>
      <c r="BG73" s="56"/>
      <c r="BH73" s="611"/>
      <c r="BI73" s="500"/>
      <c r="BJ73" s="609">
        <v>0</v>
      </c>
      <c r="BK73" s="610"/>
      <c r="BL73" s="56"/>
      <c r="BM73" s="611"/>
      <c r="BN73" s="500"/>
      <c r="BO73" s="609">
        <v>0</v>
      </c>
      <c r="BP73" s="610"/>
      <c r="BQ73" s="56"/>
      <c r="BR73" s="611"/>
      <c r="BS73" s="612"/>
      <c r="BT73" s="609">
        <f>SUM(L73:BO73)</f>
        <v>0</v>
      </c>
      <c r="BU73" s="610"/>
      <c r="BV73" s="56"/>
      <c r="BW73" s="611"/>
      <c r="BX73" s="612"/>
      <c r="BY73" s="609">
        <v>0</v>
      </c>
      <c r="BZ73" s="610"/>
      <c r="CA73" s="56"/>
      <c r="CB73" s="611"/>
      <c r="CC73" s="612"/>
      <c r="CD73" s="609">
        <v>0</v>
      </c>
      <c r="CE73" s="610"/>
      <c r="CF73" s="56"/>
      <c r="CG73" s="611"/>
      <c r="CH73" s="500"/>
      <c r="CI73" s="609">
        <v>0</v>
      </c>
      <c r="CJ73" s="610"/>
      <c r="CK73" s="56"/>
      <c r="CL73" s="611"/>
      <c r="CM73" s="500"/>
      <c r="CN73" s="609">
        <v>0</v>
      </c>
      <c r="CO73" s="610"/>
      <c r="CP73" s="56"/>
      <c r="CQ73" s="611"/>
      <c r="CR73" s="500"/>
      <c r="CS73" s="609">
        <v>0</v>
      </c>
      <c r="CT73" s="610"/>
      <c r="CU73" s="56"/>
      <c r="CV73" s="611"/>
      <c r="CW73" s="500"/>
      <c r="CX73" s="609">
        <v>0</v>
      </c>
      <c r="CY73" s="610"/>
      <c r="CZ73" s="56"/>
      <c r="DA73" s="611"/>
      <c r="DB73" s="500"/>
      <c r="DC73" s="609">
        <v>0</v>
      </c>
      <c r="DD73" s="610"/>
      <c r="DE73" s="56"/>
      <c r="DF73" s="611"/>
      <c r="DG73" s="500"/>
      <c r="DH73" s="609">
        <v>0</v>
      </c>
      <c r="DI73" s="610"/>
      <c r="DJ73" s="56"/>
      <c r="DK73" s="611"/>
      <c r="DL73" s="500"/>
      <c r="DM73" s="609">
        <v>0</v>
      </c>
      <c r="DN73" s="610"/>
      <c r="DO73" s="56"/>
      <c r="DP73" s="611"/>
      <c r="DQ73" s="500"/>
      <c r="DR73" s="609">
        <v>0</v>
      </c>
      <c r="DS73" s="610"/>
      <c r="DT73" s="56"/>
      <c r="DU73" s="611"/>
      <c r="DV73" s="500"/>
      <c r="DW73" s="609">
        <v>0</v>
      </c>
      <c r="DX73" s="610"/>
      <c r="DY73" s="56"/>
      <c r="DZ73" s="611"/>
      <c r="EA73" s="500"/>
      <c r="EB73" s="609">
        <v>0</v>
      </c>
      <c r="EC73" s="610"/>
      <c r="ED73" s="56"/>
      <c r="EE73" s="611"/>
      <c r="EF73" s="500"/>
      <c r="EG73" s="609">
        <v>0</v>
      </c>
      <c r="EH73" s="610"/>
      <c r="EI73" s="56"/>
      <c r="EJ73" s="611"/>
      <c r="EK73" s="612"/>
      <c r="EL73" s="609">
        <f>SUM(CD73:DM73)</f>
        <v>0</v>
      </c>
      <c r="EM73" s="501"/>
      <c r="EO73" s="144"/>
      <c r="EP73" s="42"/>
      <c r="EQ73" s="42"/>
    </row>
    <row r="74" spans="4:147" ht="12.75" hidden="1" customHeight="1" x14ac:dyDescent="0.3">
      <c r="D74" s="144" t="s">
        <v>340</v>
      </c>
      <c r="E74" s="494"/>
      <c r="F74" s="513"/>
      <c r="G74" s="117">
        <v>0</v>
      </c>
      <c r="H74" s="116"/>
      <c r="I74" s="56"/>
      <c r="J74" s="611"/>
      <c r="K74" s="620"/>
      <c r="L74" s="117">
        <v>0</v>
      </c>
      <c r="M74" s="116"/>
      <c r="N74" s="56"/>
      <c r="O74" s="611"/>
      <c r="P74" s="513"/>
      <c r="Q74" s="117">
        <v>0</v>
      </c>
      <c r="R74" s="116"/>
      <c r="S74" s="56"/>
      <c r="T74" s="611"/>
      <c r="U74" s="513"/>
      <c r="V74" s="117">
        <v>0</v>
      </c>
      <c r="W74" s="116"/>
      <c r="X74" s="56"/>
      <c r="Y74" s="611"/>
      <c r="Z74" s="513"/>
      <c r="AA74" s="117">
        <v>0</v>
      </c>
      <c r="AB74" s="116"/>
      <c r="AC74" s="56"/>
      <c r="AD74" s="611"/>
      <c r="AE74" s="513"/>
      <c r="AF74" s="117">
        <v>0</v>
      </c>
      <c r="AG74" s="116"/>
      <c r="AH74" s="56"/>
      <c r="AI74" s="611"/>
      <c r="AJ74" s="513"/>
      <c r="AK74" s="117">
        <v>0</v>
      </c>
      <c r="AL74" s="116"/>
      <c r="AM74" s="56"/>
      <c r="AN74" s="611"/>
      <c r="AO74" s="513"/>
      <c r="AP74" s="117">
        <v>0</v>
      </c>
      <c r="AQ74" s="116"/>
      <c r="AR74" s="56"/>
      <c r="AS74" s="611"/>
      <c r="AT74" s="513"/>
      <c r="AU74" s="117">
        <v>0</v>
      </c>
      <c r="AV74" s="116"/>
      <c r="AW74" s="56"/>
      <c r="AX74" s="611"/>
      <c r="AY74" s="513"/>
      <c r="AZ74" s="117">
        <v>0</v>
      </c>
      <c r="BA74" s="116"/>
      <c r="BB74" s="56"/>
      <c r="BC74" s="611"/>
      <c r="BD74" s="513"/>
      <c r="BE74" s="117">
        <v>0</v>
      </c>
      <c r="BF74" s="116"/>
      <c r="BG74" s="56"/>
      <c r="BH74" s="611"/>
      <c r="BI74" s="513"/>
      <c r="BJ74" s="117">
        <v>0</v>
      </c>
      <c r="BK74" s="116"/>
      <c r="BL74" s="56"/>
      <c r="BM74" s="611"/>
      <c r="BN74" s="513"/>
      <c r="BO74" s="117">
        <v>0</v>
      </c>
      <c r="BP74" s="116"/>
      <c r="BQ74" s="56"/>
      <c r="BR74" s="611"/>
      <c r="BS74" s="620"/>
      <c r="BT74" s="117">
        <f>SUM(L74:BO74)</f>
        <v>0</v>
      </c>
      <c r="BU74" s="116"/>
      <c r="BV74" s="56"/>
      <c r="BW74" s="611"/>
      <c r="BX74" s="620"/>
      <c r="BY74" s="117">
        <v>0</v>
      </c>
      <c r="BZ74" s="116"/>
      <c r="CA74" s="56"/>
      <c r="CB74" s="611"/>
      <c r="CC74" s="620"/>
      <c r="CD74" s="117">
        <v>0</v>
      </c>
      <c r="CE74" s="116"/>
      <c r="CF74" s="56"/>
      <c r="CG74" s="611"/>
      <c r="CH74" s="513"/>
      <c r="CI74" s="117">
        <v>0</v>
      </c>
      <c r="CJ74" s="116"/>
      <c r="CK74" s="56"/>
      <c r="CL74" s="611"/>
      <c r="CM74" s="513"/>
      <c r="CN74" s="117">
        <v>0</v>
      </c>
      <c r="CO74" s="116"/>
      <c r="CP74" s="56"/>
      <c r="CQ74" s="611"/>
      <c r="CR74" s="513"/>
      <c r="CS74" s="117">
        <v>0</v>
      </c>
      <c r="CT74" s="116"/>
      <c r="CU74" s="56"/>
      <c r="CV74" s="611"/>
      <c r="CW74" s="513"/>
      <c r="CX74" s="117">
        <v>0</v>
      </c>
      <c r="CY74" s="116"/>
      <c r="CZ74" s="56"/>
      <c r="DA74" s="611"/>
      <c r="DB74" s="513"/>
      <c r="DC74" s="117">
        <v>0</v>
      </c>
      <c r="DD74" s="116"/>
      <c r="DE74" s="56"/>
      <c r="DF74" s="611"/>
      <c r="DG74" s="513"/>
      <c r="DH74" s="117">
        <v>0</v>
      </c>
      <c r="DI74" s="116"/>
      <c r="DJ74" s="56"/>
      <c r="DK74" s="611"/>
      <c r="DL74" s="513"/>
      <c r="DM74" s="117">
        <v>0</v>
      </c>
      <c r="DN74" s="116"/>
      <c r="DO74" s="56"/>
      <c r="DP74" s="611"/>
      <c r="DQ74" s="513"/>
      <c r="DR74" s="117">
        <v>0</v>
      </c>
      <c r="DS74" s="116"/>
      <c r="DT74" s="56"/>
      <c r="DU74" s="611"/>
      <c r="DV74" s="513"/>
      <c r="DW74" s="117">
        <v>0</v>
      </c>
      <c r="DX74" s="116"/>
      <c r="DY74" s="56"/>
      <c r="DZ74" s="611"/>
      <c r="EA74" s="513"/>
      <c r="EB74" s="117">
        <v>0</v>
      </c>
      <c r="EC74" s="116"/>
      <c r="ED74" s="56"/>
      <c r="EE74" s="611"/>
      <c r="EF74" s="513"/>
      <c r="EG74" s="117">
        <v>0</v>
      </c>
      <c r="EH74" s="116"/>
      <c r="EI74" s="56"/>
      <c r="EJ74" s="611"/>
      <c r="EK74" s="620"/>
      <c r="EL74" s="117">
        <f>SUM(CD74:DM74)</f>
        <v>0</v>
      </c>
      <c r="EM74" s="515"/>
      <c r="EO74" s="144"/>
      <c r="EP74" s="42"/>
      <c r="EQ74" s="42"/>
    </row>
    <row r="75" spans="4:147" ht="12.75" customHeight="1" x14ac:dyDescent="0.3">
      <c r="D75" s="144"/>
      <c r="E75" s="494"/>
      <c r="G75" s="56"/>
      <c r="H75" s="56"/>
      <c r="I75" s="56"/>
      <c r="J75" s="611"/>
      <c r="K75" s="56"/>
      <c r="L75" s="56"/>
      <c r="M75" s="56"/>
      <c r="N75" s="56"/>
      <c r="O75" s="611"/>
      <c r="Q75" s="56"/>
      <c r="R75" s="56"/>
      <c r="S75" s="56"/>
      <c r="T75" s="611"/>
      <c r="V75" s="56"/>
      <c r="W75" s="56"/>
      <c r="X75" s="56"/>
      <c r="Y75" s="611"/>
      <c r="AA75" s="56"/>
      <c r="AB75" s="56"/>
      <c r="AC75" s="56"/>
      <c r="AD75" s="611"/>
      <c r="AF75" s="56"/>
      <c r="AG75" s="56"/>
      <c r="AH75" s="56"/>
      <c r="AI75" s="611"/>
      <c r="AK75" s="56"/>
      <c r="AL75" s="56"/>
      <c r="AM75" s="56"/>
      <c r="AN75" s="611"/>
      <c r="AP75" s="56"/>
      <c r="AQ75" s="56"/>
      <c r="AR75" s="56"/>
      <c r="AS75" s="611"/>
      <c r="AU75" s="56"/>
      <c r="AV75" s="56"/>
      <c r="AW75" s="56"/>
      <c r="AX75" s="611"/>
      <c r="AZ75" s="56"/>
      <c r="BA75" s="56"/>
      <c r="BB75" s="56"/>
      <c r="BC75" s="611"/>
      <c r="BE75" s="56"/>
      <c r="BF75" s="56"/>
      <c r="BG75" s="56"/>
      <c r="BH75" s="611"/>
      <c r="BJ75" s="56"/>
      <c r="BK75" s="56"/>
      <c r="BL75" s="56"/>
      <c r="BM75" s="611"/>
      <c r="BO75" s="56"/>
      <c r="BP75" s="56"/>
      <c r="BQ75" s="56"/>
      <c r="BR75" s="611"/>
      <c r="BS75" s="56"/>
      <c r="BT75" s="56"/>
      <c r="BU75" s="56"/>
      <c r="BV75" s="56"/>
      <c r="BW75" s="611"/>
      <c r="BX75" s="56"/>
      <c r="BY75" s="56"/>
      <c r="BZ75" s="56"/>
      <c r="CA75" s="56"/>
      <c r="CB75" s="611"/>
      <c r="CC75" s="56"/>
      <c r="CD75" s="56"/>
      <c r="CE75" s="56"/>
      <c r="CF75" s="56"/>
      <c r="CG75" s="611"/>
      <c r="CI75" s="56"/>
      <c r="CJ75" s="56"/>
      <c r="CK75" s="56"/>
      <c r="CL75" s="611"/>
      <c r="CN75" s="56"/>
      <c r="CO75" s="56"/>
      <c r="CP75" s="56"/>
      <c r="CQ75" s="611"/>
      <c r="CS75" s="56"/>
      <c r="CT75" s="56"/>
      <c r="CU75" s="56"/>
      <c r="CV75" s="611"/>
      <c r="CX75" s="56"/>
      <c r="CY75" s="56"/>
      <c r="CZ75" s="56"/>
      <c r="DA75" s="611"/>
      <c r="DC75" s="56"/>
      <c r="DD75" s="56"/>
      <c r="DE75" s="56"/>
      <c r="DF75" s="611"/>
      <c r="DH75" s="56"/>
      <c r="DI75" s="56"/>
      <c r="DJ75" s="56"/>
      <c r="DK75" s="611"/>
      <c r="DM75" s="56"/>
      <c r="DN75" s="56"/>
      <c r="DO75" s="56"/>
      <c r="DP75" s="611"/>
      <c r="DR75" s="56"/>
      <c r="DS75" s="56"/>
      <c r="DT75" s="56"/>
      <c r="DU75" s="611"/>
      <c r="DW75" s="56"/>
      <c r="DX75" s="56"/>
      <c r="DY75" s="56"/>
      <c r="DZ75" s="611"/>
      <c r="EB75" s="56"/>
      <c r="EC75" s="56"/>
      <c r="ED75" s="56"/>
      <c r="EE75" s="611"/>
      <c r="EG75" s="56"/>
      <c r="EH75" s="56"/>
      <c r="EI75" s="56"/>
      <c r="EJ75" s="611"/>
      <c r="EK75" s="56"/>
      <c r="EL75" s="56"/>
      <c r="EO75" s="144"/>
      <c r="EP75" s="42"/>
      <c r="EQ75" s="42"/>
    </row>
    <row r="76" spans="4:147" s="42" customFormat="1" ht="12.75" customHeight="1" x14ac:dyDescent="0.3">
      <c r="D76" s="234" t="s">
        <v>350</v>
      </c>
      <c r="E76" s="496"/>
      <c r="F76" s="151"/>
      <c r="G76" s="654">
        <f>SUM(G77:G95)</f>
        <v>68212000</v>
      </c>
      <c r="H76" s="654"/>
      <c r="I76" s="44"/>
      <c r="J76" s="607"/>
      <c r="K76" s="654"/>
      <c r="L76" s="654">
        <f>SUM(L77:L95)</f>
        <v>0</v>
      </c>
      <c r="M76" s="654"/>
      <c r="N76" s="44"/>
      <c r="O76" s="607"/>
      <c r="P76" s="654"/>
      <c r="Q76" s="654">
        <f>SUM(Q77:Q95)</f>
        <v>0</v>
      </c>
      <c r="R76" s="654"/>
      <c r="S76" s="44"/>
      <c r="T76" s="607"/>
      <c r="U76" s="654"/>
      <c r="V76" s="654">
        <f>SUM(V77:V95)</f>
        <v>0</v>
      </c>
      <c r="W76" s="654"/>
      <c r="X76" s="44"/>
      <c r="Y76" s="607"/>
      <c r="Z76" s="654"/>
      <c r="AA76" s="654">
        <f>SUM(AA77:AA95)</f>
        <v>0</v>
      </c>
      <c r="AB76" s="654"/>
      <c r="AC76" s="44"/>
      <c r="AD76" s="607"/>
      <c r="AE76" s="654"/>
      <c r="AF76" s="654">
        <f>SUM(AF77:AF95)</f>
        <v>0</v>
      </c>
      <c r="AG76" s="654"/>
      <c r="AH76" s="44"/>
      <c r="AI76" s="607"/>
      <c r="AJ76" s="654"/>
      <c r="AK76" s="654">
        <f>SUM(AK77:AK95)</f>
        <v>0</v>
      </c>
      <c r="AL76" s="654"/>
      <c r="AM76" s="44"/>
      <c r="AN76" s="607"/>
      <c r="AO76" s="654"/>
      <c r="AP76" s="654">
        <f>SUM(AP77:AP95)</f>
        <v>0</v>
      </c>
      <c r="AQ76" s="654"/>
      <c r="AR76" s="44"/>
      <c r="AS76" s="607"/>
      <c r="AT76" s="654"/>
      <c r="AU76" s="654">
        <f>SUM(AU77:AU95)</f>
        <v>0</v>
      </c>
      <c r="AV76" s="654"/>
      <c r="AW76" s="44"/>
      <c r="AX76" s="607"/>
      <c r="AY76" s="654"/>
      <c r="AZ76" s="654">
        <f>SUM(AZ77:AZ95)</f>
        <v>0</v>
      </c>
      <c r="BA76" s="654"/>
      <c r="BB76" s="44"/>
      <c r="BC76" s="607"/>
      <c r="BD76" s="654"/>
      <c r="BE76" s="654">
        <f>SUM(BE77:BE95)</f>
        <v>0</v>
      </c>
      <c r="BF76" s="654"/>
      <c r="BG76" s="44"/>
      <c r="BH76" s="607"/>
      <c r="BI76" s="654"/>
      <c r="BJ76" s="654">
        <f>SUM(BJ77:BJ95)</f>
        <v>0</v>
      </c>
      <c r="BK76" s="654"/>
      <c r="BL76" s="44"/>
      <c r="BM76" s="607"/>
      <c r="BN76" s="654"/>
      <c r="BO76" s="654">
        <f>SUM(BO77:BO95)</f>
        <v>0</v>
      </c>
      <c r="BP76" s="654"/>
      <c r="BQ76" s="44"/>
      <c r="BR76" s="607"/>
      <c r="BS76" s="654"/>
      <c r="BT76" s="654">
        <f>SUM(BT77:BT96)</f>
        <v>0</v>
      </c>
      <c r="BU76" s="654"/>
      <c r="BV76" s="44"/>
      <c r="BW76" s="607"/>
      <c r="BX76" s="654"/>
      <c r="BY76" s="654">
        <f>SUM(BY77:BY95)</f>
        <v>0</v>
      </c>
      <c r="BZ76" s="654"/>
      <c r="CA76" s="44"/>
      <c r="CB76" s="607"/>
      <c r="CC76" s="654"/>
      <c r="CD76" s="654">
        <f>SUM(CD77:CD95)</f>
        <v>0</v>
      </c>
      <c r="CE76" s="654"/>
      <c r="CF76" s="44"/>
      <c r="CG76" s="607"/>
      <c r="CH76" s="654"/>
      <c r="CI76" s="654">
        <f>SUM(CI77:CI95)</f>
        <v>0</v>
      </c>
      <c r="CJ76" s="654"/>
      <c r="CK76" s="44"/>
      <c r="CL76" s="607"/>
      <c r="CM76" s="654"/>
      <c r="CN76" s="654">
        <f>SUM(CN77:CN95)</f>
        <v>0</v>
      </c>
      <c r="CO76" s="654"/>
      <c r="CP76" s="44"/>
      <c r="CQ76" s="607"/>
      <c r="CR76" s="654"/>
      <c r="CS76" s="654">
        <f>SUM(CS77:CS95)</f>
        <v>0</v>
      </c>
      <c r="CT76" s="654"/>
      <c r="CU76" s="44"/>
      <c r="CV76" s="607"/>
      <c r="CW76" s="654"/>
      <c r="CX76" s="654">
        <f>SUM(CX77:CX95)</f>
        <v>0</v>
      </c>
      <c r="CY76" s="654"/>
      <c r="CZ76" s="44"/>
      <c r="DA76" s="607"/>
      <c r="DB76" s="654"/>
      <c r="DC76" s="654">
        <f>SUM(DC77:DC95)</f>
        <v>0</v>
      </c>
      <c r="DD76" s="654"/>
      <c r="DE76" s="44"/>
      <c r="DF76" s="607"/>
      <c r="DG76" s="654"/>
      <c r="DH76" s="654">
        <f>SUM(DH77:DH95)</f>
        <v>0</v>
      </c>
      <c r="DI76" s="654"/>
      <c r="DJ76" s="44"/>
      <c r="DK76" s="607"/>
      <c r="DL76" s="654"/>
      <c r="DM76" s="654">
        <f>SUM(DM77:DM95)</f>
        <v>0</v>
      </c>
      <c r="DN76" s="654"/>
      <c r="DO76" s="44"/>
      <c r="DP76" s="607"/>
      <c r="DQ76" s="654"/>
      <c r="DR76" s="654">
        <f>SUM(DR77:DR95)</f>
        <v>0</v>
      </c>
      <c r="DS76" s="654"/>
      <c r="DT76" s="44"/>
      <c r="DU76" s="607"/>
      <c r="DV76" s="654"/>
      <c r="DW76" s="654">
        <f>SUM(DW77:DW95)</f>
        <v>0</v>
      </c>
      <c r="DX76" s="654"/>
      <c r="DY76" s="44"/>
      <c r="DZ76" s="607"/>
      <c r="EA76" s="654"/>
      <c r="EB76" s="654">
        <f>SUM(EB77:EB95)</f>
        <v>0</v>
      </c>
      <c r="EC76" s="654"/>
      <c r="ED76" s="44"/>
      <c r="EE76" s="607"/>
      <c r="EF76" s="654"/>
      <c r="EG76" s="654">
        <f>SUM(EG77:EG95)</f>
        <v>0</v>
      </c>
      <c r="EH76" s="654"/>
      <c r="EI76" s="44"/>
      <c r="EJ76" s="607"/>
      <c r="EK76" s="654"/>
      <c r="EL76" s="654">
        <f>SUM(EL77:EL96)</f>
        <v>0</v>
      </c>
      <c r="EM76" s="151"/>
      <c r="EO76" s="234"/>
    </row>
    <row r="77" spans="4:147" ht="12.75" customHeight="1" x14ac:dyDescent="0.3">
      <c r="D77" s="144" t="s">
        <v>392</v>
      </c>
      <c r="E77" s="494"/>
      <c r="F77" s="494"/>
      <c r="G77" s="601">
        <f>71712000-3500000</f>
        <v>68212000</v>
      </c>
      <c r="H77" s="55"/>
      <c r="I77" s="56"/>
      <c r="J77" s="611"/>
      <c r="K77" s="611"/>
      <c r="L77" s="601">
        <v>0</v>
      </c>
      <c r="M77" s="55"/>
      <c r="N77" s="56"/>
      <c r="O77" s="611"/>
      <c r="P77" s="611"/>
      <c r="Q77" s="601">
        <v>0</v>
      </c>
      <c r="R77" s="55"/>
      <c r="S77" s="56"/>
      <c r="T77" s="611"/>
      <c r="U77" s="611"/>
      <c r="V77" s="601">
        <v>0</v>
      </c>
      <c r="W77" s="55"/>
      <c r="X77" s="56"/>
      <c r="Y77" s="611"/>
      <c r="Z77" s="611"/>
      <c r="AA77" s="601">
        <v>0</v>
      </c>
      <c r="AB77" s="55"/>
      <c r="AC77" s="56"/>
      <c r="AD77" s="611"/>
      <c r="AE77" s="611"/>
      <c r="AF77" s="601">
        <v>0</v>
      </c>
      <c r="AG77" s="55"/>
      <c r="AH77" s="56"/>
      <c r="AI77" s="611"/>
      <c r="AJ77" s="611"/>
      <c r="AK77" s="601">
        <v>0</v>
      </c>
      <c r="AL77" s="55"/>
      <c r="AM77" s="56"/>
      <c r="AN77" s="611"/>
      <c r="AO77" s="611"/>
      <c r="AP77" s="601">
        <v>0</v>
      </c>
      <c r="AQ77" s="55"/>
      <c r="AR77" s="56"/>
      <c r="AS77" s="611"/>
      <c r="AT77" s="611"/>
      <c r="AU77" s="601">
        <v>0</v>
      </c>
      <c r="AV77" s="55"/>
      <c r="AW77" s="56"/>
      <c r="AX77" s="611"/>
      <c r="AY77" s="611"/>
      <c r="AZ77" s="601">
        <v>0</v>
      </c>
      <c r="BA77" s="55"/>
      <c r="BB77" s="56"/>
      <c r="BC77" s="611"/>
      <c r="BD77" s="611"/>
      <c r="BE77" s="601">
        <v>0</v>
      </c>
      <c r="BF77" s="55"/>
      <c r="BG77" s="56"/>
      <c r="BH77" s="611"/>
      <c r="BI77" s="611"/>
      <c r="BJ77" s="601">
        <v>0</v>
      </c>
      <c r="BK77" s="55"/>
      <c r="BL77" s="56"/>
      <c r="BM77" s="611"/>
      <c r="BN77" s="611"/>
      <c r="BO77" s="601">
        <v>0</v>
      </c>
      <c r="BP77" s="55"/>
      <c r="BQ77" s="56"/>
      <c r="BR77" s="611"/>
      <c r="BS77" s="611"/>
      <c r="BT77" s="56">
        <f>SUM(L77:BO77)</f>
        <v>0</v>
      </c>
      <c r="BU77" s="55"/>
      <c r="BV77" s="56"/>
      <c r="BW77" s="611"/>
      <c r="BX77" s="611"/>
      <c r="BY77" s="601">
        <v>0</v>
      </c>
      <c r="BZ77" s="55"/>
      <c r="CA77" s="56"/>
      <c r="CB77" s="611"/>
      <c r="CC77" s="611"/>
      <c r="CD77" s="601">
        <v>0</v>
      </c>
      <c r="CE77" s="55"/>
      <c r="CF77" s="56"/>
      <c r="CG77" s="611"/>
      <c r="CH77" s="611"/>
      <c r="CI77" s="601">
        <v>0</v>
      </c>
      <c r="CJ77" s="55"/>
      <c r="CK77" s="56"/>
      <c r="CL77" s="611"/>
      <c r="CM77" s="611"/>
      <c r="CN77" s="601">
        <v>0</v>
      </c>
      <c r="CO77" s="55"/>
      <c r="CP77" s="56"/>
      <c r="CQ77" s="611"/>
      <c r="CR77" s="611"/>
      <c r="CS77" s="601">
        <v>0</v>
      </c>
      <c r="CT77" s="55"/>
      <c r="CU77" s="56"/>
      <c r="CV77" s="611"/>
      <c r="CW77" s="611"/>
      <c r="CX77" s="601">
        <v>0</v>
      </c>
      <c r="CY77" s="55"/>
      <c r="CZ77" s="56"/>
      <c r="DA77" s="611"/>
      <c r="DB77" s="611"/>
      <c r="DC77" s="601">
        <v>0</v>
      </c>
      <c r="DD77" s="55"/>
      <c r="DE77" s="56"/>
      <c r="DF77" s="611"/>
      <c r="DG77" s="611"/>
      <c r="DH77" s="601">
        <v>0</v>
      </c>
      <c r="DI77" s="55"/>
      <c r="DJ77" s="56"/>
      <c r="DK77" s="611"/>
      <c r="DL77" s="611"/>
      <c r="DM77" s="601">
        <v>0</v>
      </c>
      <c r="DN77" s="55"/>
      <c r="DO77" s="56"/>
      <c r="DP77" s="611"/>
      <c r="DQ77" s="611"/>
      <c r="DR77" s="601">
        <v>0</v>
      </c>
      <c r="DS77" s="55"/>
      <c r="DT77" s="56"/>
      <c r="DU77" s="611"/>
      <c r="DV77" s="611"/>
      <c r="DW77" s="601">
        <v>0</v>
      </c>
      <c r="DX77" s="55"/>
      <c r="DY77" s="56"/>
      <c r="DZ77" s="611"/>
      <c r="EA77" s="611"/>
      <c r="EB77" s="601">
        <v>0</v>
      </c>
      <c r="EC77" s="55"/>
      <c r="ED77" s="56"/>
      <c r="EE77" s="611"/>
      <c r="EF77" s="611"/>
      <c r="EG77" s="601">
        <v>0</v>
      </c>
      <c r="EH77" s="55"/>
      <c r="EI77" s="56"/>
      <c r="EJ77" s="611"/>
      <c r="EK77" s="611"/>
      <c r="EL77" s="56">
        <f t="shared" ref="EL77" si="2">SUM(CD77:DW77)</f>
        <v>0</v>
      </c>
      <c r="EM77" s="506"/>
      <c r="EO77" s="144"/>
      <c r="EP77" s="42"/>
      <c r="EQ77" s="42"/>
    </row>
    <row r="78" spans="4:147" ht="12.75" hidden="1" customHeight="1" x14ac:dyDescent="0.3">
      <c r="D78" s="144" t="s">
        <v>393</v>
      </c>
      <c r="E78" s="494"/>
      <c r="F78" s="494"/>
      <c r="G78" s="517">
        <v>0</v>
      </c>
      <c r="H78" s="55"/>
      <c r="I78" s="56"/>
      <c r="J78" s="611"/>
      <c r="K78" s="611"/>
      <c r="L78" s="517">
        <v>0</v>
      </c>
      <c r="M78" s="55"/>
      <c r="N78" s="56"/>
      <c r="O78" s="611"/>
      <c r="P78" s="611"/>
      <c r="Q78" s="517">
        <v>0</v>
      </c>
      <c r="R78" s="55"/>
      <c r="S78" s="56"/>
      <c r="T78" s="611"/>
      <c r="U78" s="611"/>
      <c r="V78" s="517">
        <v>0</v>
      </c>
      <c r="W78" s="55"/>
      <c r="X78" s="56"/>
      <c r="Y78" s="611"/>
      <c r="Z78" s="611"/>
      <c r="AA78" s="517">
        <v>0</v>
      </c>
      <c r="AB78" s="55"/>
      <c r="AC78" s="56"/>
      <c r="AD78" s="611"/>
      <c r="AE78" s="611"/>
      <c r="AF78" s="517">
        <v>0</v>
      </c>
      <c r="AG78" s="55"/>
      <c r="AH78" s="56"/>
      <c r="AI78" s="611"/>
      <c r="AJ78" s="611"/>
      <c r="AK78" s="517">
        <v>0</v>
      </c>
      <c r="AL78" s="55"/>
      <c r="AM78" s="56"/>
      <c r="AN78" s="611"/>
      <c r="AO78" s="611"/>
      <c r="AP78" s="517">
        <v>0</v>
      </c>
      <c r="AQ78" s="55"/>
      <c r="AR78" s="56"/>
      <c r="AS78" s="611"/>
      <c r="AT78" s="611"/>
      <c r="AU78" s="517">
        <v>0</v>
      </c>
      <c r="AV78" s="55"/>
      <c r="AW78" s="56"/>
      <c r="AX78" s="611"/>
      <c r="AY78" s="611"/>
      <c r="AZ78" s="517">
        <v>0</v>
      </c>
      <c r="BA78" s="55"/>
      <c r="BB78" s="56"/>
      <c r="BC78" s="611"/>
      <c r="BD78" s="611"/>
      <c r="BE78" s="517">
        <v>0</v>
      </c>
      <c r="BF78" s="55"/>
      <c r="BG78" s="56"/>
      <c r="BH78" s="611"/>
      <c r="BI78" s="611"/>
      <c r="BJ78" s="517">
        <v>0</v>
      </c>
      <c r="BK78" s="55"/>
      <c r="BL78" s="56"/>
      <c r="BM78" s="611"/>
      <c r="BN78" s="611"/>
      <c r="BO78" s="517">
        <v>0</v>
      </c>
      <c r="BP78" s="55"/>
      <c r="BQ78" s="56"/>
      <c r="BR78" s="611"/>
      <c r="BS78" s="611"/>
      <c r="BT78" s="56">
        <f t="shared" ref="BT78:BT92" si="3">SUM(L78:BO78)</f>
        <v>0</v>
      </c>
      <c r="BU78" s="55"/>
      <c r="BV78" s="56"/>
      <c r="BW78" s="611"/>
      <c r="BX78" s="611"/>
      <c r="BY78" s="517">
        <v>0</v>
      </c>
      <c r="BZ78" s="55"/>
      <c r="CA78" s="56"/>
      <c r="CB78" s="611"/>
      <c r="CC78" s="611"/>
      <c r="CD78" s="517">
        <v>0</v>
      </c>
      <c r="CE78" s="55"/>
      <c r="CF78" s="56"/>
      <c r="CG78" s="611"/>
      <c r="CH78" s="611"/>
      <c r="CI78" s="517">
        <v>0</v>
      </c>
      <c r="CJ78" s="55"/>
      <c r="CK78" s="56"/>
      <c r="CL78" s="611"/>
      <c r="CM78" s="611"/>
      <c r="CN78" s="517">
        <v>0</v>
      </c>
      <c r="CO78" s="55"/>
      <c r="CP78" s="56"/>
      <c r="CQ78" s="611"/>
      <c r="CR78" s="611"/>
      <c r="CS78" s="517">
        <v>0</v>
      </c>
      <c r="CT78" s="55"/>
      <c r="CU78" s="56"/>
      <c r="CV78" s="611"/>
      <c r="CW78" s="611"/>
      <c r="CX78" s="517">
        <v>0</v>
      </c>
      <c r="CY78" s="55"/>
      <c r="CZ78" s="56"/>
      <c r="DA78" s="611"/>
      <c r="DB78" s="611"/>
      <c r="DC78" s="517">
        <v>0</v>
      </c>
      <c r="DD78" s="55"/>
      <c r="DE78" s="56"/>
      <c r="DF78" s="611"/>
      <c r="DG78" s="611"/>
      <c r="DH78" s="517">
        <v>0</v>
      </c>
      <c r="DI78" s="55"/>
      <c r="DJ78" s="56"/>
      <c r="DK78" s="611"/>
      <c r="DL78" s="611"/>
      <c r="DM78" s="517">
        <v>0</v>
      </c>
      <c r="DN78" s="55"/>
      <c r="DO78" s="56"/>
      <c r="DP78" s="611"/>
      <c r="DQ78" s="611"/>
      <c r="DR78" s="517">
        <v>0</v>
      </c>
      <c r="DS78" s="55"/>
      <c r="DT78" s="56"/>
      <c r="DU78" s="611"/>
      <c r="DV78" s="611"/>
      <c r="DW78" s="517">
        <v>0</v>
      </c>
      <c r="DX78" s="55"/>
      <c r="DY78" s="56"/>
      <c r="DZ78" s="611"/>
      <c r="EA78" s="611"/>
      <c r="EB78" s="517">
        <v>0</v>
      </c>
      <c r="EC78" s="55"/>
      <c r="ED78" s="56"/>
      <c r="EE78" s="611"/>
      <c r="EF78" s="611"/>
      <c r="EG78" s="517">
        <v>0</v>
      </c>
      <c r="EH78" s="55"/>
      <c r="EI78" s="56"/>
      <c r="EJ78" s="611"/>
      <c r="EK78" s="611"/>
      <c r="EL78" s="56">
        <f t="shared" ref="EL78:EL92" si="4">SUM(CD78:EG78)</f>
        <v>0</v>
      </c>
      <c r="EM78" s="506"/>
      <c r="EO78" s="144"/>
      <c r="EP78" s="42"/>
      <c r="EQ78" s="42"/>
    </row>
    <row r="79" spans="4:147" ht="12.75" hidden="1" customHeight="1" x14ac:dyDescent="0.3">
      <c r="D79" s="144" t="s">
        <v>394</v>
      </c>
      <c r="E79" s="494"/>
      <c r="F79" s="494"/>
      <c r="G79" s="517">
        <v>0</v>
      </c>
      <c r="H79" s="55"/>
      <c r="I79" s="56"/>
      <c r="J79" s="611"/>
      <c r="K79" s="611"/>
      <c r="L79" s="517">
        <v>0</v>
      </c>
      <c r="M79" s="55"/>
      <c r="N79" s="56"/>
      <c r="O79" s="611"/>
      <c r="P79" s="611"/>
      <c r="Q79" s="517">
        <v>0</v>
      </c>
      <c r="R79" s="55"/>
      <c r="S79" s="56"/>
      <c r="T79" s="611"/>
      <c r="U79" s="611"/>
      <c r="V79" s="517">
        <v>0</v>
      </c>
      <c r="W79" s="55"/>
      <c r="X79" s="56"/>
      <c r="Y79" s="611"/>
      <c r="Z79" s="611"/>
      <c r="AA79" s="517">
        <v>0</v>
      </c>
      <c r="AB79" s="55"/>
      <c r="AC79" s="56"/>
      <c r="AD79" s="611"/>
      <c r="AE79" s="611"/>
      <c r="AF79" s="517">
        <v>0</v>
      </c>
      <c r="AG79" s="55"/>
      <c r="AH79" s="56"/>
      <c r="AI79" s="611"/>
      <c r="AJ79" s="611"/>
      <c r="AK79" s="517">
        <v>0</v>
      </c>
      <c r="AL79" s="55"/>
      <c r="AM79" s="56"/>
      <c r="AN79" s="611"/>
      <c r="AO79" s="611"/>
      <c r="AP79" s="517">
        <v>0</v>
      </c>
      <c r="AQ79" s="55"/>
      <c r="AR79" s="56"/>
      <c r="AS79" s="611"/>
      <c r="AT79" s="611"/>
      <c r="AU79" s="517">
        <v>0</v>
      </c>
      <c r="AV79" s="55"/>
      <c r="AW79" s="56"/>
      <c r="AX79" s="611"/>
      <c r="AY79" s="611"/>
      <c r="AZ79" s="517">
        <v>0</v>
      </c>
      <c r="BA79" s="55"/>
      <c r="BB79" s="56"/>
      <c r="BC79" s="611"/>
      <c r="BD79" s="611"/>
      <c r="BE79" s="517">
        <v>0</v>
      </c>
      <c r="BF79" s="55"/>
      <c r="BG79" s="56"/>
      <c r="BH79" s="611"/>
      <c r="BI79" s="611"/>
      <c r="BJ79" s="517">
        <v>0</v>
      </c>
      <c r="BK79" s="55"/>
      <c r="BL79" s="56"/>
      <c r="BM79" s="611"/>
      <c r="BN79" s="611"/>
      <c r="BO79" s="517">
        <v>0</v>
      </c>
      <c r="BP79" s="55"/>
      <c r="BQ79" s="56"/>
      <c r="BR79" s="611"/>
      <c r="BS79" s="611"/>
      <c r="BT79" s="56">
        <f t="shared" si="3"/>
        <v>0</v>
      </c>
      <c r="BU79" s="55"/>
      <c r="BV79" s="56"/>
      <c r="BW79" s="611"/>
      <c r="BX79" s="611"/>
      <c r="BY79" s="517">
        <v>0</v>
      </c>
      <c r="BZ79" s="55"/>
      <c r="CA79" s="56"/>
      <c r="CB79" s="611"/>
      <c r="CC79" s="611"/>
      <c r="CD79" s="517">
        <v>0</v>
      </c>
      <c r="CE79" s="55"/>
      <c r="CF79" s="56"/>
      <c r="CG79" s="611"/>
      <c r="CH79" s="611"/>
      <c r="CI79" s="517">
        <v>0</v>
      </c>
      <c r="CJ79" s="55"/>
      <c r="CK79" s="56"/>
      <c r="CL79" s="611"/>
      <c r="CM79" s="611"/>
      <c r="CN79" s="517">
        <v>0</v>
      </c>
      <c r="CO79" s="55"/>
      <c r="CP79" s="56"/>
      <c r="CQ79" s="611"/>
      <c r="CR79" s="611"/>
      <c r="CS79" s="517">
        <v>0</v>
      </c>
      <c r="CT79" s="55"/>
      <c r="CU79" s="56"/>
      <c r="CV79" s="611"/>
      <c r="CW79" s="611"/>
      <c r="CX79" s="517">
        <v>0</v>
      </c>
      <c r="CY79" s="55"/>
      <c r="CZ79" s="56"/>
      <c r="DA79" s="611"/>
      <c r="DB79" s="611"/>
      <c r="DC79" s="517">
        <v>0</v>
      </c>
      <c r="DD79" s="55"/>
      <c r="DE79" s="56"/>
      <c r="DF79" s="611"/>
      <c r="DG79" s="611"/>
      <c r="DH79" s="517">
        <v>0</v>
      </c>
      <c r="DI79" s="55"/>
      <c r="DJ79" s="56"/>
      <c r="DK79" s="611"/>
      <c r="DL79" s="611"/>
      <c r="DM79" s="517">
        <v>0</v>
      </c>
      <c r="DN79" s="55"/>
      <c r="DO79" s="56"/>
      <c r="DP79" s="611"/>
      <c r="DQ79" s="611"/>
      <c r="DR79" s="517">
        <v>0</v>
      </c>
      <c r="DS79" s="55"/>
      <c r="DT79" s="56"/>
      <c r="DU79" s="611"/>
      <c r="DV79" s="611"/>
      <c r="DW79" s="517">
        <v>0</v>
      </c>
      <c r="DX79" s="55"/>
      <c r="DY79" s="56"/>
      <c r="DZ79" s="611"/>
      <c r="EA79" s="611"/>
      <c r="EB79" s="517">
        <v>0</v>
      </c>
      <c r="EC79" s="55"/>
      <c r="ED79" s="56"/>
      <c r="EE79" s="611"/>
      <c r="EF79" s="611"/>
      <c r="EG79" s="517">
        <v>0</v>
      </c>
      <c r="EH79" s="55"/>
      <c r="EI79" s="56"/>
      <c r="EJ79" s="611"/>
      <c r="EK79" s="611"/>
      <c r="EL79" s="56">
        <f t="shared" si="4"/>
        <v>0</v>
      </c>
      <c r="EM79" s="506"/>
      <c r="EO79" s="144"/>
      <c r="EP79" s="42"/>
      <c r="EQ79" s="42"/>
    </row>
    <row r="80" spans="4:147" ht="12.75" hidden="1" customHeight="1" x14ac:dyDescent="0.3">
      <c r="D80" s="144" t="s">
        <v>395</v>
      </c>
      <c r="E80" s="494"/>
      <c r="F80" s="494"/>
      <c r="G80" s="517">
        <v>0</v>
      </c>
      <c r="H80" s="55"/>
      <c r="I80" s="56"/>
      <c r="J80" s="611"/>
      <c r="K80" s="611"/>
      <c r="L80" s="517">
        <v>0</v>
      </c>
      <c r="M80" s="55"/>
      <c r="N80" s="56"/>
      <c r="O80" s="611"/>
      <c r="P80" s="611"/>
      <c r="Q80" s="517">
        <v>0</v>
      </c>
      <c r="R80" s="55"/>
      <c r="S80" s="56"/>
      <c r="T80" s="611"/>
      <c r="U80" s="611"/>
      <c r="V80" s="517">
        <v>0</v>
      </c>
      <c r="W80" s="55"/>
      <c r="X80" s="56"/>
      <c r="Y80" s="611"/>
      <c r="Z80" s="611"/>
      <c r="AA80" s="517">
        <v>0</v>
      </c>
      <c r="AB80" s="55"/>
      <c r="AC80" s="56"/>
      <c r="AD80" s="611"/>
      <c r="AE80" s="611"/>
      <c r="AF80" s="517">
        <v>0</v>
      </c>
      <c r="AG80" s="55"/>
      <c r="AH80" s="56"/>
      <c r="AI80" s="611"/>
      <c r="AJ80" s="611"/>
      <c r="AK80" s="517">
        <v>0</v>
      </c>
      <c r="AL80" s="55"/>
      <c r="AM80" s="56"/>
      <c r="AN80" s="611"/>
      <c r="AO80" s="611"/>
      <c r="AP80" s="517">
        <v>0</v>
      </c>
      <c r="AQ80" s="55"/>
      <c r="AR80" s="56"/>
      <c r="AS80" s="611"/>
      <c r="AT80" s="611"/>
      <c r="AU80" s="517">
        <v>0</v>
      </c>
      <c r="AV80" s="55"/>
      <c r="AW80" s="56"/>
      <c r="AX80" s="611"/>
      <c r="AY80" s="611"/>
      <c r="AZ80" s="517">
        <v>0</v>
      </c>
      <c r="BA80" s="55"/>
      <c r="BB80" s="56"/>
      <c r="BC80" s="611"/>
      <c r="BD80" s="611"/>
      <c r="BE80" s="517">
        <v>0</v>
      </c>
      <c r="BF80" s="55"/>
      <c r="BG80" s="56"/>
      <c r="BH80" s="611"/>
      <c r="BI80" s="611"/>
      <c r="BJ80" s="517">
        <v>0</v>
      </c>
      <c r="BK80" s="55"/>
      <c r="BL80" s="56"/>
      <c r="BM80" s="611"/>
      <c r="BN80" s="611"/>
      <c r="BO80" s="517">
        <v>0</v>
      </c>
      <c r="BP80" s="55"/>
      <c r="BQ80" s="56"/>
      <c r="BR80" s="611"/>
      <c r="BS80" s="611"/>
      <c r="BT80" s="56">
        <f t="shared" si="3"/>
        <v>0</v>
      </c>
      <c r="BU80" s="55"/>
      <c r="BV80" s="56"/>
      <c r="BW80" s="611"/>
      <c r="BX80" s="611"/>
      <c r="BY80" s="517">
        <v>0</v>
      </c>
      <c r="BZ80" s="55"/>
      <c r="CA80" s="56"/>
      <c r="CB80" s="611"/>
      <c r="CC80" s="611"/>
      <c r="CD80" s="517">
        <v>0</v>
      </c>
      <c r="CE80" s="55"/>
      <c r="CF80" s="56"/>
      <c r="CG80" s="611"/>
      <c r="CH80" s="611"/>
      <c r="CI80" s="517">
        <v>0</v>
      </c>
      <c r="CJ80" s="55"/>
      <c r="CK80" s="56"/>
      <c r="CL80" s="611"/>
      <c r="CM80" s="611"/>
      <c r="CN80" s="517">
        <v>0</v>
      </c>
      <c r="CO80" s="55"/>
      <c r="CP80" s="56"/>
      <c r="CQ80" s="611"/>
      <c r="CR80" s="611"/>
      <c r="CS80" s="517">
        <v>0</v>
      </c>
      <c r="CT80" s="55"/>
      <c r="CU80" s="56"/>
      <c r="CV80" s="611"/>
      <c r="CW80" s="611"/>
      <c r="CX80" s="517">
        <v>0</v>
      </c>
      <c r="CY80" s="55"/>
      <c r="CZ80" s="56"/>
      <c r="DA80" s="611"/>
      <c r="DB80" s="611"/>
      <c r="DC80" s="517">
        <v>0</v>
      </c>
      <c r="DD80" s="55"/>
      <c r="DE80" s="56"/>
      <c r="DF80" s="611"/>
      <c r="DG80" s="611"/>
      <c r="DH80" s="517">
        <v>0</v>
      </c>
      <c r="DI80" s="55"/>
      <c r="DJ80" s="56"/>
      <c r="DK80" s="611"/>
      <c r="DL80" s="611"/>
      <c r="DM80" s="517">
        <v>0</v>
      </c>
      <c r="DN80" s="55"/>
      <c r="DO80" s="56"/>
      <c r="DP80" s="611"/>
      <c r="DQ80" s="611"/>
      <c r="DR80" s="517">
        <v>0</v>
      </c>
      <c r="DS80" s="55"/>
      <c r="DT80" s="56"/>
      <c r="DU80" s="611"/>
      <c r="DV80" s="611"/>
      <c r="DW80" s="517">
        <v>0</v>
      </c>
      <c r="DX80" s="55"/>
      <c r="DY80" s="56"/>
      <c r="DZ80" s="611"/>
      <c r="EA80" s="611"/>
      <c r="EB80" s="517">
        <v>0</v>
      </c>
      <c r="EC80" s="55"/>
      <c r="ED80" s="56"/>
      <c r="EE80" s="611"/>
      <c r="EF80" s="611"/>
      <c r="EG80" s="517">
        <v>0</v>
      </c>
      <c r="EH80" s="55"/>
      <c r="EI80" s="56"/>
      <c r="EJ80" s="611"/>
      <c r="EK80" s="611"/>
      <c r="EL80" s="56">
        <f t="shared" si="4"/>
        <v>0</v>
      </c>
      <c r="EM80" s="506"/>
      <c r="EO80" s="144"/>
      <c r="EP80" s="42"/>
      <c r="EQ80" s="42"/>
    </row>
    <row r="81" spans="4:147" ht="12.75" hidden="1" customHeight="1" x14ac:dyDescent="0.3">
      <c r="D81" s="144" t="s">
        <v>353</v>
      </c>
      <c r="E81" s="494"/>
      <c r="F81" s="494"/>
      <c r="G81" s="517">
        <v>0</v>
      </c>
      <c r="H81" s="55"/>
      <c r="I81" s="56"/>
      <c r="J81" s="611"/>
      <c r="K81" s="611"/>
      <c r="L81" s="517">
        <v>0</v>
      </c>
      <c r="M81" s="55"/>
      <c r="N81" s="56"/>
      <c r="O81" s="611"/>
      <c r="P81" s="611"/>
      <c r="Q81" s="517">
        <v>0</v>
      </c>
      <c r="R81" s="55"/>
      <c r="S81" s="56"/>
      <c r="T81" s="611"/>
      <c r="U81" s="611"/>
      <c r="V81" s="517">
        <v>0</v>
      </c>
      <c r="W81" s="55"/>
      <c r="X81" s="56"/>
      <c r="Y81" s="611"/>
      <c r="Z81" s="611"/>
      <c r="AA81" s="517">
        <v>0</v>
      </c>
      <c r="AB81" s="55"/>
      <c r="AC81" s="56"/>
      <c r="AD81" s="611"/>
      <c r="AE81" s="611"/>
      <c r="AF81" s="517">
        <v>0</v>
      </c>
      <c r="AG81" s="55"/>
      <c r="AH81" s="56"/>
      <c r="AI81" s="611"/>
      <c r="AJ81" s="611"/>
      <c r="AK81" s="517">
        <v>0</v>
      </c>
      <c r="AL81" s="55"/>
      <c r="AM81" s="56"/>
      <c r="AN81" s="611"/>
      <c r="AO81" s="611"/>
      <c r="AP81" s="517">
        <v>0</v>
      </c>
      <c r="AQ81" s="55"/>
      <c r="AR81" s="56"/>
      <c r="AS81" s="611"/>
      <c r="AT81" s="611"/>
      <c r="AU81" s="517">
        <v>0</v>
      </c>
      <c r="AV81" s="55"/>
      <c r="AW81" s="56"/>
      <c r="AX81" s="611"/>
      <c r="AY81" s="611"/>
      <c r="AZ81" s="517">
        <v>0</v>
      </c>
      <c r="BA81" s="55"/>
      <c r="BB81" s="56"/>
      <c r="BC81" s="611"/>
      <c r="BD81" s="611"/>
      <c r="BE81" s="517">
        <v>0</v>
      </c>
      <c r="BF81" s="55"/>
      <c r="BG81" s="56"/>
      <c r="BH81" s="611"/>
      <c r="BI81" s="611"/>
      <c r="BJ81" s="517">
        <v>0</v>
      </c>
      <c r="BK81" s="55"/>
      <c r="BL81" s="56"/>
      <c r="BM81" s="611"/>
      <c r="BN81" s="611"/>
      <c r="BO81" s="517">
        <v>0</v>
      </c>
      <c r="BP81" s="55"/>
      <c r="BQ81" s="56"/>
      <c r="BR81" s="611"/>
      <c r="BS81" s="611"/>
      <c r="BT81" s="56">
        <f t="shared" si="3"/>
        <v>0</v>
      </c>
      <c r="BU81" s="55"/>
      <c r="BV81" s="56"/>
      <c r="BW81" s="611"/>
      <c r="BX81" s="611"/>
      <c r="BY81" s="517">
        <v>0</v>
      </c>
      <c r="BZ81" s="55"/>
      <c r="CA81" s="56"/>
      <c r="CB81" s="611"/>
      <c r="CC81" s="611"/>
      <c r="CD81" s="517">
        <v>0</v>
      </c>
      <c r="CE81" s="55"/>
      <c r="CF81" s="56"/>
      <c r="CG81" s="611"/>
      <c r="CH81" s="611"/>
      <c r="CI81" s="517">
        <v>0</v>
      </c>
      <c r="CJ81" s="55"/>
      <c r="CK81" s="56"/>
      <c r="CL81" s="611"/>
      <c r="CM81" s="611"/>
      <c r="CN81" s="517">
        <v>0</v>
      </c>
      <c r="CO81" s="55"/>
      <c r="CP81" s="56"/>
      <c r="CQ81" s="611"/>
      <c r="CR81" s="611"/>
      <c r="CS81" s="517">
        <v>0</v>
      </c>
      <c r="CT81" s="55"/>
      <c r="CU81" s="56"/>
      <c r="CV81" s="611"/>
      <c r="CW81" s="611"/>
      <c r="CX81" s="517">
        <v>0</v>
      </c>
      <c r="CY81" s="55"/>
      <c r="CZ81" s="56"/>
      <c r="DA81" s="611"/>
      <c r="DB81" s="611"/>
      <c r="DC81" s="517">
        <v>0</v>
      </c>
      <c r="DD81" s="55"/>
      <c r="DE81" s="56"/>
      <c r="DF81" s="611"/>
      <c r="DG81" s="611"/>
      <c r="DH81" s="517">
        <v>0</v>
      </c>
      <c r="DI81" s="55"/>
      <c r="DJ81" s="56"/>
      <c r="DK81" s="611"/>
      <c r="DL81" s="611"/>
      <c r="DM81" s="517">
        <v>0</v>
      </c>
      <c r="DN81" s="55"/>
      <c r="DO81" s="56"/>
      <c r="DP81" s="611"/>
      <c r="DQ81" s="611"/>
      <c r="DR81" s="517">
        <v>0</v>
      </c>
      <c r="DS81" s="55"/>
      <c r="DT81" s="56"/>
      <c r="DU81" s="611"/>
      <c r="DV81" s="611"/>
      <c r="DW81" s="517">
        <v>0</v>
      </c>
      <c r="DX81" s="55"/>
      <c r="DY81" s="56"/>
      <c r="DZ81" s="611"/>
      <c r="EA81" s="611"/>
      <c r="EB81" s="517">
        <v>0</v>
      </c>
      <c r="EC81" s="55"/>
      <c r="ED81" s="56"/>
      <c r="EE81" s="611"/>
      <c r="EF81" s="611"/>
      <c r="EG81" s="517">
        <v>0</v>
      </c>
      <c r="EH81" s="55"/>
      <c r="EI81" s="56"/>
      <c r="EJ81" s="611"/>
      <c r="EK81" s="611"/>
      <c r="EL81" s="56">
        <f t="shared" si="4"/>
        <v>0</v>
      </c>
      <c r="EM81" s="506"/>
      <c r="EO81" s="144"/>
      <c r="EP81" s="42"/>
      <c r="EQ81" s="42"/>
    </row>
    <row r="82" spans="4:147" ht="12.75" hidden="1" customHeight="1" x14ac:dyDescent="0.3">
      <c r="D82" s="144" t="s">
        <v>354</v>
      </c>
      <c r="E82" s="494"/>
      <c r="F82" s="494"/>
      <c r="G82" s="517">
        <v>0</v>
      </c>
      <c r="H82" s="55"/>
      <c r="I82" s="56"/>
      <c r="J82" s="611"/>
      <c r="K82" s="611"/>
      <c r="L82" s="517">
        <v>0</v>
      </c>
      <c r="M82" s="55"/>
      <c r="N82" s="56"/>
      <c r="O82" s="611"/>
      <c r="P82" s="611"/>
      <c r="Q82" s="517">
        <v>0</v>
      </c>
      <c r="R82" s="55"/>
      <c r="S82" s="56"/>
      <c r="T82" s="611"/>
      <c r="U82" s="611"/>
      <c r="V82" s="517">
        <v>0</v>
      </c>
      <c r="W82" s="55"/>
      <c r="X82" s="56"/>
      <c r="Y82" s="611"/>
      <c r="Z82" s="611"/>
      <c r="AA82" s="517">
        <v>0</v>
      </c>
      <c r="AB82" s="55"/>
      <c r="AC82" s="56"/>
      <c r="AD82" s="611"/>
      <c r="AE82" s="611"/>
      <c r="AF82" s="517">
        <v>0</v>
      </c>
      <c r="AG82" s="55"/>
      <c r="AH82" s="56"/>
      <c r="AI82" s="611"/>
      <c r="AJ82" s="611"/>
      <c r="AK82" s="517">
        <v>0</v>
      </c>
      <c r="AL82" s="55"/>
      <c r="AM82" s="56"/>
      <c r="AN82" s="611"/>
      <c r="AO82" s="611"/>
      <c r="AP82" s="517">
        <v>0</v>
      </c>
      <c r="AQ82" s="55"/>
      <c r="AR82" s="56"/>
      <c r="AS82" s="611"/>
      <c r="AT82" s="611"/>
      <c r="AU82" s="517">
        <v>0</v>
      </c>
      <c r="AV82" s="55"/>
      <c r="AW82" s="56"/>
      <c r="AX82" s="611"/>
      <c r="AY82" s="611"/>
      <c r="AZ82" s="517">
        <v>0</v>
      </c>
      <c r="BA82" s="55"/>
      <c r="BB82" s="56"/>
      <c r="BC82" s="611"/>
      <c r="BD82" s="611"/>
      <c r="BE82" s="517">
        <v>0</v>
      </c>
      <c r="BF82" s="55"/>
      <c r="BG82" s="56"/>
      <c r="BH82" s="611"/>
      <c r="BI82" s="611"/>
      <c r="BJ82" s="517">
        <v>0</v>
      </c>
      <c r="BK82" s="55"/>
      <c r="BL82" s="56"/>
      <c r="BM82" s="611"/>
      <c r="BN82" s="611"/>
      <c r="BO82" s="517">
        <v>0</v>
      </c>
      <c r="BP82" s="55"/>
      <c r="BQ82" s="56"/>
      <c r="BR82" s="611"/>
      <c r="BS82" s="611"/>
      <c r="BT82" s="56">
        <f t="shared" si="3"/>
        <v>0</v>
      </c>
      <c r="BU82" s="55"/>
      <c r="BV82" s="56"/>
      <c r="BW82" s="611"/>
      <c r="BX82" s="611"/>
      <c r="BY82" s="517">
        <v>0</v>
      </c>
      <c r="BZ82" s="55"/>
      <c r="CA82" s="56"/>
      <c r="CB82" s="611"/>
      <c r="CC82" s="611"/>
      <c r="CD82" s="517">
        <v>0</v>
      </c>
      <c r="CE82" s="55"/>
      <c r="CF82" s="56"/>
      <c r="CG82" s="611"/>
      <c r="CH82" s="611"/>
      <c r="CI82" s="517">
        <v>0</v>
      </c>
      <c r="CJ82" s="55"/>
      <c r="CK82" s="56"/>
      <c r="CL82" s="611"/>
      <c r="CM82" s="611"/>
      <c r="CN82" s="517">
        <v>0</v>
      </c>
      <c r="CO82" s="55"/>
      <c r="CP82" s="56"/>
      <c r="CQ82" s="611"/>
      <c r="CR82" s="611"/>
      <c r="CS82" s="517">
        <v>0</v>
      </c>
      <c r="CT82" s="55"/>
      <c r="CU82" s="56"/>
      <c r="CV82" s="611"/>
      <c r="CW82" s="611"/>
      <c r="CX82" s="517">
        <v>0</v>
      </c>
      <c r="CY82" s="55"/>
      <c r="CZ82" s="56"/>
      <c r="DA82" s="611"/>
      <c r="DB82" s="611"/>
      <c r="DC82" s="517">
        <v>0</v>
      </c>
      <c r="DD82" s="55"/>
      <c r="DE82" s="56"/>
      <c r="DF82" s="611"/>
      <c r="DG82" s="611"/>
      <c r="DH82" s="517">
        <v>0</v>
      </c>
      <c r="DI82" s="55"/>
      <c r="DJ82" s="56"/>
      <c r="DK82" s="611"/>
      <c r="DL82" s="611"/>
      <c r="DM82" s="517">
        <v>0</v>
      </c>
      <c r="DN82" s="55"/>
      <c r="DO82" s="56"/>
      <c r="DP82" s="611"/>
      <c r="DQ82" s="611"/>
      <c r="DR82" s="517">
        <v>0</v>
      </c>
      <c r="DS82" s="55"/>
      <c r="DT82" s="56"/>
      <c r="DU82" s="611"/>
      <c r="DV82" s="611"/>
      <c r="DW82" s="517">
        <v>0</v>
      </c>
      <c r="DX82" s="55"/>
      <c r="DY82" s="56"/>
      <c r="DZ82" s="611"/>
      <c r="EA82" s="611"/>
      <c r="EB82" s="517">
        <v>0</v>
      </c>
      <c r="EC82" s="55"/>
      <c r="ED82" s="56"/>
      <c r="EE82" s="611"/>
      <c r="EF82" s="611"/>
      <c r="EG82" s="517">
        <v>0</v>
      </c>
      <c r="EH82" s="55"/>
      <c r="EI82" s="56"/>
      <c r="EJ82" s="611"/>
      <c r="EK82" s="611"/>
      <c r="EL82" s="56">
        <f t="shared" si="4"/>
        <v>0</v>
      </c>
      <c r="EM82" s="506"/>
      <c r="EO82" s="144"/>
      <c r="EP82" s="42"/>
      <c r="EQ82" s="42"/>
    </row>
    <row r="83" spans="4:147" ht="12.75" hidden="1" customHeight="1" x14ac:dyDescent="0.3">
      <c r="D83" s="144" t="s">
        <v>355</v>
      </c>
      <c r="E83" s="494"/>
      <c r="F83" s="494"/>
      <c r="G83" s="517">
        <v>0</v>
      </c>
      <c r="H83" s="55"/>
      <c r="I83" s="56"/>
      <c r="J83" s="611"/>
      <c r="K83" s="611"/>
      <c r="L83" s="517">
        <v>0</v>
      </c>
      <c r="M83" s="55"/>
      <c r="N83" s="56"/>
      <c r="O83" s="611"/>
      <c r="P83" s="611"/>
      <c r="Q83" s="517">
        <v>0</v>
      </c>
      <c r="R83" s="55"/>
      <c r="S83" s="56"/>
      <c r="T83" s="611"/>
      <c r="U83" s="611"/>
      <c r="V83" s="517">
        <v>0</v>
      </c>
      <c r="W83" s="55"/>
      <c r="X83" s="56"/>
      <c r="Y83" s="611"/>
      <c r="Z83" s="611"/>
      <c r="AA83" s="517">
        <v>0</v>
      </c>
      <c r="AB83" s="55"/>
      <c r="AC83" s="56"/>
      <c r="AD83" s="611"/>
      <c r="AE83" s="611"/>
      <c r="AF83" s="517">
        <v>0</v>
      </c>
      <c r="AG83" s="55"/>
      <c r="AH83" s="56"/>
      <c r="AI83" s="611"/>
      <c r="AJ83" s="611"/>
      <c r="AK83" s="517">
        <v>0</v>
      </c>
      <c r="AL83" s="55"/>
      <c r="AM83" s="56"/>
      <c r="AN83" s="611"/>
      <c r="AO83" s="611"/>
      <c r="AP83" s="517">
        <v>0</v>
      </c>
      <c r="AQ83" s="55"/>
      <c r="AR83" s="56"/>
      <c r="AS83" s="611"/>
      <c r="AT83" s="611"/>
      <c r="AU83" s="517">
        <v>0</v>
      </c>
      <c r="AV83" s="55"/>
      <c r="AW83" s="56"/>
      <c r="AX83" s="611"/>
      <c r="AY83" s="611"/>
      <c r="AZ83" s="517">
        <v>0</v>
      </c>
      <c r="BA83" s="55"/>
      <c r="BB83" s="56"/>
      <c r="BC83" s="611"/>
      <c r="BD83" s="611"/>
      <c r="BE83" s="517">
        <v>0</v>
      </c>
      <c r="BF83" s="55"/>
      <c r="BG83" s="56"/>
      <c r="BH83" s="611"/>
      <c r="BI83" s="611"/>
      <c r="BJ83" s="517">
        <v>0</v>
      </c>
      <c r="BK83" s="55"/>
      <c r="BL83" s="56"/>
      <c r="BM83" s="611"/>
      <c r="BN83" s="611"/>
      <c r="BO83" s="517">
        <v>0</v>
      </c>
      <c r="BP83" s="55"/>
      <c r="BQ83" s="56"/>
      <c r="BR83" s="611"/>
      <c r="BS83" s="611"/>
      <c r="BT83" s="56">
        <f t="shared" si="3"/>
        <v>0</v>
      </c>
      <c r="BU83" s="55"/>
      <c r="BV83" s="56"/>
      <c r="BW83" s="611"/>
      <c r="BX83" s="611"/>
      <c r="BY83" s="517">
        <v>0</v>
      </c>
      <c r="BZ83" s="55"/>
      <c r="CA83" s="56"/>
      <c r="CB83" s="611"/>
      <c r="CC83" s="611"/>
      <c r="CD83" s="517">
        <v>0</v>
      </c>
      <c r="CE83" s="55"/>
      <c r="CF83" s="56"/>
      <c r="CG83" s="611"/>
      <c r="CH83" s="611"/>
      <c r="CI83" s="517">
        <v>0</v>
      </c>
      <c r="CJ83" s="55"/>
      <c r="CK83" s="56"/>
      <c r="CL83" s="611"/>
      <c r="CM83" s="611"/>
      <c r="CN83" s="517">
        <v>0</v>
      </c>
      <c r="CO83" s="55"/>
      <c r="CP83" s="56"/>
      <c r="CQ83" s="611"/>
      <c r="CR83" s="611"/>
      <c r="CS83" s="517">
        <v>0</v>
      </c>
      <c r="CT83" s="55"/>
      <c r="CU83" s="56"/>
      <c r="CV83" s="611"/>
      <c r="CW83" s="611"/>
      <c r="CX83" s="517">
        <v>0</v>
      </c>
      <c r="CY83" s="55"/>
      <c r="CZ83" s="56"/>
      <c r="DA83" s="611"/>
      <c r="DB83" s="611"/>
      <c r="DC83" s="517">
        <v>0</v>
      </c>
      <c r="DD83" s="55"/>
      <c r="DE83" s="56"/>
      <c r="DF83" s="611"/>
      <c r="DG83" s="611"/>
      <c r="DH83" s="517">
        <v>0</v>
      </c>
      <c r="DI83" s="55"/>
      <c r="DJ83" s="56"/>
      <c r="DK83" s="611"/>
      <c r="DL83" s="611"/>
      <c r="DM83" s="517">
        <v>0</v>
      </c>
      <c r="DN83" s="55"/>
      <c r="DO83" s="56"/>
      <c r="DP83" s="611"/>
      <c r="DQ83" s="611"/>
      <c r="DR83" s="517">
        <v>0</v>
      </c>
      <c r="DS83" s="55"/>
      <c r="DT83" s="56"/>
      <c r="DU83" s="611"/>
      <c r="DV83" s="611"/>
      <c r="DW83" s="517">
        <v>0</v>
      </c>
      <c r="DX83" s="55"/>
      <c r="DY83" s="56"/>
      <c r="DZ83" s="611"/>
      <c r="EA83" s="611"/>
      <c r="EB83" s="517">
        <v>0</v>
      </c>
      <c r="EC83" s="55"/>
      <c r="ED83" s="56"/>
      <c r="EE83" s="611"/>
      <c r="EF83" s="611"/>
      <c r="EG83" s="517">
        <v>0</v>
      </c>
      <c r="EH83" s="55"/>
      <c r="EI83" s="56"/>
      <c r="EJ83" s="611"/>
      <c r="EK83" s="611"/>
      <c r="EL83" s="56">
        <f t="shared" si="4"/>
        <v>0</v>
      </c>
      <c r="EM83" s="506"/>
      <c r="EO83" s="144"/>
      <c r="EP83" s="42"/>
      <c r="EQ83" s="42"/>
    </row>
    <row r="84" spans="4:147" ht="12.75" hidden="1" customHeight="1" x14ac:dyDescent="0.3">
      <c r="D84" s="144" t="s">
        <v>356</v>
      </c>
      <c r="E84" s="494"/>
      <c r="F84" s="494"/>
      <c r="G84" s="517">
        <v>0</v>
      </c>
      <c r="H84" s="55"/>
      <c r="I84" s="56"/>
      <c r="J84" s="611"/>
      <c r="K84" s="611"/>
      <c r="L84" s="517">
        <v>0</v>
      </c>
      <c r="M84" s="55"/>
      <c r="N84" s="56"/>
      <c r="O84" s="611"/>
      <c r="P84" s="611"/>
      <c r="Q84" s="517">
        <v>0</v>
      </c>
      <c r="R84" s="55"/>
      <c r="S84" s="56"/>
      <c r="T84" s="611"/>
      <c r="U84" s="611"/>
      <c r="V84" s="517">
        <v>0</v>
      </c>
      <c r="W84" s="55"/>
      <c r="X84" s="56"/>
      <c r="Y84" s="611"/>
      <c r="Z84" s="611"/>
      <c r="AA84" s="517">
        <v>0</v>
      </c>
      <c r="AB84" s="55"/>
      <c r="AC84" s="56"/>
      <c r="AD84" s="611"/>
      <c r="AE84" s="611"/>
      <c r="AF84" s="517">
        <v>0</v>
      </c>
      <c r="AG84" s="55"/>
      <c r="AH84" s="56"/>
      <c r="AI84" s="611"/>
      <c r="AJ84" s="611"/>
      <c r="AK84" s="517">
        <v>0</v>
      </c>
      <c r="AL84" s="55"/>
      <c r="AM84" s="56"/>
      <c r="AN84" s="611"/>
      <c r="AO84" s="611"/>
      <c r="AP84" s="517">
        <v>0</v>
      </c>
      <c r="AQ84" s="55"/>
      <c r="AR84" s="56"/>
      <c r="AS84" s="611"/>
      <c r="AT84" s="611"/>
      <c r="AU84" s="517">
        <v>0</v>
      </c>
      <c r="AV84" s="55"/>
      <c r="AW84" s="56"/>
      <c r="AX84" s="611"/>
      <c r="AY84" s="611"/>
      <c r="AZ84" s="517">
        <v>0</v>
      </c>
      <c r="BA84" s="55"/>
      <c r="BB84" s="56"/>
      <c r="BC84" s="611"/>
      <c r="BD84" s="611"/>
      <c r="BE84" s="517">
        <v>0</v>
      </c>
      <c r="BF84" s="55"/>
      <c r="BG84" s="56"/>
      <c r="BH84" s="611"/>
      <c r="BI84" s="611"/>
      <c r="BJ84" s="517">
        <v>0</v>
      </c>
      <c r="BK84" s="55"/>
      <c r="BL84" s="56"/>
      <c r="BM84" s="611"/>
      <c r="BN84" s="611"/>
      <c r="BO84" s="517">
        <v>0</v>
      </c>
      <c r="BP84" s="55"/>
      <c r="BQ84" s="56"/>
      <c r="BR84" s="611"/>
      <c r="BS84" s="611"/>
      <c r="BT84" s="56">
        <f t="shared" si="3"/>
        <v>0</v>
      </c>
      <c r="BU84" s="55"/>
      <c r="BV84" s="56"/>
      <c r="BW84" s="611"/>
      <c r="BX84" s="611"/>
      <c r="BY84" s="517">
        <v>0</v>
      </c>
      <c r="BZ84" s="55"/>
      <c r="CA84" s="56"/>
      <c r="CB84" s="611"/>
      <c r="CC84" s="611"/>
      <c r="CD84" s="517">
        <v>0</v>
      </c>
      <c r="CE84" s="55"/>
      <c r="CF84" s="56"/>
      <c r="CG84" s="611"/>
      <c r="CH84" s="611"/>
      <c r="CI84" s="517">
        <v>0</v>
      </c>
      <c r="CJ84" s="55"/>
      <c r="CK84" s="56"/>
      <c r="CL84" s="611"/>
      <c r="CM84" s="611"/>
      <c r="CN84" s="517">
        <v>0</v>
      </c>
      <c r="CO84" s="55"/>
      <c r="CP84" s="56"/>
      <c r="CQ84" s="611"/>
      <c r="CR84" s="611"/>
      <c r="CS84" s="517">
        <v>0</v>
      </c>
      <c r="CT84" s="55"/>
      <c r="CU84" s="56"/>
      <c r="CV84" s="611"/>
      <c r="CW84" s="611"/>
      <c r="CX84" s="517">
        <v>0</v>
      </c>
      <c r="CY84" s="55"/>
      <c r="CZ84" s="56"/>
      <c r="DA84" s="611"/>
      <c r="DB84" s="611"/>
      <c r="DC84" s="517">
        <v>0</v>
      </c>
      <c r="DD84" s="55"/>
      <c r="DE84" s="56"/>
      <c r="DF84" s="611"/>
      <c r="DG84" s="611"/>
      <c r="DH84" s="517">
        <v>0</v>
      </c>
      <c r="DI84" s="55"/>
      <c r="DJ84" s="56"/>
      <c r="DK84" s="611"/>
      <c r="DL84" s="611"/>
      <c r="DM84" s="517">
        <v>0</v>
      </c>
      <c r="DN84" s="55"/>
      <c r="DO84" s="56"/>
      <c r="DP84" s="611"/>
      <c r="DQ84" s="611"/>
      <c r="DR84" s="517">
        <v>0</v>
      </c>
      <c r="DS84" s="55"/>
      <c r="DT84" s="56"/>
      <c r="DU84" s="611"/>
      <c r="DV84" s="611"/>
      <c r="DW84" s="517">
        <v>0</v>
      </c>
      <c r="DX84" s="55"/>
      <c r="DY84" s="56"/>
      <c r="DZ84" s="611"/>
      <c r="EA84" s="611"/>
      <c r="EB84" s="517">
        <v>0</v>
      </c>
      <c r="EC84" s="55"/>
      <c r="ED84" s="56"/>
      <c r="EE84" s="611"/>
      <c r="EF84" s="611"/>
      <c r="EG84" s="517">
        <v>0</v>
      </c>
      <c r="EH84" s="55"/>
      <c r="EI84" s="56"/>
      <c r="EJ84" s="611"/>
      <c r="EK84" s="611"/>
      <c r="EL84" s="56">
        <f t="shared" si="4"/>
        <v>0</v>
      </c>
      <c r="EM84" s="506"/>
      <c r="EO84" s="144"/>
      <c r="EP84" s="42"/>
      <c r="EQ84" s="42"/>
    </row>
    <row r="85" spans="4:147" ht="12.75" hidden="1" customHeight="1" x14ac:dyDescent="0.3">
      <c r="D85" s="144" t="s">
        <v>357</v>
      </c>
      <c r="E85" s="494"/>
      <c r="F85" s="494"/>
      <c r="G85" s="517">
        <v>0</v>
      </c>
      <c r="H85" s="55"/>
      <c r="I85" s="56"/>
      <c r="J85" s="611"/>
      <c r="K85" s="611"/>
      <c r="L85" s="517">
        <v>0</v>
      </c>
      <c r="M85" s="55"/>
      <c r="N85" s="56"/>
      <c r="O85" s="611"/>
      <c r="P85" s="611"/>
      <c r="Q85" s="517">
        <v>0</v>
      </c>
      <c r="R85" s="55"/>
      <c r="S85" s="56"/>
      <c r="T85" s="611"/>
      <c r="U85" s="611"/>
      <c r="V85" s="517">
        <v>0</v>
      </c>
      <c r="W85" s="55"/>
      <c r="X85" s="56"/>
      <c r="Y85" s="611"/>
      <c r="Z85" s="611"/>
      <c r="AA85" s="517">
        <v>0</v>
      </c>
      <c r="AB85" s="55"/>
      <c r="AC85" s="56"/>
      <c r="AD85" s="611"/>
      <c r="AE85" s="611"/>
      <c r="AF85" s="517">
        <v>0</v>
      </c>
      <c r="AG85" s="55"/>
      <c r="AH85" s="56"/>
      <c r="AI85" s="611"/>
      <c r="AJ85" s="611"/>
      <c r="AK85" s="517">
        <v>0</v>
      </c>
      <c r="AL85" s="55"/>
      <c r="AM85" s="56"/>
      <c r="AN85" s="611"/>
      <c r="AO85" s="611"/>
      <c r="AP85" s="517">
        <v>0</v>
      </c>
      <c r="AQ85" s="55"/>
      <c r="AR85" s="56"/>
      <c r="AS85" s="611"/>
      <c r="AT85" s="611"/>
      <c r="AU85" s="517">
        <v>0</v>
      </c>
      <c r="AV85" s="55"/>
      <c r="AW85" s="56"/>
      <c r="AX85" s="611"/>
      <c r="AY85" s="611"/>
      <c r="AZ85" s="517">
        <v>0</v>
      </c>
      <c r="BA85" s="55"/>
      <c r="BB85" s="56"/>
      <c r="BC85" s="611"/>
      <c r="BD85" s="611"/>
      <c r="BE85" s="517">
        <v>0</v>
      </c>
      <c r="BF85" s="55"/>
      <c r="BG85" s="56"/>
      <c r="BH85" s="611"/>
      <c r="BI85" s="611"/>
      <c r="BJ85" s="517">
        <v>0</v>
      </c>
      <c r="BK85" s="55"/>
      <c r="BL85" s="56"/>
      <c r="BM85" s="611"/>
      <c r="BN85" s="611"/>
      <c r="BO85" s="517">
        <v>0</v>
      </c>
      <c r="BP85" s="55"/>
      <c r="BQ85" s="56"/>
      <c r="BR85" s="611"/>
      <c r="BS85" s="611"/>
      <c r="BT85" s="56">
        <f t="shared" si="3"/>
        <v>0</v>
      </c>
      <c r="BU85" s="55"/>
      <c r="BV85" s="56"/>
      <c r="BW85" s="611"/>
      <c r="BX85" s="611"/>
      <c r="BY85" s="517">
        <v>0</v>
      </c>
      <c r="BZ85" s="55"/>
      <c r="CA85" s="56"/>
      <c r="CB85" s="611"/>
      <c r="CC85" s="611"/>
      <c r="CD85" s="517">
        <v>0</v>
      </c>
      <c r="CE85" s="55"/>
      <c r="CF85" s="56"/>
      <c r="CG85" s="611"/>
      <c r="CH85" s="611"/>
      <c r="CI85" s="517">
        <v>0</v>
      </c>
      <c r="CJ85" s="55"/>
      <c r="CK85" s="56"/>
      <c r="CL85" s="611"/>
      <c r="CM85" s="611"/>
      <c r="CN85" s="517">
        <v>0</v>
      </c>
      <c r="CO85" s="55"/>
      <c r="CP85" s="56"/>
      <c r="CQ85" s="611"/>
      <c r="CR85" s="611"/>
      <c r="CS85" s="517">
        <v>0</v>
      </c>
      <c r="CT85" s="55"/>
      <c r="CU85" s="56"/>
      <c r="CV85" s="611"/>
      <c r="CW85" s="611"/>
      <c r="CX85" s="517">
        <v>0</v>
      </c>
      <c r="CY85" s="55"/>
      <c r="CZ85" s="56"/>
      <c r="DA85" s="611"/>
      <c r="DB85" s="611"/>
      <c r="DC85" s="517">
        <v>0</v>
      </c>
      <c r="DD85" s="55"/>
      <c r="DE85" s="56"/>
      <c r="DF85" s="611"/>
      <c r="DG85" s="611"/>
      <c r="DH85" s="517">
        <v>0</v>
      </c>
      <c r="DI85" s="55"/>
      <c r="DJ85" s="56"/>
      <c r="DK85" s="611"/>
      <c r="DL85" s="611"/>
      <c r="DM85" s="517">
        <v>0</v>
      </c>
      <c r="DN85" s="55"/>
      <c r="DO85" s="56"/>
      <c r="DP85" s="611"/>
      <c r="DQ85" s="611"/>
      <c r="DR85" s="517">
        <v>0</v>
      </c>
      <c r="DS85" s="55"/>
      <c r="DT85" s="56"/>
      <c r="DU85" s="611"/>
      <c r="DV85" s="611"/>
      <c r="DW85" s="517">
        <v>0</v>
      </c>
      <c r="DX85" s="55"/>
      <c r="DY85" s="56"/>
      <c r="DZ85" s="611"/>
      <c r="EA85" s="611"/>
      <c r="EB85" s="517">
        <v>0</v>
      </c>
      <c r="EC85" s="55"/>
      <c r="ED85" s="56"/>
      <c r="EE85" s="611"/>
      <c r="EF85" s="611"/>
      <c r="EG85" s="517">
        <v>0</v>
      </c>
      <c r="EH85" s="55"/>
      <c r="EI85" s="56"/>
      <c r="EJ85" s="611"/>
      <c r="EK85" s="611"/>
      <c r="EL85" s="56">
        <f t="shared" si="4"/>
        <v>0</v>
      </c>
      <c r="EM85" s="506"/>
      <c r="EO85" s="144"/>
      <c r="EP85" s="42"/>
      <c r="EQ85" s="42"/>
    </row>
    <row r="86" spans="4:147" ht="12.75" hidden="1" customHeight="1" x14ac:dyDescent="0.3">
      <c r="D86" s="144" t="s">
        <v>358</v>
      </c>
      <c r="E86" s="494"/>
      <c r="F86" s="494"/>
      <c r="G86" s="56">
        <v>0</v>
      </c>
      <c r="H86" s="55"/>
      <c r="I86" s="56"/>
      <c r="J86" s="611"/>
      <c r="K86" s="611"/>
      <c r="L86" s="56">
        <v>0</v>
      </c>
      <c r="M86" s="55"/>
      <c r="N86" s="56"/>
      <c r="O86" s="611"/>
      <c r="P86" s="611"/>
      <c r="Q86" s="56">
        <v>0</v>
      </c>
      <c r="R86" s="55"/>
      <c r="S86" s="56"/>
      <c r="T86" s="611"/>
      <c r="U86" s="611"/>
      <c r="V86" s="56">
        <v>0</v>
      </c>
      <c r="W86" s="55"/>
      <c r="X86" s="56"/>
      <c r="Y86" s="611"/>
      <c r="Z86" s="611"/>
      <c r="AA86" s="56">
        <v>0</v>
      </c>
      <c r="AB86" s="55"/>
      <c r="AC86" s="56"/>
      <c r="AD86" s="611"/>
      <c r="AE86" s="611"/>
      <c r="AF86" s="56">
        <v>0</v>
      </c>
      <c r="AG86" s="55"/>
      <c r="AH86" s="56"/>
      <c r="AI86" s="611"/>
      <c r="AJ86" s="611"/>
      <c r="AK86" s="56">
        <v>0</v>
      </c>
      <c r="AL86" s="55"/>
      <c r="AM86" s="56"/>
      <c r="AN86" s="611"/>
      <c r="AO86" s="611"/>
      <c r="AP86" s="56">
        <v>0</v>
      </c>
      <c r="AQ86" s="55"/>
      <c r="AR86" s="56"/>
      <c r="AS86" s="611"/>
      <c r="AT86" s="611"/>
      <c r="AU86" s="56">
        <v>0</v>
      </c>
      <c r="AV86" s="55"/>
      <c r="AW86" s="56"/>
      <c r="AX86" s="611"/>
      <c r="AY86" s="611"/>
      <c r="AZ86" s="56">
        <v>0</v>
      </c>
      <c r="BA86" s="55"/>
      <c r="BB86" s="56"/>
      <c r="BC86" s="611"/>
      <c r="BD86" s="611"/>
      <c r="BE86" s="56">
        <v>0</v>
      </c>
      <c r="BF86" s="55"/>
      <c r="BG86" s="56"/>
      <c r="BH86" s="611"/>
      <c r="BI86" s="611"/>
      <c r="BJ86" s="56">
        <v>0</v>
      </c>
      <c r="BK86" s="55"/>
      <c r="BL86" s="56"/>
      <c r="BM86" s="611"/>
      <c r="BN86" s="611"/>
      <c r="BO86" s="56">
        <v>0</v>
      </c>
      <c r="BP86" s="55"/>
      <c r="BQ86" s="56"/>
      <c r="BR86" s="611"/>
      <c r="BS86" s="611"/>
      <c r="BT86" s="56">
        <f>SUM(L86:BO86)</f>
        <v>0</v>
      </c>
      <c r="BU86" s="55"/>
      <c r="BV86" s="56"/>
      <c r="BW86" s="611"/>
      <c r="BX86" s="611"/>
      <c r="BY86" s="56">
        <v>0</v>
      </c>
      <c r="BZ86" s="55"/>
      <c r="CA86" s="56"/>
      <c r="CB86" s="611"/>
      <c r="CC86" s="611"/>
      <c r="CD86" s="56">
        <v>0</v>
      </c>
      <c r="CE86" s="55"/>
      <c r="CF86" s="56"/>
      <c r="CG86" s="611"/>
      <c r="CH86" s="611"/>
      <c r="CI86" s="56">
        <v>0</v>
      </c>
      <c r="CJ86" s="55"/>
      <c r="CK86" s="56"/>
      <c r="CL86" s="611"/>
      <c r="CM86" s="611"/>
      <c r="CN86" s="56">
        <v>0</v>
      </c>
      <c r="CO86" s="55"/>
      <c r="CP86" s="56"/>
      <c r="CQ86" s="611"/>
      <c r="CR86" s="611"/>
      <c r="CS86" s="56">
        <v>0</v>
      </c>
      <c r="CT86" s="55"/>
      <c r="CU86" s="56"/>
      <c r="CV86" s="611"/>
      <c r="CW86" s="611"/>
      <c r="CX86" s="56">
        <v>0</v>
      </c>
      <c r="CY86" s="55"/>
      <c r="CZ86" s="56"/>
      <c r="DA86" s="611"/>
      <c r="DB86" s="611"/>
      <c r="DC86" s="56">
        <v>0</v>
      </c>
      <c r="DD86" s="55"/>
      <c r="DE86" s="56"/>
      <c r="DF86" s="611"/>
      <c r="DG86" s="611"/>
      <c r="DH86" s="56">
        <v>0</v>
      </c>
      <c r="DI86" s="55"/>
      <c r="DJ86" s="56"/>
      <c r="DK86" s="611"/>
      <c r="DL86" s="611"/>
      <c r="DM86" s="56">
        <v>0</v>
      </c>
      <c r="DN86" s="55"/>
      <c r="DO86" s="56"/>
      <c r="DP86" s="611"/>
      <c r="DQ86" s="611"/>
      <c r="DR86" s="56">
        <v>0</v>
      </c>
      <c r="DS86" s="55"/>
      <c r="DT86" s="56"/>
      <c r="DU86" s="611"/>
      <c r="DV86" s="611"/>
      <c r="DW86" s="56">
        <v>0</v>
      </c>
      <c r="DX86" s="55"/>
      <c r="DY86" s="56"/>
      <c r="DZ86" s="611"/>
      <c r="EA86" s="611"/>
      <c r="EB86" s="56">
        <v>0</v>
      </c>
      <c r="EC86" s="55"/>
      <c r="ED86" s="56"/>
      <c r="EE86" s="611"/>
      <c r="EF86" s="611"/>
      <c r="EG86" s="56">
        <v>0</v>
      </c>
      <c r="EH86" s="55"/>
      <c r="EI86" s="56"/>
      <c r="EJ86" s="611"/>
      <c r="EK86" s="611"/>
      <c r="EL86" s="56">
        <f>SUM(CD86:EG86)</f>
        <v>0</v>
      </c>
      <c r="EM86" s="506"/>
      <c r="EO86" s="144"/>
      <c r="EP86" s="42"/>
      <c r="EQ86" s="42"/>
    </row>
    <row r="87" spans="4:147" ht="12.75" hidden="1" customHeight="1" x14ac:dyDescent="0.3">
      <c r="D87" s="144" t="s">
        <v>359</v>
      </c>
      <c r="E87" s="494"/>
      <c r="F87" s="494"/>
      <c r="G87" s="56">
        <v>0</v>
      </c>
      <c r="H87" s="55"/>
      <c r="I87" s="56"/>
      <c r="J87" s="611"/>
      <c r="K87" s="611"/>
      <c r="L87" s="56">
        <v>0</v>
      </c>
      <c r="M87" s="55"/>
      <c r="N87" s="56"/>
      <c r="O87" s="611"/>
      <c r="P87" s="611"/>
      <c r="Q87" s="56">
        <v>0</v>
      </c>
      <c r="R87" s="55"/>
      <c r="S87" s="56"/>
      <c r="T87" s="611"/>
      <c r="U87" s="611"/>
      <c r="V87" s="56">
        <v>0</v>
      </c>
      <c r="W87" s="55"/>
      <c r="X87" s="56"/>
      <c r="Y87" s="611"/>
      <c r="Z87" s="611"/>
      <c r="AA87" s="56">
        <v>0</v>
      </c>
      <c r="AB87" s="55"/>
      <c r="AC87" s="56"/>
      <c r="AD87" s="611"/>
      <c r="AE87" s="611"/>
      <c r="AF87" s="56">
        <v>0</v>
      </c>
      <c r="AG87" s="55"/>
      <c r="AH87" s="56"/>
      <c r="AI87" s="611"/>
      <c r="AJ87" s="611"/>
      <c r="AK87" s="56">
        <v>0</v>
      </c>
      <c r="AL87" s="55"/>
      <c r="AM87" s="56"/>
      <c r="AN87" s="611"/>
      <c r="AO87" s="611"/>
      <c r="AP87" s="56">
        <v>0</v>
      </c>
      <c r="AQ87" s="55"/>
      <c r="AR87" s="56"/>
      <c r="AS87" s="611"/>
      <c r="AT87" s="611"/>
      <c r="AU87" s="56">
        <v>0</v>
      </c>
      <c r="AV87" s="55"/>
      <c r="AW87" s="56"/>
      <c r="AX87" s="611"/>
      <c r="AY87" s="611"/>
      <c r="AZ87" s="56">
        <v>0</v>
      </c>
      <c r="BA87" s="55"/>
      <c r="BB87" s="56"/>
      <c r="BC87" s="611"/>
      <c r="BD87" s="611"/>
      <c r="BE87" s="56">
        <v>0</v>
      </c>
      <c r="BF87" s="55"/>
      <c r="BG87" s="56"/>
      <c r="BH87" s="611"/>
      <c r="BI87" s="611"/>
      <c r="BJ87" s="56">
        <v>0</v>
      </c>
      <c r="BK87" s="55"/>
      <c r="BL87" s="56"/>
      <c r="BM87" s="611"/>
      <c r="BN87" s="611"/>
      <c r="BO87" s="56">
        <v>0</v>
      </c>
      <c r="BP87" s="55"/>
      <c r="BQ87" s="56"/>
      <c r="BR87" s="611"/>
      <c r="BS87" s="611"/>
      <c r="BT87" s="56">
        <f t="shared" si="3"/>
        <v>0</v>
      </c>
      <c r="BU87" s="55"/>
      <c r="BV87" s="56"/>
      <c r="BW87" s="611"/>
      <c r="BX87" s="611"/>
      <c r="BY87" s="56">
        <v>0</v>
      </c>
      <c r="BZ87" s="55"/>
      <c r="CA87" s="56"/>
      <c r="CB87" s="611"/>
      <c r="CC87" s="611"/>
      <c r="CD87" s="56">
        <v>0</v>
      </c>
      <c r="CE87" s="55"/>
      <c r="CF87" s="56"/>
      <c r="CG87" s="611"/>
      <c r="CH87" s="611"/>
      <c r="CI87" s="56">
        <v>0</v>
      </c>
      <c r="CJ87" s="55"/>
      <c r="CK87" s="56"/>
      <c r="CL87" s="611"/>
      <c r="CM87" s="611"/>
      <c r="CN87" s="56">
        <v>0</v>
      </c>
      <c r="CO87" s="55"/>
      <c r="CP87" s="56"/>
      <c r="CQ87" s="611"/>
      <c r="CR87" s="611"/>
      <c r="CS87" s="56">
        <v>0</v>
      </c>
      <c r="CT87" s="55"/>
      <c r="CU87" s="56"/>
      <c r="CV87" s="611"/>
      <c r="CW87" s="611"/>
      <c r="CX87" s="56">
        <v>0</v>
      </c>
      <c r="CY87" s="55"/>
      <c r="CZ87" s="56"/>
      <c r="DA87" s="611"/>
      <c r="DB87" s="611"/>
      <c r="DC87" s="56">
        <v>0</v>
      </c>
      <c r="DD87" s="55"/>
      <c r="DE87" s="56"/>
      <c r="DF87" s="611"/>
      <c r="DG87" s="611"/>
      <c r="DH87" s="56">
        <v>0</v>
      </c>
      <c r="DI87" s="55"/>
      <c r="DJ87" s="56"/>
      <c r="DK87" s="611"/>
      <c r="DL87" s="611"/>
      <c r="DM87" s="56">
        <v>0</v>
      </c>
      <c r="DN87" s="55"/>
      <c r="DO87" s="56"/>
      <c r="DP87" s="611"/>
      <c r="DQ87" s="611"/>
      <c r="DR87" s="56">
        <v>0</v>
      </c>
      <c r="DS87" s="55"/>
      <c r="DT87" s="56"/>
      <c r="DU87" s="611"/>
      <c r="DV87" s="611"/>
      <c r="DW87" s="56">
        <v>0</v>
      </c>
      <c r="DX87" s="55"/>
      <c r="DY87" s="56"/>
      <c r="DZ87" s="611"/>
      <c r="EA87" s="611"/>
      <c r="EB87" s="56">
        <v>0</v>
      </c>
      <c r="EC87" s="55"/>
      <c r="ED87" s="56"/>
      <c r="EE87" s="611"/>
      <c r="EF87" s="611"/>
      <c r="EG87" s="56">
        <v>0</v>
      </c>
      <c r="EH87" s="55"/>
      <c r="EI87" s="56"/>
      <c r="EJ87" s="611"/>
      <c r="EK87" s="611"/>
      <c r="EL87" s="56">
        <f t="shared" si="4"/>
        <v>0</v>
      </c>
      <c r="EM87" s="55"/>
      <c r="EO87" s="144"/>
      <c r="EP87" s="42"/>
      <c r="EQ87" s="42"/>
    </row>
    <row r="88" spans="4:147" ht="12.75" hidden="1" customHeight="1" x14ac:dyDescent="0.3">
      <c r="D88" s="144" t="s">
        <v>360</v>
      </c>
      <c r="E88" s="494"/>
      <c r="F88" s="494"/>
      <c r="G88" s="56">
        <v>0</v>
      </c>
      <c r="H88" s="55"/>
      <c r="I88" s="56"/>
      <c r="J88" s="611"/>
      <c r="K88" s="611"/>
      <c r="L88" s="56">
        <v>0</v>
      </c>
      <c r="M88" s="55"/>
      <c r="N88" s="56"/>
      <c r="O88" s="611"/>
      <c r="P88" s="611"/>
      <c r="Q88" s="56">
        <v>0</v>
      </c>
      <c r="R88" s="55"/>
      <c r="S88" s="56"/>
      <c r="T88" s="611"/>
      <c r="U88" s="611"/>
      <c r="V88" s="56">
        <v>0</v>
      </c>
      <c r="W88" s="55"/>
      <c r="X88" s="56"/>
      <c r="Y88" s="611"/>
      <c r="Z88" s="611"/>
      <c r="AA88" s="56">
        <v>0</v>
      </c>
      <c r="AB88" s="55"/>
      <c r="AC88" s="56"/>
      <c r="AD88" s="611"/>
      <c r="AE88" s="611"/>
      <c r="AF88" s="56">
        <v>0</v>
      </c>
      <c r="AG88" s="55"/>
      <c r="AH88" s="56"/>
      <c r="AI88" s="611"/>
      <c r="AJ88" s="611"/>
      <c r="AK88" s="56">
        <v>0</v>
      </c>
      <c r="AL88" s="55"/>
      <c r="AM88" s="56"/>
      <c r="AN88" s="611"/>
      <c r="AO88" s="611"/>
      <c r="AP88" s="56">
        <v>0</v>
      </c>
      <c r="AQ88" s="55"/>
      <c r="AR88" s="56"/>
      <c r="AS88" s="611"/>
      <c r="AT88" s="611"/>
      <c r="AU88" s="56">
        <v>0</v>
      </c>
      <c r="AV88" s="55"/>
      <c r="AW88" s="56"/>
      <c r="AX88" s="611"/>
      <c r="AY88" s="611"/>
      <c r="AZ88" s="56">
        <v>0</v>
      </c>
      <c r="BA88" s="55"/>
      <c r="BB88" s="56"/>
      <c r="BC88" s="611"/>
      <c r="BD88" s="611"/>
      <c r="BE88" s="56">
        <v>0</v>
      </c>
      <c r="BF88" s="55"/>
      <c r="BG88" s="56"/>
      <c r="BH88" s="611"/>
      <c r="BI88" s="611"/>
      <c r="BJ88" s="56">
        <v>0</v>
      </c>
      <c r="BK88" s="55"/>
      <c r="BL88" s="56"/>
      <c r="BM88" s="611"/>
      <c r="BN88" s="611"/>
      <c r="BO88" s="56">
        <v>0</v>
      </c>
      <c r="BP88" s="55"/>
      <c r="BQ88" s="56"/>
      <c r="BR88" s="611"/>
      <c r="BS88" s="611"/>
      <c r="BT88" s="56">
        <f t="shared" si="3"/>
        <v>0</v>
      </c>
      <c r="BU88" s="55"/>
      <c r="BV88" s="56"/>
      <c r="BW88" s="611"/>
      <c r="BX88" s="611"/>
      <c r="BY88" s="56">
        <v>0</v>
      </c>
      <c r="BZ88" s="55"/>
      <c r="CA88" s="56"/>
      <c r="CB88" s="611"/>
      <c r="CC88" s="611"/>
      <c r="CD88" s="56">
        <v>0</v>
      </c>
      <c r="CE88" s="55"/>
      <c r="CF88" s="56"/>
      <c r="CG88" s="611"/>
      <c r="CH88" s="611"/>
      <c r="CI88" s="56">
        <v>0</v>
      </c>
      <c r="CJ88" s="55"/>
      <c r="CK88" s="56"/>
      <c r="CL88" s="611"/>
      <c r="CM88" s="611"/>
      <c r="CN88" s="56">
        <v>0</v>
      </c>
      <c r="CO88" s="55"/>
      <c r="CP88" s="56"/>
      <c r="CQ88" s="611"/>
      <c r="CR88" s="611"/>
      <c r="CS88" s="56">
        <v>0</v>
      </c>
      <c r="CT88" s="55"/>
      <c r="CU88" s="56"/>
      <c r="CV88" s="611"/>
      <c r="CW88" s="611"/>
      <c r="CX88" s="56">
        <v>0</v>
      </c>
      <c r="CY88" s="55"/>
      <c r="CZ88" s="56"/>
      <c r="DA88" s="611"/>
      <c r="DB88" s="611"/>
      <c r="DC88" s="56">
        <v>0</v>
      </c>
      <c r="DD88" s="55"/>
      <c r="DE88" s="56"/>
      <c r="DF88" s="611"/>
      <c r="DG88" s="611"/>
      <c r="DH88" s="56">
        <v>0</v>
      </c>
      <c r="DI88" s="55"/>
      <c r="DJ88" s="56"/>
      <c r="DK88" s="611"/>
      <c r="DL88" s="611"/>
      <c r="DM88" s="56">
        <v>0</v>
      </c>
      <c r="DN88" s="55"/>
      <c r="DO88" s="56"/>
      <c r="DP88" s="611"/>
      <c r="DQ88" s="611"/>
      <c r="DR88" s="56">
        <v>0</v>
      </c>
      <c r="DS88" s="55"/>
      <c r="DT88" s="56"/>
      <c r="DU88" s="611"/>
      <c r="DV88" s="611"/>
      <c r="DW88" s="56">
        <v>0</v>
      </c>
      <c r="DX88" s="55"/>
      <c r="DY88" s="56"/>
      <c r="DZ88" s="611"/>
      <c r="EA88" s="611"/>
      <c r="EB88" s="56">
        <v>0</v>
      </c>
      <c r="EC88" s="55"/>
      <c r="ED88" s="56"/>
      <c r="EE88" s="611"/>
      <c r="EF88" s="611"/>
      <c r="EG88" s="56">
        <v>0</v>
      </c>
      <c r="EH88" s="55"/>
      <c r="EI88" s="56"/>
      <c r="EJ88" s="611"/>
      <c r="EK88" s="611"/>
      <c r="EL88" s="56">
        <f t="shared" si="4"/>
        <v>0</v>
      </c>
      <c r="EM88" s="55"/>
      <c r="EO88" s="144"/>
      <c r="EP88" s="42"/>
      <c r="EQ88" s="42"/>
    </row>
    <row r="89" spans="4:147" ht="12.75" hidden="1" customHeight="1" x14ac:dyDescent="0.3">
      <c r="D89" s="144" t="s">
        <v>396</v>
      </c>
      <c r="E89" s="494"/>
      <c r="F89" s="494"/>
      <c r="G89" s="56">
        <v>0</v>
      </c>
      <c r="H89" s="55"/>
      <c r="I89" s="56"/>
      <c r="J89" s="611"/>
      <c r="K89" s="611"/>
      <c r="L89" s="56">
        <v>0</v>
      </c>
      <c r="M89" s="55"/>
      <c r="N89" s="56"/>
      <c r="O89" s="611"/>
      <c r="P89" s="611"/>
      <c r="Q89" s="56">
        <v>0</v>
      </c>
      <c r="R89" s="55"/>
      <c r="S89" s="56"/>
      <c r="T89" s="611"/>
      <c r="U89" s="611"/>
      <c r="V89" s="56">
        <v>0</v>
      </c>
      <c r="W89" s="55"/>
      <c r="X89" s="56"/>
      <c r="Y89" s="611"/>
      <c r="Z89" s="611"/>
      <c r="AA89" s="56">
        <v>0</v>
      </c>
      <c r="AB89" s="55"/>
      <c r="AC89" s="56"/>
      <c r="AD89" s="611"/>
      <c r="AE89" s="611"/>
      <c r="AF89" s="56">
        <v>0</v>
      </c>
      <c r="AG89" s="55"/>
      <c r="AH89" s="56"/>
      <c r="AI89" s="611"/>
      <c r="AJ89" s="611"/>
      <c r="AK89" s="56">
        <v>0</v>
      </c>
      <c r="AL89" s="55"/>
      <c r="AM89" s="56"/>
      <c r="AN89" s="611"/>
      <c r="AO89" s="611"/>
      <c r="AP89" s="56">
        <v>0</v>
      </c>
      <c r="AQ89" s="55"/>
      <c r="AR89" s="56"/>
      <c r="AS89" s="611"/>
      <c r="AT89" s="611"/>
      <c r="AU89" s="56">
        <v>0</v>
      </c>
      <c r="AV89" s="55"/>
      <c r="AW89" s="56"/>
      <c r="AX89" s="611"/>
      <c r="AY89" s="611"/>
      <c r="AZ89" s="56">
        <v>0</v>
      </c>
      <c r="BA89" s="55"/>
      <c r="BB89" s="56"/>
      <c r="BC89" s="611"/>
      <c r="BD89" s="611"/>
      <c r="BE89" s="56">
        <v>0</v>
      </c>
      <c r="BF89" s="55"/>
      <c r="BG89" s="56"/>
      <c r="BH89" s="611"/>
      <c r="BI89" s="611"/>
      <c r="BJ89" s="56">
        <v>0</v>
      </c>
      <c r="BK89" s="55"/>
      <c r="BL89" s="56"/>
      <c r="BM89" s="611"/>
      <c r="BN89" s="611"/>
      <c r="BO89" s="56">
        <v>0</v>
      </c>
      <c r="BP89" s="55"/>
      <c r="BQ89" s="56"/>
      <c r="BR89" s="611"/>
      <c r="BS89" s="611"/>
      <c r="BT89" s="56">
        <f t="shared" si="3"/>
        <v>0</v>
      </c>
      <c r="BU89" s="55"/>
      <c r="BV89" s="56"/>
      <c r="BW89" s="611"/>
      <c r="BX89" s="611"/>
      <c r="BY89" s="56">
        <v>0</v>
      </c>
      <c r="BZ89" s="55"/>
      <c r="CA89" s="56"/>
      <c r="CB89" s="611"/>
      <c r="CC89" s="611"/>
      <c r="CD89" s="56">
        <v>0</v>
      </c>
      <c r="CE89" s="55"/>
      <c r="CF89" s="56"/>
      <c r="CG89" s="611"/>
      <c r="CH89" s="611"/>
      <c r="CI89" s="56">
        <v>0</v>
      </c>
      <c r="CJ89" s="55"/>
      <c r="CK89" s="56"/>
      <c r="CL89" s="611"/>
      <c r="CM89" s="611"/>
      <c r="CN89" s="56">
        <v>0</v>
      </c>
      <c r="CO89" s="55"/>
      <c r="CP89" s="56"/>
      <c r="CQ89" s="611"/>
      <c r="CR89" s="611"/>
      <c r="CS89" s="56">
        <v>0</v>
      </c>
      <c r="CT89" s="55"/>
      <c r="CU89" s="56"/>
      <c r="CV89" s="611"/>
      <c r="CW89" s="611"/>
      <c r="CX89" s="56">
        <v>0</v>
      </c>
      <c r="CY89" s="55"/>
      <c r="CZ89" s="56"/>
      <c r="DA89" s="611"/>
      <c r="DB89" s="611"/>
      <c r="DC89" s="56">
        <v>0</v>
      </c>
      <c r="DD89" s="55"/>
      <c r="DE89" s="56"/>
      <c r="DF89" s="611"/>
      <c r="DG89" s="611"/>
      <c r="DH89" s="56">
        <v>0</v>
      </c>
      <c r="DI89" s="55"/>
      <c r="DJ89" s="56"/>
      <c r="DK89" s="611"/>
      <c r="DL89" s="611"/>
      <c r="DM89" s="56">
        <v>0</v>
      </c>
      <c r="DN89" s="55"/>
      <c r="DO89" s="56"/>
      <c r="DP89" s="611"/>
      <c r="DQ89" s="611"/>
      <c r="DR89" s="56">
        <v>0</v>
      </c>
      <c r="DS89" s="55"/>
      <c r="DT89" s="56"/>
      <c r="DU89" s="611"/>
      <c r="DV89" s="611"/>
      <c r="DW89" s="56">
        <v>0</v>
      </c>
      <c r="DX89" s="55"/>
      <c r="DY89" s="56"/>
      <c r="DZ89" s="611"/>
      <c r="EA89" s="611"/>
      <c r="EB89" s="56">
        <v>0</v>
      </c>
      <c r="EC89" s="55"/>
      <c r="ED89" s="56"/>
      <c r="EE89" s="611"/>
      <c r="EF89" s="611"/>
      <c r="EG89" s="56">
        <v>0</v>
      </c>
      <c r="EH89" s="55"/>
      <c r="EI89" s="56"/>
      <c r="EJ89" s="611"/>
      <c r="EK89" s="611"/>
      <c r="EL89" s="56">
        <f t="shared" si="4"/>
        <v>0</v>
      </c>
      <c r="EM89" s="55"/>
      <c r="EO89" s="144"/>
      <c r="EP89" s="42"/>
      <c r="EQ89" s="42"/>
    </row>
    <row r="90" spans="4:147" ht="12.75" hidden="1" customHeight="1" x14ac:dyDescent="0.3">
      <c r="D90" s="144" t="s">
        <v>397</v>
      </c>
      <c r="E90" s="494"/>
      <c r="F90" s="494"/>
      <c r="G90" s="56">
        <v>0</v>
      </c>
      <c r="H90" s="55"/>
      <c r="I90" s="56"/>
      <c r="J90" s="611"/>
      <c r="K90" s="611"/>
      <c r="L90" s="56">
        <v>0</v>
      </c>
      <c r="M90" s="55"/>
      <c r="N90" s="56"/>
      <c r="O90" s="611"/>
      <c r="P90" s="611"/>
      <c r="Q90" s="56">
        <v>0</v>
      </c>
      <c r="R90" s="55"/>
      <c r="S90" s="56"/>
      <c r="T90" s="611"/>
      <c r="U90" s="611"/>
      <c r="V90" s="56">
        <v>0</v>
      </c>
      <c r="W90" s="55"/>
      <c r="X90" s="56"/>
      <c r="Y90" s="611"/>
      <c r="Z90" s="611"/>
      <c r="AA90" s="56">
        <v>0</v>
      </c>
      <c r="AB90" s="55"/>
      <c r="AC90" s="56"/>
      <c r="AD90" s="611"/>
      <c r="AE90" s="611"/>
      <c r="AF90" s="56">
        <v>0</v>
      </c>
      <c r="AG90" s="55"/>
      <c r="AH90" s="56"/>
      <c r="AI90" s="611"/>
      <c r="AJ90" s="611"/>
      <c r="AK90" s="56">
        <v>0</v>
      </c>
      <c r="AL90" s="55"/>
      <c r="AM90" s="56"/>
      <c r="AN90" s="611"/>
      <c r="AO90" s="611"/>
      <c r="AP90" s="56">
        <v>0</v>
      </c>
      <c r="AQ90" s="55"/>
      <c r="AR90" s="56"/>
      <c r="AS90" s="611"/>
      <c r="AT90" s="611"/>
      <c r="AU90" s="56">
        <v>0</v>
      </c>
      <c r="AV90" s="55"/>
      <c r="AW90" s="56"/>
      <c r="AX90" s="611"/>
      <c r="AY90" s="611"/>
      <c r="AZ90" s="56">
        <v>0</v>
      </c>
      <c r="BA90" s="55"/>
      <c r="BB90" s="56"/>
      <c r="BC90" s="611"/>
      <c r="BD90" s="611"/>
      <c r="BE90" s="56">
        <v>0</v>
      </c>
      <c r="BF90" s="55"/>
      <c r="BG90" s="56"/>
      <c r="BH90" s="611"/>
      <c r="BI90" s="611"/>
      <c r="BJ90" s="56">
        <v>0</v>
      </c>
      <c r="BK90" s="55"/>
      <c r="BL90" s="56"/>
      <c r="BM90" s="611"/>
      <c r="BN90" s="611"/>
      <c r="BO90" s="56">
        <v>0</v>
      </c>
      <c r="BP90" s="55"/>
      <c r="BQ90" s="56"/>
      <c r="BR90" s="611"/>
      <c r="BS90" s="611"/>
      <c r="BT90" s="56">
        <f t="shared" si="3"/>
        <v>0</v>
      </c>
      <c r="BU90" s="55"/>
      <c r="BV90" s="56"/>
      <c r="BW90" s="611"/>
      <c r="BX90" s="611"/>
      <c r="BY90" s="56">
        <v>0</v>
      </c>
      <c r="BZ90" s="55"/>
      <c r="CA90" s="56"/>
      <c r="CB90" s="611"/>
      <c r="CC90" s="611"/>
      <c r="CD90" s="56">
        <v>0</v>
      </c>
      <c r="CE90" s="55"/>
      <c r="CF90" s="56"/>
      <c r="CG90" s="611"/>
      <c r="CH90" s="611"/>
      <c r="CI90" s="56">
        <v>0</v>
      </c>
      <c r="CJ90" s="55"/>
      <c r="CK90" s="56"/>
      <c r="CL90" s="611"/>
      <c r="CM90" s="611"/>
      <c r="CN90" s="56">
        <v>0</v>
      </c>
      <c r="CO90" s="55"/>
      <c r="CP90" s="56"/>
      <c r="CQ90" s="611"/>
      <c r="CR90" s="611"/>
      <c r="CS90" s="56">
        <v>0</v>
      </c>
      <c r="CT90" s="55"/>
      <c r="CU90" s="56"/>
      <c r="CV90" s="611"/>
      <c r="CW90" s="611"/>
      <c r="CX90" s="56">
        <v>0</v>
      </c>
      <c r="CY90" s="55"/>
      <c r="CZ90" s="56"/>
      <c r="DA90" s="611"/>
      <c r="DB90" s="611"/>
      <c r="DC90" s="56">
        <v>0</v>
      </c>
      <c r="DD90" s="55"/>
      <c r="DE90" s="56"/>
      <c r="DF90" s="611"/>
      <c r="DG90" s="611"/>
      <c r="DH90" s="56">
        <v>0</v>
      </c>
      <c r="DI90" s="55"/>
      <c r="DJ90" s="56"/>
      <c r="DK90" s="611"/>
      <c r="DL90" s="611"/>
      <c r="DM90" s="56">
        <v>0</v>
      </c>
      <c r="DN90" s="55"/>
      <c r="DO90" s="56"/>
      <c r="DP90" s="611"/>
      <c r="DQ90" s="611"/>
      <c r="DR90" s="56">
        <v>0</v>
      </c>
      <c r="DS90" s="55"/>
      <c r="DT90" s="56"/>
      <c r="DU90" s="611"/>
      <c r="DV90" s="611"/>
      <c r="DW90" s="56">
        <v>0</v>
      </c>
      <c r="DX90" s="55"/>
      <c r="DY90" s="56"/>
      <c r="DZ90" s="611"/>
      <c r="EA90" s="611"/>
      <c r="EB90" s="56">
        <v>0</v>
      </c>
      <c r="EC90" s="55"/>
      <c r="ED90" s="56"/>
      <c r="EE90" s="611"/>
      <c r="EF90" s="611"/>
      <c r="EG90" s="56">
        <v>0</v>
      </c>
      <c r="EH90" s="55"/>
      <c r="EI90" s="56"/>
      <c r="EJ90" s="611"/>
      <c r="EK90" s="611"/>
      <c r="EL90" s="56">
        <f t="shared" si="4"/>
        <v>0</v>
      </c>
      <c r="EM90" s="55"/>
      <c r="EO90" s="144"/>
      <c r="EP90" s="42"/>
      <c r="EQ90" s="42"/>
    </row>
    <row r="91" spans="4:147" ht="12.75" hidden="1" customHeight="1" x14ac:dyDescent="0.3">
      <c r="D91" s="144" t="s">
        <v>398</v>
      </c>
      <c r="E91" s="494"/>
      <c r="F91" s="494"/>
      <c r="G91" s="56">
        <v>0</v>
      </c>
      <c r="H91" s="55"/>
      <c r="I91" s="56"/>
      <c r="J91" s="611"/>
      <c r="K91" s="611"/>
      <c r="L91" s="56">
        <v>0</v>
      </c>
      <c r="M91" s="55"/>
      <c r="N91" s="56"/>
      <c r="O91" s="611"/>
      <c r="P91" s="611"/>
      <c r="Q91" s="56">
        <v>0</v>
      </c>
      <c r="R91" s="55"/>
      <c r="S91" s="56"/>
      <c r="T91" s="611"/>
      <c r="U91" s="611"/>
      <c r="V91" s="56">
        <v>0</v>
      </c>
      <c r="W91" s="55"/>
      <c r="X91" s="56"/>
      <c r="Y91" s="611"/>
      <c r="Z91" s="611"/>
      <c r="AA91" s="56">
        <v>0</v>
      </c>
      <c r="AB91" s="55"/>
      <c r="AC91" s="56"/>
      <c r="AD91" s="611"/>
      <c r="AE91" s="611"/>
      <c r="AF91" s="56">
        <v>0</v>
      </c>
      <c r="AG91" s="55"/>
      <c r="AH91" s="56"/>
      <c r="AI91" s="611"/>
      <c r="AJ91" s="611"/>
      <c r="AK91" s="56">
        <v>0</v>
      </c>
      <c r="AL91" s="55"/>
      <c r="AM91" s="56"/>
      <c r="AN91" s="611"/>
      <c r="AO91" s="611"/>
      <c r="AP91" s="56">
        <v>0</v>
      </c>
      <c r="AQ91" s="55"/>
      <c r="AR91" s="56"/>
      <c r="AS91" s="611"/>
      <c r="AT91" s="611"/>
      <c r="AU91" s="56">
        <v>0</v>
      </c>
      <c r="AV91" s="55"/>
      <c r="AW91" s="56"/>
      <c r="AX91" s="611"/>
      <c r="AY91" s="611"/>
      <c r="AZ91" s="56">
        <v>0</v>
      </c>
      <c r="BA91" s="55"/>
      <c r="BB91" s="56"/>
      <c r="BC91" s="611"/>
      <c r="BD91" s="611"/>
      <c r="BE91" s="56">
        <v>0</v>
      </c>
      <c r="BF91" s="55"/>
      <c r="BG91" s="56"/>
      <c r="BH91" s="611"/>
      <c r="BI91" s="611"/>
      <c r="BJ91" s="56">
        <v>0</v>
      </c>
      <c r="BK91" s="55"/>
      <c r="BL91" s="56"/>
      <c r="BM91" s="611"/>
      <c r="BN91" s="611"/>
      <c r="BO91" s="56">
        <v>0</v>
      </c>
      <c r="BP91" s="55"/>
      <c r="BQ91" s="56"/>
      <c r="BR91" s="611"/>
      <c r="BS91" s="611"/>
      <c r="BT91" s="56">
        <f t="shared" si="3"/>
        <v>0</v>
      </c>
      <c r="BU91" s="55"/>
      <c r="BV91" s="56"/>
      <c r="BW91" s="611"/>
      <c r="BX91" s="611"/>
      <c r="BY91" s="56">
        <v>0</v>
      </c>
      <c r="BZ91" s="55"/>
      <c r="CA91" s="56"/>
      <c r="CB91" s="611"/>
      <c r="CC91" s="611"/>
      <c r="CD91" s="56">
        <v>0</v>
      </c>
      <c r="CE91" s="55"/>
      <c r="CF91" s="56"/>
      <c r="CG91" s="611"/>
      <c r="CH91" s="611"/>
      <c r="CI91" s="56">
        <v>0</v>
      </c>
      <c r="CJ91" s="55"/>
      <c r="CK91" s="56"/>
      <c r="CL91" s="611"/>
      <c r="CM91" s="611"/>
      <c r="CN91" s="56">
        <v>0</v>
      </c>
      <c r="CO91" s="55"/>
      <c r="CP91" s="56"/>
      <c r="CQ91" s="611"/>
      <c r="CR91" s="611"/>
      <c r="CS91" s="56">
        <v>0</v>
      </c>
      <c r="CT91" s="55"/>
      <c r="CU91" s="56"/>
      <c r="CV91" s="611"/>
      <c r="CW91" s="611"/>
      <c r="CX91" s="56">
        <v>0</v>
      </c>
      <c r="CY91" s="55"/>
      <c r="CZ91" s="56"/>
      <c r="DA91" s="611"/>
      <c r="DB91" s="611"/>
      <c r="DC91" s="56">
        <v>0</v>
      </c>
      <c r="DD91" s="55"/>
      <c r="DE91" s="56"/>
      <c r="DF91" s="611"/>
      <c r="DG91" s="611"/>
      <c r="DH91" s="56">
        <v>0</v>
      </c>
      <c r="DI91" s="55"/>
      <c r="DJ91" s="56"/>
      <c r="DK91" s="611"/>
      <c r="DL91" s="611"/>
      <c r="DM91" s="56">
        <v>0</v>
      </c>
      <c r="DN91" s="55"/>
      <c r="DO91" s="56"/>
      <c r="DP91" s="611"/>
      <c r="DQ91" s="611"/>
      <c r="DR91" s="56">
        <v>0</v>
      </c>
      <c r="DS91" s="55"/>
      <c r="DT91" s="56"/>
      <c r="DU91" s="611"/>
      <c r="DV91" s="611"/>
      <c r="DW91" s="56">
        <v>0</v>
      </c>
      <c r="DX91" s="55"/>
      <c r="DY91" s="56"/>
      <c r="DZ91" s="611"/>
      <c r="EA91" s="611"/>
      <c r="EB91" s="56">
        <v>0</v>
      </c>
      <c r="EC91" s="55"/>
      <c r="ED91" s="56"/>
      <c r="EE91" s="611"/>
      <c r="EF91" s="611"/>
      <c r="EG91" s="56">
        <v>0</v>
      </c>
      <c r="EH91" s="55"/>
      <c r="EI91" s="56"/>
      <c r="EJ91" s="611"/>
      <c r="EK91" s="611"/>
      <c r="EL91" s="56">
        <f t="shared" si="4"/>
        <v>0</v>
      </c>
      <c r="EM91" s="55"/>
      <c r="EO91" s="144"/>
      <c r="EP91" s="42"/>
      <c r="EQ91" s="42"/>
    </row>
    <row r="92" spans="4:147" ht="12.75" hidden="1" customHeight="1" x14ac:dyDescent="0.3">
      <c r="D92" s="144" t="s">
        <v>399</v>
      </c>
      <c r="E92" s="494"/>
      <c r="F92" s="494"/>
      <c r="G92" s="56">
        <v>0</v>
      </c>
      <c r="H92" s="55"/>
      <c r="I92" s="56"/>
      <c r="J92" s="611"/>
      <c r="K92" s="611"/>
      <c r="L92" s="56">
        <v>0</v>
      </c>
      <c r="M92" s="55"/>
      <c r="N92" s="56"/>
      <c r="O92" s="611"/>
      <c r="P92" s="611"/>
      <c r="Q92" s="56">
        <v>0</v>
      </c>
      <c r="R92" s="55"/>
      <c r="S92" s="56"/>
      <c r="T92" s="611"/>
      <c r="U92" s="611"/>
      <c r="V92" s="56">
        <v>0</v>
      </c>
      <c r="W92" s="55"/>
      <c r="X92" s="56"/>
      <c r="Y92" s="611"/>
      <c r="Z92" s="611"/>
      <c r="AA92" s="56">
        <v>0</v>
      </c>
      <c r="AB92" s="55"/>
      <c r="AC92" s="56"/>
      <c r="AD92" s="611"/>
      <c r="AE92" s="611"/>
      <c r="AF92" s="56">
        <v>0</v>
      </c>
      <c r="AG92" s="55"/>
      <c r="AH92" s="56"/>
      <c r="AI92" s="611"/>
      <c r="AJ92" s="611"/>
      <c r="AK92" s="56">
        <v>0</v>
      </c>
      <c r="AL92" s="55"/>
      <c r="AM92" s="56"/>
      <c r="AN92" s="611"/>
      <c r="AO92" s="611"/>
      <c r="AP92" s="56">
        <v>0</v>
      </c>
      <c r="AQ92" s="55"/>
      <c r="AR92" s="56"/>
      <c r="AS92" s="611"/>
      <c r="AT92" s="611"/>
      <c r="AU92" s="56">
        <v>0</v>
      </c>
      <c r="AV92" s="55"/>
      <c r="AW92" s="56"/>
      <c r="AX92" s="611"/>
      <c r="AY92" s="611"/>
      <c r="AZ92" s="56">
        <v>0</v>
      </c>
      <c r="BA92" s="55"/>
      <c r="BB92" s="56"/>
      <c r="BC92" s="611"/>
      <c r="BD92" s="611"/>
      <c r="BE92" s="56">
        <v>0</v>
      </c>
      <c r="BF92" s="55"/>
      <c r="BG92" s="56"/>
      <c r="BH92" s="611"/>
      <c r="BI92" s="611"/>
      <c r="BJ92" s="56">
        <v>0</v>
      </c>
      <c r="BK92" s="55"/>
      <c r="BL92" s="56"/>
      <c r="BM92" s="611"/>
      <c r="BN92" s="611"/>
      <c r="BO92" s="56">
        <v>0</v>
      </c>
      <c r="BP92" s="55"/>
      <c r="BQ92" s="56"/>
      <c r="BR92" s="611"/>
      <c r="BS92" s="611"/>
      <c r="BT92" s="56">
        <f t="shared" si="3"/>
        <v>0</v>
      </c>
      <c r="BU92" s="55"/>
      <c r="BV92" s="56"/>
      <c r="BW92" s="611"/>
      <c r="BX92" s="611"/>
      <c r="BY92" s="56">
        <v>0</v>
      </c>
      <c r="BZ92" s="55"/>
      <c r="CA92" s="56"/>
      <c r="CB92" s="611"/>
      <c r="CC92" s="611"/>
      <c r="CD92" s="56">
        <v>0</v>
      </c>
      <c r="CE92" s="55"/>
      <c r="CF92" s="56"/>
      <c r="CG92" s="611"/>
      <c r="CH92" s="611"/>
      <c r="CI92" s="56">
        <v>0</v>
      </c>
      <c r="CJ92" s="55"/>
      <c r="CK92" s="56"/>
      <c r="CL92" s="611"/>
      <c r="CM92" s="611"/>
      <c r="CN92" s="56">
        <v>0</v>
      </c>
      <c r="CO92" s="55"/>
      <c r="CP92" s="56"/>
      <c r="CQ92" s="611"/>
      <c r="CR92" s="611"/>
      <c r="CS92" s="56">
        <v>0</v>
      </c>
      <c r="CT92" s="55"/>
      <c r="CU92" s="56"/>
      <c r="CV92" s="611"/>
      <c r="CW92" s="611"/>
      <c r="CX92" s="56">
        <v>0</v>
      </c>
      <c r="CY92" s="55"/>
      <c r="CZ92" s="56"/>
      <c r="DA92" s="611"/>
      <c r="DB92" s="611"/>
      <c r="DC92" s="56">
        <v>0</v>
      </c>
      <c r="DD92" s="55"/>
      <c r="DE92" s="56"/>
      <c r="DF92" s="611"/>
      <c r="DG92" s="611"/>
      <c r="DH92" s="56">
        <v>0</v>
      </c>
      <c r="DI92" s="55"/>
      <c r="DJ92" s="56"/>
      <c r="DK92" s="611"/>
      <c r="DL92" s="611"/>
      <c r="DM92" s="56">
        <v>0</v>
      </c>
      <c r="DN92" s="55"/>
      <c r="DO92" s="56"/>
      <c r="DP92" s="611"/>
      <c r="DQ92" s="611"/>
      <c r="DR92" s="56">
        <v>0</v>
      </c>
      <c r="DS92" s="55"/>
      <c r="DT92" s="56"/>
      <c r="DU92" s="611"/>
      <c r="DV92" s="611"/>
      <c r="DW92" s="56">
        <v>0</v>
      </c>
      <c r="DX92" s="55"/>
      <c r="DY92" s="56"/>
      <c r="DZ92" s="611"/>
      <c r="EA92" s="611"/>
      <c r="EB92" s="56">
        <v>0</v>
      </c>
      <c r="EC92" s="55"/>
      <c r="ED92" s="56"/>
      <c r="EE92" s="611"/>
      <c r="EF92" s="611"/>
      <c r="EG92" s="56">
        <v>0</v>
      </c>
      <c r="EH92" s="55"/>
      <c r="EI92" s="56"/>
      <c r="EJ92" s="611"/>
      <c r="EK92" s="611"/>
      <c r="EL92" s="56">
        <f t="shared" si="4"/>
        <v>0</v>
      </c>
      <c r="EM92" s="55"/>
      <c r="EO92" s="144"/>
      <c r="EP92" s="42"/>
      <c r="EQ92" s="42"/>
    </row>
    <row r="93" spans="4:147" ht="12.75" hidden="1" customHeight="1" x14ac:dyDescent="0.3">
      <c r="D93" s="144" t="s">
        <v>400</v>
      </c>
      <c r="E93" s="494"/>
      <c r="F93" s="494"/>
      <c r="G93" s="56">
        <v>0</v>
      </c>
      <c r="H93" s="55"/>
      <c r="I93" s="56"/>
      <c r="J93" s="611"/>
      <c r="K93" s="611"/>
      <c r="L93" s="56">
        <v>0</v>
      </c>
      <c r="M93" s="55"/>
      <c r="N93" s="56"/>
      <c r="O93" s="611"/>
      <c r="P93" s="611"/>
      <c r="Q93" s="56">
        <v>0</v>
      </c>
      <c r="R93" s="55"/>
      <c r="S93" s="56"/>
      <c r="T93" s="611"/>
      <c r="U93" s="611"/>
      <c r="V93" s="56">
        <v>0</v>
      </c>
      <c r="W93" s="55"/>
      <c r="X93" s="56"/>
      <c r="Y93" s="611"/>
      <c r="Z93" s="611"/>
      <c r="AA93" s="56">
        <v>0</v>
      </c>
      <c r="AB93" s="55"/>
      <c r="AC93" s="56"/>
      <c r="AD93" s="611"/>
      <c r="AE93" s="611"/>
      <c r="AF93" s="56">
        <v>0</v>
      </c>
      <c r="AG93" s="55"/>
      <c r="AH93" s="56"/>
      <c r="AI93" s="611"/>
      <c r="AJ93" s="611"/>
      <c r="AK93" s="56">
        <v>0</v>
      </c>
      <c r="AL93" s="55"/>
      <c r="AM93" s="56"/>
      <c r="AN93" s="611"/>
      <c r="AO93" s="611"/>
      <c r="AP93" s="56">
        <v>0</v>
      </c>
      <c r="AQ93" s="55"/>
      <c r="AR93" s="56"/>
      <c r="AS93" s="611"/>
      <c r="AT93" s="611"/>
      <c r="AU93" s="56">
        <v>0</v>
      </c>
      <c r="AV93" s="55"/>
      <c r="AW93" s="56"/>
      <c r="AX93" s="611"/>
      <c r="AY93" s="611"/>
      <c r="AZ93" s="56">
        <v>0</v>
      </c>
      <c r="BA93" s="55"/>
      <c r="BB93" s="56"/>
      <c r="BC93" s="611"/>
      <c r="BD93" s="611"/>
      <c r="BE93" s="56">
        <v>0</v>
      </c>
      <c r="BF93" s="55"/>
      <c r="BG93" s="56"/>
      <c r="BH93" s="611"/>
      <c r="BI93" s="611"/>
      <c r="BJ93" s="56">
        <v>0</v>
      </c>
      <c r="BK93" s="55"/>
      <c r="BL93" s="56"/>
      <c r="BM93" s="611"/>
      <c r="BN93" s="611"/>
      <c r="BO93" s="56">
        <v>0</v>
      </c>
      <c r="BP93" s="55"/>
      <c r="BQ93" s="56"/>
      <c r="BR93" s="611"/>
      <c r="BS93" s="611"/>
      <c r="BT93" s="56">
        <f>SUM(L93:BO93)</f>
        <v>0</v>
      </c>
      <c r="BU93" s="55"/>
      <c r="BV93" s="56"/>
      <c r="BW93" s="611"/>
      <c r="BX93" s="611"/>
      <c r="BY93" s="56">
        <v>0</v>
      </c>
      <c r="BZ93" s="55"/>
      <c r="CA93" s="56"/>
      <c r="CB93" s="611"/>
      <c r="CC93" s="611"/>
      <c r="CD93" s="56">
        <v>0</v>
      </c>
      <c r="CE93" s="55"/>
      <c r="CF93" s="56"/>
      <c r="CG93" s="611"/>
      <c r="CH93" s="611"/>
      <c r="CI93" s="56">
        <v>0</v>
      </c>
      <c r="CJ93" s="55"/>
      <c r="CK93" s="56"/>
      <c r="CL93" s="611"/>
      <c r="CM93" s="611"/>
      <c r="CN93" s="56">
        <v>0</v>
      </c>
      <c r="CO93" s="55"/>
      <c r="CP93" s="56"/>
      <c r="CQ93" s="611"/>
      <c r="CR93" s="611"/>
      <c r="CS93" s="56">
        <v>0</v>
      </c>
      <c r="CT93" s="55"/>
      <c r="CU93" s="56"/>
      <c r="CV93" s="611"/>
      <c r="CW93" s="611"/>
      <c r="CX93" s="56">
        <v>0</v>
      </c>
      <c r="CY93" s="55"/>
      <c r="CZ93" s="56"/>
      <c r="DA93" s="611"/>
      <c r="DB93" s="611"/>
      <c r="DC93" s="56">
        <v>0</v>
      </c>
      <c r="DD93" s="55"/>
      <c r="DE93" s="56"/>
      <c r="DF93" s="611"/>
      <c r="DG93" s="611"/>
      <c r="DH93" s="56">
        <v>0</v>
      </c>
      <c r="DI93" s="55"/>
      <c r="DJ93" s="56"/>
      <c r="DK93" s="611"/>
      <c r="DL93" s="611"/>
      <c r="DM93" s="56">
        <v>0</v>
      </c>
      <c r="DN93" s="55"/>
      <c r="DO93" s="56"/>
      <c r="DP93" s="611"/>
      <c r="DQ93" s="611"/>
      <c r="DR93" s="56">
        <v>0</v>
      </c>
      <c r="DS93" s="55"/>
      <c r="DT93" s="56"/>
      <c r="DU93" s="611"/>
      <c r="DV93" s="611"/>
      <c r="DW93" s="56">
        <v>0</v>
      </c>
      <c r="DX93" s="55"/>
      <c r="DY93" s="56"/>
      <c r="DZ93" s="611"/>
      <c r="EA93" s="611"/>
      <c r="EB93" s="56">
        <v>0</v>
      </c>
      <c r="EC93" s="55"/>
      <c r="ED93" s="56"/>
      <c r="EE93" s="611"/>
      <c r="EF93" s="611"/>
      <c r="EG93" s="56">
        <v>0</v>
      </c>
      <c r="EH93" s="55"/>
      <c r="EI93" s="56"/>
      <c r="EJ93" s="611"/>
      <c r="EK93" s="611"/>
      <c r="EL93" s="56">
        <f>SUM(CD93:EG93)</f>
        <v>0</v>
      </c>
      <c r="EM93" s="55"/>
      <c r="EO93" s="144"/>
      <c r="EP93" s="42"/>
      <c r="EQ93" s="42"/>
    </row>
    <row r="94" spans="4:147" ht="12.75" hidden="1" customHeight="1" x14ac:dyDescent="0.3">
      <c r="D94" s="144" t="s">
        <v>401</v>
      </c>
      <c r="E94" s="494"/>
      <c r="F94" s="494"/>
      <c r="G94" s="56">
        <v>0</v>
      </c>
      <c r="H94" s="55"/>
      <c r="I94" s="56"/>
      <c r="J94" s="611"/>
      <c r="K94" s="611"/>
      <c r="L94" s="56">
        <v>0</v>
      </c>
      <c r="M94" s="55"/>
      <c r="N94" s="56"/>
      <c r="O94" s="611"/>
      <c r="P94" s="611"/>
      <c r="Q94" s="56">
        <v>0</v>
      </c>
      <c r="R94" s="55"/>
      <c r="S94" s="56"/>
      <c r="T94" s="611"/>
      <c r="U94" s="611"/>
      <c r="V94" s="56">
        <v>0</v>
      </c>
      <c r="W94" s="55"/>
      <c r="X94" s="56"/>
      <c r="Y94" s="611"/>
      <c r="Z94" s="611"/>
      <c r="AA94" s="56">
        <v>0</v>
      </c>
      <c r="AB94" s="55"/>
      <c r="AC94" s="56"/>
      <c r="AD94" s="611"/>
      <c r="AE94" s="611"/>
      <c r="AF94" s="56">
        <v>0</v>
      </c>
      <c r="AG94" s="55"/>
      <c r="AH94" s="56"/>
      <c r="AI94" s="611"/>
      <c r="AJ94" s="611"/>
      <c r="AK94" s="56">
        <v>0</v>
      </c>
      <c r="AL94" s="55"/>
      <c r="AM94" s="56"/>
      <c r="AN94" s="611"/>
      <c r="AO94" s="611"/>
      <c r="AP94" s="56">
        <v>0</v>
      </c>
      <c r="AQ94" s="55"/>
      <c r="AR94" s="56"/>
      <c r="AS94" s="611"/>
      <c r="AT94" s="611"/>
      <c r="AU94" s="56">
        <v>0</v>
      </c>
      <c r="AV94" s="55"/>
      <c r="AW94" s="56"/>
      <c r="AX94" s="611"/>
      <c r="AY94" s="611"/>
      <c r="AZ94" s="56">
        <v>0</v>
      </c>
      <c r="BA94" s="55"/>
      <c r="BB94" s="56"/>
      <c r="BC94" s="611"/>
      <c r="BD94" s="611"/>
      <c r="BE94" s="56">
        <v>0</v>
      </c>
      <c r="BF94" s="55"/>
      <c r="BG94" s="56"/>
      <c r="BH94" s="611"/>
      <c r="BI94" s="611"/>
      <c r="BJ94" s="56">
        <v>0</v>
      </c>
      <c r="BK94" s="55"/>
      <c r="BL94" s="56"/>
      <c r="BM94" s="611"/>
      <c r="BN94" s="611"/>
      <c r="BO94" s="56">
        <v>0</v>
      </c>
      <c r="BP94" s="55"/>
      <c r="BQ94" s="56"/>
      <c r="BR94" s="611"/>
      <c r="BS94" s="611"/>
      <c r="BT94" s="56">
        <f>SUM(L94:BO94)</f>
        <v>0</v>
      </c>
      <c r="BU94" s="55"/>
      <c r="BV94" s="56"/>
      <c r="BW94" s="611"/>
      <c r="BX94" s="611"/>
      <c r="BY94" s="56">
        <v>0</v>
      </c>
      <c r="BZ94" s="55"/>
      <c r="CA94" s="56"/>
      <c r="CB94" s="611"/>
      <c r="CC94" s="611"/>
      <c r="CD94" s="56">
        <v>0</v>
      </c>
      <c r="CE94" s="55"/>
      <c r="CF94" s="56"/>
      <c r="CG94" s="611"/>
      <c r="CH94" s="611"/>
      <c r="CI94" s="56">
        <v>0</v>
      </c>
      <c r="CJ94" s="55"/>
      <c r="CK94" s="56"/>
      <c r="CL94" s="611"/>
      <c r="CM94" s="611"/>
      <c r="CN94" s="56">
        <v>0</v>
      </c>
      <c r="CO94" s="55"/>
      <c r="CP94" s="56"/>
      <c r="CQ94" s="611"/>
      <c r="CR94" s="611"/>
      <c r="CS94" s="56">
        <v>0</v>
      </c>
      <c r="CT94" s="55"/>
      <c r="CU94" s="56"/>
      <c r="CV94" s="611"/>
      <c r="CW94" s="611"/>
      <c r="CX94" s="56">
        <v>0</v>
      </c>
      <c r="CY94" s="55"/>
      <c r="CZ94" s="56"/>
      <c r="DA94" s="611"/>
      <c r="DB94" s="611"/>
      <c r="DC94" s="56">
        <v>0</v>
      </c>
      <c r="DD94" s="55"/>
      <c r="DE94" s="56"/>
      <c r="DF94" s="611"/>
      <c r="DG94" s="611"/>
      <c r="DH94" s="56">
        <v>0</v>
      </c>
      <c r="DI94" s="55"/>
      <c r="DJ94" s="56"/>
      <c r="DK94" s="611"/>
      <c r="DL94" s="611"/>
      <c r="DM94" s="56">
        <v>0</v>
      </c>
      <c r="DN94" s="55"/>
      <c r="DO94" s="56"/>
      <c r="DP94" s="611"/>
      <c r="DQ94" s="611"/>
      <c r="DR94" s="56">
        <v>0</v>
      </c>
      <c r="DS94" s="55"/>
      <c r="DT94" s="56"/>
      <c r="DU94" s="611"/>
      <c r="DV94" s="611"/>
      <c r="DW94" s="56">
        <v>0</v>
      </c>
      <c r="DX94" s="55"/>
      <c r="DY94" s="56"/>
      <c r="DZ94" s="611"/>
      <c r="EA94" s="611"/>
      <c r="EB94" s="56">
        <v>0</v>
      </c>
      <c r="EC94" s="55"/>
      <c r="ED94" s="56"/>
      <c r="EE94" s="611"/>
      <c r="EF94" s="611"/>
      <c r="EG94" s="56">
        <v>0</v>
      </c>
      <c r="EH94" s="55"/>
      <c r="EI94" s="56"/>
      <c r="EJ94" s="611"/>
      <c r="EK94" s="611"/>
      <c r="EL94" s="56">
        <f>SUM(CD94:EG94)</f>
        <v>0</v>
      </c>
      <c r="EM94" s="55"/>
      <c r="EO94" s="144"/>
      <c r="EP94" s="42"/>
      <c r="EQ94" s="42"/>
    </row>
    <row r="95" spans="4:147" x14ac:dyDescent="0.3">
      <c r="D95" s="144"/>
      <c r="E95" s="494"/>
      <c r="F95" s="513"/>
      <c r="G95" s="117"/>
      <c r="H95" s="116"/>
      <c r="I95" s="56"/>
      <c r="J95" s="611"/>
      <c r="K95" s="620"/>
      <c r="L95" s="117"/>
      <c r="M95" s="116"/>
      <c r="N95" s="56"/>
      <c r="O95" s="611"/>
      <c r="P95" s="620"/>
      <c r="Q95" s="117"/>
      <c r="R95" s="116"/>
      <c r="S95" s="56"/>
      <c r="T95" s="611"/>
      <c r="U95" s="620"/>
      <c r="V95" s="117"/>
      <c r="W95" s="116"/>
      <c r="X95" s="56"/>
      <c r="Y95" s="611"/>
      <c r="Z95" s="620"/>
      <c r="AA95" s="117"/>
      <c r="AB95" s="116"/>
      <c r="AC95" s="56"/>
      <c r="AD95" s="611"/>
      <c r="AE95" s="620"/>
      <c r="AF95" s="117"/>
      <c r="AG95" s="116"/>
      <c r="AH95" s="56"/>
      <c r="AI95" s="611"/>
      <c r="AJ95" s="620"/>
      <c r="AK95" s="117"/>
      <c r="AL95" s="116"/>
      <c r="AM95" s="56"/>
      <c r="AN95" s="611"/>
      <c r="AO95" s="620"/>
      <c r="AP95" s="117"/>
      <c r="AQ95" s="116"/>
      <c r="AR95" s="56"/>
      <c r="AS95" s="611"/>
      <c r="AT95" s="620"/>
      <c r="AU95" s="117"/>
      <c r="AV95" s="116"/>
      <c r="AW95" s="56"/>
      <c r="AX95" s="611"/>
      <c r="AY95" s="620"/>
      <c r="AZ95" s="117"/>
      <c r="BA95" s="116"/>
      <c r="BB95" s="56"/>
      <c r="BC95" s="611"/>
      <c r="BD95" s="620"/>
      <c r="BE95" s="117"/>
      <c r="BF95" s="116"/>
      <c r="BG95" s="56"/>
      <c r="BH95" s="611"/>
      <c r="BI95" s="620"/>
      <c r="BJ95" s="117"/>
      <c r="BK95" s="116"/>
      <c r="BL95" s="56"/>
      <c r="BM95" s="611"/>
      <c r="BN95" s="620"/>
      <c r="BO95" s="117"/>
      <c r="BP95" s="116"/>
      <c r="BQ95" s="56"/>
      <c r="BR95" s="611"/>
      <c r="BS95" s="620"/>
      <c r="BT95" s="117"/>
      <c r="BU95" s="116"/>
      <c r="BV95" s="56"/>
      <c r="BW95" s="611"/>
      <c r="BX95" s="620"/>
      <c r="BY95" s="117"/>
      <c r="BZ95" s="116"/>
      <c r="CA95" s="56"/>
      <c r="CB95" s="611"/>
      <c r="CC95" s="620"/>
      <c r="CD95" s="117"/>
      <c r="CE95" s="116"/>
      <c r="CF95" s="56"/>
      <c r="CG95" s="611"/>
      <c r="CH95" s="620"/>
      <c r="CI95" s="117"/>
      <c r="CJ95" s="116"/>
      <c r="CK95" s="56"/>
      <c r="CL95" s="611"/>
      <c r="CM95" s="620"/>
      <c r="CN95" s="117"/>
      <c r="CO95" s="116"/>
      <c r="CP95" s="56"/>
      <c r="CQ95" s="611"/>
      <c r="CR95" s="620"/>
      <c r="CS95" s="117"/>
      <c r="CT95" s="116"/>
      <c r="CU95" s="56"/>
      <c r="CV95" s="611"/>
      <c r="CW95" s="620"/>
      <c r="CX95" s="117"/>
      <c r="CY95" s="116"/>
      <c r="CZ95" s="56"/>
      <c r="DA95" s="611"/>
      <c r="DB95" s="620"/>
      <c r="DC95" s="117"/>
      <c r="DD95" s="116"/>
      <c r="DE95" s="56"/>
      <c r="DF95" s="611"/>
      <c r="DG95" s="620"/>
      <c r="DH95" s="117"/>
      <c r="DI95" s="116"/>
      <c r="DJ95" s="56"/>
      <c r="DK95" s="611"/>
      <c r="DL95" s="620"/>
      <c r="DM95" s="117"/>
      <c r="DN95" s="116"/>
      <c r="DO95" s="56"/>
      <c r="DP95" s="611"/>
      <c r="DQ95" s="620"/>
      <c r="DR95" s="117"/>
      <c r="DS95" s="116"/>
      <c r="DT95" s="56"/>
      <c r="DU95" s="611"/>
      <c r="DV95" s="620"/>
      <c r="DW95" s="117"/>
      <c r="DX95" s="116"/>
      <c r="DY95" s="56"/>
      <c r="DZ95" s="611"/>
      <c r="EA95" s="620"/>
      <c r="EB95" s="117"/>
      <c r="EC95" s="116"/>
      <c r="ED95" s="56"/>
      <c r="EE95" s="611"/>
      <c r="EF95" s="620"/>
      <c r="EG95" s="117"/>
      <c r="EH95" s="116"/>
      <c r="EI95" s="56"/>
      <c r="EJ95" s="611"/>
      <c r="EK95" s="620"/>
      <c r="EL95" s="117"/>
      <c r="EM95" s="116"/>
      <c r="EO95" s="144"/>
      <c r="EP95" s="42"/>
      <c r="EQ95" s="42"/>
    </row>
    <row r="96" spans="4:147" ht="12.75" customHeight="1" x14ac:dyDescent="0.3">
      <c r="D96" s="144"/>
      <c r="E96" s="494"/>
      <c r="G96" s="56"/>
      <c r="H96" s="56"/>
      <c r="I96" s="56"/>
      <c r="J96" s="611"/>
      <c r="K96" s="56"/>
      <c r="L96" s="56"/>
      <c r="M96" s="56"/>
      <c r="N96" s="56"/>
      <c r="O96" s="611"/>
      <c r="P96" s="56"/>
      <c r="Q96" s="56"/>
      <c r="R96" s="56"/>
      <c r="S96" s="56"/>
      <c r="T96" s="611"/>
      <c r="U96" s="56"/>
      <c r="V96" s="56"/>
      <c r="W96" s="56"/>
      <c r="X96" s="56"/>
      <c r="Y96" s="611"/>
      <c r="Z96" s="56"/>
      <c r="AA96" s="56"/>
      <c r="AB96" s="56"/>
      <c r="AC96" s="56"/>
      <c r="AD96" s="611"/>
      <c r="AE96" s="56"/>
      <c r="AF96" s="56"/>
      <c r="AG96" s="56"/>
      <c r="AH96" s="56"/>
      <c r="AI96" s="611"/>
      <c r="AJ96" s="56"/>
      <c r="AK96" s="56"/>
      <c r="AL96" s="56"/>
      <c r="AM96" s="56"/>
      <c r="AN96" s="611"/>
      <c r="AO96" s="56"/>
      <c r="AP96" s="56"/>
      <c r="AQ96" s="56"/>
      <c r="AR96" s="56"/>
      <c r="AS96" s="611"/>
      <c r="AT96" s="56"/>
      <c r="AU96" s="56"/>
      <c r="AV96" s="56"/>
      <c r="AW96" s="56"/>
      <c r="AX96" s="611"/>
      <c r="AY96" s="56"/>
      <c r="AZ96" s="56"/>
      <c r="BA96" s="56"/>
      <c r="BB96" s="56"/>
      <c r="BC96" s="611"/>
      <c r="BD96" s="56"/>
      <c r="BE96" s="56"/>
      <c r="BF96" s="56"/>
      <c r="BG96" s="56"/>
      <c r="BH96" s="611"/>
      <c r="BI96" s="56"/>
      <c r="BJ96" s="56"/>
      <c r="BK96" s="56"/>
      <c r="BL96" s="56"/>
      <c r="BM96" s="611"/>
      <c r="BN96" s="56"/>
      <c r="BO96" s="56"/>
      <c r="BP96" s="56"/>
      <c r="BQ96" s="56"/>
      <c r="BR96" s="611"/>
      <c r="BS96" s="56"/>
      <c r="BT96" s="56"/>
      <c r="BU96" s="56"/>
      <c r="BV96" s="56"/>
      <c r="BW96" s="611"/>
      <c r="BX96" s="56"/>
      <c r="BY96" s="56"/>
      <c r="BZ96" s="56"/>
      <c r="CA96" s="56"/>
      <c r="CB96" s="611"/>
      <c r="CC96" s="56"/>
      <c r="CD96" s="56"/>
      <c r="CE96" s="56"/>
      <c r="CF96" s="56"/>
      <c r="CG96" s="611"/>
      <c r="CH96" s="56"/>
      <c r="CI96" s="56"/>
      <c r="CJ96" s="56"/>
      <c r="CK96" s="56"/>
      <c r="CL96" s="611"/>
      <c r="CM96" s="56"/>
      <c r="CN96" s="56"/>
      <c r="CO96" s="56"/>
      <c r="CP96" s="56"/>
      <c r="CQ96" s="611"/>
      <c r="CR96" s="56"/>
      <c r="CS96" s="56"/>
      <c r="CT96" s="56"/>
      <c r="CU96" s="56"/>
      <c r="CV96" s="611"/>
      <c r="CW96" s="56"/>
      <c r="CX96" s="56"/>
      <c r="CY96" s="56"/>
      <c r="CZ96" s="56"/>
      <c r="DA96" s="611"/>
      <c r="DB96" s="56"/>
      <c r="DC96" s="56"/>
      <c r="DD96" s="56"/>
      <c r="DE96" s="56"/>
      <c r="DF96" s="611"/>
      <c r="DG96" s="56"/>
      <c r="DH96" s="56"/>
      <c r="DI96" s="56"/>
      <c r="DJ96" s="56"/>
      <c r="DK96" s="611"/>
      <c r="DL96" s="56"/>
      <c r="DM96" s="56"/>
      <c r="DN96" s="56"/>
      <c r="DO96" s="56"/>
      <c r="DP96" s="611"/>
      <c r="DQ96" s="56"/>
      <c r="DR96" s="56"/>
      <c r="DS96" s="56"/>
      <c r="DT96" s="56"/>
      <c r="DU96" s="611"/>
      <c r="DV96" s="56"/>
      <c r="DW96" s="56"/>
      <c r="DX96" s="56"/>
      <c r="DY96" s="56"/>
      <c r="DZ96" s="611"/>
      <c r="EA96" s="56"/>
      <c r="EB96" s="56"/>
      <c r="EC96" s="56"/>
      <c r="ED96" s="56"/>
      <c r="EE96" s="611"/>
      <c r="EF96" s="56"/>
      <c r="EG96" s="56"/>
      <c r="EH96" s="56"/>
      <c r="EI96" s="56"/>
      <c r="EJ96" s="611"/>
      <c r="EK96" s="56"/>
      <c r="EL96" s="56"/>
      <c r="EO96" s="144"/>
      <c r="EP96" s="42"/>
      <c r="EQ96" s="42"/>
    </row>
    <row r="97" spans="4:147" s="42" customFormat="1" ht="12.75" customHeight="1" x14ac:dyDescent="0.3">
      <c r="D97" s="234" t="s">
        <v>402</v>
      </c>
      <c r="E97" s="496"/>
      <c r="G97" s="44">
        <f>SUM(G98:G100)</f>
        <v>7695000</v>
      </c>
      <c r="H97" s="44"/>
      <c r="I97" s="44"/>
      <c r="J97" s="607"/>
      <c r="K97" s="44"/>
      <c r="L97" s="44">
        <f>SUM(L98:L100)</f>
        <v>3035000</v>
      </c>
      <c r="M97" s="44"/>
      <c r="N97" s="44"/>
      <c r="O97" s="607"/>
      <c r="Q97" s="44">
        <f>SUM(Q98:Q100)</f>
        <v>3410000</v>
      </c>
      <c r="R97" s="44"/>
      <c r="S97" s="44"/>
      <c r="T97" s="607"/>
      <c r="V97" s="44">
        <f>SUM(V98:V100)</f>
        <v>1250000</v>
      </c>
      <c r="W97" s="44"/>
      <c r="X97" s="44"/>
      <c r="Y97" s="607"/>
      <c r="AA97" s="44">
        <f>SUM(AA98:AA100)</f>
        <v>0</v>
      </c>
      <c r="AB97" s="44"/>
      <c r="AC97" s="44"/>
      <c r="AD97" s="607"/>
      <c r="AF97" s="44">
        <f>SUM(AF98:AF100)</f>
        <v>0</v>
      </c>
      <c r="AG97" s="44"/>
      <c r="AH97" s="44"/>
      <c r="AI97" s="607"/>
      <c r="AK97" s="44">
        <f>SUM(AK98:AK100)</f>
        <v>0</v>
      </c>
      <c r="AL97" s="44"/>
      <c r="AM97" s="44"/>
      <c r="AN97" s="607"/>
      <c r="AP97" s="44">
        <f>SUM(AP98:AP100)</f>
        <v>0</v>
      </c>
      <c r="AQ97" s="44"/>
      <c r="AR97" s="44"/>
      <c r="AS97" s="607"/>
      <c r="AU97" s="44">
        <f>SUM(AU98:AU100)</f>
        <v>0</v>
      </c>
      <c r="AV97" s="44"/>
      <c r="AW97" s="44"/>
      <c r="AX97" s="607"/>
      <c r="AZ97" s="44">
        <f>SUM(AZ98:AZ100)</f>
        <v>0</v>
      </c>
      <c r="BA97" s="44"/>
      <c r="BB97" s="44"/>
      <c r="BC97" s="607"/>
      <c r="BE97" s="44">
        <f>SUM(BE98:BE100)</f>
        <v>0</v>
      </c>
      <c r="BF97" s="44"/>
      <c r="BG97" s="44"/>
      <c r="BH97" s="607"/>
      <c r="BJ97" s="44">
        <f>SUM(BJ98:BJ100)</f>
        <v>0</v>
      </c>
      <c r="BK97" s="44"/>
      <c r="BL97" s="44"/>
      <c r="BM97" s="607"/>
      <c r="BO97" s="44">
        <f>SUM(BO98:BO100)</f>
        <v>0</v>
      </c>
      <c r="BP97" s="44"/>
      <c r="BQ97" s="44"/>
      <c r="BR97" s="607"/>
      <c r="BS97" s="44"/>
      <c r="BT97" s="44">
        <f>SUM(BT98:BT100)</f>
        <v>7695000</v>
      </c>
      <c r="BU97" s="44"/>
      <c r="BV97" s="44"/>
      <c r="BW97" s="607"/>
      <c r="BX97" s="44"/>
      <c r="BY97" s="44">
        <f>SUM(BY98:BY100)</f>
        <v>48025000</v>
      </c>
      <c r="BZ97" s="44"/>
      <c r="CA97" s="44"/>
      <c r="CB97" s="607"/>
      <c r="CC97" s="44"/>
      <c r="CD97" s="44">
        <f>SUM(CD98:CD100)</f>
        <v>10180000</v>
      </c>
      <c r="CE97" s="44"/>
      <c r="CF97" s="44"/>
      <c r="CG97" s="607"/>
      <c r="CI97" s="44">
        <f>SUM(CI98:CI100)</f>
        <v>3175000</v>
      </c>
      <c r="CJ97" s="44"/>
      <c r="CK97" s="44"/>
      <c r="CL97" s="607"/>
      <c r="CN97" s="44">
        <f>SUM(CN98:CN100)</f>
        <v>6985000</v>
      </c>
      <c r="CO97" s="44"/>
      <c r="CP97" s="44"/>
      <c r="CQ97" s="607"/>
      <c r="CS97" s="44">
        <f>SUM(CS98:CS100)</f>
        <v>3165000</v>
      </c>
      <c r="CT97" s="44"/>
      <c r="CU97" s="44"/>
      <c r="CV97" s="607"/>
      <c r="CX97" s="44">
        <f>SUM(CX98:CX100)</f>
        <v>4370000</v>
      </c>
      <c r="CY97" s="44"/>
      <c r="CZ97" s="44"/>
      <c r="DA97" s="607"/>
      <c r="DC97" s="44">
        <f>SUM(DC98:DC100)</f>
        <v>2270000</v>
      </c>
      <c r="DD97" s="44"/>
      <c r="DE97" s="44"/>
      <c r="DF97" s="607"/>
      <c r="DH97" s="44">
        <f>SUM(DH98:DH100)</f>
        <v>4260000</v>
      </c>
      <c r="DI97" s="44"/>
      <c r="DJ97" s="44"/>
      <c r="DK97" s="607"/>
      <c r="DM97" s="44">
        <f>SUM(DM98:DM100)</f>
        <v>3475000</v>
      </c>
      <c r="DN97" s="44"/>
      <c r="DO97" s="44"/>
      <c r="DP97" s="607"/>
      <c r="DR97" s="44">
        <f>SUM(DR98:DR100)</f>
        <v>3320000</v>
      </c>
      <c r="DS97" s="44"/>
      <c r="DT97" s="44"/>
      <c r="DU97" s="607"/>
      <c r="DW97" s="44">
        <f>SUM(DW98:DW100)</f>
        <v>2325000</v>
      </c>
      <c r="DX97" s="44"/>
      <c r="DY97" s="44"/>
      <c r="DZ97" s="607"/>
      <c r="EB97" s="44">
        <f>SUM(EB98:EB100)</f>
        <v>2615000</v>
      </c>
      <c r="EC97" s="44"/>
      <c r="ED97" s="44"/>
      <c r="EE97" s="607"/>
      <c r="EG97" s="44">
        <f>SUM(EG98:EG100)</f>
        <v>1885000</v>
      </c>
      <c r="EH97" s="44"/>
      <c r="EI97" s="44"/>
      <c r="EJ97" s="607"/>
      <c r="EK97" s="44"/>
      <c r="EL97" s="44">
        <f>SUM(EL98:EL100)</f>
        <v>43525000</v>
      </c>
      <c r="EO97" s="234"/>
    </row>
    <row r="98" spans="4:147" ht="12.75" customHeight="1" x14ac:dyDescent="0.3">
      <c r="D98" s="144" t="s">
        <v>335</v>
      </c>
      <c r="E98" s="494"/>
      <c r="F98" s="500"/>
      <c r="G98" s="609">
        <f>G103+G108</f>
        <v>7695000</v>
      </c>
      <c r="H98" s="610"/>
      <c r="I98" s="56"/>
      <c r="J98" s="611"/>
      <c r="K98" s="612"/>
      <c r="L98" s="609">
        <f>L103+L108</f>
        <v>3035000</v>
      </c>
      <c r="M98" s="610"/>
      <c r="N98" s="56"/>
      <c r="O98" s="611"/>
      <c r="P98" s="500"/>
      <c r="Q98" s="609">
        <f>Q103+Q108</f>
        <v>3410000</v>
      </c>
      <c r="R98" s="610"/>
      <c r="S98" s="56"/>
      <c r="T98" s="611"/>
      <c r="U98" s="500"/>
      <c r="V98" s="609">
        <f>V103+V108</f>
        <v>1250000</v>
      </c>
      <c r="W98" s="610"/>
      <c r="X98" s="56"/>
      <c r="Y98" s="611"/>
      <c r="Z98" s="500"/>
      <c r="AA98" s="609">
        <f>AA103+AA108</f>
        <v>0</v>
      </c>
      <c r="AB98" s="610"/>
      <c r="AC98" s="56"/>
      <c r="AD98" s="611"/>
      <c r="AE98" s="500"/>
      <c r="AF98" s="609">
        <f>AF103+AF108</f>
        <v>0</v>
      </c>
      <c r="AG98" s="610"/>
      <c r="AH98" s="56"/>
      <c r="AI98" s="611"/>
      <c r="AJ98" s="500"/>
      <c r="AK98" s="609">
        <f>AK103+AK108</f>
        <v>0</v>
      </c>
      <c r="AL98" s="610"/>
      <c r="AM98" s="56"/>
      <c r="AN98" s="611"/>
      <c r="AO98" s="500"/>
      <c r="AP98" s="609">
        <f>AP103+AP108</f>
        <v>0</v>
      </c>
      <c r="AQ98" s="610"/>
      <c r="AR98" s="56"/>
      <c r="AS98" s="611"/>
      <c r="AT98" s="500"/>
      <c r="AU98" s="609">
        <f>AU103+AU108</f>
        <v>0</v>
      </c>
      <c r="AV98" s="610"/>
      <c r="AW98" s="56"/>
      <c r="AX98" s="611"/>
      <c r="AY98" s="500"/>
      <c r="AZ98" s="609">
        <f>AZ103+AZ108</f>
        <v>0</v>
      </c>
      <c r="BA98" s="610"/>
      <c r="BB98" s="56"/>
      <c r="BC98" s="611"/>
      <c r="BD98" s="500"/>
      <c r="BE98" s="609">
        <f>BE103+BE108</f>
        <v>0</v>
      </c>
      <c r="BF98" s="610"/>
      <c r="BG98" s="56"/>
      <c r="BH98" s="611"/>
      <c r="BI98" s="500"/>
      <c r="BJ98" s="609">
        <f>BJ103+BJ108</f>
        <v>0</v>
      </c>
      <c r="BK98" s="610"/>
      <c r="BL98" s="56"/>
      <c r="BM98" s="611"/>
      <c r="BN98" s="500"/>
      <c r="BO98" s="609">
        <f>BO103+BO108</f>
        <v>0</v>
      </c>
      <c r="BP98" s="610"/>
      <c r="BQ98" s="56"/>
      <c r="BR98" s="611"/>
      <c r="BS98" s="612"/>
      <c r="BT98" s="609">
        <f>BT103+BT108</f>
        <v>7695000</v>
      </c>
      <c r="BU98" s="610"/>
      <c r="BV98" s="56"/>
      <c r="BW98" s="611"/>
      <c r="BX98" s="612"/>
      <c r="BY98" s="609">
        <f>BY103+BY108</f>
        <v>48025000</v>
      </c>
      <c r="BZ98" s="610"/>
      <c r="CA98" s="56"/>
      <c r="CB98" s="611"/>
      <c r="CC98" s="612"/>
      <c r="CD98" s="609">
        <f>CD103+CD108</f>
        <v>10180000</v>
      </c>
      <c r="CE98" s="610"/>
      <c r="CF98" s="56"/>
      <c r="CG98" s="611"/>
      <c r="CH98" s="500"/>
      <c r="CI98" s="609">
        <f>CI103+CI108</f>
        <v>3175000</v>
      </c>
      <c r="CJ98" s="610"/>
      <c r="CK98" s="56"/>
      <c r="CL98" s="611"/>
      <c r="CM98" s="500"/>
      <c r="CN98" s="609">
        <f>CN103+CN108</f>
        <v>6985000</v>
      </c>
      <c r="CO98" s="610"/>
      <c r="CP98" s="56"/>
      <c r="CQ98" s="611"/>
      <c r="CR98" s="500"/>
      <c r="CS98" s="609">
        <f>CS103+CS108</f>
        <v>3165000</v>
      </c>
      <c r="CT98" s="610"/>
      <c r="CU98" s="56"/>
      <c r="CV98" s="611"/>
      <c r="CW98" s="500"/>
      <c r="CX98" s="609">
        <f>CX103+CX108</f>
        <v>4370000</v>
      </c>
      <c r="CY98" s="610"/>
      <c r="CZ98" s="56"/>
      <c r="DA98" s="611"/>
      <c r="DB98" s="500"/>
      <c r="DC98" s="609">
        <f>DC103+DC108</f>
        <v>2270000</v>
      </c>
      <c r="DD98" s="610"/>
      <c r="DE98" s="56"/>
      <c r="DF98" s="611"/>
      <c r="DG98" s="500"/>
      <c r="DH98" s="609">
        <f>DH103+DH108</f>
        <v>4260000</v>
      </c>
      <c r="DI98" s="610"/>
      <c r="DJ98" s="56"/>
      <c r="DK98" s="611"/>
      <c r="DL98" s="500"/>
      <c r="DM98" s="609">
        <f>DM103+DM108</f>
        <v>3475000</v>
      </c>
      <c r="DN98" s="610"/>
      <c r="DO98" s="56"/>
      <c r="DP98" s="611"/>
      <c r="DQ98" s="500"/>
      <c r="DR98" s="609">
        <f>DR103+DR108</f>
        <v>3320000</v>
      </c>
      <c r="DS98" s="610"/>
      <c r="DT98" s="56"/>
      <c r="DU98" s="611"/>
      <c r="DV98" s="500"/>
      <c r="DW98" s="609">
        <f>DW103+DW108</f>
        <v>2325000</v>
      </c>
      <c r="DX98" s="610"/>
      <c r="DY98" s="56"/>
      <c r="DZ98" s="611"/>
      <c r="EA98" s="500"/>
      <c r="EB98" s="609">
        <f>EB103+EB108</f>
        <v>2615000</v>
      </c>
      <c r="EC98" s="610"/>
      <c r="ED98" s="56"/>
      <c r="EE98" s="611"/>
      <c r="EF98" s="500"/>
      <c r="EG98" s="609">
        <f>EG103+EG108</f>
        <v>1885000</v>
      </c>
      <c r="EH98" s="610"/>
      <c r="EI98" s="56"/>
      <c r="EJ98" s="611"/>
      <c r="EK98" s="612"/>
      <c r="EL98" s="609">
        <f>EL103+EL108</f>
        <v>43525000</v>
      </c>
      <c r="EM98" s="501"/>
      <c r="EO98" s="144"/>
      <c r="EP98" s="42"/>
      <c r="EQ98" s="42"/>
    </row>
    <row r="99" spans="4:147" ht="12.75" customHeight="1" x14ac:dyDescent="0.3">
      <c r="D99" s="144" t="s">
        <v>403</v>
      </c>
      <c r="E99" s="494"/>
      <c r="F99" s="494"/>
      <c r="G99" s="56">
        <v>0</v>
      </c>
      <c r="H99" s="55"/>
      <c r="I99" s="56"/>
      <c r="J99" s="611"/>
      <c r="K99" s="611"/>
      <c r="L99" s="56">
        <f>L104+L109</f>
        <v>0</v>
      </c>
      <c r="M99" s="55"/>
      <c r="N99" s="56"/>
      <c r="O99" s="611"/>
      <c r="P99" s="494"/>
      <c r="Q99" s="56">
        <f>Q104+Q109</f>
        <v>0</v>
      </c>
      <c r="R99" s="55"/>
      <c r="S99" s="56"/>
      <c r="T99" s="611"/>
      <c r="U99" s="494"/>
      <c r="V99" s="56">
        <f>V104+V109</f>
        <v>0</v>
      </c>
      <c r="W99" s="55"/>
      <c r="X99" s="56"/>
      <c r="Y99" s="611"/>
      <c r="Z99" s="494"/>
      <c r="AA99" s="56">
        <f>AA104+AA109</f>
        <v>0</v>
      </c>
      <c r="AB99" s="55"/>
      <c r="AC99" s="56"/>
      <c r="AD99" s="611"/>
      <c r="AE99" s="494"/>
      <c r="AF99" s="56">
        <f>AF104+AF109</f>
        <v>0</v>
      </c>
      <c r="AG99" s="55"/>
      <c r="AH99" s="56"/>
      <c r="AI99" s="611"/>
      <c r="AJ99" s="494"/>
      <c r="AK99" s="56">
        <f>AK104+AK109</f>
        <v>0</v>
      </c>
      <c r="AL99" s="55"/>
      <c r="AM99" s="56"/>
      <c r="AN99" s="611"/>
      <c r="AO99" s="494"/>
      <c r="AP99" s="56">
        <f>AP104+AP109</f>
        <v>0</v>
      </c>
      <c r="AQ99" s="55"/>
      <c r="AR99" s="56"/>
      <c r="AS99" s="611"/>
      <c r="AT99" s="494"/>
      <c r="AU99" s="56">
        <f>AU104+AU109</f>
        <v>0</v>
      </c>
      <c r="AV99" s="55"/>
      <c r="AW99" s="56"/>
      <c r="AX99" s="611"/>
      <c r="AY99" s="494"/>
      <c r="AZ99" s="56">
        <f>AZ104+AZ109</f>
        <v>0</v>
      </c>
      <c r="BA99" s="55"/>
      <c r="BB99" s="56"/>
      <c r="BC99" s="611"/>
      <c r="BD99" s="494"/>
      <c r="BE99" s="56">
        <f>BE104+BE109</f>
        <v>0</v>
      </c>
      <c r="BF99" s="55"/>
      <c r="BG99" s="56"/>
      <c r="BH99" s="611"/>
      <c r="BI99" s="494"/>
      <c r="BJ99" s="56">
        <f>BJ104+BJ109</f>
        <v>0</v>
      </c>
      <c r="BK99" s="55"/>
      <c r="BL99" s="56"/>
      <c r="BM99" s="611"/>
      <c r="BN99" s="494"/>
      <c r="BO99" s="56">
        <f>BO104+BO109</f>
        <v>0</v>
      </c>
      <c r="BP99" s="55"/>
      <c r="BQ99" s="56"/>
      <c r="BR99" s="611"/>
      <c r="BS99" s="611"/>
      <c r="BT99" s="56">
        <f>BT104+BT109</f>
        <v>0</v>
      </c>
      <c r="BU99" s="55"/>
      <c r="BV99" s="56"/>
      <c r="BW99" s="611"/>
      <c r="BX99" s="611"/>
      <c r="BY99" s="56">
        <f>BY104+BY109</f>
        <v>0</v>
      </c>
      <c r="BZ99" s="55"/>
      <c r="CA99" s="56"/>
      <c r="CB99" s="611"/>
      <c r="CC99" s="611"/>
      <c r="CD99" s="56">
        <f>CD104+CD109</f>
        <v>0</v>
      </c>
      <c r="CE99" s="55"/>
      <c r="CF99" s="56"/>
      <c r="CG99" s="611"/>
      <c r="CH99" s="494"/>
      <c r="CI99" s="56">
        <f>CI104+CI109</f>
        <v>0</v>
      </c>
      <c r="CJ99" s="55"/>
      <c r="CK99" s="56"/>
      <c r="CL99" s="611"/>
      <c r="CM99" s="494"/>
      <c r="CN99" s="56">
        <f>CN104+CN109</f>
        <v>0</v>
      </c>
      <c r="CO99" s="55"/>
      <c r="CP99" s="56"/>
      <c r="CQ99" s="611"/>
      <c r="CR99" s="494"/>
      <c r="CS99" s="56">
        <f>CS104+CS109</f>
        <v>0</v>
      </c>
      <c r="CT99" s="55"/>
      <c r="CU99" s="56"/>
      <c r="CV99" s="611"/>
      <c r="CW99" s="494"/>
      <c r="CX99" s="56">
        <f>CX104+CX109</f>
        <v>0</v>
      </c>
      <c r="CY99" s="55"/>
      <c r="CZ99" s="56"/>
      <c r="DA99" s="611"/>
      <c r="DB99" s="494"/>
      <c r="DC99" s="56">
        <f>DC104+DC109</f>
        <v>0</v>
      </c>
      <c r="DD99" s="55"/>
      <c r="DE99" s="56"/>
      <c r="DF99" s="611"/>
      <c r="DG99" s="494"/>
      <c r="DH99" s="56">
        <f>DH104+DH109</f>
        <v>0</v>
      </c>
      <c r="DI99" s="55"/>
      <c r="DJ99" s="56"/>
      <c r="DK99" s="611"/>
      <c r="DL99" s="494"/>
      <c r="DM99" s="56">
        <f>DM104+DM109</f>
        <v>0</v>
      </c>
      <c r="DN99" s="55"/>
      <c r="DO99" s="56"/>
      <c r="DP99" s="611"/>
      <c r="DQ99" s="494"/>
      <c r="DR99" s="56">
        <f>DR104+DR109</f>
        <v>0</v>
      </c>
      <c r="DS99" s="55"/>
      <c r="DT99" s="56"/>
      <c r="DU99" s="611"/>
      <c r="DV99" s="494"/>
      <c r="DW99" s="56">
        <f>DW104+DW109</f>
        <v>0</v>
      </c>
      <c r="DX99" s="55"/>
      <c r="DY99" s="56"/>
      <c r="DZ99" s="611"/>
      <c r="EA99" s="494"/>
      <c r="EB99" s="56">
        <f>EB104+EB109</f>
        <v>0</v>
      </c>
      <c r="EC99" s="55"/>
      <c r="ED99" s="56"/>
      <c r="EE99" s="611"/>
      <c r="EF99" s="494"/>
      <c r="EG99" s="56">
        <f>EG104+EG109</f>
        <v>0</v>
      </c>
      <c r="EH99" s="55"/>
      <c r="EI99" s="56"/>
      <c r="EJ99" s="611"/>
      <c r="EK99" s="611"/>
      <c r="EL99" s="56">
        <f>EL104+EL109</f>
        <v>0</v>
      </c>
      <c r="EM99" s="506"/>
      <c r="EO99" s="144"/>
      <c r="EP99" s="42"/>
      <c r="EQ99" s="42"/>
    </row>
    <row r="100" spans="4:147" ht="12.75" customHeight="1" x14ac:dyDescent="0.3">
      <c r="D100" s="144" t="s">
        <v>404</v>
      </c>
      <c r="E100" s="494"/>
      <c r="F100" s="513"/>
      <c r="G100" s="117">
        <v>0</v>
      </c>
      <c r="H100" s="116"/>
      <c r="I100" s="56"/>
      <c r="J100" s="611"/>
      <c r="K100" s="620"/>
      <c r="L100" s="117">
        <f>L105+L110</f>
        <v>0</v>
      </c>
      <c r="M100" s="116"/>
      <c r="N100" s="56"/>
      <c r="O100" s="611"/>
      <c r="P100" s="513"/>
      <c r="Q100" s="117">
        <f>Q105+Q110</f>
        <v>0</v>
      </c>
      <c r="R100" s="116"/>
      <c r="S100" s="56"/>
      <c r="T100" s="611"/>
      <c r="U100" s="513"/>
      <c r="V100" s="117">
        <f>V105+V110</f>
        <v>0</v>
      </c>
      <c r="W100" s="116"/>
      <c r="X100" s="56"/>
      <c r="Y100" s="611"/>
      <c r="Z100" s="513"/>
      <c r="AA100" s="117">
        <f>AA105+AA110</f>
        <v>0</v>
      </c>
      <c r="AB100" s="116"/>
      <c r="AC100" s="56"/>
      <c r="AD100" s="611"/>
      <c r="AE100" s="513"/>
      <c r="AF100" s="117">
        <f>AF105+AF110</f>
        <v>0</v>
      </c>
      <c r="AG100" s="116"/>
      <c r="AH100" s="56"/>
      <c r="AI100" s="611"/>
      <c r="AJ100" s="513"/>
      <c r="AK100" s="117">
        <f>AK105+AK110</f>
        <v>0</v>
      </c>
      <c r="AL100" s="116"/>
      <c r="AM100" s="56"/>
      <c r="AN100" s="611"/>
      <c r="AO100" s="513"/>
      <c r="AP100" s="117">
        <f>AP105+AP110</f>
        <v>0</v>
      </c>
      <c r="AQ100" s="116"/>
      <c r="AR100" s="56"/>
      <c r="AS100" s="611"/>
      <c r="AT100" s="513"/>
      <c r="AU100" s="117">
        <f>AU105+AU110</f>
        <v>0</v>
      </c>
      <c r="AV100" s="116"/>
      <c r="AW100" s="56"/>
      <c r="AX100" s="611"/>
      <c r="AY100" s="513"/>
      <c r="AZ100" s="117">
        <f>AZ105+AZ110</f>
        <v>0</v>
      </c>
      <c r="BA100" s="116"/>
      <c r="BB100" s="56"/>
      <c r="BC100" s="611"/>
      <c r="BD100" s="513"/>
      <c r="BE100" s="117">
        <f>BE105+BE110</f>
        <v>0</v>
      </c>
      <c r="BF100" s="116"/>
      <c r="BG100" s="56"/>
      <c r="BH100" s="611"/>
      <c r="BI100" s="513"/>
      <c r="BJ100" s="117">
        <f>BJ105+BJ110</f>
        <v>0</v>
      </c>
      <c r="BK100" s="116"/>
      <c r="BL100" s="56"/>
      <c r="BM100" s="611"/>
      <c r="BN100" s="513"/>
      <c r="BO100" s="117">
        <f>BO105+BO110</f>
        <v>0</v>
      </c>
      <c r="BP100" s="116"/>
      <c r="BQ100" s="56"/>
      <c r="BR100" s="611"/>
      <c r="BS100" s="620"/>
      <c r="BT100" s="117">
        <f>BT105+BT110</f>
        <v>0</v>
      </c>
      <c r="BU100" s="116"/>
      <c r="BV100" s="56"/>
      <c r="BW100" s="611"/>
      <c r="BX100" s="620"/>
      <c r="BY100" s="117">
        <f>BY105+BY110</f>
        <v>0</v>
      </c>
      <c r="BZ100" s="116"/>
      <c r="CA100" s="56"/>
      <c r="CB100" s="611"/>
      <c r="CC100" s="620"/>
      <c r="CD100" s="117">
        <f>CD105+CD110</f>
        <v>0</v>
      </c>
      <c r="CE100" s="116"/>
      <c r="CF100" s="56"/>
      <c r="CG100" s="611"/>
      <c r="CH100" s="513"/>
      <c r="CI100" s="117">
        <f>CI105+CI110</f>
        <v>0</v>
      </c>
      <c r="CJ100" s="116"/>
      <c r="CK100" s="56"/>
      <c r="CL100" s="611"/>
      <c r="CM100" s="513"/>
      <c r="CN100" s="117">
        <f>CN105+CN110</f>
        <v>0</v>
      </c>
      <c r="CO100" s="116"/>
      <c r="CP100" s="56"/>
      <c r="CQ100" s="611"/>
      <c r="CR100" s="513"/>
      <c r="CS100" s="117">
        <f>CS105+CS110</f>
        <v>0</v>
      </c>
      <c r="CT100" s="116"/>
      <c r="CU100" s="56"/>
      <c r="CV100" s="611"/>
      <c r="CW100" s="513"/>
      <c r="CX100" s="117">
        <f>CX105+CX110</f>
        <v>0</v>
      </c>
      <c r="CY100" s="116"/>
      <c r="CZ100" s="56"/>
      <c r="DA100" s="611"/>
      <c r="DB100" s="513"/>
      <c r="DC100" s="117">
        <f>DC105+DC110</f>
        <v>0</v>
      </c>
      <c r="DD100" s="116"/>
      <c r="DE100" s="56"/>
      <c r="DF100" s="611"/>
      <c r="DG100" s="513"/>
      <c r="DH100" s="117">
        <f>DH105+DH110</f>
        <v>0</v>
      </c>
      <c r="DI100" s="116"/>
      <c r="DJ100" s="56"/>
      <c r="DK100" s="611"/>
      <c r="DL100" s="513"/>
      <c r="DM100" s="117">
        <f>DM105+DM110</f>
        <v>0</v>
      </c>
      <c r="DN100" s="116"/>
      <c r="DO100" s="56"/>
      <c r="DP100" s="611"/>
      <c r="DQ100" s="513"/>
      <c r="DR100" s="117">
        <f>DR105+DR110</f>
        <v>0</v>
      </c>
      <c r="DS100" s="116"/>
      <c r="DT100" s="56"/>
      <c r="DU100" s="611"/>
      <c r="DV100" s="513"/>
      <c r="DW100" s="117">
        <f>DW105+DW110</f>
        <v>0</v>
      </c>
      <c r="DX100" s="116"/>
      <c r="DY100" s="56"/>
      <c r="DZ100" s="611"/>
      <c r="EA100" s="513"/>
      <c r="EB100" s="117">
        <f>EB105+EB110</f>
        <v>0</v>
      </c>
      <c r="EC100" s="116"/>
      <c r="ED100" s="56"/>
      <c r="EE100" s="611"/>
      <c r="EF100" s="513"/>
      <c r="EG100" s="117">
        <f>EG105+EG110</f>
        <v>0</v>
      </c>
      <c r="EH100" s="116"/>
      <c r="EI100" s="56"/>
      <c r="EJ100" s="611"/>
      <c r="EK100" s="620"/>
      <c r="EL100" s="117">
        <f>EL105+EL110</f>
        <v>0</v>
      </c>
      <c r="EM100" s="515"/>
      <c r="EO100" s="144"/>
      <c r="EP100" s="42"/>
      <c r="EQ100" s="42"/>
    </row>
    <row r="101" spans="4:147" x14ac:dyDescent="0.3">
      <c r="D101" s="144"/>
      <c r="E101" s="494"/>
      <c r="G101" s="655"/>
      <c r="H101" s="56"/>
      <c r="I101" s="56"/>
      <c r="J101" s="611"/>
      <c r="K101" s="56"/>
      <c r="L101" s="56"/>
      <c r="M101" s="56"/>
      <c r="N101" s="56"/>
      <c r="O101" s="611"/>
      <c r="P101" s="56"/>
      <c r="Q101" s="56"/>
      <c r="R101" s="56"/>
      <c r="S101" s="56"/>
      <c r="T101" s="611"/>
      <c r="U101" s="56"/>
      <c r="V101" s="56"/>
      <c r="W101" s="56"/>
      <c r="X101" s="56"/>
      <c r="Y101" s="611"/>
      <c r="Z101" s="56"/>
      <c r="AA101" s="56"/>
      <c r="AB101" s="56"/>
      <c r="AC101" s="56"/>
      <c r="AD101" s="611"/>
      <c r="AE101" s="56"/>
      <c r="AF101" s="56"/>
      <c r="AG101" s="56"/>
      <c r="AH101" s="56"/>
      <c r="AI101" s="611"/>
      <c r="AJ101" s="56"/>
      <c r="AK101" s="56"/>
      <c r="AL101" s="56"/>
      <c r="AM101" s="56"/>
      <c r="AN101" s="611"/>
      <c r="AO101" s="56"/>
      <c r="AP101" s="56"/>
      <c r="AQ101" s="56"/>
      <c r="AR101" s="56"/>
      <c r="AS101" s="611"/>
      <c r="AT101" s="56"/>
      <c r="AU101" s="56"/>
      <c r="AV101" s="56"/>
      <c r="AW101" s="56"/>
      <c r="AX101" s="611"/>
      <c r="AY101" s="56"/>
      <c r="AZ101" s="56"/>
      <c r="BA101" s="56"/>
      <c r="BB101" s="56"/>
      <c r="BC101" s="611"/>
      <c r="BD101" s="56"/>
      <c r="BE101" s="56"/>
      <c r="BF101" s="56"/>
      <c r="BG101" s="56"/>
      <c r="BH101" s="611"/>
      <c r="BI101" s="56"/>
      <c r="BJ101" s="56"/>
      <c r="BK101" s="56"/>
      <c r="BL101" s="56"/>
      <c r="BM101" s="611"/>
      <c r="BN101" s="56"/>
      <c r="BO101" s="56"/>
      <c r="BP101" s="56"/>
      <c r="BQ101" s="56"/>
      <c r="BR101" s="611"/>
      <c r="BS101" s="56"/>
      <c r="BT101" s="56"/>
      <c r="BU101" s="56"/>
      <c r="BV101" s="56"/>
      <c r="BW101" s="611"/>
      <c r="BX101" s="56"/>
      <c r="BY101" s="56"/>
      <c r="BZ101" s="56"/>
      <c r="CA101" s="56"/>
      <c r="CB101" s="611"/>
      <c r="CC101" s="56"/>
      <c r="CD101" s="56"/>
      <c r="CE101" s="56"/>
      <c r="CF101" s="56"/>
      <c r="CG101" s="611"/>
      <c r="CH101" s="56"/>
      <c r="CI101" s="56"/>
      <c r="CJ101" s="56"/>
      <c r="CK101" s="56"/>
      <c r="CL101" s="611"/>
      <c r="CM101" s="56"/>
      <c r="CN101" s="56"/>
      <c r="CO101" s="56"/>
      <c r="CP101" s="56"/>
      <c r="CQ101" s="611"/>
      <c r="CR101" s="56"/>
      <c r="CS101" s="56"/>
      <c r="CT101" s="56"/>
      <c r="CU101" s="56"/>
      <c r="CV101" s="611"/>
      <c r="CW101" s="56"/>
      <c r="CX101" s="56"/>
      <c r="CY101" s="56"/>
      <c r="CZ101" s="56"/>
      <c r="DA101" s="611"/>
      <c r="DB101" s="56"/>
      <c r="DC101" s="56"/>
      <c r="DD101" s="56"/>
      <c r="DE101" s="56"/>
      <c r="DF101" s="611"/>
      <c r="DG101" s="56"/>
      <c r="DH101" s="56"/>
      <c r="DI101" s="56"/>
      <c r="DJ101" s="56"/>
      <c r="DK101" s="611"/>
      <c r="DL101" s="56"/>
      <c r="DM101" s="56"/>
      <c r="DN101" s="56"/>
      <c r="DO101" s="56"/>
      <c r="DP101" s="611"/>
      <c r="DQ101" s="56"/>
      <c r="DR101" s="56"/>
      <c r="DS101" s="56"/>
      <c r="DT101" s="56"/>
      <c r="DU101" s="611"/>
      <c r="DV101" s="56"/>
      <c r="DW101" s="56"/>
      <c r="DX101" s="56"/>
      <c r="DY101" s="56"/>
      <c r="DZ101" s="611"/>
      <c r="EA101" s="56"/>
      <c r="EB101" s="56"/>
      <c r="EC101" s="56"/>
      <c r="ED101" s="56"/>
      <c r="EE101" s="611"/>
      <c r="EF101" s="56"/>
      <c r="EG101" s="56"/>
      <c r="EH101" s="56"/>
      <c r="EI101" s="56"/>
      <c r="EJ101" s="611"/>
      <c r="EK101" s="56"/>
      <c r="EL101" s="56"/>
      <c r="EO101" s="144"/>
      <c r="EP101" s="42"/>
      <c r="EQ101" s="42"/>
    </row>
    <row r="102" spans="4:147" ht="12.75" customHeight="1" x14ac:dyDescent="0.3">
      <c r="D102" s="144" t="s">
        <v>392</v>
      </c>
      <c r="E102" s="494"/>
      <c r="G102" s="56">
        <f>SUM(G103:G105)</f>
        <v>7695000</v>
      </c>
      <c r="H102" s="56"/>
      <c r="I102" s="56"/>
      <c r="J102" s="611"/>
      <c r="K102" s="56"/>
      <c r="L102" s="56">
        <f>SUM(L103:L105)</f>
        <v>3035000</v>
      </c>
      <c r="M102" s="56"/>
      <c r="N102" s="56"/>
      <c r="O102" s="611"/>
      <c r="Q102" s="56">
        <f>SUM(Q103:Q105)</f>
        <v>3410000</v>
      </c>
      <c r="R102" s="56"/>
      <c r="S102" s="56"/>
      <c r="T102" s="611"/>
      <c r="V102" s="56">
        <f>SUM(V103:V105)</f>
        <v>1250000</v>
      </c>
      <c r="W102" s="56"/>
      <c r="X102" s="56"/>
      <c r="Y102" s="611"/>
      <c r="AA102" s="56">
        <f>SUM(AA103:AA105)</f>
        <v>0</v>
      </c>
      <c r="AB102" s="56"/>
      <c r="AC102" s="56"/>
      <c r="AD102" s="611"/>
      <c r="AF102" s="56">
        <f>SUM(AF103:AF105)</f>
        <v>0</v>
      </c>
      <c r="AG102" s="56"/>
      <c r="AH102" s="56"/>
      <c r="AI102" s="611"/>
      <c r="AK102" s="56">
        <f>SUM(AK103:AK105)</f>
        <v>0</v>
      </c>
      <c r="AL102" s="56"/>
      <c r="AM102" s="56"/>
      <c r="AN102" s="611"/>
      <c r="AP102" s="56">
        <f>SUM(AP103:AP105)</f>
        <v>0</v>
      </c>
      <c r="AQ102" s="56"/>
      <c r="AR102" s="56"/>
      <c r="AS102" s="611"/>
      <c r="AU102" s="56">
        <f>SUM(AU103:AU105)</f>
        <v>0</v>
      </c>
      <c r="AV102" s="56"/>
      <c r="AW102" s="56"/>
      <c r="AX102" s="611"/>
      <c r="AZ102" s="56">
        <f>SUM(AZ103:AZ105)</f>
        <v>0</v>
      </c>
      <c r="BA102" s="56"/>
      <c r="BB102" s="56"/>
      <c r="BC102" s="611"/>
      <c r="BE102" s="56">
        <f>SUM(BE103:BE105)</f>
        <v>0</v>
      </c>
      <c r="BF102" s="56"/>
      <c r="BG102" s="56"/>
      <c r="BH102" s="611"/>
      <c r="BJ102" s="56">
        <f>SUM(BJ103:BJ105)</f>
        <v>0</v>
      </c>
      <c r="BK102" s="56"/>
      <c r="BL102" s="56"/>
      <c r="BM102" s="611"/>
      <c r="BO102" s="56">
        <f>SUM(BO103:BO105)</f>
        <v>0</v>
      </c>
      <c r="BP102" s="56"/>
      <c r="BQ102" s="56"/>
      <c r="BR102" s="611"/>
      <c r="BS102" s="117"/>
      <c r="BT102" s="117">
        <f>SUM(BT103:BT105)</f>
        <v>7695000</v>
      </c>
      <c r="BU102" s="56"/>
      <c r="BV102" s="56"/>
      <c r="BW102" s="611"/>
      <c r="BX102" s="56"/>
      <c r="BY102" s="56">
        <f>SUM(BY103:BY105)</f>
        <v>48025000</v>
      </c>
      <c r="BZ102" s="56"/>
      <c r="CA102" s="56"/>
      <c r="CB102" s="611"/>
      <c r="CC102" s="56"/>
      <c r="CD102" s="56">
        <f>SUM(CD103:CD105)</f>
        <v>10180000</v>
      </c>
      <c r="CE102" s="56"/>
      <c r="CF102" s="56"/>
      <c r="CG102" s="611"/>
      <c r="CI102" s="56">
        <f>SUM(CI103:CI105)</f>
        <v>3175000</v>
      </c>
      <c r="CJ102" s="56"/>
      <c r="CK102" s="56"/>
      <c r="CL102" s="611"/>
      <c r="CN102" s="56">
        <f>SUM(CN103:CN105)</f>
        <v>6985000</v>
      </c>
      <c r="CO102" s="56"/>
      <c r="CP102" s="56"/>
      <c r="CQ102" s="611"/>
      <c r="CS102" s="56">
        <f>SUM(CS103:CS105)</f>
        <v>3165000</v>
      </c>
      <c r="CT102" s="56"/>
      <c r="CU102" s="56"/>
      <c r="CV102" s="611"/>
      <c r="CX102" s="56">
        <f>SUM(CX103:CX105)</f>
        <v>4370000</v>
      </c>
      <c r="CY102" s="56"/>
      <c r="CZ102" s="56"/>
      <c r="DA102" s="611"/>
      <c r="DC102" s="56">
        <f>SUM(DC103:DC105)</f>
        <v>2270000</v>
      </c>
      <c r="DD102" s="56"/>
      <c r="DE102" s="56"/>
      <c r="DF102" s="611"/>
      <c r="DH102" s="56">
        <f>SUM(DH103:DH105)</f>
        <v>4260000</v>
      </c>
      <c r="DI102" s="56"/>
      <c r="DJ102" s="56"/>
      <c r="DK102" s="611"/>
      <c r="DM102" s="56">
        <f>SUM(DM103:DM105)</f>
        <v>3475000</v>
      </c>
      <c r="DN102" s="56"/>
      <c r="DO102" s="56"/>
      <c r="DP102" s="611"/>
      <c r="DR102" s="56">
        <f>SUM(DR103:DR105)</f>
        <v>3320000</v>
      </c>
      <c r="DS102" s="56"/>
      <c r="DT102" s="56"/>
      <c r="DU102" s="611"/>
      <c r="DW102" s="56">
        <f>SUM(DW103:DW105)</f>
        <v>2325000</v>
      </c>
      <c r="DX102" s="56"/>
      <c r="DY102" s="56"/>
      <c r="DZ102" s="611"/>
      <c r="EB102" s="56">
        <f>SUM(EB103:EB105)</f>
        <v>2615000</v>
      </c>
      <c r="EC102" s="56"/>
      <c r="ED102" s="56"/>
      <c r="EE102" s="611"/>
      <c r="EG102" s="56">
        <f>SUM(EG103:EG105)</f>
        <v>1885000</v>
      </c>
      <c r="EH102" s="56"/>
      <c r="EI102" s="55"/>
      <c r="EJ102" s="611"/>
      <c r="EK102" s="56"/>
      <c r="EL102" s="56">
        <f>SUM(EL103:EL105)</f>
        <v>43525000</v>
      </c>
      <c r="EM102" s="56"/>
      <c r="EN102" s="56"/>
      <c r="EO102" s="144"/>
      <c r="EP102" s="42"/>
      <c r="EQ102" s="42"/>
    </row>
    <row r="103" spans="4:147" ht="12.75" customHeight="1" x14ac:dyDescent="0.3">
      <c r="D103" s="144" t="s">
        <v>335</v>
      </c>
      <c r="E103" s="494"/>
      <c r="F103" s="500"/>
      <c r="G103" s="609">
        <v>7695000</v>
      </c>
      <c r="H103" s="610"/>
      <c r="I103" s="56"/>
      <c r="J103" s="611"/>
      <c r="K103" s="612"/>
      <c r="L103" s="609">
        <v>3035000</v>
      </c>
      <c r="M103" s="610"/>
      <c r="N103" s="56"/>
      <c r="O103" s="611"/>
      <c r="P103" s="500"/>
      <c r="Q103" s="609">
        <v>3410000</v>
      </c>
      <c r="R103" s="610"/>
      <c r="S103" s="56"/>
      <c r="T103" s="611"/>
      <c r="U103" s="500"/>
      <c r="V103" s="609">
        <v>1250000</v>
      </c>
      <c r="W103" s="610"/>
      <c r="X103" s="56"/>
      <c r="Y103" s="611"/>
      <c r="Z103" s="500"/>
      <c r="AA103" s="609">
        <v>0</v>
      </c>
      <c r="AB103" s="610"/>
      <c r="AC103" s="56"/>
      <c r="AD103" s="611"/>
      <c r="AE103" s="500"/>
      <c r="AF103" s="609">
        <v>0</v>
      </c>
      <c r="AG103" s="610"/>
      <c r="AH103" s="56"/>
      <c r="AI103" s="611"/>
      <c r="AJ103" s="500"/>
      <c r="AK103" s="609">
        <v>0</v>
      </c>
      <c r="AL103" s="610"/>
      <c r="AM103" s="56"/>
      <c r="AN103" s="611"/>
      <c r="AO103" s="500"/>
      <c r="AP103" s="609">
        <v>0</v>
      </c>
      <c r="AQ103" s="610"/>
      <c r="AR103" s="56"/>
      <c r="AS103" s="611"/>
      <c r="AT103" s="500"/>
      <c r="AU103" s="609">
        <v>0</v>
      </c>
      <c r="AV103" s="610"/>
      <c r="AW103" s="56"/>
      <c r="AX103" s="611"/>
      <c r="AY103" s="500"/>
      <c r="AZ103" s="609">
        <v>0</v>
      </c>
      <c r="BA103" s="610"/>
      <c r="BB103" s="56"/>
      <c r="BC103" s="611"/>
      <c r="BD103" s="500"/>
      <c r="BE103" s="609">
        <v>0</v>
      </c>
      <c r="BF103" s="610"/>
      <c r="BG103" s="56"/>
      <c r="BH103" s="611"/>
      <c r="BI103" s="500"/>
      <c r="BJ103" s="609">
        <v>0</v>
      </c>
      <c r="BK103" s="610"/>
      <c r="BL103" s="56"/>
      <c r="BM103" s="611"/>
      <c r="BN103" s="500"/>
      <c r="BO103" s="609">
        <v>0</v>
      </c>
      <c r="BP103" s="610"/>
      <c r="BQ103" s="56"/>
      <c r="BR103" s="611"/>
      <c r="BS103" s="611"/>
      <c r="BT103" s="56">
        <f>SUM(L103:BO103)</f>
        <v>7695000</v>
      </c>
      <c r="BU103" s="610"/>
      <c r="BV103" s="56"/>
      <c r="BW103" s="611"/>
      <c r="BX103" s="612"/>
      <c r="BY103" s="609">
        <v>48025000</v>
      </c>
      <c r="BZ103" s="610"/>
      <c r="CA103" s="56"/>
      <c r="CB103" s="611"/>
      <c r="CC103" s="612"/>
      <c r="CD103" s="609">
        <v>10180000</v>
      </c>
      <c r="CE103" s="610"/>
      <c r="CF103" s="56"/>
      <c r="CG103" s="611"/>
      <c r="CH103" s="500"/>
      <c r="CI103" s="609">
        <v>3175000</v>
      </c>
      <c r="CJ103" s="610"/>
      <c r="CK103" s="56"/>
      <c r="CL103" s="611"/>
      <c r="CM103" s="500"/>
      <c r="CN103" s="609">
        <v>6985000</v>
      </c>
      <c r="CO103" s="610"/>
      <c r="CP103" s="56"/>
      <c r="CQ103" s="611"/>
      <c r="CR103" s="500"/>
      <c r="CS103" s="609">
        <v>3165000</v>
      </c>
      <c r="CT103" s="610"/>
      <c r="CU103" s="56"/>
      <c r="CV103" s="611"/>
      <c r="CW103" s="500"/>
      <c r="CX103" s="609">
        <v>4370000</v>
      </c>
      <c r="CY103" s="610"/>
      <c r="CZ103" s="56"/>
      <c r="DA103" s="611"/>
      <c r="DB103" s="500"/>
      <c r="DC103" s="609">
        <v>2270000</v>
      </c>
      <c r="DD103" s="610"/>
      <c r="DE103" s="56"/>
      <c r="DF103" s="611"/>
      <c r="DG103" s="500"/>
      <c r="DH103" s="609">
        <v>4260000</v>
      </c>
      <c r="DI103" s="610"/>
      <c r="DJ103" s="56"/>
      <c r="DK103" s="611"/>
      <c r="DL103" s="500"/>
      <c r="DM103" s="609">
        <v>3475000</v>
      </c>
      <c r="DN103" s="610"/>
      <c r="DO103" s="56"/>
      <c r="DP103" s="611"/>
      <c r="DQ103" s="500"/>
      <c r="DR103" s="609">
        <v>3320000</v>
      </c>
      <c r="DS103" s="610"/>
      <c r="DT103" s="56"/>
      <c r="DU103" s="611"/>
      <c r="DV103" s="500"/>
      <c r="DW103" s="609">
        <v>2325000</v>
      </c>
      <c r="DX103" s="610"/>
      <c r="DY103" s="56"/>
      <c r="DZ103" s="611"/>
      <c r="EA103" s="500"/>
      <c r="EB103" s="609">
        <v>2615000</v>
      </c>
      <c r="EC103" s="610"/>
      <c r="ED103" s="56"/>
      <c r="EE103" s="611"/>
      <c r="EF103" s="500"/>
      <c r="EG103" s="609">
        <v>1885000</v>
      </c>
      <c r="EH103" s="610"/>
      <c r="EI103" s="55"/>
      <c r="EJ103" s="52"/>
      <c r="EK103" s="612"/>
      <c r="EL103" s="609">
        <f t="shared" ref="EL103:EL105" si="5">SUM(CD103:DW103)</f>
        <v>43525000</v>
      </c>
      <c r="EM103" s="610"/>
      <c r="EN103" s="56"/>
      <c r="EO103" s="144"/>
      <c r="EP103" s="42"/>
      <c r="EQ103" s="42"/>
    </row>
    <row r="104" spans="4:147" ht="12.75" customHeight="1" x14ac:dyDescent="0.3">
      <c r="D104" s="144" t="s">
        <v>403</v>
      </c>
      <c r="E104" s="494"/>
      <c r="F104" s="494"/>
      <c r="G104" s="56">
        <v>0</v>
      </c>
      <c r="H104" s="55"/>
      <c r="I104" s="56"/>
      <c r="J104" s="611"/>
      <c r="K104" s="611"/>
      <c r="L104" s="56">
        <v>0</v>
      </c>
      <c r="M104" s="55"/>
      <c r="N104" s="56"/>
      <c r="O104" s="611"/>
      <c r="P104" s="494"/>
      <c r="Q104" s="56">
        <v>0</v>
      </c>
      <c r="R104" s="55"/>
      <c r="S104" s="56"/>
      <c r="T104" s="611"/>
      <c r="U104" s="494"/>
      <c r="V104" s="56">
        <v>0</v>
      </c>
      <c r="W104" s="55"/>
      <c r="X104" s="56"/>
      <c r="Y104" s="611"/>
      <c r="Z104" s="494"/>
      <c r="AA104" s="56">
        <v>0</v>
      </c>
      <c r="AB104" s="55"/>
      <c r="AC104" s="56"/>
      <c r="AD104" s="611"/>
      <c r="AE104" s="494"/>
      <c r="AF104" s="56">
        <v>0</v>
      </c>
      <c r="AG104" s="55"/>
      <c r="AH104" s="56"/>
      <c r="AI104" s="611"/>
      <c r="AJ104" s="494"/>
      <c r="AK104" s="56">
        <v>0</v>
      </c>
      <c r="AL104" s="55"/>
      <c r="AM104" s="56"/>
      <c r="AN104" s="611"/>
      <c r="AO104" s="494"/>
      <c r="AP104" s="56">
        <v>0</v>
      </c>
      <c r="AQ104" s="55"/>
      <c r="AR104" s="56"/>
      <c r="AS104" s="611"/>
      <c r="AT104" s="494"/>
      <c r="AU104" s="56">
        <v>0</v>
      </c>
      <c r="AV104" s="55"/>
      <c r="AW104" s="56"/>
      <c r="AX104" s="611"/>
      <c r="AY104" s="494"/>
      <c r="AZ104" s="56">
        <v>0</v>
      </c>
      <c r="BA104" s="55"/>
      <c r="BB104" s="56"/>
      <c r="BC104" s="611"/>
      <c r="BD104" s="494"/>
      <c r="BE104" s="56">
        <v>0</v>
      </c>
      <c r="BF104" s="55"/>
      <c r="BG104" s="56"/>
      <c r="BH104" s="611"/>
      <c r="BI104" s="494"/>
      <c r="BJ104" s="56">
        <v>0</v>
      </c>
      <c r="BK104" s="55"/>
      <c r="BL104" s="56"/>
      <c r="BM104" s="611"/>
      <c r="BN104" s="494"/>
      <c r="BO104" s="56">
        <v>0</v>
      </c>
      <c r="BP104" s="55"/>
      <c r="BQ104" s="56"/>
      <c r="BR104" s="611"/>
      <c r="BS104" s="611"/>
      <c r="BT104" s="56">
        <f>SUM(L104:BO104)</f>
        <v>0</v>
      </c>
      <c r="BU104" s="55"/>
      <c r="BV104" s="56"/>
      <c r="BW104" s="611"/>
      <c r="BX104" s="611"/>
      <c r="BY104" s="56">
        <v>0</v>
      </c>
      <c r="BZ104" s="55"/>
      <c r="CA104" s="56"/>
      <c r="CB104" s="611"/>
      <c r="CC104" s="611"/>
      <c r="CD104" s="56">
        <v>0</v>
      </c>
      <c r="CE104" s="55"/>
      <c r="CF104" s="56"/>
      <c r="CG104" s="611"/>
      <c r="CH104" s="494"/>
      <c r="CI104" s="56">
        <v>0</v>
      </c>
      <c r="CJ104" s="55"/>
      <c r="CK104" s="56"/>
      <c r="CL104" s="611"/>
      <c r="CM104" s="494"/>
      <c r="CN104" s="56">
        <v>0</v>
      </c>
      <c r="CO104" s="55"/>
      <c r="CP104" s="56"/>
      <c r="CQ104" s="611"/>
      <c r="CR104" s="494"/>
      <c r="CS104" s="56">
        <v>0</v>
      </c>
      <c r="CT104" s="55"/>
      <c r="CU104" s="56"/>
      <c r="CV104" s="611"/>
      <c r="CW104" s="494"/>
      <c r="CX104" s="56">
        <v>0</v>
      </c>
      <c r="CY104" s="55"/>
      <c r="CZ104" s="56"/>
      <c r="DA104" s="611"/>
      <c r="DB104" s="494"/>
      <c r="DC104" s="56">
        <v>0</v>
      </c>
      <c r="DD104" s="55"/>
      <c r="DE104" s="56"/>
      <c r="DF104" s="611"/>
      <c r="DG104" s="494"/>
      <c r="DH104" s="56">
        <v>0</v>
      </c>
      <c r="DI104" s="55"/>
      <c r="DJ104" s="56"/>
      <c r="DK104" s="611"/>
      <c r="DL104" s="494"/>
      <c r="DM104" s="56">
        <v>0</v>
      </c>
      <c r="DN104" s="55"/>
      <c r="DO104" s="56"/>
      <c r="DP104" s="611"/>
      <c r="DQ104" s="494"/>
      <c r="DR104" s="56">
        <v>0</v>
      </c>
      <c r="DS104" s="55"/>
      <c r="DT104" s="56"/>
      <c r="DU104" s="611"/>
      <c r="DV104" s="494"/>
      <c r="DW104" s="56">
        <v>0</v>
      </c>
      <c r="DX104" s="55"/>
      <c r="DY104" s="56"/>
      <c r="DZ104" s="611"/>
      <c r="EA104" s="494"/>
      <c r="EB104" s="56">
        <v>0</v>
      </c>
      <c r="EC104" s="55"/>
      <c r="ED104" s="56"/>
      <c r="EE104" s="611"/>
      <c r="EF104" s="494"/>
      <c r="EG104" s="56">
        <v>0</v>
      </c>
      <c r="EH104" s="55"/>
      <c r="EI104" s="56"/>
      <c r="EJ104" s="611"/>
      <c r="EK104" s="611"/>
      <c r="EL104" s="56">
        <f t="shared" si="5"/>
        <v>0</v>
      </c>
      <c r="EM104" s="55"/>
      <c r="EN104" s="56"/>
      <c r="EO104" s="144"/>
      <c r="EP104" s="42"/>
      <c r="EQ104" s="42"/>
    </row>
    <row r="105" spans="4:147" ht="12.75" customHeight="1" x14ac:dyDescent="0.3">
      <c r="D105" s="144" t="s">
        <v>404</v>
      </c>
      <c r="E105" s="494"/>
      <c r="F105" s="513"/>
      <c r="G105" s="117">
        <v>0</v>
      </c>
      <c r="H105" s="116"/>
      <c r="I105" s="56"/>
      <c r="J105" s="611"/>
      <c r="K105" s="620"/>
      <c r="L105" s="117">
        <v>0</v>
      </c>
      <c r="M105" s="116"/>
      <c r="N105" s="56"/>
      <c r="O105" s="611"/>
      <c r="P105" s="513"/>
      <c r="Q105" s="117">
        <v>0</v>
      </c>
      <c r="R105" s="116"/>
      <c r="S105" s="56"/>
      <c r="T105" s="611"/>
      <c r="U105" s="513"/>
      <c r="V105" s="117">
        <v>0</v>
      </c>
      <c r="W105" s="116"/>
      <c r="X105" s="56"/>
      <c r="Y105" s="611"/>
      <c r="Z105" s="513"/>
      <c r="AA105" s="117">
        <v>0</v>
      </c>
      <c r="AB105" s="116"/>
      <c r="AC105" s="56"/>
      <c r="AD105" s="611"/>
      <c r="AE105" s="513"/>
      <c r="AF105" s="117">
        <v>0</v>
      </c>
      <c r="AG105" s="116"/>
      <c r="AH105" s="56"/>
      <c r="AI105" s="611"/>
      <c r="AJ105" s="513"/>
      <c r="AK105" s="117">
        <v>0</v>
      </c>
      <c r="AL105" s="116"/>
      <c r="AM105" s="56"/>
      <c r="AN105" s="611"/>
      <c r="AO105" s="513"/>
      <c r="AP105" s="117">
        <v>0</v>
      </c>
      <c r="AQ105" s="116"/>
      <c r="AR105" s="56"/>
      <c r="AS105" s="611"/>
      <c r="AT105" s="513"/>
      <c r="AU105" s="117">
        <v>0</v>
      </c>
      <c r="AV105" s="116"/>
      <c r="AW105" s="56"/>
      <c r="AX105" s="611"/>
      <c r="AY105" s="513"/>
      <c r="AZ105" s="117">
        <v>0</v>
      </c>
      <c r="BA105" s="116"/>
      <c r="BB105" s="56"/>
      <c r="BC105" s="611"/>
      <c r="BD105" s="513"/>
      <c r="BE105" s="117">
        <v>0</v>
      </c>
      <c r="BF105" s="116"/>
      <c r="BG105" s="56"/>
      <c r="BH105" s="611"/>
      <c r="BI105" s="513"/>
      <c r="BJ105" s="117">
        <v>0</v>
      </c>
      <c r="BK105" s="116"/>
      <c r="BL105" s="56"/>
      <c r="BM105" s="611"/>
      <c r="BN105" s="513"/>
      <c r="BO105" s="117">
        <v>0</v>
      </c>
      <c r="BP105" s="116"/>
      <c r="BQ105" s="56"/>
      <c r="BR105" s="611"/>
      <c r="BS105" s="620"/>
      <c r="BT105" s="117">
        <f>SUM(L105:BO105)</f>
        <v>0</v>
      </c>
      <c r="BU105" s="116"/>
      <c r="BV105" s="56"/>
      <c r="BW105" s="611"/>
      <c r="BX105" s="620"/>
      <c r="BY105" s="117">
        <v>0</v>
      </c>
      <c r="BZ105" s="116"/>
      <c r="CA105" s="56"/>
      <c r="CB105" s="611"/>
      <c r="CC105" s="620"/>
      <c r="CD105" s="117">
        <v>0</v>
      </c>
      <c r="CE105" s="116"/>
      <c r="CF105" s="56"/>
      <c r="CG105" s="611"/>
      <c r="CH105" s="513"/>
      <c r="CI105" s="117">
        <v>0</v>
      </c>
      <c r="CJ105" s="116"/>
      <c r="CK105" s="56"/>
      <c r="CL105" s="611"/>
      <c r="CM105" s="513"/>
      <c r="CN105" s="117">
        <v>0</v>
      </c>
      <c r="CO105" s="116"/>
      <c r="CP105" s="56"/>
      <c r="CQ105" s="611"/>
      <c r="CR105" s="513"/>
      <c r="CS105" s="117">
        <v>0</v>
      </c>
      <c r="CT105" s="116"/>
      <c r="CU105" s="56"/>
      <c r="CV105" s="611"/>
      <c r="CW105" s="513"/>
      <c r="CX105" s="117">
        <v>0</v>
      </c>
      <c r="CY105" s="116"/>
      <c r="CZ105" s="56"/>
      <c r="DA105" s="611"/>
      <c r="DB105" s="513"/>
      <c r="DC105" s="117">
        <v>0</v>
      </c>
      <c r="DD105" s="116"/>
      <c r="DE105" s="56"/>
      <c r="DF105" s="611"/>
      <c r="DG105" s="513"/>
      <c r="DH105" s="117">
        <v>0</v>
      </c>
      <c r="DI105" s="116"/>
      <c r="DJ105" s="56"/>
      <c r="DK105" s="611"/>
      <c r="DL105" s="513"/>
      <c r="DM105" s="117">
        <v>0</v>
      </c>
      <c r="DN105" s="116"/>
      <c r="DO105" s="56"/>
      <c r="DP105" s="611"/>
      <c r="DQ105" s="513"/>
      <c r="DR105" s="117">
        <v>0</v>
      </c>
      <c r="DS105" s="116"/>
      <c r="DT105" s="56"/>
      <c r="DU105" s="611"/>
      <c r="DV105" s="513"/>
      <c r="DW105" s="117">
        <v>0</v>
      </c>
      <c r="DX105" s="116"/>
      <c r="DY105" s="56"/>
      <c r="DZ105" s="611"/>
      <c r="EA105" s="513"/>
      <c r="EB105" s="117">
        <v>0</v>
      </c>
      <c r="EC105" s="116"/>
      <c r="ED105" s="56"/>
      <c r="EE105" s="611"/>
      <c r="EF105" s="513"/>
      <c r="EG105" s="117">
        <v>0</v>
      </c>
      <c r="EH105" s="116"/>
      <c r="EI105" s="56"/>
      <c r="EJ105" s="611"/>
      <c r="EK105" s="620"/>
      <c r="EL105" s="117">
        <f t="shared" si="5"/>
        <v>0</v>
      </c>
      <c r="EM105" s="116"/>
      <c r="EN105" s="56"/>
      <c r="EO105" s="144"/>
      <c r="EP105" s="42"/>
      <c r="EQ105" s="42"/>
    </row>
    <row r="106" spans="4:147" ht="12.75" customHeight="1" x14ac:dyDescent="0.3">
      <c r="D106" s="144"/>
      <c r="E106" s="494"/>
      <c r="G106" s="56"/>
      <c r="H106" s="56"/>
      <c r="I106" s="56"/>
      <c r="J106" s="611"/>
      <c r="K106" s="56"/>
      <c r="L106" s="56"/>
      <c r="M106" s="56"/>
      <c r="N106" s="56"/>
      <c r="O106" s="611"/>
      <c r="P106" s="56"/>
      <c r="Q106" s="56"/>
      <c r="R106" s="56"/>
      <c r="S106" s="56"/>
      <c r="T106" s="611"/>
      <c r="U106" s="56"/>
      <c r="V106" s="56"/>
      <c r="W106" s="56"/>
      <c r="X106" s="56"/>
      <c r="Y106" s="611"/>
      <c r="Z106" s="56"/>
      <c r="AA106" s="56"/>
      <c r="AB106" s="56"/>
      <c r="AC106" s="56"/>
      <c r="AD106" s="611"/>
      <c r="AE106" s="56"/>
      <c r="AF106" s="56"/>
      <c r="AG106" s="56"/>
      <c r="AH106" s="56"/>
      <c r="AI106" s="611"/>
      <c r="AJ106" s="56"/>
      <c r="AK106" s="56"/>
      <c r="AL106" s="56"/>
      <c r="AM106" s="56"/>
      <c r="AN106" s="611"/>
      <c r="AO106" s="56"/>
      <c r="AP106" s="56"/>
      <c r="AQ106" s="56"/>
      <c r="AR106" s="56"/>
      <c r="AS106" s="611"/>
      <c r="AT106" s="56"/>
      <c r="AU106" s="56"/>
      <c r="AV106" s="56"/>
      <c r="AW106" s="56"/>
      <c r="AX106" s="611"/>
      <c r="AY106" s="56"/>
      <c r="AZ106" s="56"/>
      <c r="BA106" s="56"/>
      <c r="BB106" s="56"/>
      <c r="BC106" s="611"/>
      <c r="BD106" s="56"/>
      <c r="BE106" s="56"/>
      <c r="BF106" s="56"/>
      <c r="BG106" s="56"/>
      <c r="BH106" s="611"/>
      <c r="BI106" s="56"/>
      <c r="BJ106" s="56"/>
      <c r="BK106" s="56"/>
      <c r="BL106" s="56"/>
      <c r="BM106" s="611"/>
      <c r="BN106" s="56"/>
      <c r="BO106" s="56"/>
      <c r="BP106" s="56"/>
      <c r="BQ106" s="56"/>
      <c r="BR106" s="611"/>
      <c r="BS106" s="56"/>
      <c r="BT106" s="56"/>
      <c r="BU106" s="56"/>
      <c r="BV106" s="56"/>
      <c r="BW106" s="611"/>
      <c r="BX106" s="56"/>
      <c r="BY106" s="56"/>
      <c r="BZ106" s="56"/>
      <c r="CA106" s="56"/>
      <c r="CB106" s="611"/>
      <c r="CC106" s="56"/>
      <c r="CD106" s="56"/>
      <c r="CE106" s="56"/>
      <c r="CF106" s="56"/>
      <c r="CG106" s="611"/>
      <c r="CH106" s="56"/>
      <c r="CI106" s="56"/>
      <c r="CJ106" s="56"/>
      <c r="CK106" s="56"/>
      <c r="CL106" s="611"/>
      <c r="CM106" s="56"/>
      <c r="CN106" s="56"/>
      <c r="CO106" s="56"/>
      <c r="CP106" s="56"/>
      <c r="CQ106" s="611"/>
      <c r="CR106" s="56"/>
      <c r="CS106" s="56"/>
      <c r="CT106" s="56"/>
      <c r="CU106" s="56"/>
      <c r="CV106" s="611"/>
      <c r="CW106" s="56"/>
      <c r="CX106" s="56"/>
      <c r="CY106" s="56"/>
      <c r="CZ106" s="56"/>
      <c r="DA106" s="611"/>
      <c r="DB106" s="56"/>
      <c r="DC106" s="56"/>
      <c r="DD106" s="56"/>
      <c r="DE106" s="56"/>
      <c r="DF106" s="611"/>
      <c r="DG106" s="56"/>
      <c r="DH106" s="56"/>
      <c r="DI106" s="56"/>
      <c r="DJ106" s="56"/>
      <c r="DK106" s="611"/>
      <c r="DL106" s="56"/>
      <c r="DM106" s="56"/>
      <c r="DN106" s="56"/>
      <c r="DO106" s="56"/>
      <c r="DP106" s="611"/>
      <c r="DQ106" s="56"/>
      <c r="DR106" s="56"/>
      <c r="DS106" s="56"/>
      <c r="DT106" s="56"/>
      <c r="DU106" s="611"/>
      <c r="DV106" s="56"/>
      <c r="DW106" s="56"/>
      <c r="DX106" s="56"/>
      <c r="DY106" s="56"/>
      <c r="DZ106" s="611"/>
      <c r="EA106" s="56"/>
      <c r="EB106" s="56"/>
      <c r="EC106" s="56"/>
      <c r="ED106" s="56"/>
      <c r="EE106" s="611"/>
      <c r="EF106" s="56"/>
      <c r="EG106" s="56"/>
      <c r="EH106" s="56"/>
      <c r="EI106" s="56"/>
      <c r="EJ106" s="611"/>
      <c r="EK106" s="56"/>
      <c r="EL106" s="56"/>
      <c r="EO106" s="144"/>
      <c r="EP106" s="42"/>
      <c r="EQ106" s="42"/>
    </row>
    <row r="107" spans="4:147" ht="12.75" hidden="1" customHeight="1" x14ac:dyDescent="0.3">
      <c r="D107" s="144" t="s">
        <v>405</v>
      </c>
      <c r="E107" s="494"/>
      <c r="G107" s="56">
        <f>SUM(G108:G110)</f>
        <v>0</v>
      </c>
      <c r="H107" s="56"/>
      <c r="I107" s="56"/>
      <c r="J107" s="611"/>
      <c r="K107" s="56"/>
      <c r="L107" s="56">
        <f>SUM(L108:L110)</f>
        <v>0</v>
      </c>
      <c r="M107" s="56"/>
      <c r="N107" s="56"/>
      <c r="O107" s="611"/>
      <c r="Q107" s="56">
        <f>SUM(Q108:Q110)</f>
        <v>0</v>
      </c>
      <c r="R107" s="56"/>
      <c r="S107" s="56"/>
      <c r="T107" s="611"/>
      <c r="V107" s="56">
        <f>SUM(V108:V110)</f>
        <v>0</v>
      </c>
      <c r="W107" s="56"/>
      <c r="X107" s="56"/>
      <c r="Y107" s="611"/>
      <c r="AA107" s="56">
        <f>SUM(AA108:AA110)</f>
        <v>0</v>
      </c>
      <c r="AB107" s="56"/>
      <c r="AC107" s="56"/>
      <c r="AD107" s="611"/>
      <c r="AF107" s="56">
        <f>SUM(AF108:AF110)</f>
        <v>0</v>
      </c>
      <c r="AG107" s="56"/>
      <c r="AH107" s="56"/>
      <c r="AI107" s="611"/>
      <c r="AK107" s="56">
        <f>SUM(AK108:AK110)</f>
        <v>0</v>
      </c>
      <c r="AL107" s="56"/>
      <c r="AM107" s="56"/>
      <c r="AN107" s="611"/>
      <c r="AP107" s="56">
        <f>SUM(AP108:AP110)</f>
        <v>0</v>
      </c>
      <c r="AQ107" s="56"/>
      <c r="AR107" s="56"/>
      <c r="AS107" s="611"/>
      <c r="AU107" s="56">
        <f>SUM(AU108:AU110)</f>
        <v>0</v>
      </c>
      <c r="AV107" s="56"/>
      <c r="AW107" s="56"/>
      <c r="AX107" s="611"/>
      <c r="AZ107" s="56">
        <f>SUM(AZ108:AZ110)</f>
        <v>0</v>
      </c>
      <c r="BA107" s="56"/>
      <c r="BB107" s="56"/>
      <c r="BC107" s="611"/>
      <c r="BE107" s="56">
        <f>SUM(BE108:BE110)</f>
        <v>0</v>
      </c>
      <c r="BF107" s="56"/>
      <c r="BG107" s="56"/>
      <c r="BH107" s="611"/>
      <c r="BJ107" s="56">
        <f>SUM(BJ108:BJ110)</f>
        <v>0</v>
      </c>
      <c r="BK107" s="56"/>
      <c r="BL107" s="56"/>
      <c r="BM107" s="611"/>
      <c r="BO107" s="56">
        <f>SUM(BO108:BO110)</f>
        <v>0</v>
      </c>
      <c r="BP107" s="56"/>
      <c r="BQ107" s="56"/>
      <c r="BR107" s="611"/>
      <c r="BS107" s="117"/>
      <c r="BT107" s="117">
        <f>SUM(BT108:BT110)</f>
        <v>0</v>
      </c>
      <c r="BU107" s="56"/>
      <c r="BV107" s="56"/>
      <c r="BW107" s="611"/>
      <c r="BX107" s="56"/>
      <c r="BY107" s="56">
        <f>SUM(BY108:BY110)</f>
        <v>0</v>
      </c>
      <c r="BZ107" s="56"/>
      <c r="CA107" s="56"/>
      <c r="CB107" s="611"/>
      <c r="CC107" s="56"/>
      <c r="CD107" s="56">
        <f>SUM(CD108:CD110)</f>
        <v>0</v>
      </c>
      <c r="CE107" s="56"/>
      <c r="CF107" s="56"/>
      <c r="CG107" s="611"/>
      <c r="CI107" s="56">
        <f>SUM(CI108:CI110)</f>
        <v>0</v>
      </c>
      <c r="CJ107" s="56"/>
      <c r="CK107" s="56"/>
      <c r="CL107" s="611"/>
      <c r="CN107" s="56">
        <f>SUM(CN108:CN110)</f>
        <v>0</v>
      </c>
      <c r="CO107" s="56"/>
      <c r="CP107" s="56"/>
      <c r="CQ107" s="611"/>
      <c r="CS107" s="56">
        <f>SUM(CS108:CS110)</f>
        <v>0</v>
      </c>
      <c r="CT107" s="56"/>
      <c r="CU107" s="56"/>
      <c r="CV107" s="611"/>
      <c r="CX107" s="56">
        <f>SUM(CX108:CX110)</f>
        <v>0</v>
      </c>
      <c r="CY107" s="56"/>
      <c r="CZ107" s="56"/>
      <c r="DA107" s="611"/>
      <c r="DC107" s="56">
        <f>SUM(DC108:DC110)</f>
        <v>0</v>
      </c>
      <c r="DD107" s="56"/>
      <c r="DE107" s="56"/>
      <c r="DF107" s="611"/>
      <c r="DH107" s="56">
        <f>SUM(DH108:DH110)</f>
        <v>0</v>
      </c>
      <c r="DI107" s="56"/>
      <c r="DJ107" s="56"/>
      <c r="DK107" s="611"/>
      <c r="DM107" s="56">
        <f>SUM(DM108:DM110)</f>
        <v>0</v>
      </c>
      <c r="DN107" s="56"/>
      <c r="DO107" s="56"/>
      <c r="DP107" s="611"/>
      <c r="DR107" s="56">
        <f>SUM(DR108:DR110)</f>
        <v>0</v>
      </c>
      <c r="DS107" s="56"/>
      <c r="DT107" s="56"/>
      <c r="DU107" s="611"/>
      <c r="DW107" s="56">
        <f>SUM(DW108:DW110)</f>
        <v>0</v>
      </c>
      <c r="DX107" s="56"/>
      <c r="DY107" s="56"/>
      <c r="DZ107" s="611"/>
      <c r="EB107" s="56">
        <f>SUM(EB108:EB110)</f>
        <v>0</v>
      </c>
      <c r="EC107" s="56"/>
      <c r="ED107" s="56"/>
      <c r="EE107" s="611"/>
      <c r="EG107" s="56">
        <f>SUM(EG108:EG110)</f>
        <v>0</v>
      </c>
      <c r="EH107" s="56"/>
      <c r="EI107" s="55"/>
      <c r="EJ107" s="611"/>
      <c r="EK107" s="56"/>
      <c r="EL107" s="56">
        <f>SUM(EL108:EL110)</f>
        <v>0</v>
      </c>
      <c r="EM107" s="56"/>
      <c r="EN107" s="56"/>
      <c r="EO107" s="144"/>
      <c r="EP107" s="42"/>
      <c r="EQ107" s="42"/>
    </row>
    <row r="108" spans="4:147" ht="12.75" hidden="1" customHeight="1" x14ac:dyDescent="0.3">
      <c r="D108" s="144" t="s">
        <v>335</v>
      </c>
      <c r="E108" s="494"/>
      <c r="F108" s="500"/>
      <c r="G108" s="609">
        <v>0</v>
      </c>
      <c r="H108" s="610"/>
      <c r="I108" s="56"/>
      <c r="J108" s="611"/>
      <c r="K108" s="612"/>
      <c r="L108" s="609">
        <v>0</v>
      </c>
      <c r="M108" s="610"/>
      <c r="N108" s="56"/>
      <c r="O108" s="611"/>
      <c r="P108" s="500"/>
      <c r="Q108" s="609">
        <v>0</v>
      </c>
      <c r="R108" s="610"/>
      <c r="S108" s="56"/>
      <c r="T108" s="611"/>
      <c r="U108" s="500"/>
      <c r="V108" s="609">
        <v>0</v>
      </c>
      <c r="W108" s="610"/>
      <c r="X108" s="56"/>
      <c r="Y108" s="611"/>
      <c r="Z108" s="500"/>
      <c r="AA108" s="609">
        <v>0</v>
      </c>
      <c r="AB108" s="610"/>
      <c r="AC108" s="56"/>
      <c r="AD108" s="611"/>
      <c r="AE108" s="500"/>
      <c r="AF108" s="609">
        <v>0</v>
      </c>
      <c r="AG108" s="610"/>
      <c r="AH108" s="56"/>
      <c r="AI108" s="611"/>
      <c r="AJ108" s="500"/>
      <c r="AK108" s="609">
        <v>0</v>
      </c>
      <c r="AL108" s="610"/>
      <c r="AM108" s="56"/>
      <c r="AN108" s="611"/>
      <c r="AO108" s="500"/>
      <c r="AP108" s="609">
        <v>0</v>
      </c>
      <c r="AQ108" s="610"/>
      <c r="AR108" s="56"/>
      <c r="AS108" s="611"/>
      <c r="AT108" s="500"/>
      <c r="AU108" s="609">
        <v>0</v>
      </c>
      <c r="AV108" s="610"/>
      <c r="AW108" s="56"/>
      <c r="AX108" s="611"/>
      <c r="AY108" s="500"/>
      <c r="AZ108" s="609">
        <v>0</v>
      </c>
      <c r="BA108" s="610"/>
      <c r="BB108" s="56"/>
      <c r="BC108" s="611"/>
      <c r="BD108" s="500"/>
      <c r="BE108" s="609">
        <v>0</v>
      </c>
      <c r="BF108" s="610"/>
      <c r="BG108" s="56"/>
      <c r="BH108" s="611"/>
      <c r="BI108" s="500"/>
      <c r="BJ108" s="609">
        <v>0</v>
      </c>
      <c r="BK108" s="610"/>
      <c r="BL108" s="56"/>
      <c r="BM108" s="611"/>
      <c r="BN108" s="500"/>
      <c r="BO108" s="609">
        <v>0</v>
      </c>
      <c r="BP108" s="610"/>
      <c r="BQ108" s="56"/>
      <c r="BR108" s="611"/>
      <c r="BS108" s="611"/>
      <c r="BT108" s="56">
        <f>SUM(L108:BO108)</f>
        <v>0</v>
      </c>
      <c r="BU108" s="610"/>
      <c r="BV108" s="56"/>
      <c r="BW108" s="611"/>
      <c r="BX108" s="612"/>
      <c r="BY108" s="609">
        <v>0</v>
      </c>
      <c r="BZ108" s="610"/>
      <c r="CA108" s="56"/>
      <c r="CB108" s="611"/>
      <c r="CC108" s="612"/>
      <c r="CD108" s="609">
        <v>0</v>
      </c>
      <c r="CE108" s="610"/>
      <c r="CF108" s="56"/>
      <c r="CG108" s="611"/>
      <c r="CH108" s="500"/>
      <c r="CI108" s="609">
        <v>0</v>
      </c>
      <c r="CJ108" s="610"/>
      <c r="CK108" s="56"/>
      <c r="CL108" s="611"/>
      <c r="CM108" s="500"/>
      <c r="CN108" s="609">
        <v>0</v>
      </c>
      <c r="CO108" s="610"/>
      <c r="CP108" s="56"/>
      <c r="CQ108" s="611"/>
      <c r="CR108" s="500"/>
      <c r="CS108" s="609">
        <v>0</v>
      </c>
      <c r="CT108" s="610"/>
      <c r="CU108" s="56"/>
      <c r="CV108" s="611"/>
      <c r="CW108" s="500"/>
      <c r="CX108" s="609">
        <v>0</v>
      </c>
      <c r="CY108" s="610"/>
      <c r="CZ108" s="56"/>
      <c r="DA108" s="611"/>
      <c r="DB108" s="500"/>
      <c r="DC108" s="609">
        <v>0</v>
      </c>
      <c r="DD108" s="610"/>
      <c r="DE108" s="56"/>
      <c r="DF108" s="611"/>
      <c r="DG108" s="500"/>
      <c r="DH108" s="609">
        <v>0</v>
      </c>
      <c r="DI108" s="610"/>
      <c r="DJ108" s="56"/>
      <c r="DK108" s="611"/>
      <c r="DL108" s="500"/>
      <c r="DM108" s="609">
        <v>0</v>
      </c>
      <c r="DN108" s="610"/>
      <c r="DO108" s="56"/>
      <c r="DP108" s="611"/>
      <c r="DQ108" s="500"/>
      <c r="DR108" s="609">
        <v>0</v>
      </c>
      <c r="DS108" s="610"/>
      <c r="DT108" s="56"/>
      <c r="DU108" s="611"/>
      <c r="DV108" s="500"/>
      <c r="DW108" s="609">
        <v>0</v>
      </c>
      <c r="DX108" s="610"/>
      <c r="DY108" s="56"/>
      <c r="DZ108" s="611"/>
      <c r="EA108" s="500"/>
      <c r="EB108" s="609">
        <v>0</v>
      </c>
      <c r="EC108" s="610"/>
      <c r="ED108" s="56"/>
      <c r="EE108" s="611"/>
      <c r="EF108" s="500"/>
      <c r="EG108" s="609">
        <v>0</v>
      </c>
      <c r="EH108" s="610"/>
      <c r="EI108" s="55"/>
      <c r="EJ108" s="52"/>
      <c r="EK108" s="612"/>
      <c r="EL108" s="609">
        <f>SUM(CD108:CD108)</f>
        <v>0</v>
      </c>
      <c r="EM108" s="610"/>
      <c r="EN108" s="56"/>
      <c r="EO108" s="144"/>
      <c r="EP108" s="42"/>
      <c r="EQ108" s="42"/>
    </row>
    <row r="109" spans="4:147" ht="12.75" hidden="1" customHeight="1" x14ac:dyDescent="0.3">
      <c r="D109" s="144" t="s">
        <v>403</v>
      </c>
      <c r="E109" s="494"/>
      <c r="F109" s="494"/>
      <c r="G109" s="56">
        <v>0</v>
      </c>
      <c r="H109" s="55"/>
      <c r="I109" s="56"/>
      <c r="J109" s="611"/>
      <c r="K109" s="611"/>
      <c r="L109" s="56">
        <v>0</v>
      </c>
      <c r="M109" s="55"/>
      <c r="N109" s="56"/>
      <c r="O109" s="611"/>
      <c r="P109" s="494"/>
      <c r="Q109" s="56">
        <v>0</v>
      </c>
      <c r="R109" s="55"/>
      <c r="S109" s="56"/>
      <c r="T109" s="611"/>
      <c r="U109" s="494"/>
      <c r="V109" s="56">
        <v>0</v>
      </c>
      <c r="W109" s="55"/>
      <c r="X109" s="56"/>
      <c r="Y109" s="611"/>
      <c r="Z109" s="494"/>
      <c r="AA109" s="56">
        <v>0</v>
      </c>
      <c r="AB109" s="55"/>
      <c r="AC109" s="56"/>
      <c r="AD109" s="611"/>
      <c r="AE109" s="494"/>
      <c r="AF109" s="56">
        <v>0</v>
      </c>
      <c r="AG109" s="55"/>
      <c r="AH109" s="56"/>
      <c r="AI109" s="611"/>
      <c r="AJ109" s="494"/>
      <c r="AK109" s="56">
        <v>0</v>
      </c>
      <c r="AL109" s="55"/>
      <c r="AM109" s="56"/>
      <c r="AN109" s="611"/>
      <c r="AO109" s="494"/>
      <c r="AP109" s="56">
        <v>0</v>
      </c>
      <c r="AQ109" s="55"/>
      <c r="AR109" s="56"/>
      <c r="AS109" s="611"/>
      <c r="AT109" s="494"/>
      <c r="AU109" s="56">
        <v>0</v>
      </c>
      <c r="AV109" s="55"/>
      <c r="AW109" s="56"/>
      <c r="AX109" s="611"/>
      <c r="AY109" s="494"/>
      <c r="AZ109" s="56">
        <v>0</v>
      </c>
      <c r="BA109" s="55"/>
      <c r="BB109" s="56"/>
      <c r="BC109" s="611"/>
      <c r="BD109" s="494"/>
      <c r="BE109" s="56">
        <v>0</v>
      </c>
      <c r="BF109" s="55"/>
      <c r="BG109" s="56"/>
      <c r="BH109" s="611"/>
      <c r="BI109" s="494"/>
      <c r="BJ109" s="56">
        <v>0</v>
      </c>
      <c r="BK109" s="55"/>
      <c r="BL109" s="56"/>
      <c r="BM109" s="611"/>
      <c r="BN109" s="494"/>
      <c r="BO109" s="56">
        <v>0</v>
      </c>
      <c r="BP109" s="55"/>
      <c r="BQ109" s="56"/>
      <c r="BR109" s="611"/>
      <c r="BS109" s="611"/>
      <c r="BT109" s="56">
        <f>SUM(L109:BO109)</f>
        <v>0</v>
      </c>
      <c r="BU109" s="55"/>
      <c r="BV109" s="56"/>
      <c r="BW109" s="611"/>
      <c r="BX109" s="611"/>
      <c r="BY109" s="56">
        <v>0</v>
      </c>
      <c r="BZ109" s="55"/>
      <c r="CA109" s="56"/>
      <c r="CB109" s="611"/>
      <c r="CC109" s="611"/>
      <c r="CD109" s="56">
        <v>0</v>
      </c>
      <c r="CE109" s="55"/>
      <c r="CF109" s="56"/>
      <c r="CG109" s="611"/>
      <c r="CH109" s="494"/>
      <c r="CI109" s="56">
        <v>0</v>
      </c>
      <c r="CJ109" s="55"/>
      <c r="CK109" s="56"/>
      <c r="CL109" s="611"/>
      <c r="CM109" s="494"/>
      <c r="CN109" s="56">
        <v>0</v>
      </c>
      <c r="CO109" s="55"/>
      <c r="CP109" s="56"/>
      <c r="CQ109" s="611"/>
      <c r="CR109" s="494"/>
      <c r="CS109" s="56">
        <v>0</v>
      </c>
      <c r="CT109" s="55"/>
      <c r="CU109" s="56"/>
      <c r="CV109" s="611"/>
      <c r="CW109" s="494"/>
      <c r="CX109" s="56">
        <v>0</v>
      </c>
      <c r="CY109" s="55"/>
      <c r="CZ109" s="56"/>
      <c r="DA109" s="611"/>
      <c r="DB109" s="494"/>
      <c r="DC109" s="56">
        <v>0</v>
      </c>
      <c r="DD109" s="55"/>
      <c r="DE109" s="56"/>
      <c r="DF109" s="611"/>
      <c r="DG109" s="494"/>
      <c r="DH109" s="56">
        <v>0</v>
      </c>
      <c r="DI109" s="55"/>
      <c r="DJ109" s="56"/>
      <c r="DK109" s="611"/>
      <c r="DL109" s="494"/>
      <c r="DM109" s="56">
        <v>0</v>
      </c>
      <c r="DN109" s="55"/>
      <c r="DO109" s="56"/>
      <c r="DP109" s="611"/>
      <c r="DQ109" s="494"/>
      <c r="DR109" s="56">
        <v>0</v>
      </c>
      <c r="DS109" s="55"/>
      <c r="DT109" s="56"/>
      <c r="DU109" s="611"/>
      <c r="DV109" s="494"/>
      <c r="DW109" s="56">
        <v>0</v>
      </c>
      <c r="DX109" s="55"/>
      <c r="DY109" s="56"/>
      <c r="DZ109" s="611"/>
      <c r="EA109" s="494"/>
      <c r="EB109" s="56">
        <v>0</v>
      </c>
      <c r="EC109" s="55"/>
      <c r="ED109" s="56"/>
      <c r="EE109" s="611"/>
      <c r="EF109" s="494"/>
      <c r="EG109" s="56">
        <v>0</v>
      </c>
      <c r="EH109" s="55"/>
      <c r="EI109" s="56"/>
      <c r="EJ109" s="611"/>
      <c r="EK109" s="611"/>
      <c r="EL109" s="56">
        <f>SUM(CD109:CD109)</f>
        <v>0</v>
      </c>
      <c r="EM109" s="55"/>
      <c r="EN109" s="56"/>
      <c r="EO109" s="144"/>
      <c r="EP109" s="42"/>
      <c r="EQ109" s="42"/>
    </row>
    <row r="110" spans="4:147" ht="12.75" hidden="1" customHeight="1" x14ac:dyDescent="0.3">
      <c r="D110" s="144" t="s">
        <v>404</v>
      </c>
      <c r="E110" s="494"/>
      <c r="F110" s="513"/>
      <c r="G110" s="117">
        <v>0</v>
      </c>
      <c r="H110" s="116"/>
      <c r="I110" s="56"/>
      <c r="J110" s="611"/>
      <c r="K110" s="620"/>
      <c r="L110" s="117">
        <v>0</v>
      </c>
      <c r="M110" s="116"/>
      <c r="N110" s="56"/>
      <c r="O110" s="611"/>
      <c r="P110" s="513"/>
      <c r="Q110" s="117">
        <v>0</v>
      </c>
      <c r="R110" s="116"/>
      <c r="S110" s="56"/>
      <c r="T110" s="611"/>
      <c r="U110" s="513"/>
      <c r="V110" s="117">
        <v>0</v>
      </c>
      <c r="W110" s="116"/>
      <c r="X110" s="56"/>
      <c r="Y110" s="611"/>
      <c r="Z110" s="513"/>
      <c r="AA110" s="117">
        <v>0</v>
      </c>
      <c r="AB110" s="116"/>
      <c r="AC110" s="56"/>
      <c r="AD110" s="611"/>
      <c r="AE110" s="513"/>
      <c r="AF110" s="117">
        <v>0</v>
      </c>
      <c r="AG110" s="116"/>
      <c r="AH110" s="56"/>
      <c r="AI110" s="611"/>
      <c r="AJ110" s="513"/>
      <c r="AK110" s="117">
        <v>0</v>
      </c>
      <c r="AL110" s="116"/>
      <c r="AM110" s="56"/>
      <c r="AN110" s="611"/>
      <c r="AO110" s="513"/>
      <c r="AP110" s="117">
        <v>0</v>
      </c>
      <c r="AQ110" s="116"/>
      <c r="AR110" s="56"/>
      <c r="AS110" s="611"/>
      <c r="AT110" s="513"/>
      <c r="AU110" s="117">
        <v>0</v>
      </c>
      <c r="AV110" s="116"/>
      <c r="AW110" s="56"/>
      <c r="AX110" s="611"/>
      <c r="AY110" s="513"/>
      <c r="AZ110" s="117">
        <v>0</v>
      </c>
      <c r="BA110" s="116"/>
      <c r="BB110" s="56"/>
      <c r="BC110" s="611"/>
      <c r="BD110" s="513"/>
      <c r="BE110" s="117">
        <v>0</v>
      </c>
      <c r="BF110" s="116"/>
      <c r="BG110" s="56"/>
      <c r="BH110" s="611"/>
      <c r="BI110" s="513"/>
      <c r="BJ110" s="117">
        <v>0</v>
      </c>
      <c r="BK110" s="116"/>
      <c r="BL110" s="56"/>
      <c r="BM110" s="611"/>
      <c r="BN110" s="513"/>
      <c r="BO110" s="117">
        <v>0</v>
      </c>
      <c r="BP110" s="116"/>
      <c r="BQ110" s="56"/>
      <c r="BR110" s="611"/>
      <c r="BS110" s="620"/>
      <c r="BT110" s="117">
        <f>SUM(L110:BO110)</f>
        <v>0</v>
      </c>
      <c r="BU110" s="116"/>
      <c r="BV110" s="56"/>
      <c r="BW110" s="611"/>
      <c r="BX110" s="620"/>
      <c r="BY110" s="117">
        <v>0</v>
      </c>
      <c r="BZ110" s="116"/>
      <c r="CA110" s="56"/>
      <c r="CB110" s="611"/>
      <c r="CC110" s="620"/>
      <c r="CD110" s="117">
        <v>0</v>
      </c>
      <c r="CE110" s="116"/>
      <c r="CF110" s="56"/>
      <c r="CG110" s="611"/>
      <c r="CH110" s="513"/>
      <c r="CI110" s="117">
        <v>0</v>
      </c>
      <c r="CJ110" s="116"/>
      <c r="CK110" s="56"/>
      <c r="CL110" s="611"/>
      <c r="CM110" s="513"/>
      <c r="CN110" s="117">
        <v>0</v>
      </c>
      <c r="CO110" s="116"/>
      <c r="CP110" s="56"/>
      <c r="CQ110" s="611"/>
      <c r="CR110" s="513"/>
      <c r="CS110" s="117">
        <v>0</v>
      </c>
      <c r="CT110" s="116"/>
      <c r="CU110" s="56"/>
      <c r="CV110" s="611"/>
      <c r="CW110" s="513"/>
      <c r="CX110" s="117">
        <v>0</v>
      </c>
      <c r="CY110" s="116"/>
      <c r="CZ110" s="56"/>
      <c r="DA110" s="611"/>
      <c r="DB110" s="513"/>
      <c r="DC110" s="117">
        <v>0</v>
      </c>
      <c r="DD110" s="116"/>
      <c r="DE110" s="56"/>
      <c r="DF110" s="611"/>
      <c r="DG110" s="513"/>
      <c r="DH110" s="117">
        <v>0</v>
      </c>
      <c r="DI110" s="116"/>
      <c r="DJ110" s="56"/>
      <c r="DK110" s="611"/>
      <c r="DL110" s="513"/>
      <c r="DM110" s="117">
        <v>0</v>
      </c>
      <c r="DN110" s="116"/>
      <c r="DO110" s="56"/>
      <c r="DP110" s="611"/>
      <c r="DQ110" s="513"/>
      <c r="DR110" s="117">
        <v>0</v>
      </c>
      <c r="DS110" s="116"/>
      <c r="DT110" s="56"/>
      <c r="DU110" s="611"/>
      <c r="DV110" s="513"/>
      <c r="DW110" s="117">
        <v>0</v>
      </c>
      <c r="DX110" s="116"/>
      <c r="DY110" s="56"/>
      <c r="DZ110" s="611"/>
      <c r="EA110" s="513"/>
      <c r="EB110" s="117">
        <v>0</v>
      </c>
      <c r="EC110" s="116"/>
      <c r="ED110" s="56"/>
      <c r="EE110" s="611"/>
      <c r="EF110" s="513"/>
      <c r="EG110" s="117">
        <v>0</v>
      </c>
      <c r="EH110" s="116"/>
      <c r="EI110" s="56"/>
      <c r="EJ110" s="611"/>
      <c r="EK110" s="620"/>
      <c r="EL110" s="117">
        <f>SUM(CD110:CD110)</f>
        <v>0</v>
      </c>
      <c r="EM110" s="116"/>
      <c r="EN110" s="56"/>
      <c r="EO110" s="144"/>
      <c r="EP110" s="42"/>
      <c r="EQ110" s="42"/>
    </row>
    <row r="111" spans="4:147" ht="12.75" hidden="1" customHeight="1" x14ac:dyDescent="0.3">
      <c r="D111" s="144"/>
      <c r="E111" s="494"/>
      <c r="G111" s="56"/>
      <c r="H111" s="56"/>
      <c r="I111" s="56"/>
      <c r="J111" s="611"/>
      <c r="K111" s="56"/>
      <c r="L111" s="56"/>
      <c r="M111" s="56"/>
      <c r="N111" s="56"/>
      <c r="O111" s="611"/>
      <c r="P111" s="56"/>
      <c r="Q111" s="56"/>
      <c r="R111" s="56"/>
      <c r="S111" s="56"/>
      <c r="T111" s="611"/>
      <c r="U111" s="56"/>
      <c r="V111" s="56"/>
      <c r="W111" s="56"/>
      <c r="X111" s="56"/>
      <c r="Y111" s="611"/>
      <c r="Z111" s="56"/>
      <c r="AA111" s="56"/>
      <c r="AB111" s="56"/>
      <c r="AC111" s="56"/>
      <c r="AD111" s="611"/>
      <c r="AE111" s="56"/>
      <c r="AF111" s="56"/>
      <c r="AG111" s="56"/>
      <c r="AH111" s="56"/>
      <c r="AI111" s="611"/>
      <c r="AJ111" s="56"/>
      <c r="AK111" s="56"/>
      <c r="AL111" s="56"/>
      <c r="AM111" s="56"/>
      <c r="AN111" s="611"/>
      <c r="AO111" s="56"/>
      <c r="AP111" s="56"/>
      <c r="AQ111" s="56"/>
      <c r="AR111" s="56"/>
      <c r="AS111" s="611"/>
      <c r="AT111" s="56"/>
      <c r="AU111" s="56"/>
      <c r="AV111" s="56"/>
      <c r="AW111" s="56"/>
      <c r="AX111" s="611"/>
      <c r="AY111" s="56"/>
      <c r="AZ111" s="56"/>
      <c r="BA111" s="56"/>
      <c r="BB111" s="56"/>
      <c r="BC111" s="611"/>
      <c r="BD111" s="56"/>
      <c r="BE111" s="56"/>
      <c r="BF111" s="56"/>
      <c r="BG111" s="56"/>
      <c r="BH111" s="611"/>
      <c r="BI111" s="56"/>
      <c r="BJ111" s="56"/>
      <c r="BK111" s="56"/>
      <c r="BL111" s="56"/>
      <c r="BM111" s="611"/>
      <c r="BN111" s="56"/>
      <c r="BO111" s="56"/>
      <c r="BP111" s="56"/>
      <c r="BQ111" s="56"/>
      <c r="BR111" s="611"/>
      <c r="BS111" s="56"/>
      <c r="BT111" s="56"/>
      <c r="BU111" s="56"/>
      <c r="BV111" s="56"/>
      <c r="BW111" s="611"/>
      <c r="BX111" s="56"/>
      <c r="BY111" s="56"/>
      <c r="BZ111" s="56"/>
      <c r="CA111" s="56"/>
      <c r="CB111" s="611"/>
      <c r="CC111" s="56"/>
      <c r="CD111" s="56"/>
      <c r="CE111" s="56"/>
      <c r="CF111" s="56"/>
      <c r="CG111" s="611"/>
      <c r="CH111" s="56"/>
      <c r="CI111" s="56"/>
      <c r="CJ111" s="56"/>
      <c r="CK111" s="56"/>
      <c r="CL111" s="611"/>
      <c r="CM111" s="56"/>
      <c r="CN111" s="56"/>
      <c r="CO111" s="56"/>
      <c r="CP111" s="56"/>
      <c r="CQ111" s="611"/>
      <c r="CR111" s="56"/>
      <c r="CS111" s="56"/>
      <c r="CT111" s="56"/>
      <c r="CU111" s="56"/>
      <c r="CV111" s="611"/>
      <c r="CW111" s="56"/>
      <c r="CX111" s="56"/>
      <c r="CY111" s="56"/>
      <c r="CZ111" s="56"/>
      <c r="DA111" s="611"/>
      <c r="DB111" s="56"/>
      <c r="DC111" s="56"/>
      <c r="DD111" s="56"/>
      <c r="DE111" s="56"/>
      <c r="DF111" s="611"/>
      <c r="DG111" s="56"/>
      <c r="DH111" s="56"/>
      <c r="DI111" s="56"/>
      <c r="DJ111" s="56"/>
      <c r="DK111" s="611"/>
      <c r="DL111" s="56"/>
      <c r="DM111" s="56"/>
      <c r="DN111" s="56"/>
      <c r="DO111" s="56"/>
      <c r="DP111" s="611"/>
      <c r="DQ111" s="56"/>
      <c r="DR111" s="56"/>
      <c r="DS111" s="56"/>
      <c r="DT111" s="56"/>
      <c r="DU111" s="611"/>
      <c r="DV111" s="56"/>
      <c r="DW111" s="56"/>
      <c r="DX111" s="56"/>
      <c r="DY111" s="56"/>
      <c r="DZ111" s="611"/>
      <c r="EA111" s="56"/>
      <c r="EB111" s="56"/>
      <c r="EC111" s="56"/>
      <c r="ED111" s="56"/>
      <c r="EE111" s="611"/>
      <c r="EF111" s="56"/>
      <c r="EG111" s="56"/>
      <c r="EH111" s="56"/>
      <c r="EI111" s="56"/>
      <c r="EJ111" s="611"/>
      <c r="EK111" s="56"/>
      <c r="EL111" s="56"/>
      <c r="EO111" s="144"/>
      <c r="EP111" s="42"/>
      <c r="EQ111" s="42"/>
    </row>
    <row r="112" spans="4:147" s="42" customFormat="1" x14ac:dyDescent="0.3">
      <c r="D112" s="234" t="s">
        <v>406</v>
      </c>
      <c r="E112" s="496"/>
      <c r="G112" s="44">
        <f>SUM(G113:G113)</f>
        <v>8349673</v>
      </c>
      <c r="H112" s="44"/>
      <c r="I112" s="44"/>
      <c r="J112" s="607"/>
      <c r="K112" s="44"/>
      <c r="L112" s="44">
        <f>SUM(L113:L113)</f>
        <v>827198</v>
      </c>
      <c r="M112" s="44"/>
      <c r="N112" s="44"/>
      <c r="O112" s="607"/>
      <c r="P112" s="44"/>
      <c r="Q112" s="44">
        <f>SUM(Q113:Q113)</f>
        <v>3068181</v>
      </c>
      <c r="R112" s="44"/>
      <c r="S112" s="44"/>
      <c r="T112" s="607"/>
      <c r="U112" s="44"/>
      <c r="V112" s="44">
        <f>SUM(V113:V113)</f>
        <v>907194</v>
      </c>
      <c r="W112" s="44"/>
      <c r="X112" s="44"/>
      <c r="Y112" s="607"/>
      <c r="Z112" s="44"/>
      <c r="AA112" s="44">
        <f>SUM(AA113:AA113)</f>
        <v>95339</v>
      </c>
      <c r="AB112" s="44"/>
      <c r="AC112" s="44"/>
      <c r="AD112" s="607"/>
      <c r="AE112" s="44"/>
      <c r="AF112" s="44">
        <f>SUM(AF113:AF113)</f>
        <v>2800245</v>
      </c>
      <c r="AG112" s="44"/>
      <c r="AH112" s="44"/>
      <c r="AI112" s="607"/>
      <c r="AJ112" s="44"/>
      <c r="AK112" s="44">
        <f>SUM(AK113:AK113)</f>
        <v>651516</v>
      </c>
      <c r="AL112" s="44"/>
      <c r="AM112" s="44"/>
      <c r="AN112" s="607"/>
      <c r="AO112" s="44"/>
      <c r="AP112" s="44">
        <f>SUM(AP113:AP113)</f>
        <v>458033</v>
      </c>
      <c r="AQ112" s="44"/>
      <c r="AR112" s="44"/>
      <c r="AS112" s="607"/>
      <c r="AT112" s="44"/>
      <c r="AU112" s="44">
        <f>SUM(AU113:AU113)</f>
        <v>587942</v>
      </c>
      <c r="AV112" s="44"/>
      <c r="AW112" s="44"/>
      <c r="AX112" s="607"/>
      <c r="AY112" s="44"/>
      <c r="AZ112" s="44">
        <f>SUM(AZ113:AZ113)</f>
        <v>328260</v>
      </c>
      <c r="BA112" s="44"/>
      <c r="BB112" s="44"/>
      <c r="BC112" s="607"/>
      <c r="BD112" s="44"/>
      <c r="BE112" s="44">
        <f>SUM(BE113:BE113)</f>
        <v>29969</v>
      </c>
      <c r="BF112" s="44"/>
      <c r="BG112" s="44"/>
      <c r="BH112" s="607"/>
      <c r="BI112" s="44"/>
      <c r="BJ112" s="44">
        <f>SUM(BJ113:BJ113)</f>
        <v>0</v>
      </c>
      <c r="BK112" s="44"/>
      <c r="BL112" s="44"/>
      <c r="BM112" s="607"/>
      <c r="BN112" s="44"/>
      <c r="BO112" s="44">
        <f>SUM(BO113:BO113)</f>
        <v>0</v>
      </c>
      <c r="BP112" s="44"/>
      <c r="BQ112" s="44"/>
      <c r="BR112" s="607"/>
      <c r="BS112" s="44"/>
      <c r="BT112" s="44">
        <f>SUM(BT113:BT113)</f>
        <v>9753877</v>
      </c>
      <c r="BU112" s="44"/>
      <c r="BV112" s="44"/>
      <c r="BW112" s="607"/>
      <c r="BX112" s="44"/>
      <c r="BY112" s="44">
        <f>SUM(BY113:BY113)</f>
        <v>7476976</v>
      </c>
      <c r="BZ112" s="44"/>
      <c r="CA112" s="44"/>
      <c r="CB112" s="607"/>
      <c r="CC112" s="44"/>
      <c r="CD112" s="44">
        <f>SUM(CD113:CD113)</f>
        <v>195061</v>
      </c>
      <c r="CE112" s="44"/>
      <c r="CF112" s="44"/>
      <c r="CG112" s="607"/>
      <c r="CH112" s="44"/>
      <c r="CI112" s="44">
        <f>SUM(CI113:CI113)</f>
        <v>0</v>
      </c>
      <c r="CJ112" s="44"/>
      <c r="CK112" s="44"/>
      <c r="CL112" s="607"/>
      <c r="CM112" s="44"/>
      <c r="CN112" s="44">
        <f>SUM(CN113:CN113)</f>
        <v>956108</v>
      </c>
      <c r="CO112" s="44"/>
      <c r="CP112" s="44"/>
      <c r="CQ112" s="607"/>
      <c r="CR112" s="44"/>
      <c r="CS112" s="44">
        <f>SUM(CS113:CS113)</f>
        <v>380371</v>
      </c>
      <c r="CT112" s="44"/>
      <c r="CU112" s="44"/>
      <c r="CV112" s="607"/>
      <c r="CW112" s="44"/>
      <c r="CX112" s="44">
        <f>SUM(CX113:CX113)</f>
        <v>83879</v>
      </c>
      <c r="CY112" s="44"/>
      <c r="CZ112" s="44"/>
      <c r="DA112" s="607"/>
      <c r="DB112" s="44"/>
      <c r="DC112" s="44">
        <f>SUM(DC113:DC113)</f>
        <v>27624</v>
      </c>
      <c r="DD112" s="44"/>
      <c r="DE112" s="44"/>
      <c r="DF112" s="607"/>
      <c r="DG112" s="44"/>
      <c r="DH112" s="44">
        <f>SUM(DH113:DH113)</f>
        <v>481602</v>
      </c>
      <c r="DI112" s="44"/>
      <c r="DJ112" s="44"/>
      <c r="DK112" s="607"/>
      <c r="DL112" s="44"/>
      <c r="DM112" s="44">
        <f>SUM(DM113:DM113)</f>
        <v>1204105</v>
      </c>
      <c r="DN112" s="44"/>
      <c r="DO112" s="44"/>
      <c r="DP112" s="607"/>
      <c r="DQ112" s="44"/>
      <c r="DR112" s="44">
        <f>SUM(DR113:DR113)</f>
        <v>342784</v>
      </c>
      <c r="DS112" s="44"/>
      <c r="DT112" s="44"/>
      <c r="DU112" s="607"/>
      <c r="DV112" s="44"/>
      <c r="DW112" s="44">
        <f>SUM(DW113:DW113)</f>
        <v>0</v>
      </c>
      <c r="DX112" s="44"/>
      <c r="DY112" s="44"/>
      <c r="DZ112" s="607"/>
      <c r="EA112" s="44"/>
      <c r="EB112" s="44">
        <f>SUM(EB113:EB113)</f>
        <v>682120</v>
      </c>
      <c r="EC112" s="44"/>
      <c r="ED112" s="44"/>
      <c r="EE112" s="607"/>
      <c r="EF112" s="44"/>
      <c r="EG112" s="44">
        <f>SUM(EG113:EG113)</f>
        <v>3123322</v>
      </c>
      <c r="EH112" s="44"/>
      <c r="EI112" s="44"/>
      <c r="EJ112" s="607"/>
      <c r="EK112" s="44"/>
      <c r="EL112" s="44">
        <f>SUM(EL113:EL113)</f>
        <v>3671534</v>
      </c>
      <c r="EO112" s="234"/>
    </row>
    <row r="113" spans="4:147" x14ac:dyDescent="0.3">
      <c r="D113" s="144" t="s">
        <v>335</v>
      </c>
      <c r="E113" s="494"/>
      <c r="F113" s="614"/>
      <c r="G113" s="618">
        <f>G116+G119+G122+G125+G128+G131+G134+G137+G140+G143+G146+G149+G152+G155+G158+G161+G164+G167+G170+G173+G176+G179+G182+G185+G188</f>
        <v>8349673</v>
      </c>
      <c r="H113" s="616"/>
      <c r="I113" s="56"/>
      <c r="J113" s="611"/>
      <c r="K113" s="617"/>
      <c r="L113" s="618">
        <f>L116+L119+L122+L125+L128+L131+L134+L137+L140+L143+L146+L149+L152+L155+L158+L161+L164+L167+L170+L173+L176+L179+L182+L185+L188</f>
        <v>827198</v>
      </c>
      <c r="M113" s="616"/>
      <c r="N113" s="56"/>
      <c r="O113" s="611"/>
      <c r="P113" s="617"/>
      <c r="Q113" s="618">
        <f>Q116+Q119+Q122+Q125+Q128+Q131+Q134+Q137+Q140+Q143+Q146+Q149+Q152+Q155+Q158+Q161+Q164+Q167+Q170+Q173+Q176+Q179+Q182+Q185+Q188</f>
        <v>3068181</v>
      </c>
      <c r="R113" s="616"/>
      <c r="S113" s="56"/>
      <c r="T113" s="611"/>
      <c r="U113" s="617"/>
      <c r="V113" s="618">
        <f>V116+V119+V122+V125+V128+V131+V134+V137+V140+V143+V146+V149+V152+V155+V158+V161+V164+V167+V170+V173+V176+V179+V182+V185+V188</f>
        <v>907194</v>
      </c>
      <c r="W113" s="616"/>
      <c r="X113" s="56"/>
      <c r="Y113" s="611"/>
      <c r="Z113" s="617"/>
      <c r="AA113" s="618">
        <f>AA116+AA119+AA122+AA125+AA128+AA131+AA134+AA137+AA140+AA143+AA146+AA149+AA152+AA155+AA158+AA161+AA164+AA167+AA170+AA173+AA176+AA179+AA182+AA185+AA188</f>
        <v>95339</v>
      </c>
      <c r="AB113" s="616"/>
      <c r="AC113" s="56"/>
      <c r="AD113" s="611"/>
      <c r="AE113" s="617"/>
      <c r="AF113" s="618">
        <f>AF116+AF119+AF122+AF125+AF128+AF131+AF134+AF137+AF140+AF143+AF146+AF149+AF152+AF155+AF158+AF161+AF164+AF167+AF170+AF173+AF176+AF179+AF182+AF185+AF188</f>
        <v>2800245</v>
      </c>
      <c r="AG113" s="616"/>
      <c r="AH113" s="56"/>
      <c r="AI113" s="611"/>
      <c r="AJ113" s="617"/>
      <c r="AK113" s="618">
        <f>AK116+AK119+AK122+AK125+AK128+AK131+AK134+AK137+AK140+AK143+AK146+AK149+AK152+AK155+AK158+AK161+AK164+AK167+AK170+AK173+AK176+AK179+AK182+AK185+AK188</f>
        <v>651516</v>
      </c>
      <c r="AL113" s="616"/>
      <c r="AM113" s="56"/>
      <c r="AN113" s="611"/>
      <c r="AO113" s="617"/>
      <c r="AP113" s="618">
        <f>AP116+AP119+AP122+AP125+AP128+AP131+AP134+AP137+AP140+AP143+AP146+AP149+AP152+AP155+AP158+AP161+AP164+AP167+AP170+AP173+AP176+AP179+AP182+AP185+AP188</f>
        <v>458033</v>
      </c>
      <c r="AQ113" s="616"/>
      <c r="AR113" s="56"/>
      <c r="AS113" s="611"/>
      <c r="AT113" s="617"/>
      <c r="AU113" s="618">
        <f>AU116+AU119+AU122+AU125+AU128+AU131+AU134+AU137+AU140+AU143+AU146+AU149+AU152+AU155+AU158+AU161+AU164+AU167+AU170+AU173+AU176+AU179+AU182+AU185+AU188</f>
        <v>587942</v>
      </c>
      <c r="AV113" s="616"/>
      <c r="AW113" s="56"/>
      <c r="AX113" s="611"/>
      <c r="AY113" s="617"/>
      <c r="AZ113" s="618">
        <f>AZ116+AZ119+AZ122+AZ125+AZ128+AZ131+AZ134+AZ137+AZ140+AZ143+AZ146+AZ149+AZ152+AZ155+AZ158+AZ161+AZ164+AZ167+AZ170+AZ173+AZ176+AZ179+AZ182+AZ185+AZ188</f>
        <v>328260</v>
      </c>
      <c r="BA113" s="616"/>
      <c r="BB113" s="56"/>
      <c r="BC113" s="611"/>
      <c r="BD113" s="617"/>
      <c r="BE113" s="618">
        <f>BE116+BE119+BE122+BE125+BE128+BE131+BE134+BE137+BE140+BE143+BE146+BE149+BE152+BE155+BE158+BE161+BE164+BE167+BE170+BE173+BE176+BE179+BE182+BE185+BE188</f>
        <v>29969</v>
      </c>
      <c r="BF113" s="616"/>
      <c r="BG113" s="56"/>
      <c r="BH113" s="611"/>
      <c r="BI113" s="617"/>
      <c r="BJ113" s="618">
        <f>BJ116+BJ119+BJ122+BJ125+BJ128+BJ131+BJ134+BJ137+BJ140+BJ143+BJ146+BJ149+BJ152+BJ155+BJ158+BJ161+BJ164+BJ167+BJ170+BJ173+BJ176+BJ179+BJ182+BJ185+BJ188</f>
        <v>0</v>
      </c>
      <c r="BK113" s="616"/>
      <c r="BL113" s="56"/>
      <c r="BM113" s="611"/>
      <c r="BN113" s="617"/>
      <c r="BO113" s="618">
        <f>BO116+BO119+BO122+BO125+BO128+BO131+BO134+BO137+BO140+BO143+BO146+BO149+BO152+BO155+BO158+BO161+BO164+BO167+BO170+BO173+BO176+BO179+BO182+BO185+BO188</f>
        <v>0</v>
      </c>
      <c r="BP113" s="616"/>
      <c r="BQ113" s="56"/>
      <c r="BR113" s="611"/>
      <c r="BS113" s="617"/>
      <c r="BT113" s="618">
        <f>BT116+BT119+BT122+BT125+BT128+BT131+BT134+BT137+BT140+BT143+BT146+BT149+BT152+BT155+BT158+BT161+BT164+BT167+BT170+BT173+BT176+BT179+BT182+BT185+BT188</f>
        <v>9753877</v>
      </c>
      <c r="BU113" s="616"/>
      <c r="BV113" s="56"/>
      <c r="BW113" s="611"/>
      <c r="BX113" s="617"/>
      <c r="BY113" s="618">
        <f>BY116+BY119+BY122+BY125+BY128+BY131+BY134+BY137+BY140+BY143+BY146+BY149+BY152+BY155+BY158+BY161+BY164+BY167+BY170+BY173+BY176+BY179+BY182+BY185+BY188</f>
        <v>7476976</v>
      </c>
      <c r="BZ113" s="616"/>
      <c r="CA113" s="56"/>
      <c r="CB113" s="611"/>
      <c r="CC113" s="617"/>
      <c r="CD113" s="618">
        <f>CD116+CD119+CD122+CD125+CD128+CD131+CD134+CD137+CD140+CD143+CD146+CD149+CD152+CD155+CD158+CD161+CD164+CD167+CD170+CD173+CD176+CD179+CD182+CD185+CD188</f>
        <v>195061</v>
      </c>
      <c r="CE113" s="616"/>
      <c r="CF113" s="56"/>
      <c r="CG113" s="611"/>
      <c r="CH113" s="617"/>
      <c r="CI113" s="618">
        <f>CI116+CI119+CI122+CI125+CI128+CI131+CI134+CI137+CI140+CI143+CI146+CI149+CI152+CI155+CI158+CI161+CI164+CI167+CI170+CI173+CI176+CI179+CI182+CI185+CI188</f>
        <v>0</v>
      </c>
      <c r="CJ113" s="616"/>
      <c r="CK113" s="56"/>
      <c r="CL113" s="611"/>
      <c r="CM113" s="617"/>
      <c r="CN113" s="618">
        <f>CN116+CN119+CN122+CN125+CN128+CN131+CN134+CN137+CN140+CN143+CN146+CN149+CN152+CN155+CN158+CN161+CN164+CN167+CN170+CN173+CN176+CN179+CN182+CN185+CN188</f>
        <v>956108</v>
      </c>
      <c r="CO113" s="616"/>
      <c r="CP113" s="56"/>
      <c r="CQ113" s="611"/>
      <c r="CR113" s="617"/>
      <c r="CS113" s="618">
        <f>CS116+CS119+CS122+CS125+CS128+CS131+CS134+CS137+CS140+CS143+CS146+CS149+CS152+CS155+CS158+CS161+CS164+CS167+CS170+CS173+CS176+CS179+CS182+CS185+CS188</f>
        <v>380371</v>
      </c>
      <c r="CT113" s="616"/>
      <c r="CU113" s="56"/>
      <c r="CV113" s="611"/>
      <c r="CW113" s="617"/>
      <c r="CX113" s="618">
        <f>CX116+CX119+CX122+CX125+CX128+CX131+CX134+CX137+CX140+CX143+CX146+CX149+CX152+CX155+CX158+CX161+CX164+CX167+CX170+CX173+CX176+CX179+CX182+CX185+CX188</f>
        <v>83879</v>
      </c>
      <c r="CY113" s="616"/>
      <c r="CZ113" s="56"/>
      <c r="DA113" s="611"/>
      <c r="DB113" s="617"/>
      <c r="DC113" s="618">
        <f>DC116+DC119+DC122+DC125+DC128+DC131+DC134+DC137+DC140+DC143+DC146+DC149+DC152+DC155+DC158+DC161+DC164+DC167+DC170+DC173+DC176+DC179+DC182+DC185+DC188</f>
        <v>27624</v>
      </c>
      <c r="DD113" s="616"/>
      <c r="DE113" s="56"/>
      <c r="DF113" s="611"/>
      <c r="DG113" s="617"/>
      <c r="DH113" s="618">
        <f>DH116+DH119+DH122+DH125+DH128+DH131+DH134+DH137+DH140+DH143+DH146+DH149+DH152+DH155+DH158+DH161+DH164+DH167+DH170+DH173+DH176+DH179+DH182+DH185+DH188</f>
        <v>481602</v>
      </c>
      <c r="DI113" s="616"/>
      <c r="DJ113" s="56"/>
      <c r="DK113" s="611"/>
      <c r="DL113" s="617"/>
      <c r="DM113" s="618">
        <f>DM116+DM119+DM122+DM125+DM128+DM131+DM134+DM137+DM140+DM143+DM146+DM149+DM152+DM155+DM158+DM161+DM164+DM167+DM170+DM173+DM176+DM179+DM182+DM185+DM188</f>
        <v>1204105</v>
      </c>
      <c r="DN113" s="616"/>
      <c r="DO113" s="56"/>
      <c r="DP113" s="611"/>
      <c r="DQ113" s="617"/>
      <c r="DR113" s="618">
        <f>DR116+DR119+DR122+DR125+DR128+DR131+DR134+DR137+DR140+DR143+DR146+DR149+DR152+DR155+DR158+DR161+DR164+DR167+DR170+DR173+DR176+DR179+DR182+DR185+DR188</f>
        <v>342784</v>
      </c>
      <c r="DS113" s="616"/>
      <c r="DT113" s="56"/>
      <c r="DU113" s="611"/>
      <c r="DV113" s="617"/>
      <c r="DW113" s="618">
        <f>DW116+DW119+DW122+DW125+DW128+DW131+DW134+DW137+DW140+DW143+DW146+DW149+DW152+DW155+DW158+DW161+DW164+DW167+DW170+DW173+DW176+DW179+DW182+DW185+DW188</f>
        <v>0</v>
      </c>
      <c r="DX113" s="616"/>
      <c r="DY113" s="56"/>
      <c r="DZ113" s="611"/>
      <c r="EA113" s="617"/>
      <c r="EB113" s="618">
        <f>EB116+EB119+EB122+EB125+EB128+EB131+EB134+EB137+EB140+EB143+EB146+EB149+EB152+EB155+EB158+EB161+EB164+EB167+EB170+EB173+EB176+EB179+EB182+EB185+EB188</f>
        <v>682120</v>
      </c>
      <c r="EC113" s="616"/>
      <c r="ED113" s="56"/>
      <c r="EE113" s="611"/>
      <c r="EF113" s="617"/>
      <c r="EG113" s="618">
        <f>EG116+EG119+EG122+EG125+EG128+EG131+EG134+EG137+EG140+EG143+EG146+EG149+EG152+EG155+EG158+EG161+EG164+EG167+EG170+EG173+EG176+EG179+EG182+EG185+EG188</f>
        <v>3123322</v>
      </c>
      <c r="EH113" s="616"/>
      <c r="EI113" s="56"/>
      <c r="EJ113" s="611"/>
      <c r="EK113" s="617"/>
      <c r="EL113" s="618">
        <f>EL116+EL119+EL122+EL125+EL128+EL131+EL134+EL137+EL140+EL143+EL146+EL149+EL152+EL155+EL158+EL161+EL164+EL167+EL170+EL173+EL176+EL179+EL182+EL185+EL188</f>
        <v>3671534</v>
      </c>
      <c r="EM113" s="648"/>
      <c r="EO113" s="144"/>
      <c r="EP113" s="42"/>
      <c r="EQ113" s="42"/>
    </row>
    <row r="114" spans="4:147" x14ac:dyDescent="0.3">
      <c r="D114" s="144"/>
      <c r="E114" s="494"/>
      <c r="G114" s="56"/>
      <c r="H114" s="56"/>
      <c r="I114" s="56"/>
      <c r="J114" s="611"/>
      <c r="K114" s="56"/>
      <c r="L114" s="56"/>
      <c r="M114" s="56"/>
      <c r="N114" s="56"/>
      <c r="O114" s="611"/>
      <c r="P114" s="56"/>
      <c r="Q114" s="56"/>
      <c r="R114" s="56"/>
      <c r="S114" s="56"/>
      <c r="T114" s="611"/>
      <c r="U114" s="56"/>
      <c r="V114" s="56"/>
      <c r="W114" s="56"/>
      <c r="X114" s="56"/>
      <c r="Y114" s="611"/>
      <c r="Z114" s="56"/>
      <c r="AA114" s="56"/>
      <c r="AB114" s="56"/>
      <c r="AC114" s="56"/>
      <c r="AD114" s="611"/>
      <c r="AE114" s="56"/>
      <c r="AF114" s="56"/>
      <c r="AG114" s="56"/>
      <c r="AH114" s="56"/>
      <c r="AI114" s="611"/>
      <c r="AJ114" s="56"/>
      <c r="AK114" s="56"/>
      <c r="AL114" s="56"/>
      <c r="AM114" s="56"/>
      <c r="AN114" s="611"/>
      <c r="AO114" s="56"/>
      <c r="AP114" s="56"/>
      <c r="AQ114" s="56"/>
      <c r="AR114" s="56"/>
      <c r="AS114" s="611"/>
      <c r="AT114" s="56"/>
      <c r="AU114" s="56"/>
      <c r="AV114" s="56"/>
      <c r="AW114" s="56"/>
      <c r="AX114" s="611"/>
      <c r="AY114" s="56"/>
      <c r="AZ114" s="56"/>
      <c r="BA114" s="56"/>
      <c r="BB114" s="56"/>
      <c r="BC114" s="611"/>
      <c r="BD114" s="56"/>
      <c r="BE114" s="56"/>
      <c r="BF114" s="56"/>
      <c r="BG114" s="56"/>
      <c r="BH114" s="611"/>
      <c r="BI114" s="56"/>
      <c r="BJ114" s="56"/>
      <c r="BK114" s="56"/>
      <c r="BL114" s="56"/>
      <c r="BM114" s="611"/>
      <c r="BN114" s="56"/>
      <c r="BO114" s="56"/>
      <c r="BP114" s="56"/>
      <c r="BQ114" s="56"/>
      <c r="BR114" s="611"/>
      <c r="BS114" s="56"/>
      <c r="BT114" s="56"/>
      <c r="BU114" s="56"/>
      <c r="BV114" s="56"/>
      <c r="BW114" s="611"/>
      <c r="BX114" s="56"/>
      <c r="BY114" s="56"/>
      <c r="BZ114" s="56"/>
      <c r="CA114" s="56"/>
      <c r="CB114" s="611"/>
      <c r="CC114" s="56"/>
      <c r="CD114" s="56"/>
      <c r="CE114" s="56"/>
      <c r="CF114" s="56"/>
      <c r="CG114" s="611"/>
      <c r="CH114" s="56"/>
      <c r="CI114" s="56"/>
      <c r="CJ114" s="56"/>
      <c r="CK114" s="56"/>
      <c r="CL114" s="611"/>
      <c r="CM114" s="56"/>
      <c r="CN114" s="56"/>
      <c r="CO114" s="56"/>
      <c r="CP114" s="56"/>
      <c r="CQ114" s="611"/>
      <c r="CR114" s="56"/>
      <c r="CS114" s="56"/>
      <c r="CT114" s="56"/>
      <c r="CU114" s="56"/>
      <c r="CV114" s="611"/>
      <c r="CW114" s="56"/>
      <c r="CX114" s="56"/>
      <c r="CY114" s="56"/>
      <c r="CZ114" s="56"/>
      <c r="DA114" s="611"/>
      <c r="DB114" s="56"/>
      <c r="DC114" s="56"/>
      <c r="DD114" s="56"/>
      <c r="DE114" s="56"/>
      <c r="DF114" s="611"/>
      <c r="DG114" s="56"/>
      <c r="DH114" s="56"/>
      <c r="DI114" s="56"/>
      <c r="DJ114" s="56"/>
      <c r="DK114" s="611"/>
      <c r="DL114" s="56"/>
      <c r="DM114" s="56"/>
      <c r="DN114" s="56"/>
      <c r="DO114" s="56"/>
      <c r="DP114" s="611"/>
      <c r="DQ114" s="56"/>
      <c r="DR114" s="56"/>
      <c r="DS114" s="56"/>
      <c r="DT114" s="56"/>
      <c r="DU114" s="611"/>
      <c r="DV114" s="56"/>
      <c r="DW114" s="56"/>
      <c r="DX114" s="56"/>
      <c r="DY114" s="56"/>
      <c r="DZ114" s="611"/>
      <c r="EA114" s="56"/>
      <c r="EB114" s="56"/>
      <c r="EC114" s="56"/>
      <c r="ED114" s="56"/>
      <c r="EE114" s="611"/>
      <c r="EF114" s="56"/>
      <c r="EG114" s="56"/>
      <c r="EH114" s="56"/>
      <c r="EI114" s="56"/>
      <c r="EJ114" s="611"/>
      <c r="EK114" s="56"/>
      <c r="EL114" s="56"/>
      <c r="EO114" s="144"/>
      <c r="EP114" s="42"/>
      <c r="EQ114" s="42"/>
    </row>
    <row r="115" spans="4:147" x14ac:dyDescent="0.3">
      <c r="D115" s="144" t="s">
        <v>337</v>
      </c>
      <c r="E115" s="494"/>
      <c r="G115" s="56">
        <f>SUM(G116:G116)</f>
        <v>0</v>
      </c>
      <c r="H115" s="56"/>
      <c r="I115" s="56"/>
      <c r="J115" s="611"/>
      <c r="K115" s="56"/>
      <c r="L115" s="56">
        <f>SUM(L116:L116)</f>
        <v>0</v>
      </c>
      <c r="M115" s="56"/>
      <c r="N115" s="56"/>
      <c r="O115" s="611"/>
      <c r="P115" s="56"/>
      <c r="Q115" s="56">
        <f>SUM(Q116:Q116)</f>
        <v>0</v>
      </c>
      <c r="R115" s="56"/>
      <c r="S115" s="56"/>
      <c r="T115" s="611"/>
      <c r="U115" s="56"/>
      <c r="V115" s="56">
        <f>SUM(V116:V116)</f>
        <v>0</v>
      </c>
      <c r="W115" s="56"/>
      <c r="X115" s="56"/>
      <c r="Y115" s="611"/>
      <c r="Z115" s="56"/>
      <c r="AA115" s="56">
        <f>SUM(AA116:AA116)</f>
        <v>0</v>
      </c>
      <c r="AB115" s="56"/>
      <c r="AC115" s="56"/>
      <c r="AD115" s="611"/>
      <c r="AE115" s="56"/>
      <c r="AF115" s="56">
        <f>SUM(AF116:AF116)</f>
        <v>0</v>
      </c>
      <c r="AG115" s="56"/>
      <c r="AH115" s="56"/>
      <c r="AI115" s="611"/>
      <c r="AJ115" s="56"/>
      <c r="AK115" s="56">
        <f>SUM(AK116:AK116)</f>
        <v>0</v>
      </c>
      <c r="AL115" s="56"/>
      <c r="AM115" s="56"/>
      <c r="AN115" s="611"/>
      <c r="AO115" s="56"/>
      <c r="AP115" s="56">
        <f>SUM(AP116:AP116)</f>
        <v>0</v>
      </c>
      <c r="AQ115" s="56"/>
      <c r="AR115" s="56"/>
      <c r="AS115" s="611"/>
      <c r="AT115" s="56"/>
      <c r="AU115" s="56">
        <f>SUM(AU116:AU116)</f>
        <v>0</v>
      </c>
      <c r="AV115" s="56"/>
      <c r="AW115" s="56"/>
      <c r="AX115" s="611"/>
      <c r="AY115" s="56"/>
      <c r="AZ115" s="56">
        <f>SUM(AZ116:AZ116)</f>
        <v>0</v>
      </c>
      <c r="BA115" s="56"/>
      <c r="BB115" s="56"/>
      <c r="BC115" s="611"/>
      <c r="BD115" s="56"/>
      <c r="BE115" s="56">
        <f>SUM(BE116:BE116)</f>
        <v>0</v>
      </c>
      <c r="BF115" s="56"/>
      <c r="BG115" s="56"/>
      <c r="BH115" s="611"/>
      <c r="BI115" s="56"/>
      <c r="BJ115" s="56">
        <f>SUM(BJ116:BJ116)</f>
        <v>0</v>
      </c>
      <c r="BK115" s="56"/>
      <c r="BL115" s="56"/>
      <c r="BM115" s="611"/>
      <c r="BN115" s="56"/>
      <c r="BO115" s="56">
        <f>SUM(BO116:BO116)</f>
        <v>0</v>
      </c>
      <c r="BP115" s="56"/>
      <c r="BQ115" s="56"/>
      <c r="BR115" s="611"/>
      <c r="BS115" s="56"/>
      <c r="BT115" s="56">
        <f>SUM(BT116:BT116)</f>
        <v>0</v>
      </c>
      <c r="BU115" s="56"/>
      <c r="BV115" s="56"/>
      <c r="BW115" s="611"/>
      <c r="BX115" s="56"/>
      <c r="BY115" s="56">
        <f>SUM(BY116:BY116)</f>
        <v>42458</v>
      </c>
      <c r="BZ115" s="56"/>
      <c r="CA115" s="56"/>
      <c r="CB115" s="611"/>
      <c r="CC115" s="56"/>
      <c r="CD115" s="56">
        <f>SUM(CD116:CD116)</f>
        <v>0</v>
      </c>
      <c r="CE115" s="56"/>
      <c r="CF115" s="56"/>
      <c r="CG115" s="611"/>
      <c r="CH115" s="56"/>
      <c r="CI115" s="56">
        <f>SUM(CI116:CI116)</f>
        <v>0</v>
      </c>
      <c r="CJ115" s="56"/>
      <c r="CK115" s="56"/>
      <c r="CL115" s="611"/>
      <c r="CM115" s="56"/>
      <c r="CN115" s="56">
        <f>SUM(CN116:CN116)</f>
        <v>0</v>
      </c>
      <c r="CO115" s="56"/>
      <c r="CP115" s="56"/>
      <c r="CQ115" s="611"/>
      <c r="CR115" s="56"/>
      <c r="CS115" s="56">
        <f>SUM(CS116:CS116)</f>
        <v>0</v>
      </c>
      <c r="CT115" s="56"/>
      <c r="CU115" s="56"/>
      <c r="CV115" s="611"/>
      <c r="CW115" s="56"/>
      <c r="CX115" s="56">
        <f>SUM(CX116:CX116)</f>
        <v>0</v>
      </c>
      <c r="CY115" s="56"/>
      <c r="CZ115" s="56"/>
      <c r="DA115" s="611"/>
      <c r="DB115" s="56"/>
      <c r="DC115" s="56">
        <f>SUM(DC116:DC116)</f>
        <v>0</v>
      </c>
      <c r="DD115" s="56"/>
      <c r="DE115" s="56"/>
      <c r="DF115" s="611"/>
      <c r="DG115" s="56"/>
      <c r="DH115" s="56">
        <f>SUM(DH116:DH116)</f>
        <v>0</v>
      </c>
      <c r="DI115" s="56"/>
      <c r="DJ115" s="56"/>
      <c r="DK115" s="611"/>
      <c r="DL115" s="56"/>
      <c r="DM115" s="56">
        <f>SUM(DM116:DM116)</f>
        <v>0</v>
      </c>
      <c r="DN115" s="56"/>
      <c r="DO115" s="56"/>
      <c r="DP115" s="611"/>
      <c r="DQ115" s="56"/>
      <c r="DR115" s="56">
        <f>SUM(DR116:DR116)</f>
        <v>0</v>
      </c>
      <c r="DS115" s="56"/>
      <c r="DT115" s="56"/>
      <c r="DU115" s="611"/>
      <c r="DV115" s="56"/>
      <c r="DW115" s="56">
        <f>SUM(DW116:DW116)</f>
        <v>0</v>
      </c>
      <c r="DX115" s="56"/>
      <c r="DY115" s="56"/>
      <c r="DZ115" s="611"/>
      <c r="EA115" s="56"/>
      <c r="EB115" s="56">
        <f>SUM(EB116:EB116)</f>
        <v>0</v>
      </c>
      <c r="EC115" s="56"/>
      <c r="ED115" s="56"/>
      <c r="EE115" s="611"/>
      <c r="EF115" s="56"/>
      <c r="EG115" s="56">
        <f>SUM(EG116:EG116)</f>
        <v>42458</v>
      </c>
      <c r="EH115" s="56"/>
      <c r="EI115" s="56"/>
      <c r="EJ115" s="611"/>
      <c r="EK115" s="56"/>
      <c r="EL115" s="56">
        <f>SUM(EL116:EL116)</f>
        <v>0</v>
      </c>
      <c r="EO115" s="144"/>
      <c r="EP115" s="42"/>
      <c r="EQ115" s="42"/>
    </row>
    <row r="116" spans="4:147" x14ac:dyDescent="0.3">
      <c r="D116" s="144" t="s">
        <v>335</v>
      </c>
      <c r="E116" s="494"/>
      <c r="F116" s="614"/>
      <c r="G116" s="618">
        <v>0</v>
      </c>
      <c r="H116" s="616"/>
      <c r="I116" s="56"/>
      <c r="J116" s="611"/>
      <c r="K116" s="617"/>
      <c r="L116" s="618">
        <v>0</v>
      </c>
      <c r="M116" s="616"/>
      <c r="N116" s="56"/>
      <c r="O116" s="611"/>
      <c r="P116" s="617"/>
      <c r="Q116" s="618">
        <v>0</v>
      </c>
      <c r="R116" s="616"/>
      <c r="S116" s="56"/>
      <c r="T116" s="611"/>
      <c r="U116" s="617"/>
      <c r="V116" s="618">
        <v>0</v>
      </c>
      <c r="W116" s="616"/>
      <c r="X116" s="56"/>
      <c r="Y116" s="611"/>
      <c r="Z116" s="617"/>
      <c r="AA116" s="618">
        <v>0</v>
      </c>
      <c r="AB116" s="616"/>
      <c r="AC116" s="56"/>
      <c r="AD116" s="611"/>
      <c r="AE116" s="617"/>
      <c r="AF116" s="618">
        <v>0</v>
      </c>
      <c r="AG116" s="616"/>
      <c r="AH116" s="56"/>
      <c r="AI116" s="611"/>
      <c r="AJ116" s="617"/>
      <c r="AK116" s="618">
        <v>0</v>
      </c>
      <c r="AL116" s="616"/>
      <c r="AM116" s="56"/>
      <c r="AN116" s="611"/>
      <c r="AO116" s="617"/>
      <c r="AP116" s="618">
        <v>0</v>
      </c>
      <c r="AQ116" s="616"/>
      <c r="AR116" s="56"/>
      <c r="AS116" s="611"/>
      <c r="AT116" s="617"/>
      <c r="AU116" s="618">
        <v>0</v>
      </c>
      <c r="AV116" s="616"/>
      <c r="AW116" s="56"/>
      <c r="AX116" s="611"/>
      <c r="AY116" s="617"/>
      <c r="AZ116" s="618">
        <v>0</v>
      </c>
      <c r="BA116" s="616"/>
      <c r="BB116" s="56"/>
      <c r="BC116" s="611"/>
      <c r="BD116" s="617"/>
      <c r="BE116" s="618">
        <v>0</v>
      </c>
      <c r="BF116" s="616"/>
      <c r="BG116" s="56"/>
      <c r="BH116" s="611"/>
      <c r="BI116" s="617"/>
      <c r="BJ116" s="618">
        <v>0</v>
      </c>
      <c r="BK116" s="616"/>
      <c r="BL116" s="56"/>
      <c r="BM116" s="611"/>
      <c r="BN116" s="617"/>
      <c r="BO116" s="618">
        <v>0</v>
      </c>
      <c r="BP116" s="616"/>
      <c r="BQ116" s="56"/>
      <c r="BR116" s="611"/>
      <c r="BS116" s="617"/>
      <c r="BT116" s="618">
        <f>SUM(L116:BO116)</f>
        <v>0</v>
      </c>
      <c r="BU116" s="616"/>
      <c r="BV116" s="56"/>
      <c r="BW116" s="611"/>
      <c r="BX116" s="617"/>
      <c r="BY116" s="618">
        <v>42458</v>
      </c>
      <c r="BZ116" s="616"/>
      <c r="CA116" s="56"/>
      <c r="CB116" s="611"/>
      <c r="CC116" s="617"/>
      <c r="CD116" s="618">
        <v>0</v>
      </c>
      <c r="CE116" s="616"/>
      <c r="CF116" s="56"/>
      <c r="CG116" s="611"/>
      <c r="CH116" s="617"/>
      <c r="CI116" s="618">
        <v>0</v>
      </c>
      <c r="CJ116" s="616"/>
      <c r="CK116" s="56"/>
      <c r="CL116" s="611"/>
      <c r="CM116" s="617"/>
      <c r="CN116" s="618">
        <v>0</v>
      </c>
      <c r="CO116" s="616"/>
      <c r="CP116" s="56"/>
      <c r="CQ116" s="611"/>
      <c r="CR116" s="617"/>
      <c r="CS116" s="618">
        <v>0</v>
      </c>
      <c r="CT116" s="616"/>
      <c r="CU116" s="56"/>
      <c r="CV116" s="611"/>
      <c r="CW116" s="617"/>
      <c r="CX116" s="618">
        <v>0</v>
      </c>
      <c r="CY116" s="616"/>
      <c r="CZ116" s="56"/>
      <c r="DA116" s="611"/>
      <c r="DB116" s="617"/>
      <c r="DC116" s="618">
        <v>0</v>
      </c>
      <c r="DD116" s="616"/>
      <c r="DE116" s="56"/>
      <c r="DF116" s="611"/>
      <c r="DG116" s="617"/>
      <c r="DH116" s="618">
        <v>0</v>
      </c>
      <c r="DI116" s="616"/>
      <c r="DJ116" s="56"/>
      <c r="DK116" s="611"/>
      <c r="DL116" s="617"/>
      <c r="DM116" s="618">
        <v>0</v>
      </c>
      <c r="DN116" s="616"/>
      <c r="DO116" s="56"/>
      <c r="DP116" s="611"/>
      <c r="DQ116" s="617"/>
      <c r="DR116" s="618">
        <v>0</v>
      </c>
      <c r="DS116" s="616"/>
      <c r="DT116" s="56"/>
      <c r="DU116" s="611"/>
      <c r="DV116" s="617"/>
      <c r="DW116" s="618">
        <v>0</v>
      </c>
      <c r="DX116" s="616"/>
      <c r="DY116" s="56"/>
      <c r="DZ116" s="611"/>
      <c r="EA116" s="617"/>
      <c r="EB116" s="618">
        <v>0</v>
      </c>
      <c r="EC116" s="616"/>
      <c r="ED116" s="56"/>
      <c r="EE116" s="611"/>
      <c r="EF116" s="617"/>
      <c r="EG116" s="618">
        <v>42458</v>
      </c>
      <c r="EH116" s="616"/>
      <c r="EI116" s="56"/>
      <c r="EJ116" s="611"/>
      <c r="EK116" s="617"/>
      <c r="EL116" s="618">
        <f t="shared" ref="EL116" si="6">SUM(CD116:DW116)</f>
        <v>0</v>
      </c>
      <c r="EM116" s="648"/>
      <c r="EO116" s="144"/>
      <c r="EP116" s="42"/>
      <c r="EQ116" s="42"/>
    </row>
    <row r="117" spans="4:147" hidden="1" x14ac:dyDescent="0.3">
      <c r="D117" s="144"/>
      <c r="E117" s="494"/>
      <c r="G117" s="644"/>
      <c r="H117" s="644"/>
      <c r="I117" s="644"/>
      <c r="J117" s="645"/>
      <c r="K117" s="644"/>
      <c r="L117" s="644"/>
      <c r="M117" s="644"/>
      <c r="N117" s="644"/>
      <c r="O117" s="645"/>
      <c r="P117" s="644"/>
      <c r="Q117" s="644"/>
      <c r="R117" s="644"/>
      <c r="S117" s="644"/>
      <c r="T117" s="645"/>
      <c r="U117" s="644"/>
      <c r="V117" s="644"/>
      <c r="W117" s="644"/>
      <c r="X117" s="644"/>
      <c r="Y117" s="645"/>
      <c r="Z117" s="644"/>
      <c r="AA117" s="644"/>
      <c r="AB117" s="644"/>
      <c r="AC117" s="644"/>
      <c r="AD117" s="645"/>
      <c r="AE117" s="644"/>
      <c r="AF117" s="644"/>
      <c r="AG117" s="644"/>
      <c r="AH117" s="644"/>
      <c r="AI117" s="645"/>
      <c r="AJ117" s="644"/>
      <c r="AK117" s="644"/>
      <c r="AL117" s="644"/>
      <c r="AM117" s="644"/>
      <c r="AN117" s="645"/>
      <c r="AO117" s="644"/>
      <c r="AP117" s="644"/>
      <c r="AQ117" s="644"/>
      <c r="AR117" s="644"/>
      <c r="AS117" s="645"/>
      <c r="AT117" s="644"/>
      <c r="AU117" s="644"/>
      <c r="AV117" s="644"/>
      <c r="AW117" s="644"/>
      <c r="AX117" s="645"/>
      <c r="AY117" s="644"/>
      <c r="AZ117" s="644"/>
      <c r="BA117" s="644"/>
      <c r="BB117" s="644"/>
      <c r="BC117" s="645"/>
      <c r="BD117" s="644"/>
      <c r="BE117" s="644"/>
      <c r="BF117" s="644"/>
      <c r="BG117" s="644"/>
      <c r="BH117" s="645"/>
      <c r="BI117" s="644"/>
      <c r="BJ117" s="644"/>
      <c r="BK117" s="644"/>
      <c r="BL117" s="644"/>
      <c r="BM117" s="645"/>
      <c r="BN117" s="644"/>
      <c r="BO117" s="644"/>
      <c r="BP117" s="644"/>
      <c r="BQ117" s="644"/>
      <c r="BR117" s="645"/>
      <c r="BS117" s="644"/>
      <c r="BT117" s="56"/>
      <c r="BU117" s="56"/>
      <c r="BV117" s="56"/>
      <c r="BW117" s="611"/>
      <c r="BX117" s="56"/>
      <c r="BY117" s="56"/>
      <c r="BZ117" s="644"/>
      <c r="CA117" s="644"/>
      <c r="CB117" s="645"/>
      <c r="CC117" s="644"/>
      <c r="CD117" s="644"/>
      <c r="CE117" s="644"/>
      <c r="CF117" s="644"/>
      <c r="CG117" s="645"/>
      <c r="CH117" s="644"/>
      <c r="CI117" s="644"/>
      <c r="CJ117" s="644"/>
      <c r="CK117" s="644"/>
      <c r="CL117" s="645"/>
      <c r="CM117" s="644"/>
      <c r="CN117" s="644"/>
      <c r="CO117" s="644"/>
      <c r="CP117" s="644"/>
      <c r="CQ117" s="645"/>
      <c r="CR117" s="644"/>
      <c r="CS117" s="644"/>
      <c r="CT117" s="644"/>
      <c r="CU117" s="644"/>
      <c r="CV117" s="645"/>
      <c r="CW117" s="644"/>
      <c r="CX117" s="644"/>
      <c r="CY117" s="644"/>
      <c r="CZ117" s="644"/>
      <c r="DA117" s="645"/>
      <c r="DB117" s="644"/>
      <c r="DC117" s="644"/>
      <c r="DD117" s="644"/>
      <c r="DE117" s="644"/>
      <c r="DF117" s="645"/>
      <c r="DG117" s="644"/>
      <c r="DH117" s="644"/>
      <c r="DI117" s="644"/>
      <c r="DJ117" s="644"/>
      <c r="DK117" s="645"/>
      <c r="DL117" s="644"/>
      <c r="DM117" s="644"/>
      <c r="DN117" s="644"/>
      <c r="DO117" s="644"/>
      <c r="DP117" s="645"/>
      <c r="DQ117" s="644"/>
      <c r="DR117" s="644"/>
      <c r="DS117" s="644"/>
      <c r="DT117" s="644"/>
      <c r="DU117" s="645"/>
      <c r="DV117" s="644"/>
      <c r="DW117" s="644"/>
      <c r="DX117" s="644"/>
      <c r="DY117" s="644"/>
      <c r="DZ117" s="645"/>
      <c r="EA117" s="644"/>
      <c r="EB117" s="644"/>
      <c r="EC117" s="644"/>
      <c r="ED117" s="644"/>
      <c r="EE117" s="645"/>
      <c r="EF117" s="644"/>
      <c r="EG117" s="644"/>
      <c r="EH117" s="644"/>
      <c r="EI117" s="644"/>
      <c r="EJ117" s="645"/>
      <c r="EK117" s="644"/>
      <c r="EL117" s="56"/>
      <c r="EO117" s="144"/>
      <c r="EP117" s="42"/>
      <c r="EQ117" s="42"/>
    </row>
    <row r="118" spans="4:147" hidden="1" x14ac:dyDescent="0.3">
      <c r="D118" s="144" t="s">
        <v>341</v>
      </c>
      <c r="E118" s="494"/>
      <c r="G118" s="56">
        <f>SUM(G119:G119)</f>
        <v>0</v>
      </c>
      <c r="H118" s="56"/>
      <c r="I118" s="56"/>
      <c r="J118" s="611"/>
      <c r="K118" s="56"/>
      <c r="L118" s="56">
        <f>SUM(L119:L119)</f>
        <v>0</v>
      </c>
      <c r="M118" s="56"/>
      <c r="N118" s="56"/>
      <c r="O118" s="611"/>
      <c r="P118" s="56"/>
      <c r="Q118" s="56">
        <f>SUM(Q119:Q119)</f>
        <v>0</v>
      </c>
      <c r="R118" s="56"/>
      <c r="S118" s="56"/>
      <c r="T118" s="611"/>
      <c r="U118" s="56"/>
      <c r="V118" s="56">
        <f>SUM(V119:V119)</f>
        <v>0</v>
      </c>
      <c r="W118" s="56"/>
      <c r="X118" s="56"/>
      <c r="Y118" s="611"/>
      <c r="Z118" s="56"/>
      <c r="AA118" s="56">
        <f>SUM(AA119:AA119)</f>
        <v>0</v>
      </c>
      <c r="AB118" s="56"/>
      <c r="AC118" s="56"/>
      <c r="AD118" s="611"/>
      <c r="AE118" s="56"/>
      <c r="AF118" s="56">
        <f>SUM(AF119:AF119)</f>
        <v>0</v>
      </c>
      <c r="AG118" s="56"/>
      <c r="AH118" s="56"/>
      <c r="AI118" s="611"/>
      <c r="AJ118" s="56"/>
      <c r="AK118" s="56">
        <f>SUM(AK119:AK119)</f>
        <v>0</v>
      </c>
      <c r="AL118" s="56"/>
      <c r="AM118" s="56"/>
      <c r="AN118" s="611"/>
      <c r="AO118" s="56"/>
      <c r="AP118" s="56">
        <f>SUM(AP119:AP119)</f>
        <v>0</v>
      </c>
      <c r="AQ118" s="56"/>
      <c r="AR118" s="56"/>
      <c r="AS118" s="611"/>
      <c r="AT118" s="56"/>
      <c r="AU118" s="56">
        <f>SUM(AU119:AU119)</f>
        <v>0</v>
      </c>
      <c r="AV118" s="56"/>
      <c r="AW118" s="56"/>
      <c r="AX118" s="611"/>
      <c r="AY118" s="56"/>
      <c r="AZ118" s="56">
        <f>SUM(AZ119:AZ119)</f>
        <v>0</v>
      </c>
      <c r="BA118" s="56"/>
      <c r="BB118" s="56"/>
      <c r="BC118" s="611"/>
      <c r="BD118" s="56"/>
      <c r="BE118" s="56">
        <f>SUM(BE119:BE119)</f>
        <v>0</v>
      </c>
      <c r="BF118" s="56"/>
      <c r="BG118" s="56"/>
      <c r="BH118" s="611"/>
      <c r="BI118" s="56"/>
      <c r="BJ118" s="56">
        <f>SUM(BJ119:BJ119)</f>
        <v>0</v>
      </c>
      <c r="BK118" s="56"/>
      <c r="BL118" s="56"/>
      <c r="BM118" s="611"/>
      <c r="BN118" s="56"/>
      <c r="BO118" s="56">
        <f>SUM(BO119:BO119)</f>
        <v>0</v>
      </c>
      <c r="BP118" s="56"/>
      <c r="BQ118" s="56"/>
      <c r="BR118" s="611"/>
      <c r="BS118" s="56"/>
      <c r="BT118" s="56">
        <f>SUM(BT119:BT119)</f>
        <v>0</v>
      </c>
      <c r="BU118" s="56"/>
      <c r="BV118" s="56"/>
      <c r="BW118" s="611"/>
      <c r="BX118" s="56"/>
      <c r="BY118" s="56">
        <f>SUM(BY119:BY119)</f>
        <v>0</v>
      </c>
      <c r="BZ118" s="56"/>
      <c r="CA118" s="56"/>
      <c r="CB118" s="611"/>
      <c r="CC118" s="56"/>
      <c r="CD118" s="56">
        <f>SUM(CD119:CD119)</f>
        <v>0</v>
      </c>
      <c r="CE118" s="56"/>
      <c r="CF118" s="56"/>
      <c r="CG118" s="611"/>
      <c r="CH118" s="56"/>
      <c r="CI118" s="56">
        <f>SUM(CI119:CI119)</f>
        <v>0</v>
      </c>
      <c r="CJ118" s="56"/>
      <c r="CK118" s="56"/>
      <c r="CL118" s="611"/>
      <c r="CM118" s="56"/>
      <c r="CN118" s="56">
        <f>SUM(CN119:CN119)</f>
        <v>0</v>
      </c>
      <c r="CO118" s="56"/>
      <c r="CP118" s="56"/>
      <c r="CQ118" s="611"/>
      <c r="CR118" s="56"/>
      <c r="CS118" s="56">
        <f>SUM(CS119:CS119)</f>
        <v>0</v>
      </c>
      <c r="CT118" s="56"/>
      <c r="CU118" s="56"/>
      <c r="CV118" s="611"/>
      <c r="CW118" s="56"/>
      <c r="CX118" s="56">
        <f>SUM(CX119:CX119)</f>
        <v>0</v>
      </c>
      <c r="CY118" s="56"/>
      <c r="CZ118" s="56"/>
      <c r="DA118" s="611"/>
      <c r="DB118" s="56"/>
      <c r="DC118" s="56">
        <f>SUM(DC119:DC119)</f>
        <v>0</v>
      </c>
      <c r="DD118" s="56"/>
      <c r="DE118" s="56"/>
      <c r="DF118" s="611"/>
      <c r="DG118" s="56"/>
      <c r="DH118" s="56">
        <f>SUM(DH119:DH119)</f>
        <v>0</v>
      </c>
      <c r="DI118" s="56"/>
      <c r="DJ118" s="56"/>
      <c r="DK118" s="611"/>
      <c r="DL118" s="56"/>
      <c r="DM118" s="56">
        <f>SUM(DM119:DM119)</f>
        <v>0</v>
      </c>
      <c r="DN118" s="56"/>
      <c r="DO118" s="56"/>
      <c r="DP118" s="611"/>
      <c r="DQ118" s="56"/>
      <c r="DR118" s="56">
        <f>SUM(DR119:DR119)</f>
        <v>0</v>
      </c>
      <c r="DS118" s="56"/>
      <c r="DT118" s="56"/>
      <c r="DU118" s="611"/>
      <c r="DV118" s="56"/>
      <c r="DW118" s="56">
        <f>SUM(DW119:DW119)</f>
        <v>0</v>
      </c>
      <c r="DX118" s="56"/>
      <c r="DY118" s="56"/>
      <c r="DZ118" s="611"/>
      <c r="EA118" s="56"/>
      <c r="EB118" s="56">
        <f>SUM(EB119:EB119)</f>
        <v>0</v>
      </c>
      <c r="EC118" s="56"/>
      <c r="ED118" s="56"/>
      <c r="EE118" s="611"/>
      <c r="EF118" s="56"/>
      <c r="EG118" s="56">
        <f>SUM(EG119:EG119)</f>
        <v>0</v>
      </c>
      <c r="EH118" s="56"/>
      <c r="EI118" s="56"/>
      <c r="EJ118" s="611"/>
      <c r="EK118" s="56"/>
      <c r="EL118" s="56">
        <f>SUM(EL119:EL119)</f>
        <v>0</v>
      </c>
      <c r="EO118" s="144"/>
      <c r="EP118" s="42"/>
      <c r="EQ118" s="42"/>
    </row>
    <row r="119" spans="4:147" hidden="1" x14ac:dyDescent="0.3">
      <c r="D119" s="144" t="s">
        <v>335</v>
      </c>
      <c r="E119" s="494"/>
      <c r="F119" s="614"/>
      <c r="G119" s="618">
        <v>0</v>
      </c>
      <c r="H119" s="616"/>
      <c r="I119" s="56"/>
      <c r="J119" s="611"/>
      <c r="K119" s="617"/>
      <c r="L119" s="618">
        <v>0</v>
      </c>
      <c r="M119" s="616"/>
      <c r="N119" s="56"/>
      <c r="O119" s="611"/>
      <c r="P119" s="617"/>
      <c r="Q119" s="618">
        <v>0</v>
      </c>
      <c r="R119" s="616"/>
      <c r="S119" s="56"/>
      <c r="T119" s="611"/>
      <c r="U119" s="617"/>
      <c r="V119" s="618">
        <v>0</v>
      </c>
      <c r="W119" s="616"/>
      <c r="X119" s="56"/>
      <c r="Y119" s="611"/>
      <c r="Z119" s="617"/>
      <c r="AA119" s="618">
        <v>0</v>
      </c>
      <c r="AB119" s="616"/>
      <c r="AC119" s="56"/>
      <c r="AD119" s="611"/>
      <c r="AE119" s="617"/>
      <c r="AF119" s="618">
        <v>0</v>
      </c>
      <c r="AG119" s="616"/>
      <c r="AH119" s="56"/>
      <c r="AI119" s="611"/>
      <c r="AJ119" s="617"/>
      <c r="AK119" s="618">
        <v>0</v>
      </c>
      <c r="AL119" s="616"/>
      <c r="AM119" s="56"/>
      <c r="AN119" s="611"/>
      <c r="AO119" s="617"/>
      <c r="AP119" s="618">
        <v>0</v>
      </c>
      <c r="AQ119" s="616"/>
      <c r="AR119" s="56"/>
      <c r="AS119" s="611"/>
      <c r="AT119" s="617"/>
      <c r="AU119" s="618">
        <v>0</v>
      </c>
      <c r="AV119" s="616"/>
      <c r="AW119" s="56"/>
      <c r="AX119" s="611"/>
      <c r="AY119" s="617"/>
      <c r="AZ119" s="618">
        <v>0</v>
      </c>
      <c r="BA119" s="616"/>
      <c r="BB119" s="56"/>
      <c r="BC119" s="611"/>
      <c r="BD119" s="617"/>
      <c r="BE119" s="618">
        <v>0</v>
      </c>
      <c r="BF119" s="616"/>
      <c r="BG119" s="56"/>
      <c r="BH119" s="611"/>
      <c r="BI119" s="617"/>
      <c r="BJ119" s="618">
        <v>0</v>
      </c>
      <c r="BK119" s="616"/>
      <c r="BL119" s="56"/>
      <c r="BM119" s="611"/>
      <c r="BN119" s="617"/>
      <c r="BO119" s="618">
        <v>0</v>
      </c>
      <c r="BP119" s="616"/>
      <c r="BQ119" s="56"/>
      <c r="BR119" s="611"/>
      <c r="BS119" s="617"/>
      <c r="BT119" s="618">
        <f>SUM(L119:BO119)</f>
        <v>0</v>
      </c>
      <c r="BU119" s="616"/>
      <c r="BV119" s="56"/>
      <c r="BW119" s="611"/>
      <c r="BX119" s="617"/>
      <c r="BY119" s="618">
        <v>0</v>
      </c>
      <c r="BZ119" s="616"/>
      <c r="CA119" s="56"/>
      <c r="CB119" s="611"/>
      <c r="CC119" s="617"/>
      <c r="CD119" s="618">
        <v>0</v>
      </c>
      <c r="CE119" s="616"/>
      <c r="CF119" s="56"/>
      <c r="CG119" s="611"/>
      <c r="CH119" s="617"/>
      <c r="CI119" s="618">
        <v>0</v>
      </c>
      <c r="CJ119" s="616"/>
      <c r="CK119" s="56"/>
      <c r="CL119" s="611"/>
      <c r="CM119" s="617"/>
      <c r="CN119" s="618">
        <v>0</v>
      </c>
      <c r="CO119" s="616"/>
      <c r="CP119" s="56"/>
      <c r="CQ119" s="611"/>
      <c r="CR119" s="617"/>
      <c r="CS119" s="618">
        <v>0</v>
      </c>
      <c r="CT119" s="616"/>
      <c r="CU119" s="56"/>
      <c r="CV119" s="611"/>
      <c r="CW119" s="617"/>
      <c r="CX119" s="618">
        <v>0</v>
      </c>
      <c r="CY119" s="616"/>
      <c r="CZ119" s="56"/>
      <c r="DA119" s="611"/>
      <c r="DB119" s="617"/>
      <c r="DC119" s="618">
        <v>0</v>
      </c>
      <c r="DD119" s="616"/>
      <c r="DE119" s="56"/>
      <c r="DF119" s="611"/>
      <c r="DG119" s="617"/>
      <c r="DH119" s="618">
        <v>0</v>
      </c>
      <c r="DI119" s="616"/>
      <c r="DJ119" s="56"/>
      <c r="DK119" s="611"/>
      <c r="DL119" s="617"/>
      <c r="DM119" s="618">
        <v>0</v>
      </c>
      <c r="DN119" s="616"/>
      <c r="DO119" s="56"/>
      <c r="DP119" s="611"/>
      <c r="DQ119" s="617"/>
      <c r="DR119" s="618">
        <v>0</v>
      </c>
      <c r="DS119" s="616"/>
      <c r="DT119" s="56"/>
      <c r="DU119" s="611"/>
      <c r="DV119" s="617"/>
      <c r="DW119" s="618">
        <v>0</v>
      </c>
      <c r="DX119" s="616"/>
      <c r="DY119" s="56"/>
      <c r="DZ119" s="611"/>
      <c r="EA119" s="617"/>
      <c r="EB119" s="618">
        <v>0</v>
      </c>
      <c r="EC119" s="616"/>
      <c r="ED119" s="56"/>
      <c r="EE119" s="611"/>
      <c r="EF119" s="617"/>
      <c r="EG119" s="618">
        <v>0</v>
      </c>
      <c r="EH119" s="616"/>
      <c r="EI119" s="56"/>
      <c r="EJ119" s="611"/>
      <c r="EK119" s="617"/>
      <c r="EL119" s="618">
        <f>SUM(CD119:CD119)</f>
        <v>0</v>
      </c>
      <c r="EM119" s="648"/>
      <c r="EO119" s="144"/>
      <c r="EP119" s="42"/>
      <c r="EQ119" s="42"/>
    </row>
    <row r="120" spans="4:147" x14ac:dyDescent="0.3">
      <c r="D120" s="144"/>
      <c r="E120" s="494"/>
      <c r="G120" s="644"/>
      <c r="H120" s="644"/>
      <c r="I120" s="644"/>
      <c r="J120" s="645"/>
      <c r="K120" s="644"/>
      <c r="L120" s="644"/>
      <c r="M120" s="644"/>
      <c r="N120" s="644"/>
      <c r="O120" s="645"/>
      <c r="P120" s="644"/>
      <c r="Q120" s="644"/>
      <c r="R120" s="644"/>
      <c r="S120" s="644"/>
      <c r="T120" s="645"/>
      <c r="U120" s="644"/>
      <c r="V120" s="644"/>
      <c r="W120" s="644"/>
      <c r="X120" s="644"/>
      <c r="Y120" s="645"/>
      <c r="Z120" s="644"/>
      <c r="AA120" s="644"/>
      <c r="AB120" s="644"/>
      <c r="AC120" s="644"/>
      <c r="AD120" s="645"/>
      <c r="AE120" s="644"/>
      <c r="AF120" s="644"/>
      <c r="AG120" s="644"/>
      <c r="AH120" s="644"/>
      <c r="AI120" s="645"/>
      <c r="AJ120" s="644"/>
      <c r="AK120" s="644"/>
      <c r="AL120" s="644"/>
      <c r="AM120" s="644"/>
      <c r="AN120" s="645"/>
      <c r="AO120" s="644"/>
      <c r="AP120" s="644"/>
      <c r="AQ120" s="644"/>
      <c r="AR120" s="644"/>
      <c r="AS120" s="645"/>
      <c r="AT120" s="644"/>
      <c r="AU120" s="644"/>
      <c r="AV120" s="644"/>
      <c r="AW120" s="644"/>
      <c r="AX120" s="645"/>
      <c r="AY120" s="644"/>
      <c r="AZ120" s="644"/>
      <c r="BA120" s="644"/>
      <c r="BB120" s="644"/>
      <c r="BC120" s="645"/>
      <c r="BD120" s="644"/>
      <c r="BE120" s="644"/>
      <c r="BF120" s="644"/>
      <c r="BG120" s="644"/>
      <c r="BH120" s="645"/>
      <c r="BI120" s="644"/>
      <c r="BJ120" s="644"/>
      <c r="BK120" s="644"/>
      <c r="BL120" s="644"/>
      <c r="BM120" s="645"/>
      <c r="BN120" s="644"/>
      <c r="BO120" s="644"/>
      <c r="BP120" s="644"/>
      <c r="BQ120" s="644"/>
      <c r="BR120" s="645"/>
      <c r="BS120" s="644"/>
      <c r="BT120" s="56"/>
      <c r="BU120" s="56"/>
      <c r="BV120" s="56"/>
      <c r="BW120" s="611"/>
      <c r="BX120" s="56"/>
      <c r="BY120" s="56"/>
      <c r="BZ120" s="644"/>
      <c r="CA120" s="644"/>
      <c r="CB120" s="645"/>
      <c r="CC120" s="644"/>
      <c r="CD120" s="644"/>
      <c r="CE120" s="644"/>
      <c r="CF120" s="644"/>
      <c r="CG120" s="645"/>
      <c r="CH120" s="644"/>
      <c r="CI120" s="644"/>
      <c r="CJ120" s="644"/>
      <c r="CK120" s="644"/>
      <c r="CL120" s="645"/>
      <c r="CM120" s="644"/>
      <c r="CN120" s="644"/>
      <c r="CO120" s="644"/>
      <c r="CP120" s="644"/>
      <c r="CQ120" s="645"/>
      <c r="CR120" s="644"/>
      <c r="CS120" s="644"/>
      <c r="CT120" s="644"/>
      <c r="CU120" s="644"/>
      <c r="CV120" s="645"/>
      <c r="CW120" s="644"/>
      <c r="CX120" s="644"/>
      <c r="CY120" s="644"/>
      <c r="CZ120" s="644"/>
      <c r="DA120" s="645"/>
      <c r="DB120" s="644"/>
      <c r="DC120" s="644"/>
      <c r="DD120" s="644"/>
      <c r="DE120" s="644"/>
      <c r="DF120" s="645"/>
      <c r="DG120" s="644"/>
      <c r="DH120" s="644"/>
      <c r="DI120" s="644"/>
      <c r="DJ120" s="644"/>
      <c r="DK120" s="645"/>
      <c r="DL120" s="644"/>
      <c r="DM120" s="644"/>
      <c r="DN120" s="644"/>
      <c r="DO120" s="644"/>
      <c r="DP120" s="645"/>
      <c r="DQ120" s="644"/>
      <c r="DR120" s="644"/>
      <c r="DS120" s="644"/>
      <c r="DT120" s="644"/>
      <c r="DU120" s="645"/>
      <c r="DV120" s="644"/>
      <c r="DW120" s="644"/>
      <c r="DX120" s="644"/>
      <c r="DY120" s="644"/>
      <c r="DZ120" s="645"/>
      <c r="EA120" s="644"/>
      <c r="EB120" s="644"/>
      <c r="EC120" s="644"/>
      <c r="ED120" s="644"/>
      <c r="EE120" s="645"/>
      <c r="EF120" s="644"/>
      <c r="EG120" s="644"/>
      <c r="EH120" s="644"/>
      <c r="EI120" s="644"/>
      <c r="EJ120" s="645"/>
      <c r="EK120" s="644"/>
      <c r="EL120" s="56"/>
      <c r="EO120" s="144"/>
      <c r="EP120" s="42"/>
      <c r="EQ120" s="42"/>
    </row>
    <row r="121" spans="4:147" x14ac:dyDescent="0.3">
      <c r="D121" s="144" t="s">
        <v>342</v>
      </c>
      <c r="E121" s="494"/>
      <c r="G121" s="56">
        <f>SUM(G122:G122)</f>
        <v>994679</v>
      </c>
      <c r="H121" s="56"/>
      <c r="I121" s="56"/>
      <c r="J121" s="611"/>
      <c r="K121" s="56"/>
      <c r="L121" s="56">
        <f>SUM(L122:L122)</f>
        <v>0</v>
      </c>
      <c r="M121" s="56"/>
      <c r="N121" s="56"/>
      <c r="O121" s="611"/>
      <c r="P121" s="56"/>
      <c r="Q121" s="56">
        <f>SUM(Q122:Q122)</f>
        <v>0</v>
      </c>
      <c r="R121" s="56"/>
      <c r="S121" s="56"/>
      <c r="T121" s="611"/>
      <c r="U121" s="56"/>
      <c r="V121" s="56">
        <f>SUM(V122:V122)</f>
        <v>0</v>
      </c>
      <c r="W121" s="56"/>
      <c r="X121" s="56"/>
      <c r="Y121" s="611"/>
      <c r="Z121" s="56"/>
      <c r="AA121" s="56">
        <f>SUM(AA122:AA122)</f>
        <v>0</v>
      </c>
      <c r="AB121" s="56"/>
      <c r="AC121" s="56"/>
      <c r="AD121" s="611"/>
      <c r="AE121" s="56"/>
      <c r="AF121" s="56">
        <f>SUM(AF122:AF122)</f>
        <v>994679</v>
      </c>
      <c r="AG121" s="56"/>
      <c r="AH121" s="56"/>
      <c r="AI121" s="611"/>
      <c r="AJ121" s="56"/>
      <c r="AK121" s="56">
        <f>SUM(AK122:AK122)</f>
        <v>0</v>
      </c>
      <c r="AL121" s="56"/>
      <c r="AM121" s="56"/>
      <c r="AN121" s="611"/>
      <c r="AO121" s="56"/>
      <c r="AP121" s="56">
        <f>SUM(AP122:AP122)</f>
        <v>0</v>
      </c>
      <c r="AQ121" s="56"/>
      <c r="AR121" s="56"/>
      <c r="AS121" s="611"/>
      <c r="AT121" s="56"/>
      <c r="AU121" s="56">
        <f>SUM(AU122:AU122)</f>
        <v>200583</v>
      </c>
      <c r="AV121" s="56"/>
      <c r="AW121" s="56"/>
      <c r="AX121" s="611"/>
      <c r="AY121" s="56"/>
      <c r="AZ121" s="56">
        <f>SUM(AZ122:AZ122)</f>
        <v>0</v>
      </c>
      <c r="BA121" s="56"/>
      <c r="BB121" s="56"/>
      <c r="BC121" s="611"/>
      <c r="BD121" s="56"/>
      <c r="BE121" s="56">
        <f>SUM(BE122:BE122)</f>
        <v>0</v>
      </c>
      <c r="BF121" s="56"/>
      <c r="BG121" s="56"/>
      <c r="BH121" s="611"/>
      <c r="BI121" s="56"/>
      <c r="BJ121" s="56">
        <f>SUM(BJ122:BJ122)</f>
        <v>0</v>
      </c>
      <c r="BK121" s="56"/>
      <c r="BL121" s="56"/>
      <c r="BM121" s="611"/>
      <c r="BN121" s="56"/>
      <c r="BO121" s="56">
        <f>SUM(BO122:BO122)</f>
        <v>0</v>
      </c>
      <c r="BP121" s="56"/>
      <c r="BQ121" s="56"/>
      <c r="BR121" s="611"/>
      <c r="BS121" s="56"/>
      <c r="BT121" s="56">
        <f>SUM(BT122:BT122)</f>
        <v>1195262</v>
      </c>
      <c r="BU121" s="56"/>
      <c r="BV121" s="56"/>
      <c r="BW121" s="611"/>
      <c r="BX121" s="56"/>
      <c r="BY121" s="56">
        <f>SUM(BY122:BY122)</f>
        <v>0</v>
      </c>
      <c r="BZ121" s="56"/>
      <c r="CA121" s="56"/>
      <c r="CB121" s="611"/>
      <c r="CC121" s="56"/>
      <c r="CD121" s="56">
        <f>SUM(CD122:CD122)</f>
        <v>0</v>
      </c>
      <c r="CE121" s="56"/>
      <c r="CF121" s="56"/>
      <c r="CG121" s="611"/>
      <c r="CH121" s="56"/>
      <c r="CI121" s="56">
        <f>SUM(CI122:CI122)</f>
        <v>0</v>
      </c>
      <c r="CJ121" s="56"/>
      <c r="CK121" s="56"/>
      <c r="CL121" s="611"/>
      <c r="CM121" s="56"/>
      <c r="CN121" s="56">
        <f>SUM(CN122:CN122)</f>
        <v>0</v>
      </c>
      <c r="CO121" s="56"/>
      <c r="CP121" s="56"/>
      <c r="CQ121" s="611"/>
      <c r="CR121" s="56"/>
      <c r="CS121" s="56">
        <f>SUM(CS122:CS122)</f>
        <v>0</v>
      </c>
      <c r="CT121" s="56"/>
      <c r="CU121" s="56"/>
      <c r="CV121" s="611"/>
      <c r="CW121" s="56"/>
      <c r="CX121" s="56">
        <f>SUM(CX122:CX122)</f>
        <v>0</v>
      </c>
      <c r="CY121" s="56"/>
      <c r="CZ121" s="56"/>
      <c r="DA121" s="611"/>
      <c r="DB121" s="56"/>
      <c r="DC121" s="56">
        <f>SUM(DC122:DC122)</f>
        <v>0</v>
      </c>
      <c r="DD121" s="56"/>
      <c r="DE121" s="56"/>
      <c r="DF121" s="611"/>
      <c r="DG121" s="56"/>
      <c r="DH121" s="56">
        <f>SUM(DH122:DH122)</f>
        <v>0</v>
      </c>
      <c r="DI121" s="56"/>
      <c r="DJ121" s="56"/>
      <c r="DK121" s="611"/>
      <c r="DL121" s="56"/>
      <c r="DM121" s="56">
        <f>SUM(DM122:DM122)</f>
        <v>0</v>
      </c>
      <c r="DN121" s="56"/>
      <c r="DO121" s="56"/>
      <c r="DP121" s="611"/>
      <c r="DQ121" s="56"/>
      <c r="DR121" s="56">
        <f>SUM(DR122:DR122)</f>
        <v>0</v>
      </c>
      <c r="DS121" s="56"/>
      <c r="DT121" s="56"/>
      <c r="DU121" s="611"/>
      <c r="DV121" s="56"/>
      <c r="DW121" s="56">
        <f>SUM(DW122:DW122)</f>
        <v>0</v>
      </c>
      <c r="DX121" s="56"/>
      <c r="DY121" s="56"/>
      <c r="DZ121" s="611"/>
      <c r="EA121" s="56"/>
      <c r="EB121" s="56">
        <f>SUM(EB122:EB122)</f>
        <v>0</v>
      </c>
      <c r="EC121" s="56"/>
      <c r="ED121" s="56"/>
      <c r="EE121" s="611"/>
      <c r="EF121" s="56"/>
      <c r="EG121" s="56">
        <f>SUM(EG122:EG122)</f>
        <v>0</v>
      </c>
      <c r="EH121" s="56"/>
      <c r="EI121" s="56"/>
      <c r="EJ121" s="611"/>
      <c r="EK121" s="56"/>
      <c r="EL121" s="56">
        <f>SUM(EL122:EL122)</f>
        <v>0</v>
      </c>
      <c r="EO121" s="144"/>
      <c r="EP121" s="42"/>
      <c r="EQ121" s="42"/>
    </row>
    <row r="122" spans="4:147" x14ac:dyDescent="0.3">
      <c r="D122" s="144" t="s">
        <v>335</v>
      </c>
      <c r="E122" s="494"/>
      <c r="F122" s="614"/>
      <c r="G122" s="618">
        <v>994679</v>
      </c>
      <c r="H122" s="616"/>
      <c r="I122" s="56"/>
      <c r="J122" s="611"/>
      <c r="K122" s="617"/>
      <c r="L122" s="618">
        <v>0</v>
      </c>
      <c r="M122" s="616"/>
      <c r="N122" s="56"/>
      <c r="O122" s="611"/>
      <c r="P122" s="617"/>
      <c r="Q122" s="618">
        <v>0</v>
      </c>
      <c r="R122" s="616"/>
      <c r="S122" s="56"/>
      <c r="T122" s="611"/>
      <c r="U122" s="617"/>
      <c r="V122" s="618">
        <v>0</v>
      </c>
      <c r="W122" s="616"/>
      <c r="X122" s="56"/>
      <c r="Y122" s="611"/>
      <c r="Z122" s="617"/>
      <c r="AA122" s="618">
        <v>0</v>
      </c>
      <c r="AB122" s="616"/>
      <c r="AC122" s="56"/>
      <c r="AD122" s="611"/>
      <c r="AE122" s="617"/>
      <c r="AF122" s="618">
        <v>994679</v>
      </c>
      <c r="AG122" s="616"/>
      <c r="AH122" s="56"/>
      <c r="AI122" s="611"/>
      <c r="AJ122" s="617"/>
      <c r="AK122" s="618">
        <v>0</v>
      </c>
      <c r="AL122" s="616"/>
      <c r="AM122" s="56"/>
      <c r="AN122" s="611"/>
      <c r="AO122" s="617"/>
      <c r="AP122" s="618">
        <v>0</v>
      </c>
      <c r="AQ122" s="616"/>
      <c r="AR122" s="56"/>
      <c r="AS122" s="611"/>
      <c r="AT122" s="617"/>
      <c r="AU122" s="618">
        <v>200583</v>
      </c>
      <c r="AV122" s="616"/>
      <c r="AW122" s="56"/>
      <c r="AX122" s="611"/>
      <c r="AY122" s="617"/>
      <c r="AZ122" s="618">
        <v>0</v>
      </c>
      <c r="BA122" s="616"/>
      <c r="BB122" s="56"/>
      <c r="BC122" s="611"/>
      <c r="BD122" s="617"/>
      <c r="BE122" s="618">
        <v>0</v>
      </c>
      <c r="BF122" s="616"/>
      <c r="BG122" s="56"/>
      <c r="BH122" s="611"/>
      <c r="BI122" s="617"/>
      <c r="BJ122" s="618">
        <v>0</v>
      </c>
      <c r="BK122" s="616"/>
      <c r="BL122" s="56"/>
      <c r="BM122" s="611"/>
      <c r="BN122" s="617"/>
      <c r="BO122" s="618">
        <v>0</v>
      </c>
      <c r="BP122" s="616"/>
      <c r="BQ122" s="56"/>
      <c r="BR122" s="611"/>
      <c r="BS122" s="617"/>
      <c r="BT122" s="618">
        <f>SUM(L122:BO122)</f>
        <v>1195262</v>
      </c>
      <c r="BU122" s="616"/>
      <c r="BV122" s="56"/>
      <c r="BW122" s="611"/>
      <c r="BX122" s="617"/>
      <c r="BY122" s="618">
        <v>0</v>
      </c>
      <c r="BZ122" s="616"/>
      <c r="CA122" s="56"/>
      <c r="CB122" s="611"/>
      <c r="CC122" s="617"/>
      <c r="CD122" s="618">
        <v>0</v>
      </c>
      <c r="CE122" s="616"/>
      <c r="CF122" s="56"/>
      <c r="CG122" s="611"/>
      <c r="CH122" s="617"/>
      <c r="CI122" s="618">
        <v>0</v>
      </c>
      <c r="CJ122" s="616"/>
      <c r="CK122" s="56"/>
      <c r="CL122" s="611"/>
      <c r="CM122" s="617"/>
      <c r="CN122" s="618">
        <v>0</v>
      </c>
      <c r="CO122" s="616"/>
      <c r="CP122" s="56"/>
      <c r="CQ122" s="611"/>
      <c r="CR122" s="617"/>
      <c r="CS122" s="618">
        <v>0</v>
      </c>
      <c r="CT122" s="616"/>
      <c r="CU122" s="56"/>
      <c r="CV122" s="611"/>
      <c r="CW122" s="617"/>
      <c r="CX122" s="618">
        <v>0</v>
      </c>
      <c r="CY122" s="616"/>
      <c r="CZ122" s="56"/>
      <c r="DA122" s="611"/>
      <c r="DB122" s="617"/>
      <c r="DC122" s="618">
        <v>0</v>
      </c>
      <c r="DD122" s="616"/>
      <c r="DE122" s="56"/>
      <c r="DF122" s="611"/>
      <c r="DG122" s="617"/>
      <c r="DH122" s="618">
        <v>0</v>
      </c>
      <c r="DI122" s="616"/>
      <c r="DJ122" s="56"/>
      <c r="DK122" s="611"/>
      <c r="DL122" s="617"/>
      <c r="DM122" s="618">
        <v>0</v>
      </c>
      <c r="DN122" s="616"/>
      <c r="DO122" s="56"/>
      <c r="DP122" s="611"/>
      <c r="DQ122" s="617"/>
      <c r="DR122" s="618">
        <v>0</v>
      </c>
      <c r="DS122" s="616"/>
      <c r="DT122" s="56"/>
      <c r="DU122" s="611"/>
      <c r="DV122" s="617"/>
      <c r="DW122" s="618">
        <v>0</v>
      </c>
      <c r="DX122" s="616"/>
      <c r="DY122" s="56"/>
      <c r="DZ122" s="611"/>
      <c r="EA122" s="617"/>
      <c r="EB122" s="618">
        <v>0</v>
      </c>
      <c r="EC122" s="616"/>
      <c r="ED122" s="56"/>
      <c r="EE122" s="611"/>
      <c r="EF122" s="617"/>
      <c r="EG122" s="618">
        <v>0</v>
      </c>
      <c r="EH122" s="616"/>
      <c r="EI122" s="56"/>
      <c r="EJ122" s="611"/>
      <c r="EK122" s="617"/>
      <c r="EL122" s="618">
        <f t="shared" ref="EL122" si="7">SUM(CD122:DW122)</f>
        <v>0</v>
      </c>
      <c r="EM122" s="648"/>
      <c r="EO122" s="144"/>
      <c r="EP122" s="42"/>
      <c r="EQ122" s="42"/>
    </row>
    <row r="123" spans="4:147" x14ac:dyDescent="0.3">
      <c r="D123" s="144"/>
      <c r="E123" s="494"/>
      <c r="G123" s="644"/>
      <c r="H123" s="644"/>
      <c r="I123" s="644"/>
      <c r="J123" s="645"/>
      <c r="K123" s="644"/>
      <c r="L123" s="644"/>
      <c r="M123" s="644"/>
      <c r="N123" s="644"/>
      <c r="O123" s="645"/>
      <c r="P123" s="644"/>
      <c r="Q123" s="644"/>
      <c r="R123" s="644"/>
      <c r="S123" s="644"/>
      <c r="T123" s="645"/>
      <c r="U123" s="644"/>
      <c r="V123" s="644"/>
      <c r="W123" s="644"/>
      <c r="X123" s="644"/>
      <c r="Y123" s="645"/>
      <c r="Z123" s="644"/>
      <c r="AA123" s="644"/>
      <c r="AB123" s="644"/>
      <c r="AC123" s="644"/>
      <c r="AD123" s="645"/>
      <c r="AE123" s="644"/>
      <c r="AF123" s="644"/>
      <c r="AG123" s="644"/>
      <c r="AH123" s="644"/>
      <c r="AI123" s="645"/>
      <c r="AJ123" s="644"/>
      <c r="AK123" s="644"/>
      <c r="AL123" s="644"/>
      <c r="AM123" s="644"/>
      <c r="AN123" s="645"/>
      <c r="AO123" s="644"/>
      <c r="AP123" s="644"/>
      <c r="AQ123" s="644"/>
      <c r="AR123" s="644"/>
      <c r="AS123" s="645"/>
      <c r="AT123" s="644"/>
      <c r="AU123" s="644"/>
      <c r="AV123" s="644"/>
      <c r="AW123" s="644"/>
      <c r="AX123" s="645"/>
      <c r="AY123" s="644"/>
      <c r="AZ123" s="644"/>
      <c r="BA123" s="644"/>
      <c r="BB123" s="644"/>
      <c r="BC123" s="645"/>
      <c r="BD123" s="644"/>
      <c r="BE123" s="644"/>
      <c r="BF123" s="644"/>
      <c r="BG123" s="644"/>
      <c r="BH123" s="645"/>
      <c r="BI123" s="644"/>
      <c r="BJ123" s="644"/>
      <c r="BK123" s="644"/>
      <c r="BL123" s="644"/>
      <c r="BM123" s="645"/>
      <c r="BN123" s="644"/>
      <c r="BO123" s="644"/>
      <c r="BP123" s="644"/>
      <c r="BQ123" s="644"/>
      <c r="BR123" s="645"/>
      <c r="BS123" s="644"/>
      <c r="BT123" s="56"/>
      <c r="BU123" s="56"/>
      <c r="BV123" s="56"/>
      <c r="BW123" s="611"/>
      <c r="BX123" s="56"/>
      <c r="BY123" s="56"/>
      <c r="BZ123" s="644"/>
      <c r="CA123" s="644"/>
      <c r="CB123" s="645"/>
      <c r="CC123" s="644"/>
      <c r="CD123" s="644"/>
      <c r="CE123" s="644"/>
      <c r="CF123" s="644"/>
      <c r="CG123" s="645"/>
      <c r="CH123" s="644"/>
      <c r="CI123" s="644"/>
      <c r="CJ123" s="644"/>
      <c r="CK123" s="644"/>
      <c r="CL123" s="645"/>
      <c r="CM123" s="644"/>
      <c r="CN123" s="644"/>
      <c r="CO123" s="644"/>
      <c r="CP123" s="644"/>
      <c r="CQ123" s="645"/>
      <c r="CR123" s="644"/>
      <c r="CS123" s="644"/>
      <c r="CT123" s="644"/>
      <c r="CU123" s="644"/>
      <c r="CV123" s="645"/>
      <c r="CW123" s="644"/>
      <c r="CX123" s="644"/>
      <c r="CY123" s="644"/>
      <c r="CZ123" s="644"/>
      <c r="DA123" s="645"/>
      <c r="DB123" s="644"/>
      <c r="DC123" s="644"/>
      <c r="DD123" s="644"/>
      <c r="DE123" s="644"/>
      <c r="DF123" s="645"/>
      <c r="DG123" s="644"/>
      <c r="DH123" s="644"/>
      <c r="DI123" s="644"/>
      <c r="DJ123" s="644"/>
      <c r="DK123" s="645"/>
      <c r="DL123" s="644"/>
      <c r="DM123" s="644"/>
      <c r="DN123" s="644"/>
      <c r="DO123" s="644"/>
      <c r="DP123" s="645"/>
      <c r="DQ123" s="644"/>
      <c r="DR123" s="644"/>
      <c r="DS123" s="644"/>
      <c r="DT123" s="644"/>
      <c r="DU123" s="645"/>
      <c r="DV123" s="644"/>
      <c r="DW123" s="644"/>
      <c r="DX123" s="644"/>
      <c r="DY123" s="644"/>
      <c r="DZ123" s="645"/>
      <c r="EA123" s="644"/>
      <c r="EB123" s="644"/>
      <c r="EC123" s="644"/>
      <c r="ED123" s="644"/>
      <c r="EE123" s="645"/>
      <c r="EF123" s="644"/>
      <c r="EG123" s="644"/>
      <c r="EH123" s="644"/>
      <c r="EI123" s="644"/>
      <c r="EJ123" s="645"/>
      <c r="EK123" s="644"/>
      <c r="EL123" s="56"/>
      <c r="EO123" s="144"/>
      <c r="EP123" s="42"/>
      <c r="EQ123" s="42"/>
    </row>
    <row r="124" spans="4:147" x14ac:dyDescent="0.3">
      <c r="D124" s="144" t="s">
        <v>343</v>
      </c>
      <c r="E124" s="494"/>
      <c r="G124" s="56">
        <f>SUM(G125:G125)</f>
        <v>95339</v>
      </c>
      <c r="H124" s="56"/>
      <c r="I124" s="56"/>
      <c r="J124" s="611"/>
      <c r="K124" s="56"/>
      <c r="L124" s="56">
        <f>SUM(L125:L125)</f>
        <v>0</v>
      </c>
      <c r="M124" s="56"/>
      <c r="N124" s="56"/>
      <c r="O124" s="611"/>
      <c r="P124" s="56"/>
      <c r="Q124" s="56">
        <f>SUM(Q125:Q125)</f>
        <v>0</v>
      </c>
      <c r="R124" s="56"/>
      <c r="S124" s="56"/>
      <c r="T124" s="611"/>
      <c r="U124" s="56"/>
      <c r="V124" s="56">
        <f>SUM(V125:V125)</f>
        <v>0</v>
      </c>
      <c r="W124" s="56"/>
      <c r="X124" s="56"/>
      <c r="Y124" s="611"/>
      <c r="Z124" s="56"/>
      <c r="AA124" s="56">
        <f>SUM(AA125:AA125)</f>
        <v>95339</v>
      </c>
      <c r="AB124" s="56"/>
      <c r="AC124" s="56"/>
      <c r="AD124" s="611"/>
      <c r="AE124" s="56"/>
      <c r="AF124" s="56">
        <f>SUM(AF125:AF125)</f>
        <v>0</v>
      </c>
      <c r="AG124" s="56"/>
      <c r="AH124" s="56"/>
      <c r="AI124" s="611"/>
      <c r="AJ124" s="56"/>
      <c r="AK124" s="56">
        <f>SUM(AK125:AK125)</f>
        <v>0</v>
      </c>
      <c r="AL124" s="56"/>
      <c r="AM124" s="56"/>
      <c r="AN124" s="611"/>
      <c r="AO124" s="56"/>
      <c r="AP124" s="56">
        <f>SUM(AP125:AP125)</f>
        <v>0</v>
      </c>
      <c r="AQ124" s="56"/>
      <c r="AR124" s="56"/>
      <c r="AS124" s="611"/>
      <c r="AT124" s="56"/>
      <c r="AU124" s="56">
        <f>SUM(AU125:AU125)</f>
        <v>0</v>
      </c>
      <c r="AV124" s="56"/>
      <c r="AW124" s="56"/>
      <c r="AX124" s="611"/>
      <c r="AY124" s="56"/>
      <c r="AZ124" s="56">
        <f>SUM(AZ125:AZ125)</f>
        <v>0</v>
      </c>
      <c r="BA124" s="56"/>
      <c r="BB124" s="56"/>
      <c r="BC124" s="611"/>
      <c r="BD124" s="56"/>
      <c r="BE124" s="56">
        <f>SUM(BE125:BE125)</f>
        <v>29969</v>
      </c>
      <c r="BF124" s="56"/>
      <c r="BG124" s="56"/>
      <c r="BH124" s="611"/>
      <c r="BI124" s="56"/>
      <c r="BJ124" s="56">
        <f>SUM(BJ125:BJ125)</f>
        <v>0</v>
      </c>
      <c r="BK124" s="56"/>
      <c r="BL124" s="56"/>
      <c r="BM124" s="611"/>
      <c r="BN124" s="56"/>
      <c r="BO124" s="56">
        <f>SUM(BO125:BO125)</f>
        <v>0</v>
      </c>
      <c r="BP124" s="56"/>
      <c r="BQ124" s="56"/>
      <c r="BR124" s="611"/>
      <c r="BS124" s="56"/>
      <c r="BT124" s="56">
        <f>SUM(BT125:BT125)</f>
        <v>125308</v>
      </c>
      <c r="BU124" s="56"/>
      <c r="BV124" s="56"/>
      <c r="BW124" s="611"/>
      <c r="BX124" s="56"/>
      <c r="BY124" s="56">
        <f>SUM(BY125:BY125)</f>
        <v>1390857</v>
      </c>
      <c r="BZ124" s="56"/>
      <c r="CA124" s="56"/>
      <c r="CB124" s="611"/>
      <c r="CC124" s="56"/>
      <c r="CD124" s="56">
        <f>SUM(CD125:CD125)</f>
        <v>0</v>
      </c>
      <c r="CE124" s="56"/>
      <c r="CF124" s="56"/>
      <c r="CG124" s="611"/>
      <c r="CH124" s="56"/>
      <c r="CI124" s="56">
        <f>SUM(CI125:CI125)</f>
        <v>0</v>
      </c>
      <c r="CJ124" s="56"/>
      <c r="CK124" s="56"/>
      <c r="CL124" s="611"/>
      <c r="CM124" s="56"/>
      <c r="CN124" s="56">
        <f>SUM(CN125:CN125)</f>
        <v>743035</v>
      </c>
      <c r="CO124" s="56"/>
      <c r="CP124" s="56"/>
      <c r="CQ124" s="611"/>
      <c r="CR124" s="56"/>
      <c r="CS124" s="56">
        <f>SUM(CS125:CS125)</f>
        <v>113087</v>
      </c>
      <c r="CT124" s="56"/>
      <c r="CU124" s="56"/>
      <c r="CV124" s="611"/>
      <c r="CW124" s="56"/>
      <c r="CX124" s="56">
        <f>SUM(CX125:CX125)</f>
        <v>0</v>
      </c>
      <c r="CY124" s="56"/>
      <c r="CZ124" s="56"/>
      <c r="DA124" s="611"/>
      <c r="DB124" s="56"/>
      <c r="DC124" s="56">
        <f>SUM(DC125:DC125)</f>
        <v>27624</v>
      </c>
      <c r="DD124" s="56"/>
      <c r="DE124" s="56"/>
      <c r="DF124" s="611"/>
      <c r="DG124" s="56"/>
      <c r="DH124" s="56">
        <f>SUM(DH125:DH125)</f>
        <v>0</v>
      </c>
      <c r="DI124" s="56"/>
      <c r="DJ124" s="56"/>
      <c r="DK124" s="611"/>
      <c r="DL124" s="56"/>
      <c r="DM124" s="56">
        <f>SUM(DM125:DM125)</f>
        <v>171068</v>
      </c>
      <c r="DN124" s="56"/>
      <c r="DO124" s="56"/>
      <c r="DP124" s="611"/>
      <c r="DQ124" s="56"/>
      <c r="DR124" s="56">
        <f>SUM(DR125:DR125)</f>
        <v>0</v>
      </c>
      <c r="DS124" s="56"/>
      <c r="DT124" s="56"/>
      <c r="DU124" s="611"/>
      <c r="DV124" s="56"/>
      <c r="DW124" s="56">
        <f>SUM(DW125:DW125)</f>
        <v>0</v>
      </c>
      <c r="DX124" s="56"/>
      <c r="DY124" s="56"/>
      <c r="DZ124" s="611"/>
      <c r="EA124" s="56"/>
      <c r="EB124" s="56">
        <f>SUM(EB125:EB125)</f>
        <v>248416</v>
      </c>
      <c r="EC124" s="56"/>
      <c r="ED124" s="56"/>
      <c r="EE124" s="611"/>
      <c r="EF124" s="56"/>
      <c r="EG124" s="56">
        <f>SUM(EG125:EG125)</f>
        <v>87627</v>
      </c>
      <c r="EH124" s="56"/>
      <c r="EI124" s="56"/>
      <c r="EJ124" s="611"/>
      <c r="EK124" s="56"/>
      <c r="EL124" s="56">
        <f>SUM(EL125:EL125)</f>
        <v>1054814</v>
      </c>
      <c r="EO124" s="144"/>
      <c r="EP124" s="42"/>
      <c r="EQ124" s="42"/>
    </row>
    <row r="125" spans="4:147" x14ac:dyDescent="0.3">
      <c r="D125" s="144" t="s">
        <v>335</v>
      </c>
      <c r="E125" s="494"/>
      <c r="F125" s="614"/>
      <c r="G125" s="618">
        <v>95339</v>
      </c>
      <c r="H125" s="616"/>
      <c r="I125" s="56"/>
      <c r="J125" s="611"/>
      <c r="K125" s="617"/>
      <c r="L125" s="618">
        <v>0</v>
      </c>
      <c r="M125" s="616"/>
      <c r="N125" s="56"/>
      <c r="O125" s="611"/>
      <c r="P125" s="617"/>
      <c r="Q125" s="618">
        <v>0</v>
      </c>
      <c r="R125" s="616"/>
      <c r="S125" s="56"/>
      <c r="T125" s="611"/>
      <c r="U125" s="617"/>
      <c r="V125" s="618">
        <v>0</v>
      </c>
      <c r="W125" s="616"/>
      <c r="X125" s="56"/>
      <c r="Y125" s="611"/>
      <c r="Z125" s="617"/>
      <c r="AA125" s="618">
        <v>95339</v>
      </c>
      <c r="AB125" s="616"/>
      <c r="AC125" s="56"/>
      <c r="AD125" s="611"/>
      <c r="AE125" s="617"/>
      <c r="AF125" s="618">
        <v>0</v>
      </c>
      <c r="AG125" s="616"/>
      <c r="AH125" s="56"/>
      <c r="AI125" s="611"/>
      <c r="AJ125" s="617"/>
      <c r="AK125" s="618">
        <v>0</v>
      </c>
      <c r="AL125" s="616"/>
      <c r="AM125" s="56"/>
      <c r="AN125" s="611"/>
      <c r="AO125" s="617"/>
      <c r="AP125" s="618">
        <v>0</v>
      </c>
      <c r="AQ125" s="616"/>
      <c r="AR125" s="56"/>
      <c r="AS125" s="611"/>
      <c r="AT125" s="617"/>
      <c r="AU125" s="618">
        <v>0</v>
      </c>
      <c r="AV125" s="616"/>
      <c r="AW125" s="56"/>
      <c r="AX125" s="611"/>
      <c r="AY125" s="617"/>
      <c r="AZ125" s="618">
        <v>0</v>
      </c>
      <c r="BA125" s="616"/>
      <c r="BB125" s="56"/>
      <c r="BC125" s="611"/>
      <c r="BD125" s="617"/>
      <c r="BE125" s="618">
        <v>29969</v>
      </c>
      <c r="BF125" s="616"/>
      <c r="BG125" s="56"/>
      <c r="BH125" s="611"/>
      <c r="BI125" s="617"/>
      <c r="BJ125" s="618">
        <v>0</v>
      </c>
      <c r="BK125" s="616"/>
      <c r="BL125" s="56"/>
      <c r="BM125" s="611"/>
      <c r="BN125" s="617"/>
      <c r="BO125" s="618">
        <v>0</v>
      </c>
      <c r="BP125" s="616"/>
      <c r="BQ125" s="56"/>
      <c r="BR125" s="611"/>
      <c r="BS125" s="617"/>
      <c r="BT125" s="618">
        <f>SUM(L125:BO125)</f>
        <v>125308</v>
      </c>
      <c r="BU125" s="616"/>
      <c r="BV125" s="56"/>
      <c r="BW125" s="611"/>
      <c r="BX125" s="617"/>
      <c r="BY125" s="618">
        <v>1390857</v>
      </c>
      <c r="BZ125" s="616"/>
      <c r="CA125" s="56"/>
      <c r="CB125" s="611"/>
      <c r="CC125" s="617"/>
      <c r="CD125" s="618">
        <v>0</v>
      </c>
      <c r="CE125" s="616"/>
      <c r="CF125" s="56"/>
      <c r="CG125" s="611"/>
      <c r="CH125" s="617"/>
      <c r="CI125" s="618">
        <v>0</v>
      </c>
      <c r="CJ125" s="616"/>
      <c r="CK125" s="56"/>
      <c r="CL125" s="611"/>
      <c r="CM125" s="617"/>
      <c r="CN125" s="618">
        <v>743035</v>
      </c>
      <c r="CO125" s="616"/>
      <c r="CP125" s="56"/>
      <c r="CQ125" s="611"/>
      <c r="CR125" s="617"/>
      <c r="CS125" s="618">
        <v>113087</v>
      </c>
      <c r="CT125" s="616"/>
      <c r="CU125" s="56"/>
      <c r="CV125" s="611"/>
      <c r="CW125" s="617"/>
      <c r="CX125" s="618">
        <v>0</v>
      </c>
      <c r="CY125" s="616"/>
      <c r="CZ125" s="56"/>
      <c r="DA125" s="611"/>
      <c r="DB125" s="617"/>
      <c r="DC125" s="618">
        <v>27624</v>
      </c>
      <c r="DD125" s="616"/>
      <c r="DE125" s="56"/>
      <c r="DF125" s="611"/>
      <c r="DG125" s="617"/>
      <c r="DH125" s="618">
        <v>0</v>
      </c>
      <c r="DI125" s="616"/>
      <c r="DJ125" s="56"/>
      <c r="DK125" s="611"/>
      <c r="DL125" s="617"/>
      <c r="DM125" s="618">
        <v>171068</v>
      </c>
      <c r="DN125" s="616"/>
      <c r="DO125" s="56"/>
      <c r="DP125" s="611"/>
      <c r="DQ125" s="617"/>
      <c r="DR125" s="618">
        <v>0</v>
      </c>
      <c r="DS125" s="616"/>
      <c r="DT125" s="56"/>
      <c r="DU125" s="611"/>
      <c r="DV125" s="617"/>
      <c r="DW125" s="618">
        <v>0</v>
      </c>
      <c r="DX125" s="616"/>
      <c r="DY125" s="56"/>
      <c r="DZ125" s="611"/>
      <c r="EA125" s="617"/>
      <c r="EB125" s="618">
        <v>248416</v>
      </c>
      <c r="EC125" s="616"/>
      <c r="ED125" s="56"/>
      <c r="EE125" s="611"/>
      <c r="EF125" s="617"/>
      <c r="EG125" s="618">
        <v>87627</v>
      </c>
      <c r="EH125" s="616"/>
      <c r="EI125" s="56"/>
      <c r="EJ125" s="611"/>
      <c r="EK125" s="617"/>
      <c r="EL125" s="618">
        <f t="shared" ref="EL125" si="8">SUM(CD125:DW125)</f>
        <v>1054814</v>
      </c>
      <c r="EM125" s="648"/>
      <c r="EO125" s="144"/>
      <c r="EP125" s="42"/>
      <c r="EQ125" s="42"/>
    </row>
    <row r="126" spans="4:147" x14ac:dyDescent="0.3">
      <c r="D126" s="144"/>
      <c r="E126" s="494"/>
      <c r="G126" s="56"/>
      <c r="H126" s="56"/>
      <c r="I126" s="56"/>
      <c r="J126" s="611"/>
      <c r="K126" s="56"/>
      <c r="L126" s="56"/>
      <c r="M126" s="56"/>
      <c r="N126" s="56"/>
      <c r="O126" s="611"/>
      <c r="P126" s="56"/>
      <c r="Q126" s="56"/>
      <c r="R126" s="56"/>
      <c r="S126" s="56"/>
      <c r="T126" s="611"/>
      <c r="U126" s="56"/>
      <c r="V126" s="56"/>
      <c r="W126" s="56"/>
      <c r="X126" s="56"/>
      <c r="Y126" s="611"/>
      <c r="Z126" s="56"/>
      <c r="AA126" s="56"/>
      <c r="AB126" s="56"/>
      <c r="AC126" s="56"/>
      <c r="AD126" s="611"/>
      <c r="AE126" s="56"/>
      <c r="AF126" s="56"/>
      <c r="AG126" s="56"/>
      <c r="AH126" s="56"/>
      <c r="AI126" s="611"/>
      <c r="AJ126" s="56"/>
      <c r="AK126" s="56"/>
      <c r="AL126" s="56"/>
      <c r="AM126" s="56"/>
      <c r="AN126" s="611"/>
      <c r="AO126" s="56"/>
      <c r="AP126" s="56"/>
      <c r="AQ126" s="56"/>
      <c r="AR126" s="56"/>
      <c r="AS126" s="611"/>
      <c r="AT126" s="56"/>
      <c r="AU126" s="56"/>
      <c r="AV126" s="56"/>
      <c r="AW126" s="56"/>
      <c r="AX126" s="611"/>
      <c r="AY126" s="56"/>
      <c r="AZ126" s="56"/>
      <c r="BA126" s="56"/>
      <c r="BB126" s="56"/>
      <c r="BC126" s="611"/>
      <c r="BD126" s="56"/>
      <c r="BE126" s="56"/>
      <c r="BF126" s="56"/>
      <c r="BG126" s="56"/>
      <c r="BH126" s="611"/>
      <c r="BI126" s="56"/>
      <c r="BJ126" s="56"/>
      <c r="BK126" s="56"/>
      <c r="BL126" s="56"/>
      <c r="BM126" s="611"/>
      <c r="BN126" s="56"/>
      <c r="BO126" s="56"/>
      <c r="BP126" s="56"/>
      <c r="BQ126" s="56"/>
      <c r="BR126" s="611"/>
      <c r="BS126" s="56"/>
      <c r="BT126" s="56"/>
      <c r="BU126" s="56"/>
      <c r="BV126" s="56"/>
      <c r="BW126" s="611"/>
      <c r="BX126" s="56"/>
      <c r="BY126" s="56"/>
      <c r="BZ126" s="56"/>
      <c r="CA126" s="56"/>
      <c r="CB126" s="611"/>
      <c r="CC126" s="56"/>
      <c r="CD126" s="56"/>
      <c r="CE126" s="56"/>
      <c r="CF126" s="56"/>
      <c r="CG126" s="611"/>
      <c r="CH126" s="56"/>
      <c r="CI126" s="56"/>
      <c r="CJ126" s="56"/>
      <c r="CK126" s="56"/>
      <c r="CL126" s="611"/>
      <c r="CM126" s="56"/>
      <c r="CN126" s="56"/>
      <c r="CO126" s="56"/>
      <c r="CP126" s="56"/>
      <c r="CQ126" s="611"/>
      <c r="CR126" s="56"/>
      <c r="CS126" s="56"/>
      <c r="CT126" s="56"/>
      <c r="CU126" s="56"/>
      <c r="CV126" s="611"/>
      <c r="CW126" s="56"/>
      <c r="CX126" s="56"/>
      <c r="CY126" s="56"/>
      <c r="CZ126" s="56"/>
      <c r="DA126" s="611"/>
      <c r="DB126" s="56"/>
      <c r="DC126" s="56"/>
      <c r="DD126" s="56"/>
      <c r="DE126" s="56"/>
      <c r="DF126" s="611"/>
      <c r="DG126" s="56"/>
      <c r="DH126" s="56"/>
      <c r="DI126" s="56"/>
      <c r="DJ126" s="56"/>
      <c r="DK126" s="611"/>
      <c r="DL126" s="56"/>
      <c r="DM126" s="56"/>
      <c r="DN126" s="56"/>
      <c r="DO126" s="56"/>
      <c r="DP126" s="611"/>
      <c r="DQ126" s="56"/>
      <c r="DR126" s="56"/>
      <c r="DS126" s="56"/>
      <c r="DT126" s="56"/>
      <c r="DU126" s="611"/>
      <c r="DV126" s="56"/>
      <c r="DW126" s="56"/>
      <c r="DX126" s="56"/>
      <c r="DY126" s="56"/>
      <c r="DZ126" s="611"/>
      <c r="EA126" s="56"/>
      <c r="EB126" s="56"/>
      <c r="EC126" s="56"/>
      <c r="ED126" s="56"/>
      <c r="EE126" s="611"/>
      <c r="EF126" s="56"/>
      <c r="EG126" s="56"/>
      <c r="EH126" s="56"/>
      <c r="EI126" s="56"/>
      <c r="EJ126" s="611"/>
      <c r="EK126" s="56"/>
      <c r="EL126" s="56"/>
      <c r="EO126" s="144"/>
      <c r="EP126" s="42"/>
      <c r="EQ126" s="42"/>
    </row>
    <row r="127" spans="4:147" x14ac:dyDescent="0.3">
      <c r="D127" s="144" t="s">
        <v>344</v>
      </c>
      <c r="E127" s="494"/>
      <c r="G127" s="56">
        <f>SUM(G128:G128)</f>
        <v>161641</v>
      </c>
      <c r="H127" s="56"/>
      <c r="I127" s="56"/>
      <c r="J127" s="611"/>
      <c r="K127" s="56"/>
      <c r="L127" s="56">
        <f>SUM(L128:L128)</f>
        <v>161641</v>
      </c>
      <c r="M127" s="56">
        <f>SUM(M128:M128)</f>
        <v>0</v>
      </c>
      <c r="N127" s="56"/>
      <c r="O127" s="611"/>
      <c r="Q127" s="56">
        <f>SUM(Q128:Q128)</f>
        <v>0</v>
      </c>
      <c r="R127" s="56"/>
      <c r="S127" s="56"/>
      <c r="T127" s="611"/>
      <c r="V127" s="56">
        <f>SUM(V128:V128)</f>
        <v>0</v>
      </c>
      <c r="W127" s="56"/>
      <c r="X127" s="56"/>
      <c r="Y127" s="611"/>
      <c r="AA127" s="56">
        <f>SUM(AA128:AA128)</f>
        <v>0</v>
      </c>
      <c r="AB127" s="56"/>
      <c r="AC127" s="56"/>
      <c r="AD127" s="611"/>
      <c r="AF127" s="56">
        <f>SUM(AF128:AF128)</f>
        <v>0</v>
      </c>
      <c r="AG127" s="56"/>
      <c r="AH127" s="56"/>
      <c r="AI127" s="611"/>
      <c r="AK127" s="56">
        <f>SUM(AK128:AK128)</f>
        <v>0</v>
      </c>
      <c r="AL127" s="56"/>
      <c r="AM127" s="56"/>
      <c r="AN127" s="611"/>
      <c r="AP127" s="56">
        <f>SUM(AP128:AP128)</f>
        <v>281536</v>
      </c>
      <c r="AQ127" s="56"/>
      <c r="AR127" s="56"/>
      <c r="AS127" s="611"/>
      <c r="AU127" s="56">
        <f>SUM(AU128:AU128)</f>
        <v>0</v>
      </c>
      <c r="AV127" s="56"/>
      <c r="AW127" s="56"/>
      <c r="AX127" s="611"/>
      <c r="AZ127" s="56">
        <f>SUM(AZ128:AZ128)</f>
        <v>0</v>
      </c>
      <c r="BA127" s="56"/>
      <c r="BB127" s="56"/>
      <c r="BC127" s="611"/>
      <c r="BE127" s="56">
        <f>SUM(BE128:BE128)</f>
        <v>0</v>
      </c>
      <c r="BF127" s="56"/>
      <c r="BG127" s="56"/>
      <c r="BH127" s="611"/>
      <c r="BJ127" s="56">
        <f>SUM(BJ128:BJ128)</f>
        <v>0</v>
      </c>
      <c r="BK127" s="56"/>
      <c r="BL127" s="56"/>
      <c r="BM127" s="611"/>
      <c r="BO127" s="56">
        <f>SUM(BO128:BO128)</f>
        <v>0</v>
      </c>
      <c r="BP127" s="56"/>
      <c r="BQ127" s="56"/>
      <c r="BR127" s="611"/>
      <c r="BT127" s="56">
        <f>SUM(BT128:BT128)</f>
        <v>443177</v>
      </c>
      <c r="BU127" s="56"/>
      <c r="BV127" s="56"/>
      <c r="BW127" s="611"/>
      <c r="BY127" s="56">
        <f>SUM(BY128:BY128)</f>
        <v>482070</v>
      </c>
      <c r="BZ127" s="56"/>
      <c r="CA127" s="56"/>
      <c r="CB127" s="611"/>
      <c r="CC127" s="56"/>
      <c r="CD127" s="136">
        <f>SUM(CD128:CD128)</f>
        <v>0</v>
      </c>
      <c r="CE127" s="56">
        <f>SUM(CE128:CE128)</f>
        <v>0</v>
      </c>
      <c r="CF127" s="56"/>
      <c r="CG127" s="611"/>
      <c r="CI127" s="136">
        <f>SUM(CI128:CI128)</f>
        <v>0</v>
      </c>
      <c r="CJ127" s="56"/>
      <c r="CK127" s="56"/>
      <c r="CL127" s="611"/>
      <c r="CN127" s="136">
        <f>SUM(CN128:CN128)</f>
        <v>0</v>
      </c>
      <c r="CO127" s="56"/>
      <c r="CP127" s="56"/>
      <c r="CQ127" s="611"/>
      <c r="CS127" s="136">
        <f>SUM(CS128:CS128)</f>
        <v>0</v>
      </c>
      <c r="CT127" s="56"/>
      <c r="CU127" s="56"/>
      <c r="CV127" s="611"/>
      <c r="CX127" s="136">
        <f>SUM(CX128:CX128)</f>
        <v>0</v>
      </c>
      <c r="CY127" s="56"/>
      <c r="CZ127" s="56"/>
      <c r="DA127" s="611"/>
      <c r="DC127" s="136">
        <f>SUM(DC128:DC128)</f>
        <v>0</v>
      </c>
      <c r="DD127" s="56"/>
      <c r="DE127" s="56"/>
      <c r="DF127" s="611"/>
      <c r="DH127" s="136">
        <f>SUM(DH128:DH128)</f>
        <v>425997</v>
      </c>
      <c r="DI127" s="56"/>
      <c r="DJ127" s="56"/>
      <c r="DK127" s="611"/>
      <c r="DM127" s="136">
        <f>SUM(DM128:DM128)</f>
        <v>0</v>
      </c>
      <c r="DN127" s="56"/>
      <c r="DO127" s="56"/>
      <c r="DP127" s="611"/>
      <c r="DR127" s="136">
        <f>SUM(DR128:DR128)</f>
        <v>0</v>
      </c>
      <c r="DS127" s="56"/>
      <c r="DT127" s="56"/>
      <c r="DU127" s="611"/>
      <c r="DW127" s="136">
        <f>SUM(DW128:DW128)</f>
        <v>0</v>
      </c>
      <c r="DX127" s="56"/>
      <c r="DY127" s="56"/>
      <c r="DZ127" s="611"/>
      <c r="EB127" s="136">
        <f>SUM(EB128:EB128)</f>
        <v>56073</v>
      </c>
      <c r="EC127" s="56"/>
      <c r="ED127" s="56"/>
      <c r="EE127" s="611"/>
      <c r="EG127" s="56">
        <f>SUM(EG128:EG128)</f>
        <v>0</v>
      </c>
      <c r="EH127" s="56"/>
      <c r="EI127" s="56"/>
      <c r="EJ127" s="611"/>
      <c r="EL127" s="56">
        <f>SUM(EL128:EL128)</f>
        <v>425997</v>
      </c>
      <c r="EM127" s="56"/>
      <c r="EO127" s="144"/>
      <c r="EP127" s="42"/>
      <c r="EQ127" s="42"/>
    </row>
    <row r="128" spans="4:147" x14ac:dyDescent="0.3">
      <c r="D128" s="144" t="s">
        <v>335</v>
      </c>
      <c r="E128" s="494"/>
      <c r="F128" s="614"/>
      <c r="G128" s="618">
        <v>161641</v>
      </c>
      <c r="H128" s="616"/>
      <c r="I128" s="56"/>
      <c r="J128" s="611"/>
      <c r="K128" s="617"/>
      <c r="L128" s="618">
        <v>161641</v>
      </c>
      <c r="M128" s="616"/>
      <c r="N128" s="52"/>
      <c r="O128" s="611"/>
      <c r="P128" s="614"/>
      <c r="Q128" s="618">
        <v>0</v>
      </c>
      <c r="R128" s="616"/>
      <c r="S128" s="56"/>
      <c r="T128" s="611"/>
      <c r="U128" s="614"/>
      <c r="V128" s="618">
        <v>0</v>
      </c>
      <c r="W128" s="616"/>
      <c r="X128" s="56"/>
      <c r="Y128" s="611"/>
      <c r="Z128" s="614"/>
      <c r="AA128" s="618">
        <v>0</v>
      </c>
      <c r="AB128" s="616"/>
      <c r="AC128" s="56"/>
      <c r="AD128" s="611"/>
      <c r="AE128" s="614"/>
      <c r="AF128" s="618">
        <v>0</v>
      </c>
      <c r="AG128" s="616"/>
      <c r="AH128" s="56"/>
      <c r="AI128" s="611"/>
      <c r="AJ128" s="614"/>
      <c r="AK128" s="618">
        <v>0</v>
      </c>
      <c r="AL128" s="616"/>
      <c r="AM128" s="56"/>
      <c r="AN128" s="611"/>
      <c r="AO128" s="614"/>
      <c r="AP128" s="618">
        <v>281536</v>
      </c>
      <c r="AQ128" s="616"/>
      <c r="AR128" s="56"/>
      <c r="AS128" s="611"/>
      <c r="AT128" s="614"/>
      <c r="AU128" s="618">
        <v>0</v>
      </c>
      <c r="AV128" s="616"/>
      <c r="AW128" s="56"/>
      <c r="AX128" s="611"/>
      <c r="AY128" s="614"/>
      <c r="AZ128" s="618">
        <v>0</v>
      </c>
      <c r="BA128" s="616"/>
      <c r="BB128" s="56"/>
      <c r="BC128" s="611"/>
      <c r="BD128" s="614"/>
      <c r="BE128" s="618">
        <v>0</v>
      </c>
      <c r="BF128" s="616"/>
      <c r="BG128" s="56"/>
      <c r="BH128" s="611"/>
      <c r="BI128" s="614"/>
      <c r="BJ128" s="618">
        <v>0</v>
      </c>
      <c r="BK128" s="616"/>
      <c r="BL128" s="56"/>
      <c r="BM128" s="611"/>
      <c r="BN128" s="614"/>
      <c r="BO128" s="618">
        <v>0</v>
      </c>
      <c r="BP128" s="616"/>
      <c r="BQ128" s="56"/>
      <c r="BR128" s="611"/>
      <c r="BS128" s="614"/>
      <c r="BT128" s="618">
        <f>SUM(L128:BO128)</f>
        <v>443177</v>
      </c>
      <c r="BU128" s="616"/>
      <c r="BV128" s="56"/>
      <c r="BW128" s="611"/>
      <c r="BX128" s="614"/>
      <c r="BY128" s="618">
        <v>482070</v>
      </c>
      <c r="BZ128" s="616"/>
      <c r="CA128" s="56"/>
      <c r="CB128" s="611"/>
      <c r="CC128" s="617"/>
      <c r="CD128" s="618">
        <v>0</v>
      </c>
      <c r="CE128" s="616"/>
      <c r="CF128" s="52"/>
      <c r="CG128" s="611"/>
      <c r="CH128" s="614"/>
      <c r="CI128" s="618">
        <v>0</v>
      </c>
      <c r="CJ128" s="616"/>
      <c r="CK128" s="56"/>
      <c r="CL128" s="611"/>
      <c r="CM128" s="614"/>
      <c r="CN128" s="618">
        <v>0</v>
      </c>
      <c r="CO128" s="616"/>
      <c r="CP128" s="56"/>
      <c r="CQ128" s="611"/>
      <c r="CR128" s="614"/>
      <c r="CS128" s="618">
        <v>0</v>
      </c>
      <c r="CT128" s="616"/>
      <c r="CU128" s="56"/>
      <c r="CV128" s="611"/>
      <c r="CW128" s="614"/>
      <c r="CX128" s="618">
        <v>0</v>
      </c>
      <c r="CY128" s="616"/>
      <c r="CZ128" s="56"/>
      <c r="DA128" s="611"/>
      <c r="DB128" s="614"/>
      <c r="DC128" s="618">
        <v>0</v>
      </c>
      <c r="DD128" s="616"/>
      <c r="DE128" s="56"/>
      <c r="DF128" s="611"/>
      <c r="DG128" s="614"/>
      <c r="DH128" s="618">
        <v>425997</v>
      </c>
      <c r="DI128" s="616"/>
      <c r="DJ128" s="56"/>
      <c r="DK128" s="611"/>
      <c r="DL128" s="614"/>
      <c r="DM128" s="618">
        <v>0</v>
      </c>
      <c r="DN128" s="616"/>
      <c r="DO128" s="56"/>
      <c r="DP128" s="611"/>
      <c r="DQ128" s="614"/>
      <c r="DR128" s="618">
        <v>0</v>
      </c>
      <c r="DS128" s="616"/>
      <c r="DT128" s="56"/>
      <c r="DU128" s="611"/>
      <c r="DV128" s="614"/>
      <c r="DW128" s="618">
        <v>0</v>
      </c>
      <c r="DX128" s="616"/>
      <c r="DY128" s="56"/>
      <c r="DZ128" s="611"/>
      <c r="EA128" s="614"/>
      <c r="EB128" s="618">
        <v>56073</v>
      </c>
      <c r="EC128" s="616"/>
      <c r="ED128" s="56"/>
      <c r="EE128" s="611"/>
      <c r="EF128" s="614"/>
      <c r="EG128" s="618">
        <v>0</v>
      </c>
      <c r="EH128" s="616"/>
      <c r="EI128" s="56"/>
      <c r="EJ128" s="611"/>
      <c r="EK128" s="614"/>
      <c r="EL128" s="618">
        <f t="shared" ref="EL128" si="9">SUM(CD128:DW128)</f>
        <v>425997</v>
      </c>
      <c r="EM128" s="616"/>
      <c r="EO128" s="144"/>
      <c r="EP128" s="42"/>
      <c r="EQ128" s="42"/>
    </row>
    <row r="129" spans="4:147" x14ac:dyDescent="0.3">
      <c r="D129" s="144"/>
      <c r="E129" s="494"/>
      <c r="G129" s="56"/>
      <c r="H129" s="56"/>
      <c r="I129" s="56"/>
      <c r="J129" s="611"/>
      <c r="K129" s="56"/>
      <c r="L129" s="56"/>
      <c r="M129" s="56"/>
      <c r="N129" s="56"/>
      <c r="O129" s="611"/>
      <c r="P129" s="56"/>
      <c r="Q129" s="56"/>
      <c r="R129" s="56"/>
      <c r="S129" s="56"/>
      <c r="T129" s="611"/>
      <c r="U129" s="56"/>
      <c r="V129" s="56"/>
      <c r="W129" s="56"/>
      <c r="X129" s="56"/>
      <c r="Y129" s="611"/>
      <c r="Z129" s="56"/>
      <c r="AA129" s="56"/>
      <c r="AB129" s="56"/>
      <c r="AC129" s="56"/>
      <c r="AD129" s="611"/>
      <c r="AE129" s="56"/>
      <c r="AF129" s="56"/>
      <c r="AG129" s="56"/>
      <c r="AH129" s="56"/>
      <c r="AI129" s="611"/>
      <c r="AJ129" s="56"/>
      <c r="AK129" s="56"/>
      <c r="AL129" s="56"/>
      <c r="AM129" s="56"/>
      <c r="AN129" s="611"/>
      <c r="AO129" s="56"/>
      <c r="AP129" s="56"/>
      <c r="AQ129" s="56"/>
      <c r="AR129" s="56"/>
      <c r="AS129" s="611"/>
      <c r="AT129" s="56"/>
      <c r="AU129" s="56"/>
      <c r="AV129" s="56"/>
      <c r="AW129" s="56"/>
      <c r="AX129" s="611"/>
      <c r="AY129" s="56"/>
      <c r="AZ129" s="56"/>
      <c r="BA129" s="56"/>
      <c r="BB129" s="56"/>
      <c r="BC129" s="611"/>
      <c r="BD129" s="56"/>
      <c r="BE129" s="56"/>
      <c r="BF129" s="56"/>
      <c r="BG129" s="56"/>
      <c r="BH129" s="611"/>
      <c r="BI129" s="56"/>
      <c r="BJ129" s="56"/>
      <c r="BK129" s="56"/>
      <c r="BL129" s="56"/>
      <c r="BM129" s="611"/>
      <c r="BN129" s="56"/>
      <c r="BO129" s="56"/>
      <c r="BP129" s="56"/>
      <c r="BQ129" s="56"/>
      <c r="BR129" s="611"/>
      <c r="BS129" s="56"/>
      <c r="BT129" s="56"/>
      <c r="BU129" s="56"/>
      <c r="BV129" s="56"/>
      <c r="BW129" s="611"/>
      <c r="BX129" s="56"/>
      <c r="BY129" s="56"/>
      <c r="BZ129" s="56"/>
      <c r="CA129" s="56"/>
      <c r="CB129" s="611"/>
      <c r="CC129" s="56"/>
      <c r="CD129" s="56"/>
      <c r="CE129" s="56"/>
      <c r="CF129" s="56"/>
      <c r="CG129" s="611"/>
      <c r="CH129" s="56"/>
      <c r="CI129" s="56"/>
      <c r="CJ129" s="56"/>
      <c r="CK129" s="56"/>
      <c r="CL129" s="611"/>
      <c r="CM129" s="56"/>
      <c r="CN129" s="56"/>
      <c r="CO129" s="56"/>
      <c r="CP129" s="56"/>
      <c r="CQ129" s="611"/>
      <c r="CR129" s="56"/>
      <c r="CS129" s="56"/>
      <c r="CT129" s="56"/>
      <c r="CU129" s="56"/>
      <c r="CV129" s="611"/>
      <c r="CW129" s="56"/>
      <c r="CX129" s="56"/>
      <c r="CY129" s="56"/>
      <c r="CZ129" s="56"/>
      <c r="DA129" s="611"/>
      <c r="DB129" s="56"/>
      <c r="DC129" s="56"/>
      <c r="DD129" s="56"/>
      <c r="DE129" s="56"/>
      <c r="DF129" s="611"/>
      <c r="DG129" s="56"/>
      <c r="DH129" s="56"/>
      <c r="DI129" s="56"/>
      <c r="DJ129" s="56"/>
      <c r="DK129" s="611"/>
      <c r="DL129" s="56"/>
      <c r="DM129" s="56"/>
      <c r="DN129" s="56"/>
      <c r="DO129" s="56"/>
      <c r="DP129" s="611"/>
      <c r="DQ129" s="56"/>
      <c r="DR129" s="56"/>
      <c r="DS129" s="56"/>
      <c r="DT129" s="56"/>
      <c r="DU129" s="611"/>
      <c r="DV129" s="56"/>
      <c r="DW129" s="56"/>
      <c r="DX129" s="56"/>
      <c r="DY129" s="56"/>
      <c r="DZ129" s="611"/>
      <c r="EA129" s="56"/>
      <c r="EB129" s="56"/>
      <c r="EC129" s="56"/>
      <c r="ED129" s="56"/>
      <c r="EE129" s="611"/>
      <c r="EF129" s="56"/>
      <c r="EG129" s="56"/>
      <c r="EH129" s="56"/>
      <c r="EI129" s="56"/>
      <c r="EJ129" s="611"/>
      <c r="EK129" s="56"/>
      <c r="EL129" s="56"/>
      <c r="EO129" s="144"/>
      <c r="EP129" s="42"/>
      <c r="EQ129" s="42"/>
    </row>
    <row r="130" spans="4:147" hidden="1" x14ac:dyDescent="0.3">
      <c r="D130" s="144" t="s">
        <v>345</v>
      </c>
      <c r="E130" s="494"/>
      <c r="G130" s="56">
        <f>SUM(G131:G131)</f>
        <v>0</v>
      </c>
      <c r="H130" s="56"/>
      <c r="I130" s="56"/>
      <c r="J130" s="611"/>
      <c r="K130" s="56"/>
      <c r="L130" s="56">
        <f>SUM(L131:L131)</f>
        <v>0</v>
      </c>
      <c r="M130" s="56">
        <f>SUM(M131:M131)</f>
        <v>0</v>
      </c>
      <c r="N130" s="56"/>
      <c r="O130" s="611"/>
      <c r="Q130" s="56">
        <f>SUM(Q131:Q131)</f>
        <v>0</v>
      </c>
      <c r="R130" s="56"/>
      <c r="S130" s="56"/>
      <c r="T130" s="611"/>
      <c r="V130" s="56">
        <f>SUM(V131:V131)</f>
        <v>0</v>
      </c>
      <c r="W130" s="56"/>
      <c r="X130" s="56"/>
      <c r="Y130" s="611"/>
      <c r="AA130" s="56">
        <f>SUM(AA131:AA131)</f>
        <v>0</v>
      </c>
      <c r="AB130" s="56"/>
      <c r="AC130" s="56"/>
      <c r="AD130" s="611"/>
      <c r="AF130" s="56">
        <f>SUM(AF131:AF131)</f>
        <v>0</v>
      </c>
      <c r="AG130" s="56"/>
      <c r="AH130" s="56"/>
      <c r="AI130" s="611"/>
      <c r="AK130" s="56">
        <f>SUM(AK131:AK131)</f>
        <v>0</v>
      </c>
      <c r="AL130" s="56"/>
      <c r="AM130" s="56"/>
      <c r="AN130" s="611"/>
      <c r="AP130" s="56">
        <f>SUM(AP131:AP131)</f>
        <v>0</v>
      </c>
      <c r="AQ130" s="56"/>
      <c r="AR130" s="56"/>
      <c r="AS130" s="611"/>
      <c r="AU130" s="56">
        <f>SUM(AU131:AU131)</f>
        <v>0</v>
      </c>
      <c r="AV130" s="56"/>
      <c r="AW130" s="56"/>
      <c r="AX130" s="611"/>
      <c r="AZ130" s="56">
        <f>SUM(AZ131:AZ131)</f>
        <v>0</v>
      </c>
      <c r="BA130" s="56"/>
      <c r="BB130" s="56"/>
      <c r="BC130" s="611"/>
      <c r="BE130" s="56">
        <f>SUM(BE131:BE131)</f>
        <v>0</v>
      </c>
      <c r="BF130" s="56"/>
      <c r="BG130" s="56"/>
      <c r="BH130" s="611"/>
      <c r="BJ130" s="56">
        <f>SUM(BJ131:BJ131)</f>
        <v>0</v>
      </c>
      <c r="BK130" s="56"/>
      <c r="BL130" s="56"/>
      <c r="BM130" s="611"/>
      <c r="BO130" s="56">
        <f>SUM(BO131:BO131)</f>
        <v>0</v>
      </c>
      <c r="BP130" s="56"/>
      <c r="BQ130" s="56"/>
      <c r="BR130" s="611"/>
      <c r="BT130" s="56">
        <f>SUM(BT131:BT131)</f>
        <v>0</v>
      </c>
      <c r="BU130" s="56"/>
      <c r="BV130" s="56"/>
      <c r="BW130" s="611"/>
      <c r="BY130" s="56">
        <f>SUM(BY131:BY131)</f>
        <v>0</v>
      </c>
      <c r="BZ130" s="56"/>
      <c r="CA130" s="56"/>
      <c r="CB130" s="611"/>
      <c r="CC130" s="56"/>
      <c r="CD130" s="136">
        <f>SUM(CD131:CD131)</f>
        <v>0</v>
      </c>
      <c r="CE130" s="56">
        <f>SUM(CE131:CE131)</f>
        <v>0</v>
      </c>
      <c r="CF130" s="56"/>
      <c r="CG130" s="611"/>
      <c r="CI130" s="136">
        <f>SUM(CI131:CI131)</f>
        <v>0</v>
      </c>
      <c r="CJ130" s="56"/>
      <c r="CK130" s="56"/>
      <c r="CL130" s="611"/>
      <c r="CN130" s="136">
        <f>SUM(CN131:CN131)</f>
        <v>0</v>
      </c>
      <c r="CO130" s="56"/>
      <c r="CP130" s="56"/>
      <c r="CQ130" s="611"/>
      <c r="CS130" s="136">
        <f>SUM(CS131:CS131)</f>
        <v>0</v>
      </c>
      <c r="CT130" s="56"/>
      <c r="CU130" s="56"/>
      <c r="CV130" s="611"/>
      <c r="CX130" s="136">
        <f>SUM(CX131:CX131)</f>
        <v>0</v>
      </c>
      <c r="CY130" s="56"/>
      <c r="CZ130" s="56"/>
      <c r="DA130" s="611"/>
      <c r="DC130" s="136">
        <f>SUM(DC131:DC131)</f>
        <v>0</v>
      </c>
      <c r="DD130" s="56"/>
      <c r="DE130" s="56"/>
      <c r="DF130" s="611"/>
      <c r="DH130" s="136">
        <f>SUM(DH131:DH131)</f>
        <v>0</v>
      </c>
      <c r="DI130" s="56"/>
      <c r="DJ130" s="56"/>
      <c r="DK130" s="611"/>
      <c r="DM130" s="136">
        <f>SUM(DM131:DM131)</f>
        <v>0</v>
      </c>
      <c r="DN130" s="56"/>
      <c r="DO130" s="56"/>
      <c r="DP130" s="611"/>
      <c r="DR130" s="136">
        <f>SUM(DR131:DR131)</f>
        <v>0</v>
      </c>
      <c r="DS130" s="56"/>
      <c r="DT130" s="56"/>
      <c r="DU130" s="611"/>
      <c r="DW130" s="136">
        <f>SUM(DW131:DW131)</f>
        <v>0</v>
      </c>
      <c r="DX130" s="56"/>
      <c r="DY130" s="56"/>
      <c r="DZ130" s="611"/>
      <c r="EB130" s="136">
        <f>SUM(EB131:EB131)</f>
        <v>0</v>
      </c>
      <c r="EC130" s="56"/>
      <c r="ED130" s="56"/>
      <c r="EE130" s="611"/>
      <c r="EG130" s="56">
        <f>SUM(EG131:EG131)</f>
        <v>0</v>
      </c>
      <c r="EH130" s="56"/>
      <c r="EI130" s="56"/>
      <c r="EJ130" s="611"/>
      <c r="EL130" s="56">
        <f>SUM(EL131:EL131)</f>
        <v>0</v>
      </c>
      <c r="EM130" s="56"/>
      <c r="EO130" s="144"/>
      <c r="EP130" s="42"/>
      <c r="EQ130" s="42"/>
    </row>
    <row r="131" spans="4:147" hidden="1" x14ac:dyDescent="0.3">
      <c r="D131" s="144" t="s">
        <v>335</v>
      </c>
      <c r="E131" s="494"/>
      <c r="F131" s="614"/>
      <c r="G131" s="618">
        <v>0</v>
      </c>
      <c r="H131" s="616"/>
      <c r="I131" s="56"/>
      <c r="J131" s="611"/>
      <c r="K131" s="617"/>
      <c r="L131" s="618">
        <v>0</v>
      </c>
      <c r="M131" s="616"/>
      <c r="N131" s="52"/>
      <c r="O131" s="611"/>
      <c r="P131" s="614"/>
      <c r="Q131" s="618">
        <v>0</v>
      </c>
      <c r="R131" s="616"/>
      <c r="S131" s="56"/>
      <c r="T131" s="611"/>
      <c r="U131" s="614"/>
      <c r="V131" s="618">
        <v>0</v>
      </c>
      <c r="W131" s="616"/>
      <c r="X131" s="56"/>
      <c r="Y131" s="611"/>
      <c r="Z131" s="614"/>
      <c r="AA131" s="618">
        <v>0</v>
      </c>
      <c r="AB131" s="616"/>
      <c r="AC131" s="56"/>
      <c r="AD131" s="611"/>
      <c r="AE131" s="614"/>
      <c r="AF131" s="618">
        <v>0</v>
      </c>
      <c r="AG131" s="616"/>
      <c r="AH131" s="56"/>
      <c r="AI131" s="611"/>
      <c r="AJ131" s="614"/>
      <c r="AK131" s="618">
        <v>0</v>
      </c>
      <c r="AL131" s="616"/>
      <c r="AM131" s="56"/>
      <c r="AN131" s="611"/>
      <c r="AO131" s="614"/>
      <c r="AP131" s="618">
        <v>0</v>
      </c>
      <c r="AQ131" s="616"/>
      <c r="AR131" s="56"/>
      <c r="AS131" s="611"/>
      <c r="AT131" s="614"/>
      <c r="AU131" s="618">
        <v>0</v>
      </c>
      <c r="AV131" s="616"/>
      <c r="AW131" s="56"/>
      <c r="AX131" s="611"/>
      <c r="AY131" s="614"/>
      <c r="AZ131" s="618">
        <v>0</v>
      </c>
      <c r="BA131" s="616"/>
      <c r="BB131" s="56"/>
      <c r="BC131" s="611"/>
      <c r="BD131" s="614"/>
      <c r="BE131" s="618">
        <v>0</v>
      </c>
      <c r="BF131" s="616"/>
      <c r="BG131" s="56"/>
      <c r="BH131" s="611"/>
      <c r="BI131" s="614"/>
      <c r="BJ131" s="618">
        <v>0</v>
      </c>
      <c r="BK131" s="616"/>
      <c r="BL131" s="56"/>
      <c r="BM131" s="611"/>
      <c r="BN131" s="614"/>
      <c r="BO131" s="618">
        <v>0</v>
      </c>
      <c r="BP131" s="616"/>
      <c r="BQ131" s="56"/>
      <c r="BR131" s="611"/>
      <c r="BS131" s="614"/>
      <c r="BT131" s="618">
        <f>SUM(L131:BO131)</f>
        <v>0</v>
      </c>
      <c r="BU131" s="616"/>
      <c r="BV131" s="56"/>
      <c r="BW131" s="611"/>
      <c r="BX131" s="614"/>
      <c r="BY131" s="618">
        <v>0</v>
      </c>
      <c r="BZ131" s="616"/>
      <c r="CA131" s="56"/>
      <c r="CB131" s="611"/>
      <c r="CC131" s="617"/>
      <c r="CD131" s="618">
        <v>0</v>
      </c>
      <c r="CE131" s="616"/>
      <c r="CF131" s="52"/>
      <c r="CG131" s="611"/>
      <c r="CH131" s="614"/>
      <c r="CI131" s="618">
        <v>0</v>
      </c>
      <c r="CJ131" s="616"/>
      <c r="CK131" s="56"/>
      <c r="CL131" s="611"/>
      <c r="CM131" s="614"/>
      <c r="CN131" s="618">
        <v>0</v>
      </c>
      <c r="CO131" s="616"/>
      <c r="CP131" s="56"/>
      <c r="CQ131" s="611"/>
      <c r="CR131" s="614"/>
      <c r="CS131" s="618">
        <v>0</v>
      </c>
      <c r="CT131" s="616"/>
      <c r="CU131" s="56"/>
      <c r="CV131" s="611"/>
      <c r="CW131" s="614"/>
      <c r="CX131" s="618">
        <v>0</v>
      </c>
      <c r="CY131" s="616"/>
      <c r="CZ131" s="56"/>
      <c r="DA131" s="611"/>
      <c r="DB131" s="614"/>
      <c r="DC131" s="618">
        <v>0</v>
      </c>
      <c r="DD131" s="616"/>
      <c r="DE131" s="56"/>
      <c r="DF131" s="611"/>
      <c r="DG131" s="614"/>
      <c r="DH131" s="618">
        <v>0</v>
      </c>
      <c r="DI131" s="616"/>
      <c r="DJ131" s="56"/>
      <c r="DK131" s="611"/>
      <c r="DL131" s="614"/>
      <c r="DM131" s="618">
        <v>0</v>
      </c>
      <c r="DN131" s="616"/>
      <c r="DO131" s="56"/>
      <c r="DP131" s="611"/>
      <c r="DQ131" s="614"/>
      <c r="DR131" s="618">
        <v>0</v>
      </c>
      <c r="DS131" s="616"/>
      <c r="DT131" s="56"/>
      <c r="DU131" s="611"/>
      <c r="DV131" s="614"/>
      <c r="DW131" s="618">
        <v>0</v>
      </c>
      <c r="DX131" s="616"/>
      <c r="DY131" s="56"/>
      <c r="DZ131" s="611"/>
      <c r="EA131" s="614"/>
      <c r="EB131" s="618">
        <v>0</v>
      </c>
      <c r="EC131" s="616"/>
      <c r="ED131" s="56"/>
      <c r="EE131" s="611"/>
      <c r="EF131" s="614"/>
      <c r="EG131" s="618">
        <v>0</v>
      </c>
      <c r="EH131" s="616"/>
      <c r="EI131" s="56"/>
      <c r="EJ131" s="611"/>
      <c r="EK131" s="614"/>
      <c r="EL131" s="618">
        <f>SUM(CD131:CD131)</f>
        <v>0</v>
      </c>
      <c r="EM131" s="616"/>
      <c r="EO131" s="144"/>
      <c r="EP131" s="42"/>
      <c r="EQ131" s="42"/>
    </row>
    <row r="132" spans="4:147" hidden="1" x14ac:dyDescent="0.3">
      <c r="D132" s="144"/>
      <c r="E132" s="494"/>
      <c r="G132" s="56"/>
      <c r="H132" s="56"/>
      <c r="I132" s="56"/>
      <c r="J132" s="611"/>
      <c r="K132" s="56"/>
      <c r="L132" s="56"/>
      <c r="M132" s="56"/>
      <c r="N132" s="56"/>
      <c r="O132" s="611"/>
      <c r="P132" s="56"/>
      <c r="Q132" s="56"/>
      <c r="R132" s="56"/>
      <c r="S132" s="56"/>
      <c r="T132" s="611"/>
      <c r="U132" s="56"/>
      <c r="V132" s="56"/>
      <c r="W132" s="56"/>
      <c r="X132" s="56"/>
      <c r="Y132" s="611"/>
      <c r="Z132" s="56"/>
      <c r="AA132" s="56"/>
      <c r="AB132" s="56"/>
      <c r="AC132" s="56"/>
      <c r="AD132" s="611"/>
      <c r="AE132" s="56"/>
      <c r="AF132" s="56"/>
      <c r="AG132" s="56"/>
      <c r="AH132" s="56"/>
      <c r="AI132" s="611"/>
      <c r="AJ132" s="56"/>
      <c r="AK132" s="56"/>
      <c r="AL132" s="56"/>
      <c r="AM132" s="56"/>
      <c r="AN132" s="611"/>
      <c r="AO132" s="56"/>
      <c r="AP132" s="56"/>
      <c r="AQ132" s="56"/>
      <c r="AR132" s="56"/>
      <c r="AS132" s="611"/>
      <c r="AT132" s="56"/>
      <c r="AU132" s="56"/>
      <c r="AV132" s="56"/>
      <c r="AW132" s="56"/>
      <c r="AX132" s="611"/>
      <c r="AY132" s="56"/>
      <c r="AZ132" s="56"/>
      <c r="BA132" s="56"/>
      <c r="BB132" s="56"/>
      <c r="BC132" s="611"/>
      <c r="BD132" s="56"/>
      <c r="BE132" s="56"/>
      <c r="BF132" s="56"/>
      <c r="BG132" s="56"/>
      <c r="BH132" s="611"/>
      <c r="BI132" s="56"/>
      <c r="BJ132" s="56"/>
      <c r="BK132" s="56"/>
      <c r="BL132" s="56"/>
      <c r="BM132" s="611"/>
      <c r="BN132" s="56"/>
      <c r="BO132" s="56"/>
      <c r="BP132" s="56"/>
      <c r="BQ132" s="56"/>
      <c r="BR132" s="611"/>
      <c r="BS132" s="56"/>
      <c r="BT132" s="56"/>
      <c r="BU132" s="56"/>
      <c r="BV132" s="56"/>
      <c r="BW132" s="611"/>
      <c r="BX132" s="56"/>
      <c r="BY132" s="56"/>
      <c r="BZ132" s="56"/>
      <c r="CA132" s="56"/>
      <c r="CB132" s="611"/>
      <c r="CC132" s="56"/>
      <c r="CD132" s="56"/>
      <c r="CE132" s="56"/>
      <c r="CF132" s="56"/>
      <c r="CG132" s="611"/>
      <c r="CH132" s="56"/>
      <c r="CI132" s="56"/>
      <c r="CJ132" s="56"/>
      <c r="CK132" s="56"/>
      <c r="CL132" s="611"/>
      <c r="CM132" s="56"/>
      <c r="CN132" s="56"/>
      <c r="CO132" s="56"/>
      <c r="CP132" s="56"/>
      <c r="CQ132" s="611"/>
      <c r="CR132" s="56"/>
      <c r="CS132" s="56"/>
      <c r="CT132" s="56"/>
      <c r="CU132" s="56"/>
      <c r="CV132" s="611"/>
      <c r="CW132" s="56"/>
      <c r="CX132" s="56"/>
      <c r="CY132" s="56"/>
      <c r="CZ132" s="56"/>
      <c r="DA132" s="611"/>
      <c r="DB132" s="56"/>
      <c r="DC132" s="56"/>
      <c r="DD132" s="56"/>
      <c r="DE132" s="56"/>
      <c r="DF132" s="611"/>
      <c r="DG132" s="56"/>
      <c r="DH132" s="56"/>
      <c r="DI132" s="56"/>
      <c r="DJ132" s="56"/>
      <c r="DK132" s="611"/>
      <c r="DL132" s="56"/>
      <c r="DM132" s="56"/>
      <c r="DN132" s="56"/>
      <c r="DO132" s="56"/>
      <c r="DP132" s="611"/>
      <c r="DQ132" s="56"/>
      <c r="DR132" s="56"/>
      <c r="DS132" s="56"/>
      <c r="DT132" s="56"/>
      <c r="DU132" s="611"/>
      <c r="DV132" s="56"/>
      <c r="DW132" s="56"/>
      <c r="DX132" s="56"/>
      <c r="DY132" s="56"/>
      <c r="DZ132" s="611"/>
      <c r="EA132" s="56"/>
      <c r="EB132" s="56"/>
      <c r="EC132" s="56"/>
      <c r="ED132" s="56"/>
      <c r="EE132" s="611"/>
      <c r="EF132" s="56"/>
      <c r="EG132" s="56"/>
      <c r="EH132" s="56"/>
      <c r="EI132" s="56"/>
      <c r="EJ132" s="611"/>
      <c r="EK132" s="56"/>
      <c r="EL132" s="56"/>
      <c r="EO132" s="144"/>
      <c r="EP132" s="42"/>
      <c r="EQ132" s="42"/>
    </row>
    <row r="133" spans="4:147" x14ac:dyDescent="0.3">
      <c r="D133" s="144" t="s">
        <v>346</v>
      </c>
      <c r="E133" s="494"/>
      <c r="G133" s="56">
        <f>SUM(G134:G134)</f>
        <v>0</v>
      </c>
      <c r="H133" s="56"/>
      <c r="I133" s="56"/>
      <c r="J133" s="611"/>
      <c r="K133" s="56"/>
      <c r="L133" s="56">
        <f>SUM(L134:L134)</f>
        <v>0</v>
      </c>
      <c r="M133" s="56"/>
      <c r="N133" s="56"/>
      <c r="O133" s="611"/>
      <c r="P133" s="56"/>
      <c r="Q133" s="56">
        <f>SUM(Q134:Q134)</f>
        <v>0</v>
      </c>
      <c r="R133" s="56"/>
      <c r="S133" s="56"/>
      <c r="T133" s="611"/>
      <c r="U133" s="56"/>
      <c r="V133" s="56">
        <f>SUM(V134:V134)</f>
        <v>0</v>
      </c>
      <c r="W133" s="56"/>
      <c r="X133" s="56"/>
      <c r="Y133" s="611"/>
      <c r="Z133" s="56"/>
      <c r="AA133" s="56">
        <f>SUM(AA134:AA134)</f>
        <v>0</v>
      </c>
      <c r="AB133" s="56"/>
      <c r="AC133" s="56"/>
      <c r="AD133" s="611"/>
      <c r="AE133" s="56"/>
      <c r="AF133" s="56">
        <f>SUM(AF134:AF134)</f>
        <v>0</v>
      </c>
      <c r="AG133" s="56"/>
      <c r="AH133" s="56"/>
      <c r="AI133" s="611"/>
      <c r="AJ133" s="56"/>
      <c r="AK133" s="56">
        <f>SUM(AK134:AK134)</f>
        <v>0</v>
      </c>
      <c r="AL133" s="56"/>
      <c r="AM133" s="56"/>
      <c r="AN133" s="611"/>
      <c r="AO133" s="56"/>
      <c r="AP133" s="56">
        <f>SUM(AP134:AP134)</f>
        <v>0</v>
      </c>
      <c r="AQ133" s="56"/>
      <c r="AR133" s="56"/>
      <c r="AS133" s="611"/>
      <c r="AT133" s="56"/>
      <c r="AU133" s="56">
        <f>SUM(AU134:AU134)</f>
        <v>0</v>
      </c>
      <c r="AV133" s="56"/>
      <c r="AW133" s="56"/>
      <c r="AX133" s="611"/>
      <c r="AY133" s="56"/>
      <c r="AZ133" s="56">
        <f>SUM(AZ134:AZ134)</f>
        <v>0</v>
      </c>
      <c r="BA133" s="56"/>
      <c r="BB133" s="56"/>
      <c r="BC133" s="611"/>
      <c r="BD133" s="56"/>
      <c r="BE133" s="56">
        <f>SUM(BE134:BE134)</f>
        <v>0</v>
      </c>
      <c r="BF133" s="56"/>
      <c r="BG133" s="56"/>
      <c r="BH133" s="611"/>
      <c r="BI133" s="56"/>
      <c r="BJ133" s="56">
        <f>SUM(BJ134:BJ134)</f>
        <v>0</v>
      </c>
      <c r="BK133" s="56"/>
      <c r="BL133" s="56"/>
      <c r="BM133" s="611"/>
      <c r="BN133" s="56"/>
      <c r="BO133" s="56">
        <f>SUM(BO134:BO134)</f>
        <v>0</v>
      </c>
      <c r="BP133" s="56"/>
      <c r="BQ133" s="56"/>
      <c r="BR133" s="611"/>
      <c r="BS133" s="56"/>
      <c r="BT133" s="56">
        <f>SUM(BT134:BT134)</f>
        <v>0</v>
      </c>
      <c r="BU133" s="56"/>
      <c r="BV133" s="56"/>
      <c r="BW133" s="611"/>
      <c r="BX133" s="56"/>
      <c r="BY133" s="56">
        <f>SUM(BY134:BY134)</f>
        <v>90245</v>
      </c>
      <c r="BZ133" s="56"/>
      <c r="CA133" s="56"/>
      <c r="CB133" s="611"/>
      <c r="CC133" s="56"/>
      <c r="CD133" s="56">
        <f>SUM(CD134:CD134)</f>
        <v>0</v>
      </c>
      <c r="CE133" s="56"/>
      <c r="CF133" s="56"/>
      <c r="CG133" s="611"/>
      <c r="CH133" s="56"/>
      <c r="CI133" s="56">
        <f>SUM(CI134:CI134)</f>
        <v>0</v>
      </c>
      <c r="CJ133" s="56"/>
      <c r="CK133" s="56"/>
      <c r="CL133" s="611"/>
      <c r="CM133" s="56"/>
      <c r="CN133" s="56">
        <f>SUM(CN134:CN134)</f>
        <v>0</v>
      </c>
      <c r="CO133" s="56"/>
      <c r="CP133" s="56"/>
      <c r="CQ133" s="611"/>
      <c r="CR133" s="56"/>
      <c r="CS133" s="56">
        <f>SUM(CS134:CS134)</f>
        <v>0</v>
      </c>
      <c r="CT133" s="56"/>
      <c r="CU133" s="56"/>
      <c r="CV133" s="611"/>
      <c r="CW133" s="56"/>
      <c r="CX133" s="56">
        <f>SUM(CX134:CX134)</f>
        <v>0</v>
      </c>
      <c r="CY133" s="56"/>
      <c r="CZ133" s="56"/>
      <c r="DA133" s="611"/>
      <c r="DB133" s="56"/>
      <c r="DC133" s="56">
        <f>SUM(DC134:DC134)</f>
        <v>0</v>
      </c>
      <c r="DD133" s="56"/>
      <c r="DE133" s="56"/>
      <c r="DF133" s="611"/>
      <c r="DG133" s="56"/>
      <c r="DH133" s="56">
        <f>SUM(DH134:DH134)</f>
        <v>0</v>
      </c>
      <c r="DI133" s="56"/>
      <c r="DJ133" s="56"/>
      <c r="DK133" s="611"/>
      <c r="DL133" s="56"/>
      <c r="DM133" s="56">
        <f>SUM(DM134:DM134)</f>
        <v>0</v>
      </c>
      <c r="DN133" s="56"/>
      <c r="DO133" s="56"/>
      <c r="DP133" s="611"/>
      <c r="DQ133" s="56"/>
      <c r="DR133" s="56">
        <f>SUM(DR134:DR134)</f>
        <v>0</v>
      </c>
      <c r="DS133" s="56"/>
      <c r="DT133" s="56"/>
      <c r="DU133" s="611"/>
      <c r="DV133" s="56"/>
      <c r="DW133" s="56">
        <f>SUM(DW134:DW134)</f>
        <v>0</v>
      </c>
      <c r="DX133" s="56"/>
      <c r="DY133" s="56"/>
      <c r="DZ133" s="611"/>
      <c r="EA133" s="56"/>
      <c r="EB133" s="56">
        <f>SUM(EB134:EB134)</f>
        <v>0</v>
      </c>
      <c r="EC133" s="56"/>
      <c r="ED133" s="56"/>
      <c r="EE133" s="611"/>
      <c r="EF133" s="56"/>
      <c r="EG133" s="56">
        <f>SUM(EG134:EG134)</f>
        <v>90245</v>
      </c>
      <c r="EH133" s="56"/>
      <c r="EI133" s="56"/>
      <c r="EJ133" s="611"/>
      <c r="EK133" s="56"/>
      <c r="EL133" s="56">
        <f>SUM(EL134:EL134)</f>
        <v>0</v>
      </c>
      <c r="EO133" s="144"/>
      <c r="EP133" s="42"/>
      <c r="EQ133" s="42"/>
    </row>
    <row r="134" spans="4:147" x14ac:dyDescent="0.3">
      <c r="D134" s="144" t="s">
        <v>335</v>
      </c>
      <c r="E134" s="494"/>
      <c r="F134" s="614"/>
      <c r="G134" s="618">
        <v>0</v>
      </c>
      <c r="H134" s="616"/>
      <c r="I134" s="56"/>
      <c r="J134" s="611"/>
      <c r="K134" s="617"/>
      <c r="L134" s="618">
        <v>0</v>
      </c>
      <c r="M134" s="616"/>
      <c r="N134" s="56"/>
      <c r="O134" s="611"/>
      <c r="P134" s="617"/>
      <c r="Q134" s="618">
        <v>0</v>
      </c>
      <c r="R134" s="616"/>
      <c r="S134" s="56"/>
      <c r="T134" s="611"/>
      <c r="U134" s="617"/>
      <c r="V134" s="618">
        <v>0</v>
      </c>
      <c r="W134" s="616"/>
      <c r="X134" s="56"/>
      <c r="Y134" s="611"/>
      <c r="Z134" s="617"/>
      <c r="AA134" s="618">
        <v>0</v>
      </c>
      <c r="AB134" s="616"/>
      <c r="AC134" s="56"/>
      <c r="AD134" s="611"/>
      <c r="AE134" s="617"/>
      <c r="AF134" s="618">
        <v>0</v>
      </c>
      <c r="AG134" s="616"/>
      <c r="AH134" s="56"/>
      <c r="AI134" s="611"/>
      <c r="AJ134" s="617"/>
      <c r="AK134" s="618">
        <v>0</v>
      </c>
      <c r="AL134" s="616"/>
      <c r="AM134" s="56"/>
      <c r="AN134" s="611"/>
      <c r="AO134" s="617"/>
      <c r="AP134" s="618">
        <v>0</v>
      </c>
      <c r="AQ134" s="616"/>
      <c r="AR134" s="56"/>
      <c r="AS134" s="611"/>
      <c r="AT134" s="617"/>
      <c r="AU134" s="618">
        <v>0</v>
      </c>
      <c r="AV134" s="616"/>
      <c r="AW134" s="56"/>
      <c r="AX134" s="611"/>
      <c r="AY134" s="617"/>
      <c r="AZ134" s="618">
        <v>0</v>
      </c>
      <c r="BA134" s="616"/>
      <c r="BB134" s="56"/>
      <c r="BC134" s="611"/>
      <c r="BD134" s="617"/>
      <c r="BE134" s="618">
        <v>0</v>
      </c>
      <c r="BF134" s="616"/>
      <c r="BG134" s="56"/>
      <c r="BH134" s="611"/>
      <c r="BI134" s="617"/>
      <c r="BJ134" s="618">
        <v>0</v>
      </c>
      <c r="BK134" s="616"/>
      <c r="BL134" s="56"/>
      <c r="BM134" s="611"/>
      <c r="BN134" s="617"/>
      <c r="BO134" s="618">
        <v>0</v>
      </c>
      <c r="BP134" s="616"/>
      <c r="BQ134" s="56"/>
      <c r="BR134" s="611"/>
      <c r="BS134" s="617"/>
      <c r="BT134" s="618">
        <f>SUM(L134:BO134)</f>
        <v>0</v>
      </c>
      <c r="BU134" s="616"/>
      <c r="BV134" s="56"/>
      <c r="BW134" s="611"/>
      <c r="BX134" s="617"/>
      <c r="BY134" s="618">
        <v>90245</v>
      </c>
      <c r="BZ134" s="616"/>
      <c r="CA134" s="56"/>
      <c r="CB134" s="611"/>
      <c r="CC134" s="617"/>
      <c r="CD134" s="618">
        <v>0</v>
      </c>
      <c r="CE134" s="616"/>
      <c r="CF134" s="56"/>
      <c r="CG134" s="611"/>
      <c r="CH134" s="617"/>
      <c r="CI134" s="618">
        <v>0</v>
      </c>
      <c r="CJ134" s="616"/>
      <c r="CK134" s="56"/>
      <c r="CL134" s="611"/>
      <c r="CM134" s="617"/>
      <c r="CN134" s="618">
        <v>0</v>
      </c>
      <c r="CO134" s="616"/>
      <c r="CP134" s="56"/>
      <c r="CQ134" s="611"/>
      <c r="CR134" s="617"/>
      <c r="CS134" s="618">
        <v>0</v>
      </c>
      <c r="CT134" s="616"/>
      <c r="CU134" s="56"/>
      <c r="CV134" s="611"/>
      <c r="CW134" s="617"/>
      <c r="CX134" s="618">
        <v>0</v>
      </c>
      <c r="CY134" s="616"/>
      <c r="CZ134" s="56"/>
      <c r="DA134" s="611"/>
      <c r="DB134" s="617"/>
      <c r="DC134" s="618">
        <v>0</v>
      </c>
      <c r="DD134" s="616"/>
      <c r="DE134" s="56"/>
      <c r="DF134" s="611"/>
      <c r="DG134" s="617"/>
      <c r="DH134" s="618">
        <v>0</v>
      </c>
      <c r="DI134" s="616"/>
      <c r="DJ134" s="56"/>
      <c r="DK134" s="611"/>
      <c r="DL134" s="617"/>
      <c r="DM134" s="618">
        <v>0</v>
      </c>
      <c r="DN134" s="616"/>
      <c r="DO134" s="56"/>
      <c r="DP134" s="611"/>
      <c r="DQ134" s="617"/>
      <c r="DR134" s="618">
        <v>0</v>
      </c>
      <c r="DS134" s="616"/>
      <c r="DT134" s="56"/>
      <c r="DU134" s="611"/>
      <c r="DV134" s="617"/>
      <c r="DW134" s="618">
        <v>0</v>
      </c>
      <c r="DX134" s="616"/>
      <c r="DY134" s="56"/>
      <c r="DZ134" s="611"/>
      <c r="EA134" s="617"/>
      <c r="EB134" s="618">
        <v>0</v>
      </c>
      <c r="EC134" s="616"/>
      <c r="ED134" s="56"/>
      <c r="EE134" s="611"/>
      <c r="EF134" s="617"/>
      <c r="EG134" s="618">
        <v>90245</v>
      </c>
      <c r="EH134" s="616"/>
      <c r="EI134" s="56"/>
      <c r="EJ134" s="611"/>
      <c r="EK134" s="617"/>
      <c r="EL134" s="618">
        <f t="shared" ref="EL134" si="10">SUM(CD134:DW134)</f>
        <v>0</v>
      </c>
      <c r="EM134" s="648"/>
      <c r="EO134" s="144"/>
      <c r="EP134" s="42"/>
      <c r="EQ134" s="42"/>
    </row>
    <row r="135" spans="4:147" x14ac:dyDescent="0.3">
      <c r="D135" s="144"/>
      <c r="E135" s="494"/>
      <c r="G135" s="644"/>
      <c r="H135" s="644"/>
      <c r="I135" s="644"/>
      <c r="J135" s="645"/>
      <c r="K135" s="644"/>
      <c r="L135" s="644"/>
      <c r="M135" s="644"/>
      <c r="N135" s="644"/>
      <c r="O135" s="645"/>
      <c r="P135" s="644"/>
      <c r="Q135" s="644"/>
      <c r="R135" s="644"/>
      <c r="S135" s="644"/>
      <c r="T135" s="645"/>
      <c r="U135" s="644"/>
      <c r="V135" s="644"/>
      <c r="W135" s="644"/>
      <c r="X135" s="644"/>
      <c r="Y135" s="645"/>
      <c r="Z135" s="644"/>
      <c r="AA135" s="644"/>
      <c r="AB135" s="644"/>
      <c r="AC135" s="644"/>
      <c r="AD135" s="645"/>
      <c r="AE135" s="644"/>
      <c r="AF135" s="644"/>
      <c r="AG135" s="644"/>
      <c r="AH135" s="644"/>
      <c r="AI135" s="645"/>
      <c r="AJ135" s="644"/>
      <c r="AK135" s="644"/>
      <c r="AL135" s="644"/>
      <c r="AM135" s="644"/>
      <c r="AN135" s="645"/>
      <c r="AO135" s="644"/>
      <c r="AP135" s="644"/>
      <c r="AQ135" s="644"/>
      <c r="AR135" s="644"/>
      <c r="AS135" s="645"/>
      <c r="AT135" s="644"/>
      <c r="AU135" s="644"/>
      <c r="AV135" s="644"/>
      <c r="AW135" s="644"/>
      <c r="AX135" s="645"/>
      <c r="AY135" s="644"/>
      <c r="AZ135" s="644"/>
      <c r="BA135" s="644"/>
      <c r="BB135" s="644"/>
      <c r="BC135" s="645"/>
      <c r="BD135" s="644"/>
      <c r="BE135" s="644"/>
      <c r="BF135" s="644"/>
      <c r="BG135" s="644"/>
      <c r="BH135" s="645"/>
      <c r="BI135" s="644"/>
      <c r="BJ135" s="644"/>
      <c r="BK135" s="644"/>
      <c r="BL135" s="644"/>
      <c r="BM135" s="645"/>
      <c r="BN135" s="644"/>
      <c r="BO135" s="644"/>
      <c r="BP135" s="644"/>
      <c r="BQ135" s="644"/>
      <c r="BR135" s="645"/>
      <c r="BS135" s="644"/>
      <c r="BT135" s="56"/>
      <c r="BU135" s="56"/>
      <c r="BV135" s="56"/>
      <c r="BW135" s="611"/>
      <c r="BX135" s="56"/>
      <c r="BY135" s="56"/>
      <c r="BZ135" s="644"/>
      <c r="CA135" s="644"/>
      <c r="CB135" s="645"/>
      <c r="CC135" s="644"/>
      <c r="CD135" s="644"/>
      <c r="CE135" s="644"/>
      <c r="CF135" s="644"/>
      <c r="CG135" s="645"/>
      <c r="CH135" s="644"/>
      <c r="CI135" s="644"/>
      <c r="CJ135" s="644"/>
      <c r="CK135" s="644"/>
      <c r="CL135" s="645"/>
      <c r="CM135" s="644"/>
      <c r="CN135" s="644"/>
      <c r="CO135" s="644"/>
      <c r="CP135" s="644"/>
      <c r="CQ135" s="645"/>
      <c r="CR135" s="644"/>
      <c r="CS135" s="644"/>
      <c r="CT135" s="644"/>
      <c r="CU135" s="644"/>
      <c r="CV135" s="645"/>
      <c r="CW135" s="644"/>
      <c r="CX135" s="644"/>
      <c r="CY135" s="644"/>
      <c r="CZ135" s="644"/>
      <c r="DA135" s="645"/>
      <c r="DB135" s="644"/>
      <c r="DC135" s="644"/>
      <c r="DD135" s="644"/>
      <c r="DE135" s="644"/>
      <c r="DF135" s="645"/>
      <c r="DG135" s="644"/>
      <c r="DH135" s="644"/>
      <c r="DI135" s="644"/>
      <c r="DJ135" s="644"/>
      <c r="DK135" s="645"/>
      <c r="DL135" s="644"/>
      <c r="DM135" s="644"/>
      <c r="DN135" s="644"/>
      <c r="DO135" s="644"/>
      <c r="DP135" s="645"/>
      <c r="DQ135" s="644"/>
      <c r="DR135" s="644"/>
      <c r="DS135" s="644"/>
      <c r="DT135" s="644"/>
      <c r="DU135" s="645"/>
      <c r="DV135" s="644"/>
      <c r="DW135" s="644"/>
      <c r="DX135" s="644"/>
      <c r="DY135" s="644"/>
      <c r="DZ135" s="645"/>
      <c r="EA135" s="644"/>
      <c r="EB135" s="644"/>
      <c r="EC135" s="644"/>
      <c r="ED135" s="644"/>
      <c r="EE135" s="645"/>
      <c r="EF135" s="644"/>
      <c r="EG135" s="644"/>
      <c r="EH135" s="644"/>
      <c r="EI135" s="644"/>
      <c r="EJ135" s="645"/>
      <c r="EK135" s="644"/>
      <c r="EL135" s="56"/>
      <c r="EO135" s="144"/>
      <c r="EP135" s="42"/>
      <c r="EQ135" s="42"/>
    </row>
    <row r="136" spans="4:147" hidden="1" x14ac:dyDescent="0.3">
      <c r="D136" s="144" t="s">
        <v>347</v>
      </c>
      <c r="E136" s="494"/>
      <c r="G136" s="56">
        <f>SUM(G137:G137)</f>
        <v>0</v>
      </c>
      <c r="H136" s="56"/>
      <c r="I136" s="56"/>
      <c r="J136" s="611"/>
      <c r="K136" s="56"/>
      <c r="L136" s="56">
        <f>SUM(L137:L137)</f>
        <v>0</v>
      </c>
      <c r="M136" s="56"/>
      <c r="N136" s="56"/>
      <c r="O136" s="611"/>
      <c r="P136" s="56"/>
      <c r="Q136" s="56">
        <f>SUM(Q137:Q137)</f>
        <v>0</v>
      </c>
      <c r="R136" s="56"/>
      <c r="S136" s="56"/>
      <c r="T136" s="611"/>
      <c r="U136" s="56"/>
      <c r="V136" s="56">
        <f>SUM(V137:V137)</f>
        <v>0</v>
      </c>
      <c r="W136" s="56"/>
      <c r="X136" s="56"/>
      <c r="Y136" s="611"/>
      <c r="Z136" s="56"/>
      <c r="AA136" s="56">
        <f>SUM(AA137:AA137)</f>
        <v>0</v>
      </c>
      <c r="AB136" s="56"/>
      <c r="AC136" s="56"/>
      <c r="AD136" s="611"/>
      <c r="AE136" s="56"/>
      <c r="AF136" s="56">
        <f>SUM(AF137:AF137)</f>
        <v>0</v>
      </c>
      <c r="AG136" s="56"/>
      <c r="AH136" s="56"/>
      <c r="AI136" s="611"/>
      <c r="AJ136" s="56"/>
      <c r="AK136" s="56">
        <f>SUM(AK137:AK137)</f>
        <v>0</v>
      </c>
      <c r="AL136" s="56"/>
      <c r="AM136" s="56"/>
      <c r="AN136" s="611"/>
      <c r="AO136" s="56"/>
      <c r="AP136" s="56">
        <f>SUM(AP137:AP137)</f>
        <v>0</v>
      </c>
      <c r="AQ136" s="56"/>
      <c r="AR136" s="56"/>
      <c r="AS136" s="611"/>
      <c r="AT136" s="56"/>
      <c r="AU136" s="56">
        <f>SUM(AU137:AU137)</f>
        <v>0</v>
      </c>
      <c r="AV136" s="56"/>
      <c r="AW136" s="56"/>
      <c r="AX136" s="611"/>
      <c r="AY136" s="56"/>
      <c r="AZ136" s="56">
        <f>SUM(AZ137:AZ137)</f>
        <v>0</v>
      </c>
      <c r="BA136" s="56"/>
      <c r="BB136" s="56"/>
      <c r="BC136" s="611"/>
      <c r="BD136" s="56"/>
      <c r="BE136" s="56">
        <f>SUM(BE137:BE137)</f>
        <v>0</v>
      </c>
      <c r="BF136" s="56"/>
      <c r="BG136" s="56"/>
      <c r="BH136" s="611"/>
      <c r="BI136" s="56"/>
      <c r="BJ136" s="56">
        <f>SUM(BJ137:BJ137)</f>
        <v>0</v>
      </c>
      <c r="BK136" s="56"/>
      <c r="BL136" s="56"/>
      <c r="BM136" s="611"/>
      <c r="BN136" s="56"/>
      <c r="BO136" s="56">
        <f>SUM(BO137:BO137)</f>
        <v>0</v>
      </c>
      <c r="BP136" s="56"/>
      <c r="BQ136" s="56"/>
      <c r="BR136" s="611"/>
      <c r="BS136" s="56"/>
      <c r="BT136" s="56">
        <f>SUM(BT137:BT137)</f>
        <v>0</v>
      </c>
      <c r="BU136" s="56"/>
      <c r="BV136" s="56"/>
      <c r="BW136" s="611"/>
      <c r="BX136" s="56"/>
      <c r="BY136" s="56">
        <f>SUM(BY137:BY137)</f>
        <v>0</v>
      </c>
      <c r="BZ136" s="56"/>
      <c r="CA136" s="56"/>
      <c r="CB136" s="611"/>
      <c r="CC136" s="56"/>
      <c r="CD136" s="56">
        <f>SUM(CD137:CD137)</f>
        <v>0</v>
      </c>
      <c r="CE136" s="56"/>
      <c r="CF136" s="56"/>
      <c r="CG136" s="611"/>
      <c r="CH136" s="56"/>
      <c r="CI136" s="56">
        <f>SUM(CI137:CI137)</f>
        <v>0</v>
      </c>
      <c r="CJ136" s="56"/>
      <c r="CK136" s="56"/>
      <c r="CL136" s="611"/>
      <c r="CM136" s="56"/>
      <c r="CN136" s="56">
        <f>SUM(CN137:CN137)</f>
        <v>0</v>
      </c>
      <c r="CO136" s="56"/>
      <c r="CP136" s="56"/>
      <c r="CQ136" s="611"/>
      <c r="CR136" s="56"/>
      <c r="CS136" s="56">
        <f>SUM(CS137:CS137)</f>
        <v>0</v>
      </c>
      <c r="CT136" s="56"/>
      <c r="CU136" s="56"/>
      <c r="CV136" s="611"/>
      <c r="CW136" s="56"/>
      <c r="CX136" s="56">
        <f>SUM(CX137:CX137)</f>
        <v>0</v>
      </c>
      <c r="CY136" s="56"/>
      <c r="CZ136" s="56"/>
      <c r="DA136" s="611"/>
      <c r="DB136" s="56"/>
      <c r="DC136" s="56">
        <f>SUM(DC137:DC137)</f>
        <v>0</v>
      </c>
      <c r="DD136" s="56"/>
      <c r="DE136" s="56"/>
      <c r="DF136" s="611"/>
      <c r="DG136" s="56"/>
      <c r="DH136" s="56">
        <f>SUM(DH137:DH137)</f>
        <v>0</v>
      </c>
      <c r="DI136" s="56"/>
      <c r="DJ136" s="56"/>
      <c r="DK136" s="611"/>
      <c r="DL136" s="56"/>
      <c r="DM136" s="56">
        <f>SUM(DM137:DM137)</f>
        <v>0</v>
      </c>
      <c r="DN136" s="56"/>
      <c r="DO136" s="56"/>
      <c r="DP136" s="611"/>
      <c r="DQ136" s="56"/>
      <c r="DR136" s="56">
        <f>SUM(DR137:DR137)</f>
        <v>0</v>
      </c>
      <c r="DS136" s="56"/>
      <c r="DT136" s="56"/>
      <c r="DU136" s="611"/>
      <c r="DV136" s="56"/>
      <c r="DW136" s="56">
        <f>SUM(DW137:DW137)</f>
        <v>0</v>
      </c>
      <c r="DX136" s="56"/>
      <c r="DY136" s="56"/>
      <c r="DZ136" s="611"/>
      <c r="EA136" s="56"/>
      <c r="EB136" s="56">
        <f>SUM(EB137:EB137)</f>
        <v>0</v>
      </c>
      <c r="EC136" s="56"/>
      <c r="ED136" s="56"/>
      <c r="EE136" s="611"/>
      <c r="EF136" s="56"/>
      <c r="EG136" s="56">
        <f>SUM(EG137:EG137)</f>
        <v>0</v>
      </c>
      <c r="EH136" s="56"/>
      <c r="EI136" s="56"/>
      <c r="EJ136" s="611"/>
      <c r="EK136" s="56"/>
      <c r="EL136" s="56">
        <f>SUM(EL137:EL137)</f>
        <v>0</v>
      </c>
      <c r="EO136" s="144"/>
      <c r="EP136" s="42"/>
      <c r="EQ136" s="42"/>
    </row>
    <row r="137" spans="4:147" hidden="1" x14ac:dyDescent="0.3">
      <c r="D137" s="144" t="s">
        <v>335</v>
      </c>
      <c r="E137" s="494"/>
      <c r="F137" s="614"/>
      <c r="G137" s="618">
        <v>0</v>
      </c>
      <c r="H137" s="616"/>
      <c r="I137" s="56"/>
      <c r="J137" s="611"/>
      <c r="K137" s="617"/>
      <c r="L137" s="618">
        <v>0</v>
      </c>
      <c r="M137" s="616"/>
      <c r="N137" s="56"/>
      <c r="O137" s="611"/>
      <c r="P137" s="617"/>
      <c r="Q137" s="618">
        <v>0</v>
      </c>
      <c r="R137" s="616"/>
      <c r="S137" s="56"/>
      <c r="T137" s="611"/>
      <c r="U137" s="617"/>
      <c r="V137" s="618">
        <v>0</v>
      </c>
      <c r="W137" s="616"/>
      <c r="X137" s="56"/>
      <c r="Y137" s="611"/>
      <c r="Z137" s="617"/>
      <c r="AA137" s="618">
        <v>0</v>
      </c>
      <c r="AB137" s="616"/>
      <c r="AC137" s="56"/>
      <c r="AD137" s="611"/>
      <c r="AE137" s="617"/>
      <c r="AF137" s="618">
        <v>0</v>
      </c>
      <c r="AG137" s="616"/>
      <c r="AH137" s="56"/>
      <c r="AI137" s="611"/>
      <c r="AJ137" s="617"/>
      <c r="AK137" s="618">
        <v>0</v>
      </c>
      <c r="AL137" s="616"/>
      <c r="AM137" s="56"/>
      <c r="AN137" s="611"/>
      <c r="AO137" s="617"/>
      <c r="AP137" s="618">
        <v>0</v>
      </c>
      <c r="AQ137" s="616"/>
      <c r="AR137" s="56"/>
      <c r="AS137" s="611"/>
      <c r="AT137" s="617"/>
      <c r="AU137" s="618">
        <v>0</v>
      </c>
      <c r="AV137" s="616"/>
      <c r="AW137" s="56"/>
      <c r="AX137" s="611"/>
      <c r="AY137" s="617"/>
      <c r="AZ137" s="618">
        <v>0</v>
      </c>
      <c r="BA137" s="616"/>
      <c r="BB137" s="56"/>
      <c r="BC137" s="611"/>
      <c r="BD137" s="617"/>
      <c r="BE137" s="618">
        <v>0</v>
      </c>
      <c r="BF137" s="616"/>
      <c r="BG137" s="56"/>
      <c r="BH137" s="611"/>
      <c r="BI137" s="617"/>
      <c r="BJ137" s="618">
        <v>0</v>
      </c>
      <c r="BK137" s="616"/>
      <c r="BL137" s="56"/>
      <c r="BM137" s="611"/>
      <c r="BN137" s="617"/>
      <c r="BO137" s="618">
        <v>0</v>
      </c>
      <c r="BP137" s="616"/>
      <c r="BQ137" s="56"/>
      <c r="BR137" s="611"/>
      <c r="BS137" s="617"/>
      <c r="BT137" s="618">
        <f>SUM(L137:BO137)</f>
        <v>0</v>
      </c>
      <c r="BU137" s="616"/>
      <c r="BV137" s="56"/>
      <c r="BW137" s="611"/>
      <c r="BX137" s="617"/>
      <c r="BY137" s="618">
        <v>0</v>
      </c>
      <c r="BZ137" s="616"/>
      <c r="CA137" s="56"/>
      <c r="CB137" s="611"/>
      <c r="CC137" s="617"/>
      <c r="CD137" s="618">
        <v>0</v>
      </c>
      <c r="CE137" s="616"/>
      <c r="CF137" s="56"/>
      <c r="CG137" s="611"/>
      <c r="CH137" s="617"/>
      <c r="CI137" s="618">
        <v>0</v>
      </c>
      <c r="CJ137" s="616"/>
      <c r="CK137" s="56"/>
      <c r="CL137" s="611"/>
      <c r="CM137" s="617"/>
      <c r="CN137" s="618">
        <v>0</v>
      </c>
      <c r="CO137" s="616"/>
      <c r="CP137" s="56"/>
      <c r="CQ137" s="611"/>
      <c r="CR137" s="617"/>
      <c r="CS137" s="618">
        <v>0</v>
      </c>
      <c r="CT137" s="616"/>
      <c r="CU137" s="56"/>
      <c r="CV137" s="611"/>
      <c r="CW137" s="617"/>
      <c r="CX137" s="618">
        <v>0</v>
      </c>
      <c r="CY137" s="616"/>
      <c r="CZ137" s="56"/>
      <c r="DA137" s="611"/>
      <c r="DB137" s="617"/>
      <c r="DC137" s="618">
        <v>0</v>
      </c>
      <c r="DD137" s="616"/>
      <c r="DE137" s="56"/>
      <c r="DF137" s="611"/>
      <c r="DG137" s="617"/>
      <c r="DH137" s="618">
        <v>0</v>
      </c>
      <c r="DI137" s="616"/>
      <c r="DJ137" s="56"/>
      <c r="DK137" s="611"/>
      <c r="DL137" s="617"/>
      <c r="DM137" s="618">
        <v>0</v>
      </c>
      <c r="DN137" s="616"/>
      <c r="DO137" s="56"/>
      <c r="DP137" s="611"/>
      <c r="DQ137" s="617"/>
      <c r="DR137" s="618">
        <v>0</v>
      </c>
      <c r="DS137" s="616"/>
      <c r="DT137" s="56"/>
      <c r="DU137" s="611"/>
      <c r="DV137" s="617"/>
      <c r="DW137" s="618">
        <v>0</v>
      </c>
      <c r="DX137" s="616"/>
      <c r="DY137" s="56"/>
      <c r="DZ137" s="611"/>
      <c r="EA137" s="617"/>
      <c r="EB137" s="618">
        <v>0</v>
      </c>
      <c r="EC137" s="616"/>
      <c r="ED137" s="56"/>
      <c r="EE137" s="611"/>
      <c r="EF137" s="617"/>
      <c r="EG137" s="618">
        <v>0</v>
      </c>
      <c r="EH137" s="616"/>
      <c r="EI137" s="56"/>
      <c r="EJ137" s="611"/>
      <c r="EK137" s="617"/>
      <c r="EL137" s="618">
        <f>SUM(CD137:CD137)</f>
        <v>0</v>
      </c>
      <c r="EM137" s="648"/>
      <c r="EO137" s="144"/>
      <c r="EP137" s="42"/>
      <c r="EQ137" s="42"/>
    </row>
    <row r="138" spans="4:147" hidden="1" x14ac:dyDescent="0.3">
      <c r="D138" s="144"/>
      <c r="E138" s="494"/>
      <c r="G138" s="644"/>
      <c r="H138" s="644"/>
      <c r="I138" s="644"/>
      <c r="J138" s="645"/>
      <c r="K138" s="644"/>
      <c r="L138" s="644"/>
      <c r="M138" s="644"/>
      <c r="N138" s="644"/>
      <c r="O138" s="645"/>
      <c r="P138" s="644"/>
      <c r="Q138" s="644"/>
      <c r="R138" s="644"/>
      <c r="S138" s="644"/>
      <c r="T138" s="645"/>
      <c r="U138" s="644"/>
      <c r="V138" s="644"/>
      <c r="W138" s="644"/>
      <c r="X138" s="644"/>
      <c r="Y138" s="645"/>
      <c r="Z138" s="644"/>
      <c r="AA138" s="644"/>
      <c r="AB138" s="644"/>
      <c r="AC138" s="644"/>
      <c r="AD138" s="645"/>
      <c r="AE138" s="644"/>
      <c r="AF138" s="644"/>
      <c r="AG138" s="644"/>
      <c r="AH138" s="644"/>
      <c r="AI138" s="645"/>
      <c r="AJ138" s="644"/>
      <c r="AK138" s="644"/>
      <c r="AL138" s="644"/>
      <c r="AM138" s="644"/>
      <c r="AN138" s="645"/>
      <c r="AO138" s="644"/>
      <c r="AP138" s="644"/>
      <c r="AQ138" s="644"/>
      <c r="AR138" s="644"/>
      <c r="AS138" s="645"/>
      <c r="AT138" s="644"/>
      <c r="AU138" s="644"/>
      <c r="AV138" s="644"/>
      <c r="AW138" s="644"/>
      <c r="AX138" s="645"/>
      <c r="AY138" s="644"/>
      <c r="AZ138" s="644"/>
      <c r="BA138" s="644"/>
      <c r="BB138" s="644"/>
      <c r="BC138" s="645"/>
      <c r="BD138" s="644"/>
      <c r="BE138" s="644"/>
      <c r="BF138" s="644"/>
      <c r="BG138" s="644"/>
      <c r="BH138" s="645"/>
      <c r="BI138" s="644"/>
      <c r="BJ138" s="644"/>
      <c r="BK138" s="644"/>
      <c r="BL138" s="644"/>
      <c r="BM138" s="645"/>
      <c r="BN138" s="644"/>
      <c r="BO138" s="644"/>
      <c r="BP138" s="644"/>
      <c r="BQ138" s="644"/>
      <c r="BR138" s="645"/>
      <c r="BS138" s="644"/>
      <c r="BT138" s="56"/>
      <c r="BU138" s="56"/>
      <c r="BV138" s="56"/>
      <c r="BW138" s="611"/>
      <c r="BX138" s="56"/>
      <c r="BY138" s="56"/>
      <c r="BZ138" s="644"/>
      <c r="CA138" s="644"/>
      <c r="CB138" s="645"/>
      <c r="CC138" s="644"/>
      <c r="CD138" s="644"/>
      <c r="CE138" s="644"/>
      <c r="CF138" s="644"/>
      <c r="CG138" s="645"/>
      <c r="CH138" s="644"/>
      <c r="CI138" s="644"/>
      <c r="CJ138" s="644"/>
      <c r="CK138" s="644"/>
      <c r="CL138" s="645"/>
      <c r="CM138" s="644"/>
      <c r="CN138" s="644"/>
      <c r="CO138" s="644"/>
      <c r="CP138" s="644"/>
      <c r="CQ138" s="645"/>
      <c r="CR138" s="644"/>
      <c r="CS138" s="644"/>
      <c r="CT138" s="644"/>
      <c r="CU138" s="644"/>
      <c r="CV138" s="645"/>
      <c r="CW138" s="644"/>
      <c r="CX138" s="644"/>
      <c r="CY138" s="644"/>
      <c r="CZ138" s="644"/>
      <c r="DA138" s="645"/>
      <c r="DB138" s="644"/>
      <c r="DC138" s="644"/>
      <c r="DD138" s="644"/>
      <c r="DE138" s="644"/>
      <c r="DF138" s="645"/>
      <c r="DG138" s="644"/>
      <c r="DH138" s="644"/>
      <c r="DI138" s="644"/>
      <c r="DJ138" s="644"/>
      <c r="DK138" s="645"/>
      <c r="DL138" s="644"/>
      <c r="DM138" s="644"/>
      <c r="DN138" s="644"/>
      <c r="DO138" s="644"/>
      <c r="DP138" s="645"/>
      <c r="DQ138" s="644"/>
      <c r="DR138" s="644"/>
      <c r="DS138" s="644"/>
      <c r="DT138" s="644"/>
      <c r="DU138" s="645"/>
      <c r="DV138" s="644"/>
      <c r="DW138" s="644"/>
      <c r="DX138" s="644"/>
      <c r="DY138" s="644"/>
      <c r="DZ138" s="645"/>
      <c r="EA138" s="644"/>
      <c r="EB138" s="644"/>
      <c r="EC138" s="644"/>
      <c r="ED138" s="644"/>
      <c r="EE138" s="645"/>
      <c r="EF138" s="644"/>
      <c r="EG138" s="644"/>
      <c r="EH138" s="644"/>
      <c r="EI138" s="644"/>
      <c r="EJ138" s="645"/>
      <c r="EK138" s="644"/>
      <c r="EL138" s="56"/>
      <c r="EO138" s="144"/>
      <c r="EP138" s="42"/>
      <c r="EQ138" s="42"/>
    </row>
    <row r="139" spans="4:147" hidden="1" x14ac:dyDescent="0.3">
      <c r="D139" s="144" t="s">
        <v>348</v>
      </c>
      <c r="E139" s="494"/>
      <c r="G139" s="56">
        <f>SUM(G140:G140)</f>
        <v>0</v>
      </c>
      <c r="H139" s="56"/>
      <c r="I139" s="56"/>
      <c r="J139" s="611"/>
      <c r="K139" s="56"/>
      <c r="L139" s="56">
        <f>SUM(L140:L140)</f>
        <v>0</v>
      </c>
      <c r="M139" s="56"/>
      <c r="N139" s="56"/>
      <c r="O139" s="611"/>
      <c r="P139" s="56"/>
      <c r="Q139" s="56">
        <f>SUM(Q140:Q140)</f>
        <v>0</v>
      </c>
      <c r="R139" s="56"/>
      <c r="S139" s="56"/>
      <c r="T139" s="611"/>
      <c r="U139" s="56"/>
      <c r="V139" s="56">
        <f>SUM(V140:V140)</f>
        <v>0</v>
      </c>
      <c r="W139" s="56"/>
      <c r="X139" s="56"/>
      <c r="Y139" s="611"/>
      <c r="Z139" s="56"/>
      <c r="AA139" s="56">
        <f>SUM(AA140:AA140)</f>
        <v>0</v>
      </c>
      <c r="AB139" s="56"/>
      <c r="AC139" s="56"/>
      <c r="AD139" s="611"/>
      <c r="AE139" s="56"/>
      <c r="AF139" s="56">
        <f>SUM(AF140:AF140)</f>
        <v>0</v>
      </c>
      <c r="AG139" s="56"/>
      <c r="AH139" s="56"/>
      <c r="AI139" s="611"/>
      <c r="AJ139" s="56"/>
      <c r="AK139" s="56">
        <f>SUM(AK140:AK140)</f>
        <v>0</v>
      </c>
      <c r="AL139" s="56"/>
      <c r="AM139" s="56"/>
      <c r="AN139" s="611"/>
      <c r="AO139" s="56"/>
      <c r="AP139" s="56">
        <f>SUM(AP140:AP140)</f>
        <v>0</v>
      </c>
      <c r="AQ139" s="56"/>
      <c r="AR139" s="56"/>
      <c r="AS139" s="611"/>
      <c r="AT139" s="56"/>
      <c r="AU139" s="56">
        <f>SUM(AU140:AU140)</f>
        <v>0</v>
      </c>
      <c r="AV139" s="56"/>
      <c r="AW139" s="56"/>
      <c r="AX139" s="611"/>
      <c r="AY139" s="56"/>
      <c r="AZ139" s="56">
        <f>SUM(AZ140:AZ140)</f>
        <v>0</v>
      </c>
      <c r="BA139" s="56"/>
      <c r="BB139" s="56"/>
      <c r="BC139" s="611"/>
      <c r="BD139" s="56"/>
      <c r="BE139" s="56">
        <f>SUM(BE140:BE140)</f>
        <v>0</v>
      </c>
      <c r="BF139" s="56"/>
      <c r="BG139" s="56"/>
      <c r="BH139" s="611"/>
      <c r="BI139" s="56"/>
      <c r="BJ139" s="56">
        <f>SUM(BJ140:BJ140)</f>
        <v>0</v>
      </c>
      <c r="BK139" s="56"/>
      <c r="BL139" s="56"/>
      <c r="BM139" s="611"/>
      <c r="BN139" s="56"/>
      <c r="BO139" s="56">
        <f>SUM(BO140:BO140)</f>
        <v>0</v>
      </c>
      <c r="BP139" s="56"/>
      <c r="BQ139" s="56"/>
      <c r="BR139" s="611"/>
      <c r="BS139" s="56"/>
      <c r="BT139" s="56">
        <f>SUM(BT140:BT140)</f>
        <v>0</v>
      </c>
      <c r="BU139" s="56"/>
      <c r="BV139" s="56"/>
      <c r="BW139" s="611"/>
      <c r="BX139" s="56"/>
      <c r="BY139" s="56">
        <f>SUM(BY140:BY140)</f>
        <v>0</v>
      </c>
      <c r="BZ139" s="56"/>
      <c r="CA139" s="56"/>
      <c r="CB139" s="611"/>
      <c r="CC139" s="56"/>
      <c r="CD139" s="56">
        <f>SUM(CD140:CD140)</f>
        <v>0</v>
      </c>
      <c r="CE139" s="56"/>
      <c r="CF139" s="56"/>
      <c r="CG139" s="611"/>
      <c r="CH139" s="56"/>
      <c r="CI139" s="56">
        <f>SUM(CI140:CI140)</f>
        <v>0</v>
      </c>
      <c r="CJ139" s="56"/>
      <c r="CK139" s="56"/>
      <c r="CL139" s="611"/>
      <c r="CM139" s="56"/>
      <c r="CN139" s="56">
        <f>SUM(CN140:CN140)</f>
        <v>0</v>
      </c>
      <c r="CO139" s="56"/>
      <c r="CP139" s="56"/>
      <c r="CQ139" s="611"/>
      <c r="CR139" s="56"/>
      <c r="CS139" s="56">
        <f>SUM(CS140:CS140)</f>
        <v>0</v>
      </c>
      <c r="CT139" s="56"/>
      <c r="CU139" s="56"/>
      <c r="CV139" s="611"/>
      <c r="CW139" s="56"/>
      <c r="CX139" s="56">
        <f>SUM(CX140:CX140)</f>
        <v>0</v>
      </c>
      <c r="CY139" s="56"/>
      <c r="CZ139" s="56"/>
      <c r="DA139" s="611"/>
      <c r="DB139" s="56"/>
      <c r="DC139" s="56">
        <f>SUM(DC140:DC140)</f>
        <v>0</v>
      </c>
      <c r="DD139" s="56"/>
      <c r="DE139" s="56"/>
      <c r="DF139" s="611"/>
      <c r="DG139" s="56"/>
      <c r="DH139" s="56">
        <f>SUM(DH140:DH140)</f>
        <v>0</v>
      </c>
      <c r="DI139" s="56"/>
      <c r="DJ139" s="56"/>
      <c r="DK139" s="611"/>
      <c r="DL139" s="56"/>
      <c r="DM139" s="56">
        <f>SUM(DM140:DM140)</f>
        <v>0</v>
      </c>
      <c r="DN139" s="56"/>
      <c r="DO139" s="56"/>
      <c r="DP139" s="611"/>
      <c r="DQ139" s="56"/>
      <c r="DR139" s="56">
        <f>SUM(DR140:DR140)</f>
        <v>0</v>
      </c>
      <c r="DS139" s="56"/>
      <c r="DT139" s="56"/>
      <c r="DU139" s="611"/>
      <c r="DV139" s="56"/>
      <c r="DW139" s="56">
        <f>SUM(DW140:DW140)</f>
        <v>0</v>
      </c>
      <c r="DX139" s="56"/>
      <c r="DY139" s="56"/>
      <c r="DZ139" s="611"/>
      <c r="EA139" s="56"/>
      <c r="EB139" s="56">
        <f>SUM(EB140:EB140)</f>
        <v>0</v>
      </c>
      <c r="EC139" s="56"/>
      <c r="ED139" s="56"/>
      <c r="EE139" s="611"/>
      <c r="EF139" s="56"/>
      <c r="EG139" s="56">
        <f>SUM(EG140:EG140)</f>
        <v>0</v>
      </c>
      <c r="EH139" s="56"/>
      <c r="EI139" s="56"/>
      <c r="EJ139" s="611"/>
      <c r="EK139" s="56"/>
      <c r="EL139" s="56">
        <f>SUM(EL140:EL140)</f>
        <v>0</v>
      </c>
      <c r="EO139" s="144"/>
      <c r="EP139" s="42"/>
      <c r="EQ139" s="42"/>
    </row>
    <row r="140" spans="4:147" hidden="1" x14ac:dyDescent="0.3">
      <c r="D140" s="144" t="s">
        <v>335</v>
      </c>
      <c r="E140" s="494"/>
      <c r="F140" s="614"/>
      <c r="G140" s="618">
        <v>0</v>
      </c>
      <c r="H140" s="616"/>
      <c r="I140" s="56"/>
      <c r="J140" s="611"/>
      <c r="K140" s="617"/>
      <c r="L140" s="618">
        <v>0</v>
      </c>
      <c r="M140" s="616"/>
      <c r="N140" s="56"/>
      <c r="O140" s="611"/>
      <c r="P140" s="617"/>
      <c r="Q140" s="618">
        <v>0</v>
      </c>
      <c r="R140" s="616"/>
      <c r="S140" s="56"/>
      <c r="T140" s="611"/>
      <c r="U140" s="617"/>
      <c r="V140" s="618">
        <v>0</v>
      </c>
      <c r="W140" s="616"/>
      <c r="X140" s="56"/>
      <c r="Y140" s="611"/>
      <c r="Z140" s="617"/>
      <c r="AA140" s="618">
        <v>0</v>
      </c>
      <c r="AB140" s="616"/>
      <c r="AC140" s="56"/>
      <c r="AD140" s="611"/>
      <c r="AE140" s="617"/>
      <c r="AF140" s="618">
        <v>0</v>
      </c>
      <c r="AG140" s="616"/>
      <c r="AH140" s="56"/>
      <c r="AI140" s="611"/>
      <c r="AJ140" s="617"/>
      <c r="AK140" s="618">
        <v>0</v>
      </c>
      <c r="AL140" s="616"/>
      <c r="AM140" s="56"/>
      <c r="AN140" s="611"/>
      <c r="AO140" s="617"/>
      <c r="AP140" s="618">
        <v>0</v>
      </c>
      <c r="AQ140" s="616"/>
      <c r="AR140" s="56"/>
      <c r="AS140" s="611"/>
      <c r="AT140" s="617"/>
      <c r="AU140" s="618">
        <v>0</v>
      </c>
      <c r="AV140" s="616"/>
      <c r="AW140" s="56"/>
      <c r="AX140" s="611"/>
      <c r="AY140" s="617"/>
      <c r="AZ140" s="618">
        <v>0</v>
      </c>
      <c r="BA140" s="616"/>
      <c r="BB140" s="56"/>
      <c r="BC140" s="611"/>
      <c r="BD140" s="617"/>
      <c r="BE140" s="618">
        <v>0</v>
      </c>
      <c r="BF140" s="616"/>
      <c r="BG140" s="56"/>
      <c r="BH140" s="611"/>
      <c r="BI140" s="617"/>
      <c r="BJ140" s="618">
        <v>0</v>
      </c>
      <c r="BK140" s="616"/>
      <c r="BL140" s="56"/>
      <c r="BM140" s="611"/>
      <c r="BN140" s="617"/>
      <c r="BO140" s="618">
        <v>0</v>
      </c>
      <c r="BP140" s="616"/>
      <c r="BQ140" s="56"/>
      <c r="BR140" s="611"/>
      <c r="BS140" s="617"/>
      <c r="BT140" s="618">
        <f>SUM(L140:BO140)</f>
        <v>0</v>
      </c>
      <c r="BU140" s="616"/>
      <c r="BV140" s="56"/>
      <c r="BW140" s="611"/>
      <c r="BX140" s="617"/>
      <c r="BY140" s="618">
        <v>0</v>
      </c>
      <c r="BZ140" s="616"/>
      <c r="CA140" s="56"/>
      <c r="CB140" s="611"/>
      <c r="CC140" s="617"/>
      <c r="CD140" s="618">
        <v>0</v>
      </c>
      <c r="CE140" s="616"/>
      <c r="CF140" s="56"/>
      <c r="CG140" s="611"/>
      <c r="CH140" s="617"/>
      <c r="CI140" s="618">
        <v>0</v>
      </c>
      <c r="CJ140" s="616"/>
      <c r="CK140" s="56"/>
      <c r="CL140" s="611"/>
      <c r="CM140" s="617"/>
      <c r="CN140" s="618">
        <v>0</v>
      </c>
      <c r="CO140" s="616"/>
      <c r="CP140" s="56"/>
      <c r="CQ140" s="611"/>
      <c r="CR140" s="617"/>
      <c r="CS140" s="618">
        <v>0</v>
      </c>
      <c r="CT140" s="616"/>
      <c r="CU140" s="56"/>
      <c r="CV140" s="611"/>
      <c r="CW140" s="617"/>
      <c r="CX140" s="618">
        <v>0</v>
      </c>
      <c r="CY140" s="616"/>
      <c r="CZ140" s="56"/>
      <c r="DA140" s="611"/>
      <c r="DB140" s="617"/>
      <c r="DC140" s="618">
        <v>0</v>
      </c>
      <c r="DD140" s="616"/>
      <c r="DE140" s="56"/>
      <c r="DF140" s="611"/>
      <c r="DG140" s="617"/>
      <c r="DH140" s="618">
        <v>0</v>
      </c>
      <c r="DI140" s="616"/>
      <c r="DJ140" s="56"/>
      <c r="DK140" s="611"/>
      <c r="DL140" s="617"/>
      <c r="DM140" s="618">
        <v>0</v>
      </c>
      <c r="DN140" s="616"/>
      <c r="DO140" s="56"/>
      <c r="DP140" s="611"/>
      <c r="DQ140" s="617"/>
      <c r="DR140" s="618">
        <v>0</v>
      </c>
      <c r="DS140" s="616"/>
      <c r="DT140" s="56"/>
      <c r="DU140" s="611"/>
      <c r="DV140" s="617"/>
      <c r="DW140" s="618">
        <v>0</v>
      </c>
      <c r="DX140" s="616"/>
      <c r="DY140" s="56"/>
      <c r="DZ140" s="611"/>
      <c r="EA140" s="617"/>
      <c r="EB140" s="618">
        <v>0</v>
      </c>
      <c r="EC140" s="616"/>
      <c r="ED140" s="56"/>
      <c r="EE140" s="611"/>
      <c r="EF140" s="617"/>
      <c r="EG140" s="618">
        <v>0</v>
      </c>
      <c r="EH140" s="616"/>
      <c r="EI140" s="56"/>
      <c r="EJ140" s="611"/>
      <c r="EK140" s="617"/>
      <c r="EL140" s="618">
        <f>SUM(CD140:CD140)</f>
        <v>0</v>
      </c>
      <c r="EM140" s="648"/>
      <c r="EO140" s="144"/>
      <c r="EP140" s="42"/>
      <c r="EQ140" s="42"/>
    </row>
    <row r="141" spans="4:147" hidden="1" x14ac:dyDescent="0.3">
      <c r="D141" s="144"/>
      <c r="E141" s="494"/>
      <c r="G141" s="644"/>
      <c r="H141" s="644"/>
      <c r="I141" s="644"/>
      <c r="J141" s="645"/>
      <c r="K141" s="644"/>
      <c r="L141" s="644"/>
      <c r="M141" s="644"/>
      <c r="N141" s="644"/>
      <c r="O141" s="645"/>
      <c r="P141" s="644"/>
      <c r="Q141" s="644"/>
      <c r="R141" s="644"/>
      <c r="S141" s="644"/>
      <c r="T141" s="645"/>
      <c r="U141" s="644"/>
      <c r="V141" s="644"/>
      <c r="W141" s="644"/>
      <c r="X141" s="644"/>
      <c r="Y141" s="645"/>
      <c r="Z141" s="644"/>
      <c r="AA141" s="644"/>
      <c r="AB141" s="644"/>
      <c r="AC141" s="644"/>
      <c r="AD141" s="645"/>
      <c r="AE141" s="644"/>
      <c r="AF141" s="644"/>
      <c r="AG141" s="644"/>
      <c r="AH141" s="644"/>
      <c r="AI141" s="645"/>
      <c r="AJ141" s="644"/>
      <c r="AK141" s="644"/>
      <c r="AL141" s="644"/>
      <c r="AM141" s="644"/>
      <c r="AN141" s="645"/>
      <c r="AO141" s="644"/>
      <c r="AP141" s="644"/>
      <c r="AQ141" s="644"/>
      <c r="AR141" s="644"/>
      <c r="AS141" s="645"/>
      <c r="AT141" s="644"/>
      <c r="AU141" s="644"/>
      <c r="AV141" s="644"/>
      <c r="AW141" s="644"/>
      <c r="AX141" s="645"/>
      <c r="AY141" s="644"/>
      <c r="AZ141" s="644"/>
      <c r="BA141" s="644"/>
      <c r="BB141" s="644"/>
      <c r="BC141" s="645"/>
      <c r="BD141" s="644"/>
      <c r="BE141" s="644"/>
      <c r="BF141" s="644"/>
      <c r="BG141" s="644"/>
      <c r="BH141" s="645"/>
      <c r="BI141" s="644"/>
      <c r="BJ141" s="644"/>
      <c r="BK141" s="644"/>
      <c r="BL141" s="644"/>
      <c r="BM141" s="645"/>
      <c r="BN141" s="644"/>
      <c r="BO141" s="644"/>
      <c r="BP141" s="644"/>
      <c r="BQ141" s="644"/>
      <c r="BR141" s="645"/>
      <c r="BS141" s="644"/>
      <c r="BT141" s="56"/>
      <c r="BU141" s="56"/>
      <c r="BV141" s="56"/>
      <c r="BW141" s="611"/>
      <c r="BX141" s="56"/>
      <c r="BY141" s="56"/>
      <c r="BZ141" s="644"/>
      <c r="CA141" s="644"/>
      <c r="CB141" s="645"/>
      <c r="CC141" s="644"/>
      <c r="CD141" s="644"/>
      <c r="CE141" s="644"/>
      <c r="CF141" s="644"/>
      <c r="CG141" s="645"/>
      <c r="CH141" s="644"/>
      <c r="CI141" s="644"/>
      <c r="CJ141" s="644"/>
      <c r="CK141" s="644"/>
      <c r="CL141" s="645"/>
      <c r="CM141" s="644"/>
      <c r="CN141" s="644"/>
      <c r="CO141" s="644"/>
      <c r="CP141" s="644"/>
      <c r="CQ141" s="645"/>
      <c r="CR141" s="644"/>
      <c r="CS141" s="644"/>
      <c r="CT141" s="644"/>
      <c r="CU141" s="644"/>
      <c r="CV141" s="645"/>
      <c r="CW141" s="644"/>
      <c r="CX141" s="644"/>
      <c r="CY141" s="644"/>
      <c r="CZ141" s="644"/>
      <c r="DA141" s="645"/>
      <c r="DB141" s="644"/>
      <c r="DC141" s="644"/>
      <c r="DD141" s="644"/>
      <c r="DE141" s="644"/>
      <c r="DF141" s="645"/>
      <c r="DG141" s="644"/>
      <c r="DH141" s="644"/>
      <c r="DI141" s="644"/>
      <c r="DJ141" s="644"/>
      <c r="DK141" s="645"/>
      <c r="DL141" s="644"/>
      <c r="DM141" s="644"/>
      <c r="DN141" s="644"/>
      <c r="DO141" s="644"/>
      <c r="DP141" s="645"/>
      <c r="DQ141" s="644"/>
      <c r="DR141" s="644"/>
      <c r="DS141" s="644"/>
      <c r="DT141" s="644"/>
      <c r="DU141" s="645"/>
      <c r="DV141" s="644"/>
      <c r="DW141" s="644"/>
      <c r="DX141" s="644"/>
      <c r="DY141" s="644"/>
      <c r="DZ141" s="645"/>
      <c r="EA141" s="644"/>
      <c r="EB141" s="644"/>
      <c r="EC141" s="644"/>
      <c r="ED141" s="644"/>
      <c r="EE141" s="645"/>
      <c r="EF141" s="644"/>
      <c r="EG141" s="644"/>
      <c r="EH141" s="644"/>
      <c r="EI141" s="644"/>
      <c r="EJ141" s="645"/>
      <c r="EK141" s="644"/>
      <c r="EL141" s="56"/>
      <c r="EO141" s="144"/>
      <c r="EP141" s="42"/>
      <c r="EQ141" s="42"/>
    </row>
    <row r="142" spans="4:147" hidden="1" x14ac:dyDescent="0.3">
      <c r="D142" s="144" t="s">
        <v>377</v>
      </c>
      <c r="E142" s="494"/>
      <c r="G142" s="56">
        <f>SUM(G143:G143)</f>
        <v>0</v>
      </c>
      <c r="H142" s="56"/>
      <c r="I142" s="56"/>
      <c r="J142" s="611"/>
      <c r="K142" s="56"/>
      <c r="L142" s="56">
        <f>SUM(L143:L143)</f>
        <v>0</v>
      </c>
      <c r="M142" s="56"/>
      <c r="N142" s="56"/>
      <c r="O142" s="611"/>
      <c r="P142" s="56"/>
      <c r="Q142" s="56">
        <f>SUM(Q143:Q143)</f>
        <v>0</v>
      </c>
      <c r="R142" s="56"/>
      <c r="S142" s="56"/>
      <c r="T142" s="611"/>
      <c r="U142" s="56"/>
      <c r="V142" s="56">
        <f>SUM(V143:V143)</f>
        <v>0</v>
      </c>
      <c r="W142" s="56"/>
      <c r="X142" s="56"/>
      <c r="Y142" s="611"/>
      <c r="Z142" s="56"/>
      <c r="AA142" s="56">
        <f>SUM(AA143:AA143)</f>
        <v>0</v>
      </c>
      <c r="AB142" s="56"/>
      <c r="AC142" s="56"/>
      <c r="AD142" s="611"/>
      <c r="AE142" s="56"/>
      <c r="AF142" s="56">
        <f>SUM(AF143:AF143)</f>
        <v>0</v>
      </c>
      <c r="AG142" s="56"/>
      <c r="AH142" s="56"/>
      <c r="AI142" s="611"/>
      <c r="AJ142" s="56"/>
      <c r="AK142" s="56">
        <f>SUM(AK143:AK143)</f>
        <v>0</v>
      </c>
      <c r="AL142" s="56"/>
      <c r="AM142" s="56"/>
      <c r="AN142" s="611"/>
      <c r="AO142" s="56"/>
      <c r="AP142" s="56">
        <f>SUM(AP143:AP143)</f>
        <v>0</v>
      </c>
      <c r="AQ142" s="56"/>
      <c r="AR142" s="56"/>
      <c r="AS142" s="611"/>
      <c r="AT142" s="56"/>
      <c r="AU142" s="56">
        <f>SUM(AU143:AU143)</f>
        <v>0</v>
      </c>
      <c r="AV142" s="56"/>
      <c r="AW142" s="56"/>
      <c r="AX142" s="611"/>
      <c r="AY142" s="56"/>
      <c r="AZ142" s="56">
        <f>SUM(AZ143:AZ143)</f>
        <v>0</v>
      </c>
      <c r="BA142" s="56"/>
      <c r="BB142" s="56"/>
      <c r="BC142" s="611"/>
      <c r="BD142" s="56"/>
      <c r="BE142" s="56">
        <f>SUM(BE143:BE143)</f>
        <v>0</v>
      </c>
      <c r="BF142" s="56"/>
      <c r="BG142" s="56"/>
      <c r="BH142" s="611"/>
      <c r="BI142" s="56"/>
      <c r="BJ142" s="56">
        <f>SUM(BJ143:BJ143)</f>
        <v>0</v>
      </c>
      <c r="BK142" s="56"/>
      <c r="BL142" s="56"/>
      <c r="BM142" s="611"/>
      <c r="BN142" s="56"/>
      <c r="BO142" s="56">
        <f>SUM(BO143:BO143)</f>
        <v>0</v>
      </c>
      <c r="BP142" s="56"/>
      <c r="BQ142" s="56"/>
      <c r="BR142" s="611"/>
      <c r="BS142" s="56"/>
      <c r="BT142" s="56">
        <f>SUM(BT143:BT143)</f>
        <v>0</v>
      </c>
      <c r="BU142" s="56"/>
      <c r="BV142" s="56"/>
      <c r="BW142" s="611"/>
      <c r="BX142" s="56"/>
      <c r="BY142" s="56">
        <f>SUM(BY143:BY143)</f>
        <v>0</v>
      </c>
      <c r="BZ142" s="56"/>
      <c r="CA142" s="56"/>
      <c r="CB142" s="611"/>
      <c r="CC142" s="56"/>
      <c r="CD142" s="56">
        <f>SUM(CD143:CD143)</f>
        <v>0</v>
      </c>
      <c r="CE142" s="56"/>
      <c r="CF142" s="56"/>
      <c r="CG142" s="611"/>
      <c r="CH142" s="56"/>
      <c r="CI142" s="56">
        <f>SUM(CI143:CI143)</f>
        <v>0</v>
      </c>
      <c r="CJ142" s="56"/>
      <c r="CK142" s="56"/>
      <c r="CL142" s="611"/>
      <c r="CM142" s="56"/>
      <c r="CN142" s="56">
        <f>SUM(CN143:CN143)</f>
        <v>0</v>
      </c>
      <c r="CO142" s="56"/>
      <c r="CP142" s="56"/>
      <c r="CQ142" s="611"/>
      <c r="CR142" s="56"/>
      <c r="CS142" s="56">
        <f>SUM(CS143:CS143)</f>
        <v>0</v>
      </c>
      <c r="CT142" s="56"/>
      <c r="CU142" s="56"/>
      <c r="CV142" s="611"/>
      <c r="CW142" s="56"/>
      <c r="CX142" s="56">
        <f>SUM(CX143:CX143)</f>
        <v>0</v>
      </c>
      <c r="CY142" s="56"/>
      <c r="CZ142" s="56"/>
      <c r="DA142" s="611"/>
      <c r="DB142" s="56"/>
      <c r="DC142" s="56">
        <f>SUM(DC143:DC143)</f>
        <v>0</v>
      </c>
      <c r="DD142" s="56"/>
      <c r="DE142" s="56"/>
      <c r="DF142" s="611"/>
      <c r="DG142" s="56"/>
      <c r="DH142" s="56">
        <f>SUM(DH143:DH143)</f>
        <v>0</v>
      </c>
      <c r="DI142" s="56"/>
      <c r="DJ142" s="56"/>
      <c r="DK142" s="611"/>
      <c r="DL142" s="56"/>
      <c r="DM142" s="56">
        <f>SUM(DM143:DM143)</f>
        <v>0</v>
      </c>
      <c r="DN142" s="56"/>
      <c r="DO142" s="56"/>
      <c r="DP142" s="611"/>
      <c r="DQ142" s="56"/>
      <c r="DR142" s="56">
        <f>SUM(DR143:DR143)</f>
        <v>0</v>
      </c>
      <c r="DS142" s="56"/>
      <c r="DT142" s="56"/>
      <c r="DU142" s="611"/>
      <c r="DV142" s="56"/>
      <c r="DW142" s="56">
        <f>SUM(DW143:DW143)</f>
        <v>0</v>
      </c>
      <c r="DX142" s="56"/>
      <c r="DY142" s="56"/>
      <c r="DZ142" s="611"/>
      <c r="EA142" s="56"/>
      <c r="EB142" s="56">
        <f>SUM(EB143:EB143)</f>
        <v>0</v>
      </c>
      <c r="EC142" s="56"/>
      <c r="ED142" s="56"/>
      <c r="EE142" s="611"/>
      <c r="EF142" s="56"/>
      <c r="EG142" s="56">
        <f>SUM(EG143:EG143)</f>
        <v>0</v>
      </c>
      <c r="EH142" s="56"/>
      <c r="EI142" s="56"/>
      <c r="EJ142" s="611"/>
      <c r="EK142" s="56"/>
      <c r="EL142" s="56">
        <f>SUM(EL143:EL143)</f>
        <v>0</v>
      </c>
      <c r="EO142" s="144"/>
      <c r="EP142" s="42"/>
      <c r="EQ142" s="42"/>
    </row>
    <row r="143" spans="4:147" hidden="1" x14ac:dyDescent="0.3">
      <c r="D143" s="144" t="s">
        <v>335</v>
      </c>
      <c r="E143" s="494"/>
      <c r="F143" s="614"/>
      <c r="G143" s="618">
        <v>0</v>
      </c>
      <c r="H143" s="616"/>
      <c r="I143" s="56"/>
      <c r="J143" s="611"/>
      <c r="K143" s="617"/>
      <c r="L143" s="618">
        <v>0</v>
      </c>
      <c r="M143" s="616"/>
      <c r="N143" s="56"/>
      <c r="O143" s="611"/>
      <c r="P143" s="617"/>
      <c r="Q143" s="618">
        <v>0</v>
      </c>
      <c r="R143" s="616"/>
      <c r="S143" s="56"/>
      <c r="T143" s="611"/>
      <c r="U143" s="617"/>
      <c r="V143" s="618">
        <v>0</v>
      </c>
      <c r="W143" s="616"/>
      <c r="X143" s="56"/>
      <c r="Y143" s="611"/>
      <c r="Z143" s="617"/>
      <c r="AA143" s="618">
        <v>0</v>
      </c>
      <c r="AB143" s="616"/>
      <c r="AC143" s="56"/>
      <c r="AD143" s="611"/>
      <c r="AE143" s="617"/>
      <c r="AF143" s="618">
        <v>0</v>
      </c>
      <c r="AG143" s="616"/>
      <c r="AH143" s="56"/>
      <c r="AI143" s="611"/>
      <c r="AJ143" s="617"/>
      <c r="AK143" s="618">
        <v>0</v>
      </c>
      <c r="AL143" s="616"/>
      <c r="AM143" s="56"/>
      <c r="AN143" s="611"/>
      <c r="AO143" s="617"/>
      <c r="AP143" s="618">
        <v>0</v>
      </c>
      <c r="AQ143" s="616"/>
      <c r="AR143" s="56"/>
      <c r="AS143" s="611"/>
      <c r="AT143" s="617"/>
      <c r="AU143" s="618">
        <v>0</v>
      </c>
      <c r="AV143" s="616"/>
      <c r="AW143" s="56"/>
      <c r="AX143" s="611"/>
      <c r="AY143" s="617"/>
      <c r="AZ143" s="618">
        <v>0</v>
      </c>
      <c r="BA143" s="616"/>
      <c r="BB143" s="56"/>
      <c r="BC143" s="611"/>
      <c r="BD143" s="617"/>
      <c r="BE143" s="618">
        <v>0</v>
      </c>
      <c r="BF143" s="616"/>
      <c r="BG143" s="56"/>
      <c r="BH143" s="611"/>
      <c r="BI143" s="617"/>
      <c r="BJ143" s="618">
        <v>0</v>
      </c>
      <c r="BK143" s="616"/>
      <c r="BL143" s="56"/>
      <c r="BM143" s="611"/>
      <c r="BN143" s="617"/>
      <c r="BO143" s="618">
        <v>0</v>
      </c>
      <c r="BP143" s="616"/>
      <c r="BQ143" s="56"/>
      <c r="BR143" s="611"/>
      <c r="BS143" s="617"/>
      <c r="BT143" s="618">
        <f>SUM(L143:BO143)</f>
        <v>0</v>
      </c>
      <c r="BU143" s="616"/>
      <c r="BV143" s="56"/>
      <c r="BW143" s="611"/>
      <c r="BX143" s="617"/>
      <c r="BY143" s="618">
        <v>0</v>
      </c>
      <c r="BZ143" s="616"/>
      <c r="CA143" s="56"/>
      <c r="CB143" s="611"/>
      <c r="CC143" s="617"/>
      <c r="CD143" s="618">
        <v>0</v>
      </c>
      <c r="CE143" s="616"/>
      <c r="CF143" s="56"/>
      <c r="CG143" s="611"/>
      <c r="CH143" s="617"/>
      <c r="CI143" s="618">
        <v>0</v>
      </c>
      <c r="CJ143" s="616"/>
      <c r="CK143" s="56"/>
      <c r="CL143" s="611"/>
      <c r="CM143" s="617"/>
      <c r="CN143" s="618">
        <v>0</v>
      </c>
      <c r="CO143" s="616"/>
      <c r="CP143" s="56"/>
      <c r="CQ143" s="611"/>
      <c r="CR143" s="617"/>
      <c r="CS143" s="618">
        <v>0</v>
      </c>
      <c r="CT143" s="616"/>
      <c r="CU143" s="56"/>
      <c r="CV143" s="611"/>
      <c r="CW143" s="617"/>
      <c r="CX143" s="618">
        <v>0</v>
      </c>
      <c r="CY143" s="616"/>
      <c r="CZ143" s="56"/>
      <c r="DA143" s="611"/>
      <c r="DB143" s="617"/>
      <c r="DC143" s="618">
        <v>0</v>
      </c>
      <c r="DD143" s="616"/>
      <c r="DE143" s="56"/>
      <c r="DF143" s="611"/>
      <c r="DG143" s="617"/>
      <c r="DH143" s="618">
        <v>0</v>
      </c>
      <c r="DI143" s="616"/>
      <c r="DJ143" s="56"/>
      <c r="DK143" s="611"/>
      <c r="DL143" s="617"/>
      <c r="DM143" s="618">
        <v>0</v>
      </c>
      <c r="DN143" s="616"/>
      <c r="DO143" s="56"/>
      <c r="DP143" s="611"/>
      <c r="DQ143" s="617"/>
      <c r="DR143" s="618">
        <v>0</v>
      </c>
      <c r="DS143" s="616"/>
      <c r="DT143" s="56"/>
      <c r="DU143" s="611"/>
      <c r="DV143" s="617"/>
      <c r="DW143" s="618">
        <v>0</v>
      </c>
      <c r="DX143" s="616"/>
      <c r="DY143" s="56"/>
      <c r="DZ143" s="611"/>
      <c r="EA143" s="617"/>
      <c r="EB143" s="618">
        <v>0</v>
      </c>
      <c r="EC143" s="616"/>
      <c r="ED143" s="56"/>
      <c r="EE143" s="611"/>
      <c r="EF143" s="617"/>
      <c r="EG143" s="618">
        <v>0</v>
      </c>
      <c r="EH143" s="616"/>
      <c r="EI143" s="56"/>
      <c r="EJ143" s="611"/>
      <c r="EK143" s="617"/>
      <c r="EL143" s="618">
        <f>SUM(CD143:EG143)</f>
        <v>0</v>
      </c>
      <c r="EM143" s="648"/>
      <c r="EO143" s="144"/>
      <c r="EP143" s="42"/>
      <c r="EQ143" s="42"/>
    </row>
    <row r="144" spans="4:147" ht="12.75" hidden="1" customHeight="1" x14ac:dyDescent="0.3">
      <c r="D144" s="144"/>
      <c r="E144" s="494"/>
      <c r="G144" s="56"/>
      <c r="H144" s="56"/>
      <c r="I144" s="56"/>
      <c r="J144" s="611"/>
      <c r="K144" s="56"/>
      <c r="L144" s="56"/>
      <c r="M144" s="56"/>
      <c r="N144" s="56"/>
      <c r="O144" s="611"/>
      <c r="P144" s="56"/>
      <c r="Q144" s="56"/>
      <c r="R144" s="56"/>
      <c r="S144" s="56"/>
      <c r="T144" s="611"/>
      <c r="U144" s="56"/>
      <c r="V144" s="56"/>
      <c r="W144" s="56"/>
      <c r="X144" s="56"/>
      <c r="Y144" s="611"/>
      <c r="Z144" s="56"/>
      <c r="AA144" s="56"/>
      <c r="AB144" s="56"/>
      <c r="AC144" s="56"/>
      <c r="AD144" s="611"/>
      <c r="AE144" s="56"/>
      <c r="AF144" s="56"/>
      <c r="AG144" s="56"/>
      <c r="AH144" s="56"/>
      <c r="AI144" s="611"/>
      <c r="AJ144" s="56"/>
      <c r="AK144" s="56"/>
      <c r="AL144" s="56"/>
      <c r="AM144" s="56"/>
      <c r="AN144" s="611"/>
      <c r="AO144" s="56"/>
      <c r="AP144" s="56"/>
      <c r="AQ144" s="56"/>
      <c r="AR144" s="56"/>
      <c r="AS144" s="611"/>
      <c r="AT144" s="56"/>
      <c r="AU144" s="56"/>
      <c r="AV144" s="56"/>
      <c r="AW144" s="56"/>
      <c r="AX144" s="611"/>
      <c r="AY144" s="56"/>
      <c r="AZ144" s="56"/>
      <c r="BA144" s="56"/>
      <c r="BB144" s="56"/>
      <c r="BC144" s="611"/>
      <c r="BD144" s="56"/>
      <c r="BE144" s="56"/>
      <c r="BF144" s="56"/>
      <c r="BG144" s="56"/>
      <c r="BH144" s="611"/>
      <c r="BI144" s="56"/>
      <c r="BJ144" s="56"/>
      <c r="BK144" s="56"/>
      <c r="BL144" s="56"/>
      <c r="BM144" s="611"/>
      <c r="BN144" s="56"/>
      <c r="BO144" s="56"/>
      <c r="BP144" s="56"/>
      <c r="BQ144" s="56"/>
      <c r="BR144" s="611"/>
      <c r="BS144" s="56"/>
      <c r="BT144" s="56"/>
      <c r="BU144" s="56"/>
      <c r="BV144" s="56"/>
      <c r="BW144" s="611"/>
      <c r="BX144" s="56"/>
      <c r="BY144" s="56"/>
      <c r="BZ144" s="56"/>
      <c r="CA144" s="56"/>
      <c r="CB144" s="611"/>
      <c r="CC144" s="56"/>
      <c r="CD144" s="56"/>
      <c r="CE144" s="56"/>
      <c r="CF144" s="56"/>
      <c r="CG144" s="611"/>
      <c r="CH144" s="56"/>
      <c r="CI144" s="56"/>
      <c r="CJ144" s="56"/>
      <c r="CK144" s="56"/>
      <c r="CL144" s="611"/>
      <c r="CM144" s="56"/>
      <c r="CN144" s="56"/>
      <c r="CO144" s="56"/>
      <c r="CP144" s="56"/>
      <c r="CQ144" s="611"/>
      <c r="CR144" s="56"/>
      <c r="CS144" s="56"/>
      <c r="CT144" s="56"/>
      <c r="CU144" s="56"/>
      <c r="CV144" s="611"/>
      <c r="CW144" s="56"/>
      <c r="CX144" s="56"/>
      <c r="CY144" s="56"/>
      <c r="CZ144" s="56"/>
      <c r="DA144" s="611"/>
      <c r="DB144" s="56"/>
      <c r="DC144" s="56"/>
      <c r="DD144" s="56"/>
      <c r="DE144" s="56"/>
      <c r="DF144" s="611"/>
      <c r="DG144" s="56"/>
      <c r="DH144" s="56"/>
      <c r="DI144" s="56"/>
      <c r="DJ144" s="56"/>
      <c r="DK144" s="611"/>
      <c r="DL144" s="56"/>
      <c r="DM144" s="56"/>
      <c r="DN144" s="56"/>
      <c r="DO144" s="56"/>
      <c r="DP144" s="611"/>
      <c r="DQ144" s="56"/>
      <c r="DR144" s="56"/>
      <c r="DS144" s="56"/>
      <c r="DT144" s="56"/>
      <c r="DU144" s="611"/>
      <c r="DV144" s="56"/>
      <c r="DW144" s="56"/>
      <c r="DX144" s="56"/>
      <c r="DY144" s="56"/>
      <c r="DZ144" s="611"/>
      <c r="EA144" s="56"/>
      <c r="EB144" s="56"/>
      <c r="EC144" s="56"/>
      <c r="ED144" s="56"/>
      <c r="EE144" s="611"/>
      <c r="EF144" s="56"/>
      <c r="EG144" s="56"/>
      <c r="EH144" s="56"/>
      <c r="EI144" s="56"/>
      <c r="EJ144" s="611"/>
      <c r="EK144" s="56"/>
      <c r="EL144" s="56"/>
      <c r="EO144" s="144"/>
      <c r="EP144" s="42"/>
      <c r="EQ144" s="42"/>
    </row>
    <row r="145" spans="4:147" ht="12.75" hidden="1" customHeight="1" x14ac:dyDescent="0.3">
      <c r="D145" s="144" t="s">
        <v>377</v>
      </c>
      <c r="E145" s="494"/>
      <c r="G145" s="56">
        <f>SUM(G146:G146)</f>
        <v>0</v>
      </c>
      <c r="H145" s="56"/>
      <c r="I145" s="56"/>
      <c r="J145" s="611"/>
      <c r="K145" s="56"/>
      <c r="L145" s="56">
        <f>SUM(L146:L146)</f>
        <v>0</v>
      </c>
      <c r="M145" s="56">
        <f>SUM(M146:M146)</f>
        <v>0</v>
      </c>
      <c r="N145" s="56"/>
      <c r="O145" s="611"/>
      <c r="Q145" s="56">
        <f>SUM(Q146:Q146)</f>
        <v>0</v>
      </c>
      <c r="R145" s="56"/>
      <c r="S145" s="56"/>
      <c r="T145" s="611"/>
      <c r="V145" s="56">
        <f>SUM(V146:V146)</f>
        <v>0</v>
      </c>
      <c r="W145" s="56"/>
      <c r="X145" s="56"/>
      <c r="Y145" s="611"/>
      <c r="AA145" s="56">
        <f>SUM(AA146:AA146)</f>
        <v>0</v>
      </c>
      <c r="AB145" s="56"/>
      <c r="AC145" s="56"/>
      <c r="AD145" s="611"/>
      <c r="AF145" s="56">
        <f>SUM(AF146:AF146)</f>
        <v>0</v>
      </c>
      <c r="AG145" s="56"/>
      <c r="AH145" s="56"/>
      <c r="AI145" s="611"/>
      <c r="AK145" s="56">
        <f>SUM(AK146:AK146)</f>
        <v>0</v>
      </c>
      <c r="AL145" s="56"/>
      <c r="AM145" s="56"/>
      <c r="AN145" s="611"/>
      <c r="AP145" s="56">
        <f>SUM(AP146:AP146)</f>
        <v>0</v>
      </c>
      <c r="AQ145" s="56"/>
      <c r="AR145" s="56"/>
      <c r="AS145" s="611"/>
      <c r="AU145" s="56">
        <f>SUM(AU146:AU146)</f>
        <v>0</v>
      </c>
      <c r="AV145" s="56"/>
      <c r="AW145" s="56"/>
      <c r="AX145" s="611"/>
      <c r="AZ145" s="56">
        <f>SUM(AZ146:AZ146)</f>
        <v>0</v>
      </c>
      <c r="BA145" s="56"/>
      <c r="BB145" s="56"/>
      <c r="BC145" s="611"/>
      <c r="BE145" s="56">
        <f>SUM(BE146:BE146)</f>
        <v>0</v>
      </c>
      <c r="BF145" s="56"/>
      <c r="BG145" s="56"/>
      <c r="BH145" s="611"/>
      <c r="BJ145" s="56">
        <f>SUM(BJ146:BJ146)</f>
        <v>0</v>
      </c>
      <c r="BK145" s="56"/>
      <c r="BL145" s="56"/>
      <c r="BM145" s="611"/>
      <c r="BO145" s="56">
        <f>SUM(BO146:BO146)</f>
        <v>0</v>
      </c>
      <c r="BP145" s="56"/>
      <c r="BQ145" s="56"/>
      <c r="BR145" s="611"/>
      <c r="BT145" s="56">
        <f>SUM(BT146:BT146)</f>
        <v>0</v>
      </c>
      <c r="BU145" s="56"/>
      <c r="BV145" s="56"/>
      <c r="BW145" s="611"/>
      <c r="BY145" s="56">
        <f>SUM(BY146:BY146)</f>
        <v>0</v>
      </c>
      <c r="BZ145" s="56"/>
      <c r="CA145" s="56"/>
      <c r="CB145" s="611"/>
      <c r="CC145" s="56"/>
      <c r="CD145" s="136">
        <f>SUM(CD146:CD146)</f>
        <v>0</v>
      </c>
      <c r="CE145" s="56">
        <f>SUM(CE146:CE146)</f>
        <v>0</v>
      </c>
      <c r="CF145" s="56"/>
      <c r="CG145" s="611"/>
      <c r="CI145" s="136">
        <f>SUM(CI146:CI146)</f>
        <v>0</v>
      </c>
      <c r="CJ145" s="56"/>
      <c r="CK145" s="56"/>
      <c r="CL145" s="611"/>
      <c r="CN145" s="136">
        <f>SUM(CN146:CN146)</f>
        <v>0</v>
      </c>
      <c r="CO145" s="56"/>
      <c r="CP145" s="56"/>
      <c r="CQ145" s="611"/>
      <c r="CS145" s="136">
        <f>SUM(CS146:CS146)</f>
        <v>0</v>
      </c>
      <c r="CT145" s="56"/>
      <c r="CU145" s="56"/>
      <c r="CV145" s="611"/>
      <c r="CX145" s="136">
        <f>SUM(CX146:CX146)</f>
        <v>0</v>
      </c>
      <c r="CY145" s="56"/>
      <c r="CZ145" s="56"/>
      <c r="DA145" s="611"/>
      <c r="DC145" s="136">
        <f>SUM(DC146:DC146)</f>
        <v>0</v>
      </c>
      <c r="DD145" s="56"/>
      <c r="DE145" s="56"/>
      <c r="DF145" s="611"/>
      <c r="DH145" s="136">
        <f>SUM(DH146:DH146)</f>
        <v>0</v>
      </c>
      <c r="DI145" s="56"/>
      <c r="DJ145" s="56"/>
      <c r="DK145" s="611"/>
      <c r="DM145" s="136">
        <f>SUM(DM146:DM146)</f>
        <v>0</v>
      </c>
      <c r="DN145" s="56"/>
      <c r="DO145" s="56"/>
      <c r="DP145" s="611"/>
      <c r="DR145" s="136">
        <f>SUM(DR146:DR146)</f>
        <v>0</v>
      </c>
      <c r="DS145" s="56"/>
      <c r="DT145" s="56"/>
      <c r="DU145" s="611"/>
      <c r="DW145" s="136">
        <f>SUM(DW146:DW146)</f>
        <v>0</v>
      </c>
      <c r="DX145" s="56"/>
      <c r="DY145" s="56"/>
      <c r="DZ145" s="611"/>
      <c r="EB145" s="136">
        <f>SUM(EB146:EB146)</f>
        <v>0</v>
      </c>
      <c r="EC145" s="56"/>
      <c r="ED145" s="56"/>
      <c r="EE145" s="611"/>
      <c r="EG145" s="56">
        <f>SUM(EG146:EG146)</f>
        <v>0</v>
      </c>
      <c r="EH145" s="56"/>
      <c r="EI145" s="56"/>
      <c r="EJ145" s="611"/>
      <c r="EL145" s="56">
        <f>SUM(EL146:EL146)</f>
        <v>0</v>
      </c>
      <c r="EM145" s="56"/>
      <c r="EO145" s="144"/>
      <c r="EP145" s="42"/>
      <c r="EQ145" s="42"/>
    </row>
    <row r="146" spans="4:147" ht="12.75" hidden="1" customHeight="1" x14ac:dyDescent="0.3">
      <c r="D146" s="144" t="s">
        <v>335</v>
      </c>
      <c r="E146" s="494"/>
      <c r="F146" s="614"/>
      <c r="G146" s="618">
        <v>0</v>
      </c>
      <c r="H146" s="616"/>
      <c r="I146" s="56"/>
      <c r="J146" s="611"/>
      <c r="K146" s="617"/>
      <c r="L146" s="618">
        <v>0</v>
      </c>
      <c r="M146" s="616"/>
      <c r="N146" s="52"/>
      <c r="O146" s="611"/>
      <c r="P146" s="614"/>
      <c r="Q146" s="618">
        <v>0</v>
      </c>
      <c r="R146" s="616"/>
      <c r="S146" s="56"/>
      <c r="T146" s="611"/>
      <c r="U146" s="614"/>
      <c r="V146" s="618">
        <v>0</v>
      </c>
      <c r="W146" s="616"/>
      <c r="X146" s="56"/>
      <c r="Y146" s="611"/>
      <c r="Z146" s="614"/>
      <c r="AA146" s="618">
        <v>0</v>
      </c>
      <c r="AB146" s="616"/>
      <c r="AC146" s="56"/>
      <c r="AD146" s="611"/>
      <c r="AE146" s="614"/>
      <c r="AF146" s="618">
        <v>0</v>
      </c>
      <c r="AG146" s="616"/>
      <c r="AH146" s="56"/>
      <c r="AI146" s="611"/>
      <c r="AJ146" s="614"/>
      <c r="AK146" s="618">
        <v>0</v>
      </c>
      <c r="AL146" s="616"/>
      <c r="AM146" s="56"/>
      <c r="AN146" s="611"/>
      <c r="AO146" s="614"/>
      <c r="AP146" s="618">
        <v>0</v>
      </c>
      <c r="AQ146" s="616"/>
      <c r="AR146" s="56"/>
      <c r="AS146" s="611"/>
      <c r="AT146" s="614"/>
      <c r="AU146" s="618">
        <v>0</v>
      </c>
      <c r="AV146" s="616"/>
      <c r="AW146" s="56"/>
      <c r="AX146" s="611"/>
      <c r="AY146" s="614"/>
      <c r="AZ146" s="618">
        <v>0</v>
      </c>
      <c r="BA146" s="616"/>
      <c r="BB146" s="56"/>
      <c r="BC146" s="611"/>
      <c r="BD146" s="614"/>
      <c r="BE146" s="618">
        <v>0</v>
      </c>
      <c r="BF146" s="616"/>
      <c r="BG146" s="56"/>
      <c r="BH146" s="611"/>
      <c r="BI146" s="614"/>
      <c r="BJ146" s="618">
        <v>0</v>
      </c>
      <c r="BK146" s="616"/>
      <c r="BL146" s="56"/>
      <c r="BM146" s="611"/>
      <c r="BN146" s="614"/>
      <c r="BO146" s="618">
        <v>0</v>
      </c>
      <c r="BP146" s="616"/>
      <c r="BQ146" s="56"/>
      <c r="BR146" s="611"/>
      <c r="BS146" s="614"/>
      <c r="BT146" s="618">
        <f>SUM(L146:BO146)</f>
        <v>0</v>
      </c>
      <c r="BU146" s="616"/>
      <c r="BV146" s="56"/>
      <c r="BW146" s="611"/>
      <c r="BX146" s="614"/>
      <c r="BY146" s="618">
        <v>0</v>
      </c>
      <c r="BZ146" s="616"/>
      <c r="CA146" s="56"/>
      <c r="CB146" s="611"/>
      <c r="CC146" s="617"/>
      <c r="CD146" s="618">
        <v>0</v>
      </c>
      <c r="CE146" s="616"/>
      <c r="CF146" s="52"/>
      <c r="CG146" s="611"/>
      <c r="CH146" s="614"/>
      <c r="CI146" s="618">
        <v>0</v>
      </c>
      <c r="CJ146" s="616"/>
      <c r="CK146" s="56"/>
      <c r="CL146" s="611"/>
      <c r="CM146" s="614"/>
      <c r="CN146" s="618">
        <v>0</v>
      </c>
      <c r="CO146" s="616"/>
      <c r="CP146" s="56"/>
      <c r="CQ146" s="611"/>
      <c r="CR146" s="614"/>
      <c r="CS146" s="618">
        <v>0</v>
      </c>
      <c r="CT146" s="616"/>
      <c r="CU146" s="56"/>
      <c r="CV146" s="611"/>
      <c r="CW146" s="614"/>
      <c r="CX146" s="618">
        <v>0</v>
      </c>
      <c r="CY146" s="616"/>
      <c r="CZ146" s="56"/>
      <c r="DA146" s="611"/>
      <c r="DB146" s="614"/>
      <c r="DC146" s="618">
        <v>0</v>
      </c>
      <c r="DD146" s="616"/>
      <c r="DE146" s="56"/>
      <c r="DF146" s="611"/>
      <c r="DG146" s="614"/>
      <c r="DH146" s="618">
        <v>0</v>
      </c>
      <c r="DI146" s="616"/>
      <c r="DJ146" s="56"/>
      <c r="DK146" s="611"/>
      <c r="DL146" s="614"/>
      <c r="DM146" s="618">
        <v>0</v>
      </c>
      <c r="DN146" s="616"/>
      <c r="DO146" s="56"/>
      <c r="DP146" s="611"/>
      <c r="DQ146" s="614"/>
      <c r="DR146" s="618">
        <v>0</v>
      </c>
      <c r="DS146" s="616"/>
      <c r="DT146" s="56"/>
      <c r="DU146" s="611"/>
      <c r="DV146" s="614"/>
      <c r="DW146" s="618">
        <v>0</v>
      </c>
      <c r="DX146" s="616"/>
      <c r="DY146" s="56"/>
      <c r="DZ146" s="611"/>
      <c r="EA146" s="614"/>
      <c r="EB146" s="618">
        <v>0</v>
      </c>
      <c r="EC146" s="616"/>
      <c r="ED146" s="56"/>
      <c r="EE146" s="611"/>
      <c r="EF146" s="614"/>
      <c r="EG146" s="618">
        <v>0</v>
      </c>
      <c r="EH146" s="616"/>
      <c r="EI146" s="56"/>
      <c r="EJ146" s="611"/>
      <c r="EK146" s="614"/>
      <c r="EL146" s="618">
        <f>SUM(CD146:EG146)</f>
        <v>0</v>
      </c>
      <c r="EM146" s="616"/>
      <c r="EO146" s="144"/>
      <c r="EP146" s="42"/>
      <c r="EQ146" s="42"/>
    </row>
    <row r="147" spans="4:147" ht="12.75" hidden="1" customHeight="1" x14ac:dyDescent="0.3">
      <c r="D147" s="144"/>
      <c r="E147" s="494"/>
      <c r="G147" s="644"/>
      <c r="H147" s="644"/>
      <c r="I147" s="644"/>
      <c r="J147" s="645"/>
      <c r="K147" s="644"/>
      <c r="L147" s="644"/>
      <c r="M147" s="644"/>
      <c r="N147" s="644"/>
      <c r="O147" s="645"/>
      <c r="P147" s="644"/>
      <c r="Q147" s="644"/>
      <c r="R147" s="644"/>
      <c r="S147" s="644"/>
      <c r="T147" s="645"/>
      <c r="U147" s="644"/>
      <c r="V147" s="644"/>
      <c r="W147" s="644"/>
      <c r="X147" s="644"/>
      <c r="Y147" s="645"/>
      <c r="Z147" s="644"/>
      <c r="AA147" s="644"/>
      <c r="AB147" s="644"/>
      <c r="AC147" s="644"/>
      <c r="AD147" s="645"/>
      <c r="AE147" s="644"/>
      <c r="AF147" s="644"/>
      <c r="AG147" s="644"/>
      <c r="AH147" s="644"/>
      <c r="AI147" s="645"/>
      <c r="AJ147" s="644"/>
      <c r="AK147" s="644"/>
      <c r="AL147" s="644"/>
      <c r="AM147" s="644"/>
      <c r="AN147" s="645"/>
      <c r="AO147" s="644"/>
      <c r="AP147" s="644"/>
      <c r="AQ147" s="644"/>
      <c r="AR147" s="644"/>
      <c r="AS147" s="645"/>
      <c r="AT147" s="644"/>
      <c r="AU147" s="644"/>
      <c r="AV147" s="644"/>
      <c r="AW147" s="644"/>
      <c r="AX147" s="645"/>
      <c r="AY147" s="644"/>
      <c r="AZ147" s="644"/>
      <c r="BA147" s="644"/>
      <c r="BB147" s="644"/>
      <c r="BC147" s="645"/>
      <c r="BD147" s="644"/>
      <c r="BE147" s="644"/>
      <c r="BF147" s="644"/>
      <c r="BG147" s="644"/>
      <c r="BH147" s="645"/>
      <c r="BI147" s="644"/>
      <c r="BJ147" s="644"/>
      <c r="BK147" s="644"/>
      <c r="BL147" s="644"/>
      <c r="BM147" s="645"/>
      <c r="BN147" s="644"/>
      <c r="BO147" s="644"/>
      <c r="BP147" s="644"/>
      <c r="BQ147" s="644"/>
      <c r="BR147" s="645"/>
      <c r="BS147" s="644"/>
      <c r="BT147" s="56"/>
      <c r="BU147" s="56"/>
      <c r="BV147" s="56"/>
      <c r="BW147" s="611"/>
      <c r="BX147" s="56"/>
      <c r="BY147" s="56"/>
      <c r="BZ147" s="644"/>
      <c r="CA147" s="644"/>
      <c r="CB147" s="645"/>
      <c r="CC147" s="644"/>
      <c r="CD147" s="644"/>
      <c r="CE147" s="644"/>
      <c r="CF147" s="644"/>
      <c r="CG147" s="645"/>
      <c r="CH147" s="644"/>
      <c r="CI147" s="644"/>
      <c r="CJ147" s="644"/>
      <c r="CK147" s="644"/>
      <c r="CL147" s="645"/>
      <c r="CM147" s="644"/>
      <c r="CN147" s="644"/>
      <c r="CO147" s="644"/>
      <c r="CP147" s="644"/>
      <c r="CQ147" s="645"/>
      <c r="CR147" s="644"/>
      <c r="CS147" s="644"/>
      <c r="CT147" s="644"/>
      <c r="CU147" s="644"/>
      <c r="CV147" s="645"/>
      <c r="CW147" s="644"/>
      <c r="CX147" s="644"/>
      <c r="CY147" s="644"/>
      <c r="CZ147" s="644"/>
      <c r="DA147" s="645"/>
      <c r="DB147" s="644"/>
      <c r="DC147" s="644"/>
      <c r="DD147" s="644"/>
      <c r="DE147" s="644"/>
      <c r="DF147" s="645"/>
      <c r="DG147" s="644"/>
      <c r="DH147" s="644"/>
      <c r="DI147" s="644"/>
      <c r="DJ147" s="644"/>
      <c r="DK147" s="645"/>
      <c r="DL147" s="644"/>
      <c r="DM147" s="644"/>
      <c r="DN147" s="644"/>
      <c r="DO147" s="644"/>
      <c r="DP147" s="645"/>
      <c r="DQ147" s="644"/>
      <c r="DR147" s="644"/>
      <c r="DS147" s="644"/>
      <c r="DT147" s="644"/>
      <c r="DU147" s="645"/>
      <c r="DV147" s="644"/>
      <c r="DW147" s="644"/>
      <c r="DX147" s="644"/>
      <c r="DY147" s="644"/>
      <c r="DZ147" s="645"/>
      <c r="EA147" s="644"/>
      <c r="EB147" s="644"/>
      <c r="EC147" s="644"/>
      <c r="ED147" s="644"/>
      <c r="EE147" s="645"/>
      <c r="EF147" s="644"/>
      <c r="EG147" s="644"/>
      <c r="EH147" s="644"/>
      <c r="EI147" s="644"/>
      <c r="EJ147" s="645"/>
      <c r="EK147" s="644"/>
      <c r="EL147" s="56"/>
      <c r="EO147" s="144"/>
      <c r="EP147" s="42"/>
      <c r="EQ147" s="42"/>
    </row>
    <row r="148" spans="4:147" ht="12.75" customHeight="1" x14ac:dyDescent="0.3">
      <c r="D148" s="144" t="s">
        <v>379</v>
      </c>
      <c r="E148" s="494"/>
      <c r="G148" s="56">
        <f>SUM(G149:G149)</f>
        <v>1705406</v>
      </c>
      <c r="H148" s="56"/>
      <c r="I148" s="56"/>
      <c r="J148" s="611"/>
      <c r="K148" s="56"/>
      <c r="L148" s="56">
        <f>SUM(L149:L149)</f>
        <v>51405</v>
      </c>
      <c r="M148" s="56"/>
      <c r="N148" s="56"/>
      <c r="O148" s="611"/>
      <c r="P148" s="56"/>
      <c r="Q148" s="56">
        <f>SUM(Q149:Q149)</f>
        <v>1238921</v>
      </c>
      <c r="R148" s="56"/>
      <c r="S148" s="56"/>
      <c r="T148" s="611"/>
      <c r="U148" s="56"/>
      <c r="V148" s="56">
        <f>SUM(V149:V149)</f>
        <v>93254</v>
      </c>
      <c r="W148" s="56"/>
      <c r="X148" s="56"/>
      <c r="Y148" s="611"/>
      <c r="Z148" s="56"/>
      <c r="AA148" s="56">
        <f>SUM(AA149:AA149)</f>
        <v>0</v>
      </c>
      <c r="AB148" s="56"/>
      <c r="AC148" s="56"/>
      <c r="AD148" s="611"/>
      <c r="AE148" s="56"/>
      <c r="AF148" s="56">
        <f>SUM(AF149:AF149)</f>
        <v>171183</v>
      </c>
      <c r="AG148" s="56"/>
      <c r="AH148" s="56"/>
      <c r="AI148" s="611"/>
      <c r="AJ148" s="56"/>
      <c r="AK148" s="56">
        <f>SUM(AK149:AK149)</f>
        <v>150643</v>
      </c>
      <c r="AL148" s="56"/>
      <c r="AM148" s="56"/>
      <c r="AN148" s="611"/>
      <c r="AO148" s="56"/>
      <c r="AP148" s="56">
        <f>SUM(AP149:AP149)</f>
        <v>0</v>
      </c>
      <c r="AQ148" s="56"/>
      <c r="AR148" s="56"/>
      <c r="AS148" s="611"/>
      <c r="AT148" s="56"/>
      <c r="AU148" s="56">
        <f>SUM(AU149:AU149)</f>
        <v>0</v>
      </c>
      <c r="AV148" s="56"/>
      <c r="AW148" s="56"/>
      <c r="AX148" s="611"/>
      <c r="AY148" s="56"/>
      <c r="AZ148" s="56">
        <f>SUM(AZ149:AZ149)</f>
        <v>0</v>
      </c>
      <c r="BA148" s="56"/>
      <c r="BB148" s="56"/>
      <c r="BC148" s="611"/>
      <c r="BD148" s="56"/>
      <c r="BE148" s="56">
        <f>SUM(BE149:BE149)</f>
        <v>0</v>
      </c>
      <c r="BF148" s="56"/>
      <c r="BG148" s="56"/>
      <c r="BH148" s="611"/>
      <c r="BI148" s="56"/>
      <c r="BJ148" s="56">
        <f>SUM(BJ149:BJ149)</f>
        <v>0</v>
      </c>
      <c r="BK148" s="56"/>
      <c r="BL148" s="56"/>
      <c r="BM148" s="611"/>
      <c r="BN148" s="56"/>
      <c r="BO148" s="56">
        <f>SUM(BO149:BO149)</f>
        <v>0</v>
      </c>
      <c r="BP148" s="56"/>
      <c r="BQ148" s="56"/>
      <c r="BR148" s="611"/>
      <c r="BS148" s="56"/>
      <c r="BT148" s="56">
        <f>SUM(BT149:BT149)</f>
        <v>1705406</v>
      </c>
      <c r="BU148" s="56"/>
      <c r="BV148" s="56"/>
      <c r="BW148" s="611"/>
      <c r="BX148" s="56"/>
      <c r="BY148" s="56">
        <f>SUM(BY149:BY149)</f>
        <v>864052</v>
      </c>
      <c r="BZ148" s="56"/>
      <c r="CA148" s="56"/>
      <c r="CB148" s="611"/>
      <c r="CC148" s="56"/>
      <c r="CD148" s="56">
        <f>SUM(CD149:CD149)</f>
        <v>137929</v>
      </c>
      <c r="CE148" s="56"/>
      <c r="CF148" s="56"/>
      <c r="CG148" s="611"/>
      <c r="CH148" s="56"/>
      <c r="CI148" s="56">
        <f>SUM(CI149:CI149)</f>
        <v>0</v>
      </c>
      <c r="CJ148" s="56"/>
      <c r="CK148" s="56"/>
      <c r="CL148" s="611"/>
      <c r="CM148" s="56"/>
      <c r="CN148" s="56">
        <f>SUM(CN149:CN149)</f>
        <v>213073</v>
      </c>
      <c r="CO148" s="56"/>
      <c r="CP148" s="56"/>
      <c r="CQ148" s="611"/>
      <c r="CR148" s="56"/>
      <c r="CS148" s="56">
        <f>SUM(CS149:CS149)</f>
        <v>267284</v>
      </c>
      <c r="CT148" s="56"/>
      <c r="CU148" s="56"/>
      <c r="CV148" s="611"/>
      <c r="CW148" s="56"/>
      <c r="CX148" s="56">
        <f>SUM(CX149:CX149)</f>
        <v>0</v>
      </c>
      <c r="CY148" s="56"/>
      <c r="CZ148" s="56"/>
      <c r="DA148" s="611"/>
      <c r="DB148" s="56"/>
      <c r="DC148" s="56">
        <f>SUM(DC149:DC149)</f>
        <v>0</v>
      </c>
      <c r="DD148" s="56"/>
      <c r="DE148" s="56"/>
      <c r="DF148" s="611"/>
      <c r="DG148" s="56"/>
      <c r="DH148" s="56">
        <f>SUM(DH149:DH149)</f>
        <v>0</v>
      </c>
      <c r="DI148" s="56"/>
      <c r="DJ148" s="56"/>
      <c r="DK148" s="611"/>
      <c r="DL148" s="56"/>
      <c r="DM148" s="56">
        <f>SUM(DM149:DM149)</f>
        <v>192876</v>
      </c>
      <c r="DN148" s="56"/>
      <c r="DO148" s="56"/>
      <c r="DP148" s="611"/>
      <c r="DQ148" s="56"/>
      <c r="DR148" s="56">
        <f>SUM(DR149:DR149)</f>
        <v>0</v>
      </c>
      <c r="DS148" s="56"/>
      <c r="DT148" s="56"/>
      <c r="DU148" s="611"/>
      <c r="DV148" s="56"/>
      <c r="DW148" s="56">
        <f>SUM(DW149:DW149)</f>
        <v>0</v>
      </c>
      <c r="DX148" s="56"/>
      <c r="DY148" s="56"/>
      <c r="DZ148" s="611"/>
      <c r="EA148" s="56"/>
      <c r="EB148" s="56">
        <f>SUM(EB149:EB149)</f>
        <v>52890</v>
      </c>
      <c r="EC148" s="56"/>
      <c r="ED148" s="56"/>
      <c r="EE148" s="611"/>
      <c r="EF148" s="56"/>
      <c r="EG148" s="56">
        <f>SUM(EG149:EG149)</f>
        <v>0</v>
      </c>
      <c r="EH148" s="56"/>
      <c r="EI148" s="56"/>
      <c r="EJ148" s="611"/>
      <c r="EK148" s="56"/>
      <c r="EL148" s="56">
        <f>SUM(EL149:EL149)</f>
        <v>811162</v>
      </c>
      <c r="EN148" s="625"/>
      <c r="EO148" s="144"/>
      <c r="EP148" s="42"/>
      <c r="EQ148" s="42"/>
    </row>
    <row r="149" spans="4:147" ht="12.75" customHeight="1" x14ac:dyDescent="0.3">
      <c r="D149" s="144" t="s">
        <v>335</v>
      </c>
      <c r="E149" s="494"/>
      <c r="F149" s="614"/>
      <c r="G149" s="618">
        <v>1705406</v>
      </c>
      <c r="H149" s="616"/>
      <c r="I149" s="56"/>
      <c r="J149" s="611"/>
      <c r="K149" s="617"/>
      <c r="L149" s="618">
        <v>51405</v>
      </c>
      <c r="M149" s="616"/>
      <c r="N149" s="56"/>
      <c r="O149" s="611"/>
      <c r="P149" s="617"/>
      <c r="Q149" s="618">
        <v>1238921</v>
      </c>
      <c r="R149" s="616"/>
      <c r="S149" s="56"/>
      <c r="T149" s="611"/>
      <c r="U149" s="617"/>
      <c r="V149" s="618">
        <v>93254</v>
      </c>
      <c r="W149" s="616"/>
      <c r="X149" s="56"/>
      <c r="Y149" s="611"/>
      <c r="Z149" s="617"/>
      <c r="AA149" s="618">
        <v>0</v>
      </c>
      <c r="AB149" s="616"/>
      <c r="AC149" s="56"/>
      <c r="AD149" s="611"/>
      <c r="AE149" s="617"/>
      <c r="AF149" s="618">
        <v>171183</v>
      </c>
      <c r="AG149" s="616"/>
      <c r="AH149" s="56"/>
      <c r="AI149" s="611"/>
      <c r="AJ149" s="617"/>
      <c r="AK149" s="618">
        <f>75329+75314</f>
        <v>150643</v>
      </c>
      <c r="AL149" s="616"/>
      <c r="AM149" s="56"/>
      <c r="AN149" s="611"/>
      <c r="AO149" s="617"/>
      <c r="AP149" s="618">
        <v>0</v>
      </c>
      <c r="AQ149" s="616"/>
      <c r="AR149" s="56"/>
      <c r="AS149" s="611"/>
      <c r="AT149" s="617"/>
      <c r="AU149" s="618">
        <v>0</v>
      </c>
      <c r="AV149" s="616"/>
      <c r="AW149" s="56"/>
      <c r="AX149" s="611"/>
      <c r="AY149" s="617"/>
      <c r="AZ149" s="618">
        <v>0</v>
      </c>
      <c r="BA149" s="616"/>
      <c r="BB149" s="56"/>
      <c r="BC149" s="611"/>
      <c r="BD149" s="617"/>
      <c r="BE149" s="618">
        <v>0</v>
      </c>
      <c r="BF149" s="616"/>
      <c r="BG149" s="56"/>
      <c r="BH149" s="611"/>
      <c r="BI149" s="617"/>
      <c r="BJ149" s="618">
        <v>0</v>
      </c>
      <c r="BK149" s="616"/>
      <c r="BL149" s="56"/>
      <c r="BM149" s="611"/>
      <c r="BN149" s="617"/>
      <c r="BO149" s="618">
        <v>0</v>
      </c>
      <c r="BP149" s="616"/>
      <c r="BQ149" s="56"/>
      <c r="BR149" s="611"/>
      <c r="BS149" s="617"/>
      <c r="BT149" s="618">
        <f>SUM(L149:BO149)</f>
        <v>1705406</v>
      </c>
      <c r="BU149" s="616"/>
      <c r="BV149" s="56"/>
      <c r="BW149" s="611"/>
      <c r="BX149" s="617"/>
      <c r="BY149" s="618">
        <v>864052</v>
      </c>
      <c r="BZ149" s="616"/>
      <c r="CA149" s="56"/>
      <c r="CB149" s="611"/>
      <c r="CC149" s="617"/>
      <c r="CD149" s="618">
        <v>137929</v>
      </c>
      <c r="CE149" s="616"/>
      <c r="CF149" s="56"/>
      <c r="CG149" s="611"/>
      <c r="CH149" s="617"/>
      <c r="CI149" s="618">
        <v>0</v>
      </c>
      <c r="CJ149" s="616"/>
      <c r="CK149" s="56"/>
      <c r="CL149" s="611"/>
      <c r="CM149" s="617"/>
      <c r="CN149" s="618">
        <v>213073</v>
      </c>
      <c r="CO149" s="616"/>
      <c r="CP149" s="56"/>
      <c r="CQ149" s="611"/>
      <c r="CR149" s="617"/>
      <c r="CS149" s="618">
        <v>267284</v>
      </c>
      <c r="CT149" s="616"/>
      <c r="CU149" s="56"/>
      <c r="CV149" s="611"/>
      <c r="CW149" s="617"/>
      <c r="CX149" s="618">
        <v>0</v>
      </c>
      <c r="CY149" s="616"/>
      <c r="CZ149" s="56"/>
      <c r="DA149" s="611"/>
      <c r="DB149" s="617"/>
      <c r="DC149" s="618">
        <v>0</v>
      </c>
      <c r="DD149" s="616"/>
      <c r="DE149" s="56"/>
      <c r="DF149" s="611"/>
      <c r="DG149" s="617"/>
      <c r="DH149" s="618">
        <v>0</v>
      </c>
      <c r="DI149" s="616"/>
      <c r="DJ149" s="56"/>
      <c r="DK149" s="611"/>
      <c r="DL149" s="617"/>
      <c r="DM149" s="618">
        <v>192876</v>
      </c>
      <c r="DN149" s="616"/>
      <c r="DO149" s="56"/>
      <c r="DP149" s="611"/>
      <c r="DQ149" s="617"/>
      <c r="DR149" s="618">
        <v>0</v>
      </c>
      <c r="DS149" s="616"/>
      <c r="DT149" s="56"/>
      <c r="DU149" s="611"/>
      <c r="DV149" s="617"/>
      <c r="DW149" s="618">
        <v>0</v>
      </c>
      <c r="DX149" s="616"/>
      <c r="DY149" s="56"/>
      <c r="DZ149" s="611"/>
      <c r="EA149" s="617"/>
      <c r="EB149" s="618">
        <v>52890</v>
      </c>
      <c r="EC149" s="616"/>
      <c r="ED149" s="56"/>
      <c r="EE149" s="611"/>
      <c r="EF149" s="617"/>
      <c r="EG149" s="618">
        <v>0</v>
      </c>
      <c r="EH149" s="616"/>
      <c r="EI149" s="56"/>
      <c r="EJ149" s="611"/>
      <c r="EK149" s="617"/>
      <c r="EL149" s="618">
        <f t="shared" ref="EL149" si="11">SUM(CD149:DW149)</f>
        <v>811162</v>
      </c>
      <c r="EM149" s="648"/>
      <c r="EO149" s="144"/>
      <c r="EP149" s="42"/>
      <c r="EQ149" s="42"/>
    </row>
    <row r="150" spans="4:147" ht="12.75" customHeight="1" x14ac:dyDescent="0.3">
      <c r="D150" s="144"/>
      <c r="E150" s="494"/>
      <c r="G150" s="644"/>
      <c r="H150" s="644"/>
      <c r="I150" s="644"/>
      <c r="J150" s="645"/>
      <c r="K150" s="644"/>
      <c r="L150" s="644"/>
      <c r="M150" s="644"/>
      <c r="N150" s="644"/>
      <c r="O150" s="645"/>
      <c r="P150" s="644"/>
      <c r="Q150" s="644"/>
      <c r="R150" s="644"/>
      <c r="S150" s="644"/>
      <c r="T150" s="645"/>
      <c r="U150" s="644"/>
      <c r="V150" s="644"/>
      <c r="W150" s="644"/>
      <c r="X150" s="644"/>
      <c r="Y150" s="645"/>
      <c r="Z150" s="644"/>
      <c r="AA150" s="644"/>
      <c r="AB150" s="644"/>
      <c r="AC150" s="644"/>
      <c r="AD150" s="645"/>
      <c r="AE150" s="644"/>
      <c r="AF150" s="644"/>
      <c r="AG150" s="644"/>
      <c r="AH150" s="644"/>
      <c r="AI150" s="645"/>
      <c r="AJ150" s="644"/>
      <c r="AK150" s="644"/>
      <c r="AL150" s="644"/>
      <c r="AM150" s="644"/>
      <c r="AN150" s="645"/>
      <c r="AO150" s="644"/>
      <c r="AP150" s="644"/>
      <c r="AQ150" s="644"/>
      <c r="AR150" s="644"/>
      <c r="AS150" s="645"/>
      <c r="AT150" s="644"/>
      <c r="AU150" s="644"/>
      <c r="AV150" s="644"/>
      <c r="AW150" s="644"/>
      <c r="AX150" s="645"/>
      <c r="AY150" s="644"/>
      <c r="AZ150" s="644"/>
      <c r="BA150" s="644"/>
      <c r="BB150" s="644"/>
      <c r="BC150" s="645"/>
      <c r="BD150" s="644"/>
      <c r="BE150" s="644"/>
      <c r="BF150" s="644"/>
      <c r="BG150" s="644"/>
      <c r="BH150" s="645"/>
      <c r="BI150" s="644"/>
      <c r="BJ150" s="644"/>
      <c r="BK150" s="644"/>
      <c r="BL150" s="644"/>
      <c r="BM150" s="645"/>
      <c r="BN150" s="644"/>
      <c r="BO150" s="644"/>
      <c r="BP150" s="644"/>
      <c r="BQ150" s="644"/>
      <c r="BR150" s="645"/>
      <c r="BS150" s="644"/>
      <c r="BT150" s="56"/>
      <c r="BU150" s="56"/>
      <c r="BV150" s="56"/>
      <c r="BW150" s="611"/>
      <c r="BX150" s="56"/>
      <c r="BY150" s="56"/>
      <c r="BZ150" s="644"/>
      <c r="CA150" s="644"/>
      <c r="CB150" s="645"/>
      <c r="CC150" s="644"/>
      <c r="CD150" s="644"/>
      <c r="CE150" s="644"/>
      <c r="CF150" s="644"/>
      <c r="CG150" s="645"/>
      <c r="CH150" s="644"/>
      <c r="CI150" s="644"/>
      <c r="CJ150" s="644"/>
      <c r="CK150" s="644"/>
      <c r="CL150" s="645"/>
      <c r="CM150" s="644"/>
      <c r="CN150" s="644"/>
      <c r="CO150" s="644"/>
      <c r="CP150" s="644"/>
      <c r="CQ150" s="645"/>
      <c r="CR150" s="644"/>
      <c r="CS150" s="644"/>
      <c r="CT150" s="644"/>
      <c r="CU150" s="644"/>
      <c r="CV150" s="645"/>
      <c r="CW150" s="644"/>
      <c r="CX150" s="644"/>
      <c r="CY150" s="644"/>
      <c r="CZ150" s="644"/>
      <c r="DA150" s="645"/>
      <c r="DB150" s="644"/>
      <c r="DC150" s="644"/>
      <c r="DD150" s="644"/>
      <c r="DE150" s="644"/>
      <c r="DF150" s="645"/>
      <c r="DG150" s="644"/>
      <c r="DH150" s="644"/>
      <c r="DI150" s="644"/>
      <c r="DJ150" s="644"/>
      <c r="DK150" s="645"/>
      <c r="DL150" s="644"/>
      <c r="DM150" s="644"/>
      <c r="DN150" s="644"/>
      <c r="DO150" s="644"/>
      <c r="DP150" s="645"/>
      <c r="DQ150" s="644"/>
      <c r="DR150" s="644"/>
      <c r="DS150" s="644"/>
      <c r="DT150" s="644"/>
      <c r="DU150" s="645"/>
      <c r="DV150" s="644"/>
      <c r="DW150" s="644"/>
      <c r="DX150" s="644"/>
      <c r="DY150" s="644"/>
      <c r="DZ150" s="645"/>
      <c r="EA150" s="644"/>
      <c r="EB150" s="644"/>
      <c r="EC150" s="644"/>
      <c r="ED150" s="644"/>
      <c r="EE150" s="645"/>
      <c r="EF150" s="644"/>
      <c r="EG150" s="644"/>
      <c r="EH150" s="644"/>
      <c r="EI150" s="644"/>
      <c r="EJ150" s="645"/>
      <c r="EK150" s="644"/>
      <c r="EL150" s="56"/>
      <c r="EO150" s="144"/>
      <c r="EP150" s="42"/>
      <c r="EQ150" s="42"/>
    </row>
    <row r="151" spans="4:147" ht="12.75" customHeight="1" x14ac:dyDescent="0.3">
      <c r="D151" s="144" t="s">
        <v>351</v>
      </c>
      <c r="E151" s="494"/>
      <c r="G151" s="56">
        <f>SUM(G152:G152)</f>
        <v>2340630</v>
      </c>
      <c r="H151" s="56"/>
      <c r="I151" s="56"/>
      <c r="J151" s="611"/>
      <c r="K151" s="56"/>
      <c r="L151" s="56">
        <f>SUM(L152:L152)</f>
        <v>354961</v>
      </c>
      <c r="M151" s="56"/>
      <c r="N151" s="56"/>
      <c r="O151" s="611"/>
      <c r="P151" s="56"/>
      <c r="Q151" s="56">
        <f>SUM(Q152:Q152)</f>
        <v>1469964</v>
      </c>
      <c r="R151" s="56"/>
      <c r="S151" s="56"/>
      <c r="T151" s="611"/>
      <c r="U151" s="56"/>
      <c r="V151" s="56">
        <f>SUM(V152:V152)</f>
        <v>362091</v>
      </c>
      <c r="W151" s="56"/>
      <c r="X151" s="56"/>
      <c r="Y151" s="611"/>
      <c r="Z151" s="56"/>
      <c r="AA151" s="56">
        <f>SUM(AA152:AA152)</f>
        <v>0</v>
      </c>
      <c r="AB151" s="56"/>
      <c r="AC151" s="56"/>
      <c r="AD151" s="611"/>
      <c r="AE151" s="56"/>
      <c r="AF151" s="56">
        <f>SUM(AF152:AF152)</f>
        <v>107401</v>
      </c>
      <c r="AG151" s="56"/>
      <c r="AH151" s="56"/>
      <c r="AI151" s="611"/>
      <c r="AJ151" s="56"/>
      <c r="AK151" s="56">
        <f>SUM(AK152:AK152)</f>
        <v>46213</v>
      </c>
      <c r="AL151" s="56"/>
      <c r="AM151" s="56"/>
      <c r="AN151" s="611"/>
      <c r="AO151" s="56"/>
      <c r="AP151" s="56">
        <f>SUM(AP152:AP152)</f>
        <v>0</v>
      </c>
      <c r="AQ151" s="56"/>
      <c r="AR151" s="56"/>
      <c r="AS151" s="611"/>
      <c r="AT151" s="56"/>
      <c r="AU151" s="56">
        <f>SUM(AU152:AU152)</f>
        <v>0</v>
      </c>
      <c r="AV151" s="56"/>
      <c r="AW151" s="56"/>
      <c r="AX151" s="611"/>
      <c r="AY151" s="56"/>
      <c r="AZ151" s="56">
        <f>SUM(AZ152:AZ152)</f>
        <v>328260</v>
      </c>
      <c r="BA151" s="56"/>
      <c r="BB151" s="56"/>
      <c r="BC151" s="611"/>
      <c r="BD151" s="56"/>
      <c r="BE151" s="56">
        <f>SUM(BE152:BE152)</f>
        <v>0</v>
      </c>
      <c r="BF151" s="56"/>
      <c r="BG151" s="56"/>
      <c r="BH151" s="611"/>
      <c r="BI151" s="56"/>
      <c r="BJ151" s="56">
        <f>SUM(BJ152:BJ152)</f>
        <v>0</v>
      </c>
      <c r="BK151" s="56"/>
      <c r="BL151" s="56"/>
      <c r="BM151" s="611"/>
      <c r="BN151" s="56"/>
      <c r="BO151" s="56">
        <f>SUM(BO152:BO152)</f>
        <v>0</v>
      </c>
      <c r="BP151" s="56"/>
      <c r="BQ151" s="56"/>
      <c r="BR151" s="611"/>
      <c r="BS151" s="56"/>
      <c r="BT151" s="56">
        <f>SUM(BT152:BT152)</f>
        <v>2668890</v>
      </c>
      <c r="BU151" s="56"/>
      <c r="BV151" s="56"/>
      <c r="BW151" s="611"/>
      <c r="BX151" s="56"/>
      <c r="BY151" s="56">
        <f>SUM(BY152:BY152)</f>
        <v>633846</v>
      </c>
      <c r="BZ151" s="56"/>
      <c r="CA151" s="56"/>
      <c r="CB151" s="611"/>
      <c r="CC151" s="56"/>
      <c r="CD151" s="56">
        <f>SUM(CD152:CD152)</f>
        <v>0</v>
      </c>
      <c r="CE151" s="56"/>
      <c r="CF151" s="56"/>
      <c r="CG151" s="611"/>
      <c r="CH151" s="56"/>
      <c r="CI151" s="56">
        <f>SUM(CI152:CI152)</f>
        <v>0</v>
      </c>
      <c r="CJ151" s="56"/>
      <c r="CK151" s="56"/>
      <c r="CL151" s="611"/>
      <c r="CM151" s="56"/>
      <c r="CN151" s="56">
        <f>SUM(CN152:CN152)</f>
        <v>0</v>
      </c>
      <c r="CO151" s="56"/>
      <c r="CP151" s="56"/>
      <c r="CQ151" s="611"/>
      <c r="CR151" s="56"/>
      <c r="CS151" s="56">
        <f>SUM(CS152:CS152)</f>
        <v>0</v>
      </c>
      <c r="CT151" s="56"/>
      <c r="CU151" s="56"/>
      <c r="CV151" s="611"/>
      <c r="CW151" s="56"/>
      <c r="CX151" s="56">
        <f>SUM(CX152:CX152)</f>
        <v>0</v>
      </c>
      <c r="CY151" s="56"/>
      <c r="CZ151" s="56"/>
      <c r="DA151" s="611"/>
      <c r="DB151" s="56"/>
      <c r="DC151" s="56">
        <f>SUM(DC152:DC152)</f>
        <v>0</v>
      </c>
      <c r="DD151" s="56"/>
      <c r="DE151" s="56"/>
      <c r="DF151" s="611"/>
      <c r="DG151" s="56"/>
      <c r="DH151" s="56">
        <f>SUM(DH152:DH152)</f>
        <v>0</v>
      </c>
      <c r="DI151" s="56"/>
      <c r="DJ151" s="56"/>
      <c r="DK151" s="611"/>
      <c r="DL151" s="56"/>
      <c r="DM151" s="56">
        <f>SUM(DM152:DM152)</f>
        <v>0</v>
      </c>
      <c r="DN151" s="56"/>
      <c r="DO151" s="56"/>
      <c r="DP151" s="611"/>
      <c r="DQ151" s="56"/>
      <c r="DR151" s="56">
        <f>SUM(DR152:DR152)</f>
        <v>115323</v>
      </c>
      <c r="DS151" s="56"/>
      <c r="DT151" s="56"/>
      <c r="DU151" s="611"/>
      <c r="DV151" s="56"/>
      <c r="DW151" s="56">
        <f>SUM(DW152:DW152)</f>
        <v>0</v>
      </c>
      <c r="DX151" s="56"/>
      <c r="DY151" s="56"/>
      <c r="DZ151" s="611"/>
      <c r="EA151" s="56"/>
      <c r="EB151" s="56">
        <f>SUM(EB152:EB152)</f>
        <v>0</v>
      </c>
      <c r="EC151" s="56"/>
      <c r="ED151" s="56"/>
      <c r="EE151" s="611"/>
      <c r="EF151" s="56"/>
      <c r="EG151" s="56">
        <f>SUM(EG152:EG152)</f>
        <v>518523</v>
      </c>
      <c r="EH151" s="56"/>
      <c r="EI151" s="56"/>
      <c r="EJ151" s="611"/>
      <c r="EK151" s="56"/>
      <c r="EL151" s="56">
        <f>SUM(EL152:EL152)</f>
        <v>115323</v>
      </c>
      <c r="EN151" s="625"/>
      <c r="EO151" s="144"/>
      <c r="EP151" s="42"/>
      <c r="EQ151" s="42"/>
    </row>
    <row r="152" spans="4:147" ht="12.75" customHeight="1" x14ac:dyDescent="0.3">
      <c r="D152" s="144" t="s">
        <v>335</v>
      </c>
      <c r="E152" s="494"/>
      <c r="F152" s="614"/>
      <c r="G152" s="618">
        <v>2340630</v>
      </c>
      <c r="H152" s="616"/>
      <c r="I152" s="56"/>
      <c r="J152" s="611"/>
      <c r="K152" s="617"/>
      <c r="L152" s="618">
        <v>354961</v>
      </c>
      <c r="M152" s="616"/>
      <c r="N152" s="56"/>
      <c r="O152" s="611"/>
      <c r="P152" s="617"/>
      <c r="Q152" s="618">
        <v>1469964</v>
      </c>
      <c r="R152" s="616"/>
      <c r="S152" s="56"/>
      <c r="T152" s="611"/>
      <c r="U152" s="617"/>
      <c r="V152" s="618">
        <v>362091</v>
      </c>
      <c r="W152" s="616"/>
      <c r="X152" s="56"/>
      <c r="Y152" s="611"/>
      <c r="Z152" s="617"/>
      <c r="AA152" s="618">
        <v>0</v>
      </c>
      <c r="AB152" s="616"/>
      <c r="AC152" s="56"/>
      <c r="AD152" s="611"/>
      <c r="AE152" s="617"/>
      <c r="AF152" s="618">
        <v>107401</v>
      </c>
      <c r="AG152" s="616"/>
      <c r="AH152" s="56"/>
      <c r="AI152" s="611"/>
      <c r="AJ152" s="617"/>
      <c r="AK152" s="618">
        <v>46213</v>
      </c>
      <c r="AL152" s="616"/>
      <c r="AM152" s="56"/>
      <c r="AN152" s="611"/>
      <c r="AO152" s="617"/>
      <c r="AP152" s="618">
        <v>0</v>
      </c>
      <c r="AQ152" s="616"/>
      <c r="AR152" s="56"/>
      <c r="AS152" s="611"/>
      <c r="AT152" s="617"/>
      <c r="AU152" s="618">
        <v>0</v>
      </c>
      <c r="AV152" s="616"/>
      <c r="AW152" s="56"/>
      <c r="AX152" s="611"/>
      <c r="AY152" s="617"/>
      <c r="AZ152" s="618">
        <v>328260</v>
      </c>
      <c r="BA152" s="616"/>
      <c r="BB152" s="56"/>
      <c r="BC152" s="611"/>
      <c r="BD152" s="617"/>
      <c r="BE152" s="618">
        <v>0</v>
      </c>
      <c r="BF152" s="616"/>
      <c r="BG152" s="56"/>
      <c r="BH152" s="611"/>
      <c r="BI152" s="617"/>
      <c r="BJ152" s="618">
        <v>0</v>
      </c>
      <c r="BK152" s="616"/>
      <c r="BL152" s="56"/>
      <c r="BM152" s="611"/>
      <c r="BN152" s="617"/>
      <c r="BO152" s="618">
        <v>0</v>
      </c>
      <c r="BP152" s="616"/>
      <c r="BQ152" s="56"/>
      <c r="BR152" s="611"/>
      <c r="BS152" s="617"/>
      <c r="BT152" s="618">
        <f>SUM(L152:BO152)</f>
        <v>2668890</v>
      </c>
      <c r="BU152" s="616"/>
      <c r="BV152" s="56"/>
      <c r="BW152" s="611"/>
      <c r="BX152" s="617"/>
      <c r="BY152" s="618">
        <v>633846</v>
      </c>
      <c r="BZ152" s="616"/>
      <c r="CA152" s="56"/>
      <c r="CB152" s="611"/>
      <c r="CC152" s="617"/>
      <c r="CD152" s="618">
        <v>0</v>
      </c>
      <c r="CE152" s="616"/>
      <c r="CF152" s="56"/>
      <c r="CG152" s="611"/>
      <c r="CH152" s="617"/>
      <c r="CI152" s="618">
        <v>0</v>
      </c>
      <c r="CJ152" s="616"/>
      <c r="CK152" s="56"/>
      <c r="CL152" s="611"/>
      <c r="CM152" s="617"/>
      <c r="CN152" s="618">
        <v>0</v>
      </c>
      <c r="CO152" s="616"/>
      <c r="CP152" s="56"/>
      <c r="CQ152" s="611"/>
      <c r="CR152" s="617"/>
      <c r="CS152" s="618">
        <v>0</v>
      </c>
      <c r="CT152" s="616"/>
      <c r="CU152" s="56"/>
      <c r="CV152" s="611"/>
      <c r="CW152" s="617"/>
      <c r="CX152" s="618">
        <v>0</v>
      </c>
      <c r="CY152" s="616"/>
      <c r="CZ152" s="56"/>
      <c r="DA152" s="611"/>
      <c r="DB152" s="617"/>
      <c r="DC152" s="618">
        <v>0</v>
      </c>
      <c r="DD152" s="616"/>
      <c r="DE152" s="56"/>
      <c r="DF152" s="611"/>
      <c r="DG152" s="617"/>
      <c r="DH152" s="618">
        <v>0</v>
      </c>
      <c r="DI152" s="616"/>
      <c r="DJ152" s="56"/>
      <c r="DK152" s="611"/>
      <c r="DL152" s="617"/>
      <c r="DM152" s="618">
        <v>0</v>
      </c>
      <c r="DN152" s="616"/>
      <c r="DO152" s="56"/>
      <c r="DP152" s="611"/>
      <c r="DQ152" s="617"/>
      <c r="DR152" s="618">
        <v>115323</v>
      </c>
      <c r="DS152" s="616"/>
      <c r="DT152" s="56"/>
      <c r="DU152" s="611"/>
      <c r="DV152" s="617"/>
      <c r="DW152" s="618">
        <v>0</v>
      </c>
      <c r="DX152" s="616"/>
      <c r="DY152" s="56"/>
      <c r="DZ152" s="611"/>
      <c r="EA152" s="617"/>
      <c r="EB152" s="618">
        <v>0</v>
      </c>
      <c r="EC152" s="616"/>
      <c r="ED152" s="56"/>
      <c r="EE152" s="611"/>
      <c r="EF152" s="617"/>
      <c r="EG152" s="618">
        <v>518523</v>
      </c>
      <c r="EH152" s="616"/>
      <c r="EI152" s="56"/>
      <c r="EJ152" s="611"/>
      <c r="EK152" s="617"/>
      <c r="EL152" s="618">
        <f t="shared" ref="EL152" si="12">SUM(CD152:DW152)</f>
        <v>115323</v>
      </c>
      <c r="EM152" s="648"/>
      <c r="EO152" s="144"/>
      <c r="EP152" s="42"/>
      <c r="EQ152" s="42"/>
    </row>
    <row r="153" spans="4:147" x14ac:dyDescent="0.3">
      <c r="D153" s="144"/>
      <c r="E153" s="494"/>
      <c r="G153" s="56"/>
      <c r="H153" s="56"/>
      <c r="I153" s="56"/>
      <c r="J153" s="611"/>
      <c r="K153" s="56"/>
      <c r="L153" s="56"/>
      <c r="M153" s="56"/>
      <c r="N153" s="56"/>
      <c r="O153" s="611"/>
      <c r="P153" s="56"/>
      <c r="Q153" s="56"/>
      <c r="R153" s="56"/>
      <c r="S153" s="56"/>
      <c r="T153" s="611"/>
      <c r="U153" s="56"/>
      <c r="V153" s="56"/>
      <c r="W153" s="56"/>
      <c r="X153" s="56"/>
      <c r="Y153" s="611"/>
      <c r="Z153" s="56"/>
      <c r="AA153" s="56"/>
      <c r="AB153" s="56"/>
      <c r="AC153" s="56"/>
      <c r="AD153" s="611"/>
      <c r="AE153" s="56"/>
      <c r="AF153" s="56"/>
      <c r="AG153" s="56"/>
      <c r="AH153" s="56"/>
      <c r="AI153" s="611"/>
      <c r="AJ153" s="56"/>
      <c r="AK153" s="56"/>
      <c r="AL153" s="56"/>
      <c r="AM153" s="56"/>
      <c r="AN153" s="611"/>
      <c r="AO153" s="56"/>
      <c r="AP153" s="56"/>
      <c r="AQ153" s="56"/>
      <c r="AR153" s="56"/>
      <c r="AS153" s="611"/>
      <c r="AT153" s="56"/>
      <c r="AU153" s="56"/>
      <c r="AV153" s="56"/>
      <c r="AW153" s="56"/>
      <c r="AX153" s="611"/>
      <c r="AY153" s="56"/>
      <c r="AZ153" s="56"/>
      <c r="BA153" s="56"/>
      <c r="BB153" s="56"/>
      <c r="BC153" s="611"/>
      <c r="BD153" s="56"/>
      <c r="BE153" s="56"/>
      <c r="BF153" s="56"/>
      <c r="BG153" s="56"/>
      <c r="BH153" s="611"/>
      <c r="BI153" s="56"/>
      <c r="BJ153" s="56"/>
      <c r="BK153" s="56"/>
      <c r="BL153" s="56"/>
      <c r="BM153" s="611"/>
      <c r="BN153" s="56"/>
      <c r="BO153" s="56"/>
      <c r="BP153" s="56"/>
      <c r="BQ153" s="56"/>
      <c r="BR153" s="611"/>
      <c r="BS153" s="56"/>
      <c r="BT153" s="56"/>
      <c r="BU153" s="56"/>
      <c r="BV153" s="56"/>
      <c r="BW153" s="611"/>
      <c r="BX153" s="56"/>
      <c r="BY153" s="56"/>
      <c r="BZ153" s="56"/>
      <c r="CA153" s="56"/>
      <c r="CB153" s="611"/>
      <c r="CC153" s="56"/>
      <c r="CD153" s="56"/>
      <c r="CE153" s="56"/>
      <c r="CF153" s="56"/>
      <c r="CG153" s="611"/>
      <c r="CH153" s="56"/>
      <c r="CI153" s="56"/>
      <c r="CJ153" s="56"/>
      <c r="CK153" s="56"/>
      <c r="CL153" s="611"/>
      <c r="CM153" s="56"/>
      <c r="CN153" s="56"/>
      <c r="CO153" s="56"/>
      <c r="CP153" s="56"/>
      <c r="CQ153" s="611"/>
      <c r="CR153" s="56"/>
      <c r="CS153" s="56"/>
      <c r="CT153" s="56"/>
      <c r="CU153" s="56"/>
      <c r="CV153" s="611"/>
      <c r="CW153" s="56"/>
      <c r="CX153" s="56"/>
      <c r="CY153" s="56"/>
      <c r="CZ153" s="56"/>
      <c r="DA153" s="611"/>
      <c r="DB153" s="56"/>
      <c r="DC153" s="56"/>
      <c r="DD153" s="56"/>
      <c r="DE153" s="56"/>
      <c r="DF153" s="611"/>
      <c r="DG153" s="56"/>
      <c r="DH153" s="56"/>
      <c r="DI153" s="56"/>
      <c r="DJ153" s="56"/>
      <c r="DK153" s="611"/>
      <c r="DL153" s="56"/>
      <c r="DM153" s="56"/>
      <c r="DN153" s="56"/>
      <c r="DO153" s="56"/>
      <c r="DP153" s="611"/>
      <c r="DQ153" s="56"/>
      <c r="DR153" s="56"/>
      <c r="DS153" s="56"/>
      <c r="DT153" s="56"/>
      <c r="DU153" s="611"/>
      <c r="DV153" s="56"/>
      <c r="DW153" s="56"/>
      <c r="DX153" s="56"/>
      <c r="DY153" s="56"/>
      <c r="DZ153" s="611"/>
      <c r="EA153" s="56"/>
      <c r="EB153" s="56"/>
      <c r="EC153" s="56"/>
      <c r="ED153" s="56"/>
      <c r="EE153" s="611"/>
      <c r="EF153" s="56"/>
      <c r="EG153" s="56"/>
      <c r="EH153" s="56"/>
      <c r="EI153" s="56"/>
      <c r="EJ153" s="611"/>
      <c r="EK153" s="56"/>
      <c r="EL153" s="56"/>
      <c r="EO153" s="144"/>
      <c r="EP153" s="42"/>
      <c r="EQ153" s="42"/>
    </row>
    <row r="154" spans="4:147" x14ac:dyDescent="0.3">
      <c r="D154" s="144" t="s">
        <v>353</v>
      </c>
      <c r="E154" s="494"/>
      <c r="G154" s="56">
        <f>SUM(G155:G155)</f>
        <v>392001</v>
      </c>
      <c r="H154" s="56"/>
      <c r="I154" s="56"/>
      <c r="J154" s="611"/>
      <c r="L154" s="56">
        <f>SUM(L155:L155)</f>
        <v>0</v>
      </c>
      <c r="M154" s="56"/>
      <c r="N154" s="56"/>
      <c r="O154" s="611"/>
      <c r="P154" s="56"/>
      <c r="Q154" s="56">
        <f>SUM(Q155:Q155)</f>
        <v>55166</v>
      </c>
      <c r="R154" s="56"/>
      <c r="S154" s="56"/>
      <c r="T154" s="611"/>
      <c r="U154" s="56"/>
      <c r="V154" s="56">
        <f>SUM(V155:V155)</f>
        <v>230067</v>
      </c>
      <c r="W154" s="56"/>
      <c r="X154" s="56"/>
      <c r="Y154" s="611"/>
      <c r="Z154" s="56"/>
      <c r="AA154" s="56">
        <f>SUM(AA155:AA155)</f>
        <v>0</v>
      </c>
      <c r="AB154" s="56"/>
      <c r="AC154" s="56"/>
      <c r="AD154" s="611"/>
      <c r="AE154" s="56"/>
      <c r="AF154" s="56">
        <f>SUM(AF155:AF155)</f>
        <v>106768</v>
      </c>
      <c r="AG154" s="56"/>
      <c r="AH154" s="56"/>
      <c r="AI154" s="611"/>
      <c r="AJ154" s="56"/>
      <c r="AK154" s="56">
        <f>SUM(AK155:AK155)</f>
        <v>0</v>
      </c>
      <c r="AL154" s="56"/>
      <c r="AM154" s="56"/>
      <c r="AN154" s="611"/>
      <c r="AO154" s="56"/>
      <c r="AP154" s="56">
        <f>SUM(AP155:AP155)</f>
        <v>176497</v>
      </c>
      <c r="AQ154" s="56"/>
      <c r="AR154" s="56"/>
      <c r="AS154" s="611"/>
      <c r="AT154" s="56"/>
      <c r="AU154" s="56">
        <f>SUM(AU155:AU155)</f>
        <v>211593</v>
      </c>
      <c r="AV154" s="56"/>
      <c r="AW154" s="56"/>
      <c r="AX154" s="611"/>
      <c r="AY154" s="56"/>
      <c r="AZ154" s="56">
        <f>SUM(AZ155:AZ155)</f>
        <v>0</v>
      </c>
      <c r="BA154" s="56"/>
      <c r="BB154" s="56"/>
      <c r="BC154" s="611"/>
      <c r="BD154" s="56"/>
      <c r="BE154" s="56">
        <f>SUM(BE155:BE155)</f>
        <v>0</v>
      </c>
      <c r="BF154" s="56"/>
      <c r="BG154" s="56"/>
      <c r="BH154" s="611"/>
      <c r="BI154" s="56"/>
      <c r="BJ154" s="56">
        <f>SUM(BJ155:BJ155)</f>
        <v>0</v>
      </c>
      <c r="BK154" s="56"/>
      <c r="BL154" s="56"/>
      <c r="BM154" s="611"/>
      <c r="BN154" s="56"/>
      <c r="BO154" s="56">
        <f>SUM(BO155:BO155)</f>
        <v>0</v>
      </c>
      <c r="BP154" s="56"/>
      <c r="BQ154" s="56"/>
      <c r="BR154" s="611"/>
      <c r="BT154" s="56">
        <f>SUM(BT155:BT155)</f>
        <v>780091</v>
      </c>
      <c r="BU154" s="56"/>
      <c r="BV154" s="56"/>
      <c r="BW154" s="611"/>
      <c r="BY154" s="56">
        <f>SUM(BY155:BY155)</f>
        <v>1256940</v>
      </c>
      <c r="BZ154" s="56"/>
      <c r="CA154" s="56"/>
      <c r="CB154" s="611"/>
      <c r="CD154" s="56">
        <f>SUM(CD155:CD155)</f>
        <v>15296</v>
      </c>
      <c r="CE154" s="56"/>
      <c r="CF154" s="56"/>
      <c r="CG154" s="611"/>
      <c r="CH154" s="56"/>
      <c r="CI154" s="56">
        <f>SUM(CI155:CI155)</f>
        <v>0</v>
      </c>
      <c r="CJ154" s="56"/>
      <c r="CK154" s="56"/>
      <c r="CL154" s="611"/>
      <c r="CM154" s="56"/>
      <c r="CN154" s="56">
        <f>SUM(CN155:CN155)</f>
        <v>0</v>
      </c>
      <c r="CO154" s="56"/>
      <c r="CP154" s="56"/>
      <c r="CQ154" s="611"/>
      <c r="CR154" s="56"/>
      <c r="CS154" s="56">
        <f>SUM(CS155:CS155)</f>
        <v>0</v>
      </c>
      <c r="CT154" s="56"/>
      <c r="CU154" s="56"/>
      <c r="CV154" s="611"/>
      <c r="CW154" s="56"/>
      <c r="CX154" s="56">
        <f>SUM(CX155:CX155)</f>
        <v>0</v>
      </c>
      <c r="CY154" s="56"/>
      <c r="CZ154" s="56"/>
      <c r="DA154" s="611"/>
      <c r="DB154" s="56"/>
      <c r="DC154" s="56">
        <f>SUM(DC155:DC155)</f>
        <v>0</v>
      </c>
      <c r="DD154" s="56"/>
      <c r="DE154" s="56"/>
      <c r="DF154" s="611"/>
      <c r="DG154" s="56"/>
      <c r="DH154" s="56">
        <f>SUM(DH155:DH155)</f>
        <v>0</v>
      </c>
      <c r="DI154" s="56"/>
      <c r="DJ154" s="56"/>
      <c r="DK154" s="611"/>
      <c r="DL154" s="56"/>
      <c r="DM154" s="56">
        <f>SUM(DM155:DM155)</f>
        <v>0</v>
      </c>
      <c r="DN154" s="56"/>
      <c r="DO154" s="56"/>
      <c r="DP154" s="611"/>
      <c r="DQ154" s="56"/>
      <c r="DR154" s="56">
        <f>SUM(DR155:DR155)</f>
        <v>227461</v>
      </c>
      <c r="DS154" s="56"/>
      <c r="DT154" s="56"/>
      <c r="DU154" s="611"/>
      <c r="DV154" s="56"/>
      <c r="DW154" s="56">
        <f>SUM(DW155:DW155)</f>
        <v>0</v>
      </c>
      <c r="DX154" s="56"/>
      <c r="DY154" s="56"/>
      <c r="DZ154" s="611"/>
      <c r="EA154" s="56"/>
      <c r="EB154" s="56">
        <f>SUM(EB155:EB155)</f>
        <v>232101</v>
      </c>
      <c r="EC154" s="56"/>
      <c r="ED154" s="56"/>
      <c r="EE154" s="611"/>
      <c r="EF154" s="56"/>
      <c r="EG154" s="56">
        <f>SUM(EG155:EG155)</f>
        <v>782082</v>
      </c>
      <c r="EH154" s="56"/>
      <c r="EI154" s="56"/>
      <c r="EJ154" s="611"/>
      <c r="EL154" s="56">
        <f>SUM(EL155:EL155)</f>
        <v>242757</v>
      </c>
      <c r="EM154" s="56"/>
      <c r="EO154" s="144"/>
      <c r="EP154" s="42"/>
      <c r="EQ154" s="42"/>
    </row>
    <row r="155" spans="4:147" x14ac:dyDescent="0.3">
      <c r="D155" s="144" t="s">
        <v>335</v>
      </c>
      <c r="E155" s="494"/>
      <c r="F155" s="614"/>
      <c r="G155" s="618">
        <v>392001</v>
      </c>
      <c r="H155" s="616"/>
      <c r="I155" s="56"/>
      <c r="J155" s="611"/>
      <c r="K155" s="614"/>
      <c r="L155" s="618">
        <v>0</v>
      </c>
      <c r="M155" s="616"/>
      <c r="N155" s="56"/>
      <c r="O155" s="611"/>
      <c r="P155" s="617"/>
      <c r="Q155" s="618">
        <v>55166</v>
      </c>
      <c r="R155" s="616"/>
      <c r="S155" s="56"/>
      <c r="T155" s="611"/>
      <c r="U155" s="617"/>
      <c r="V155" s="618">
        <v>230067</v>
      </c>
      <c r="W155" s="616"/>
      <c r="X155" s="56"/>
      <c r="Y155" s="611"/>
      <c r="Z155" s="617"/>
      <c r="AA155" s="618">
        <v>0</v>
      </c>
      <c r="AB155" s="616"/>
      <c r="AC155" s="56"/>
      <c r="AD155" s="611"/>
      <c r="AE155" s="617"/>
      <c r="AF155" s="618">
        <v>106768</v>
      </c>
      <c r="AG155" s="616"/>
      <c r="AH155" s="56"/>
      <c r="AI155" s="611"/>
      <c r="AJ155" s="617"/>
      <c r="AK155" s="618">
        <v>0</v>
      </c>
      <c r="AL155" s="616"/>
      <c r="AM155" s="56"/>
      <c r="AN155" s="611"/>
      <c r="AO155" s="617"/>
      <c r="AP155" s="618">
        <v>176497</v>
      </c>
      <c r="AQ155" s="616"/>
      <c r="AR155" s="56"/>
      <c r="AS155" s="611"/>
      <c r="AT155" s="617"/>
      <c r="AU155" s="618">
        <v>211593</v>
      </c>
      <c r="AV155" s="616"/>
      <c r="AW155" s="56"/>
      <c r="AX155" s="611"/>
      <c r="AY155" s="617"/>
      <c r="AZ155" s="618">
        <v>0</v>
      </c>
      <c r="BA155" s="616"/>
      <c r="BB155" s="56"/>
      <c r="BC155" s="611"/>
      <c r="BD155" s="617"/>
      <c r="BE155" s="618">
        <v>0</v>
      </c>
      <c r="BF155" s="616"/>
      <c r="BG155" s="56"/>
      <c r="BH155" s="611"/>
      <c r="BI155" s="617"/>
      <c r="BJ155" s="618">
        <v>0</v>
      </c>
      <c r="BK155" s="616"/>
      <c r="BL155" s="56"/>
      <c r="BM155" s="611"/>
      <c r="BN155" s="617"/>
      <c r="BO155" s="618">
        <v>0</v>
      </c>
      <c r="BP155" s="616"/>
      <c r="BQ155" s="56"/>
      <c r="BR155" s="611"/>
      <c r="BS155" s="617"/>
      <c r="BT155" s="618">
        <f>SUM(L155:BO155)</f>
        <v>780091</v>
      </c>
      <c r="BU155" s="616"/>
      <c r="BV155" s="56"/>
      <c r="BW155" s="611"/>
      <c r="BX155" s="614"/>
      <c r="BY155" s="618">
        <v>1256940</v>
      </c>
      <c r="BZ155" s="616"/>
      <c r="CA155" s="56"/>
      <c r="CB155" s="611"/>
      <c r="CC155" s="614"/>
      <c r="CD155" s="618">
        <v>15296</v>
      </c>
      <c r="CE155" s="616"/>
      <c r="CF155" s="56"/>
      <c r="CG155" s="611"/>
      <c r="CH155" s="617"/>
      <c r="CI155" s="618">
        <v>0</v>
      </c>
      <c r="CJ155" s="616"/>
      <c r="CK155" s="56"/>
      <c r="CL155" s="611"/>
      <c r="CM155" s="617"/>
      <c r="CN155" s="618">
        <v>0</v>
      </c>
      <c r="CO155" s="616"/>
      <c r="CP155" s="56"/>
      <c r="CQ155" s="611"/>
      <c r="CR155" s="617"/>
      <c r="CS155" s="618">
        <v>0</v>
      </c>
      <c r="CT155" s="616"/>
      <c r="CU155" s="56"/>
      <c r="CV155" s="611"/>
      <c r="CW155" s="617"/>
      <c r="CX155" s="618">
        <v>0</v>
      </c>
      <c r="CY155" s="616"/>
      <c r="CZ155" s="56"/>
      <c r="DA155" s="611"/>
      <c r="DB155" s="617"/>
      <c r="DC155" s="618">
        <v>0</v>
      </c>
      <c r="DD155" s="616"/>
      <c r="DE155" s="56"/>
      <c r="DF155" s="611"/>
      <c r="DG155" s="617"/>
      <c r="DH155" s="618">
        <v>0</v>
      </c>
      <c r="DI155" s="616"/>
      <c r="DJ155" s="56"/>
      <c r="DK155" s="611"/>
      <c r="DL155" s="617"/>
      <c r="DM155" s="618">
        <v>0</v>
      </c>
      <c r="DN155" s="616"/>
      <c r="DO155" s="56"/>
      <c r="DP155" s="611"/>
      <c r="DQ155" s="617"/>
      <c r="DR155" s="618">
        <v>227461</v>
      </c>
      <c r="DS155" s="616"/>
      <c r="DT155" s="56"/>
      <c r="DU155" s="611"/>
      <c r="DV155" s="617"/>
      <c r="DW155" s="618">
        <v>0</v>
      </c>
      <c r="DX155" s="616"/>
      <c r="DY155" s="56"/>
      <c r="DZ155" s="611"/>
      <c r="EA155" s="617"/>
      <c r="EB155" s="618">
        <v>232101</v>
      </c>
      <c r="EC155" s="616"/>
      <c r="ED155" s="56"/>
      <c r="EE155" s="611"/>
      <c r="EF155" s="617"/>
      <c r="EG155" s="618">
        <v>782082</v>
      </c>
      <c r="EH155" s="616"/>
      <c r="EI155" s="56"/>
      <c r="EJ155" s="611"/>
      <c r="EK155" s="614"/>
      <c r="EL155" s="618">
        <f t="shared" ref="EL155" si="13">SUM(CD155:DW155)</f>
        <v>242757</v>
      </c>
      <c r="EM155" s="616"/>
      <c r="EO155" s="144"/>
      <c r="EP155" s="42"/>
      <c r="EQ155" s="42"/>
    </row>
    <row r="156" spans="4:147" x14ac:dyDescent="0.3">
      <c r="D156" s="144"/>
      <c r="E156" s="494"/>
      <c r="G156" s="56"/>
      <c r="H156" s="56"/>
      <c r="I156" s="56"/>
      <c r="J156" s="611"/>
      <c r="K156" s="56"/>
      <c r="L156" s="56"/>
      <c r="M156" s="56"/>
      <c r="N156" s="56"/>
      <c r="O156" s="611"/>
      <c r="P156" s="56"/>
      <c r="Q156" s="56"/>
      <c r="R156" s="56"/>
      <c r="S156" s="56"/>
      <c r="T156" s="611"/>
      <c r="U156" s="56"/>
      <c r="V156" s="56"/>
      <c r="W156" s="56"/>
      <c r="X156" s="56"/>
      <c r="Y156" s="611"/>
      <c r="Z156" s="56"/>
      <c r="AA156" s="56"/>
      <c r="AB156" s="56"/>
      <c r="AC156" s="56"/>
      <c r="AD156" s="611"/>
      <c r="AE156" s="56"/>
      <c r="AF156" s="56"/>
      <c r="AG156" s="56"/>
      <c r="AH156" s="56"/>
      <c r="AI156" s="611"/>
      <c r="AJ156" s="56"/>
      <c r="AK156" s="56"/>
      <c r="AL156" s="56"/>
      <c r="AM156" s="56"/>
      <c r="AN156" s="611"/>
      <c r="AO156" s="56"/>
      <c r="AP156" s="56"/>
      <c r="AQ156" s="56"/>
      <c r="AR156" s="56"/>
      <c r="AS156" s="611"/>
      <c r="AT156" s="56"/>
      <c r="AU156" s="56"/>
      <c r="AV156" s="56"/>
      <c r="AW156" s="56"/>
      <c r="AX156" s="611"/>
      <c r="AY156" s="56"/>
      <c r="AZ156" s="56"/>
      <c r="BA156" s="56"/>
      <c r="BB156" s="56"/>
      <c r="BC156" s="611"/>
      <c r="BD156" s="56"/>
      <c r="BE156" s="56"/>
      <c r="BF156" s="56"/>
      <c r="BG156" s="56"/>
      <c r="BH156" s="611"/>
      <c r="BI156" s="56"/>
      <c r="BJ156" s="56"/>
      <c r="BK156" s="56"/>
      <c r="BL156" s="56"/>
      <c r="BM156" s="611"/>
      <c r="BN156" s="56"/>
      <c r="BO156" s="56"/>
      <c r="BP156" s="56"/>
      <c r="BQ156" s="56"/>
      <c r="BR156" s="611"/>
      <c r="BS156" s="56"/>
      <c r="BT156" s="56"/>
      <c r="BU156" s="56"/>
      <c r="BV156" s="56"/>
      <c r="BW156" s="611"/>
      <c r="BX156" s="56"/>
      <c r="BY156" s="56"/>
      <c r="BZ156" s="56"/>
      <c r="CA156" s="56"/>
      <c r="CB156" s="611"/>
      <c r="CC156" s="56"/>
      <c r="CD156" s="56"/>
      <c r="CE156" s="56"/>
      <c r="CF156" s="56"/>
      <c r="CG156" s="611"/>
      <c r="CH156" s="56"/>
      <c r="CI156" s="56"/>
      <c r="CJ156" s="56"/>
      <c r="CK156" s="56"/>
      <c r="CL156" s="611"/>
      <c r="CM156" s="56"/>
      <c r="CN156" s="56"/>
      <c r="CO156" s="56"/>
      <c r="CP156" s="56"/>
      <c r="CQ156" s="611"/>
      <c r="CR156" s="56"/>
      <c r="CS156" s="56"/>
      <c r="CT156" s="56"/>
      <c r="CU156" s="56"/>
      <c r="CV156" s="611"/>
      <c r="CW156" s="56"/>
      <c r="CX156" s="56"/>
      <c r="CY156" s="56"/>
      <c r="CZ156" s="56"/>
      <c r="DA156" s="611"/>
      <c r="DB156" s="56"/>
      <c r="DC156" s="56"/>
      <c r="DD156" s="56"/>
      <c r="DE156" s="56"/>
      <c r="DF156" s="611"/>
      <c r="DG156" s="56"/>
      <c r="DH156" s="56"/>
      <c r="DI156" s="56"/>
      <c r="DJ156" s="56"/>
      <c r="DK156" s="611"/>
      <c r="DL156" s="56"/>
      <c r="DM156" s="56"/>
      <c r="DN156" s="56"/>
      <c r="DO156" s="56"/>
      <c r="DP156" s="611"/>
      <c r="DQ156" s="56"/>
      <c r="DR156" s="56"/>
      <c r="DS156" s="56"/>
      <c r="DT156" s="56"/>
      <c r="DU156" s="611"/>
      <c r="DV156" s="56"/>
      <c r="DW156" s="56"/>
      <c r="DX156" s="56"/>
      <c r="DY156" s="56"/>
      <c r="DZ156" s="611"/>
      <c r="EA156" s="56"/>
      <c r="EB156" s="56"/>
      <c r="EC156" s="56"/>
      <c r="ED156" s="56"/>
      <c r="EE156" s="611"/>
      <c r="EF156" s="56"/>
      <c r="EG156" s="56"/>
      <c r="EH156" s="56"/>
      <c r="EI156" s="56"/>
      <c r="EJ156" s="611"/>
      <c r="EK156" s="56"/>
      <c r="EL156" s="56"/>
      <c r="EO156" s="144"/>
      <c r="EP156" s="42"/>
      <c r="EQ156" s="42"/>
    </row>
    <row r="157" spans="4:147" x14ac:dyDescent="0.3">
      <c r="D157" s="144" t="s">
        <v>354</v>
      </c>
      <c r="E157" s="494"/>
      <c r="G157" s="56">
        <f>SUM(G158:G158)</f>
        <v>0</v>
      </c>
      <c r="H157" s="56"/>
      <c r="I157" s="56"/>
      <c r="J157" s="611"/>
      <c r="K157" s="56"/>
      <c r="L157" s="56">
        <f>SUM(L158:L158)</f>
        <v>0</v>
      </c>
      <c r="M157" s="56"/>
      <c r="N157" s="56"/>
      <c r="O157" s="611"/>
      <c r="P157" s="56"/>
      <c r="Q157" s="56">
        <f>SUM(Q158:Q158)</f>
        <v>0</v>
      </c>
      <c r="R157" s="56"/>
      <c r="S157" s="56"/>
      <c r="T157" s="611"/>
      <c r="U157" s="56"/>
      <c r="V157" s="56">
        <f>SUM(V158:V158)</f>
        <v>0</v>
      </c>
      <c r="W157" s="56"/>
      <c r="X157" s="56"/>
      <c r="Y157" s="611"/>
      <c r="Z157" s="56"/>
      <c r="AA157" s="56">
        <f>SUM(AA158:AA158)</f>
        <v>0</v>
      </c>
      <c r="AB157" s="56"/>
      <c r="AC157" s="56"/>
      <c r="AD157" s="611"/>
      <c r="AE157" s="56"/>
      <c r="AF157" s="56">
        <f>SUM(AF158:AF158)</f>
        <v>0</v>
      </c>
      <c r="AG157" s="56"/>
      <c r="AH157" s="56"/>
      <c r="AI157" s="611"/>
      <c r="AJ157" s="56"/>
      <c r="AK157" s="56">
        <f>SUM(AK158:AK158)</f>
        <v>0</v>
      </c>
      <c r="AL157" s="56"/>
      <c r="AM157" s="56"/>
      <c r="AN157" s="611"/>
      <c r="AO157" s="56"/>
      <c r="AP157" s="56">
        <f>SUM(AP158:AP158)</f>
        <v>0</v>
      </c>
      <c r="AQ157" s="56"/>
      <c r="AR157" s="56"/>
      <c r="AS157" s="611"/>
      <c r="AT157" s="56"/>
      <c r="AU157" s="56">
        <f>SUM(AU158:AU158)</f>
        <v>0</v>
      </c>
      <c r="AV157" s="56"/>
      <c r="AW157" s="56"/>
      <c r="AX157" s="611"/>
      <c r="AY157" s="56"/>
      <c r="AZ157" s="56">
        <f>SUM(AZ158:AZ158)</f>
        <v>0</v>
      </c>
      <c r="BA157" s="56"/>
      <c r="BB157" s="56"/>
      <c r="BC157" s="611"/>
      <c r="BD157" s="56"/>
      <c r="BE157" s="56">
        <f>SUM(BE158:BE158)</f>
        <v>0</v>
      </c>
      <c r="BF157" s="56"/>
      <c r="BG157" s="56"/>
      <c r="BH157" s="611"/>
      <c r="BI157" s="56"/>
      <c r="BJ157" s="56">
        <f>SUM(BJ158:BJ158)</f>
        <v>0</v>
      </c>
      <c r="BK157" s="56"/>
      <c r="BL157" s="56"/>
      <c r="BM157" s="611"/>
      <c r="BN157" s="56"/>
      <c r="BO157" s="56">
        <f>SUM(BO158:BO158)</f>
        <v>0</v>
      </c>
      <c r="BP157" s="56"/>
      <c r="BQ157" s="56"/>
      <c r="BR157" s="611"/>
      <c r="BS157" s="56"/>
      <c r="BT157" s="56">
        <f>SUM(BT158:BT158)</f>
        <v>0</v>
      </c>
      <c r="BU157" s="56"/>
      <c r="BV157" s="56"/>
      <c r="BW157" s="611"/>
      <c r="BX157" s="56"/>
      <c r="BY157" s="56">
        <f>SUM(BY158:BY158)</f>
        <v>203060</v>
      </c>
      <c r="BZ157" s="56"/>
      <c r="CA157" s="56"/>
      <c r="CB157" s="611"/>
      <c r="CC157" s="56"/>
      <c r="CD157" s="56">
        <f>SUM(CD158:CD158)</f>
        <v>41836</v>
      </c>
      <c r="CE157" s="56"/>
      <c r="CF157" s="56"/>
      <c r="CG157" s="611"/>
      <c r="CH157" s="56"/>
      <c r="CI157" s="56">
        <f>SUM(CI158:CI158)</f>
        <v>0</v>
      </c>
      <c r="CJ157" s="56"/>
      <c r="CK157" s="56"/>
      <c r="CL157" s="611"/>
      <c r="CM157" s="56"/>
      <c r="CN157" s="56">
        <f>SUM(CN158:CN158)</f>
        <v>0</v>
      </c>
      <c r="CO157" s="56"/>
      <c r="CP157" s="56"/>
      <c r="CQ157" s="611"/>
      <c r="CR157" s="56"/>
      <c r="CS157" s="56">
        <f>SUM(CS158:CS158)</f>
        <v>0</v>
      </c>
      <c r="CT157" s="56"/>
      <c r="CU157" s="56"/>
      <c r="CV157" s="611"/>
      <c r="CW157" s="56"/>
      <c r="CX157" s="56">
        <f>SUM(CX158:CX158)</f>
        <v>0</v>
      </c>
      <c r="CY157" s="56"/>
      <c r="CZ157" s="56"/>
      <c r="DA157" s="611"/>
      <c r="DB157" s="56"/>
      <c r="DC157" s="56">
        <f>SUM(DC158:DC158)</f>
        <v>0</v>
      </c>
      <c r="DD157" s="56"/>
      <c r="DE157" s="56"/>
      <c r="DF157" s="611"/>
      <c r="DG157" s="56"/>
      <c r="DH157" s="56">
        <f>SUM(DH158:DH158)</f>
        <v>0</v>
      </c>
      <c r="DI157" s="56"/>
      <c r="DJ157" s="56"/>
      <c r="DK157" s="611"/>
      <c r="DL157" s="56"/>
      <c r="DM157" s="56">
        <f>SUM(DM158:DM158)</f>
        <v>0</v>
      </c>
      <c r="DN157" s="56"/>
      <c r="DO157" s="56"/>
      <c r="DP157" s="611"/>
      <c r="DQ157" s="56"/>
      <c r="DR157" s="56">
        <f>SUM(DR158:DR158)</f>
        <v>0</v>
      </c>
      <c r="DS157" s="56"/>
      <c r="DT157" s="56"/>
      <c r="DU157" s="611"/>
      <c r="DV157" s="56"/>
      <c r="DW157" s="56">
        <f>SUM(DW158:DW158)</f>
        <v>0</v>
      </c>
      <c r="DX157" s="56"/>
      <c r="DY157" s="56"/>
      <c r="DZ157" s="611"/>
      <c r="EA157" s="56"/>
      <c r="EB157" s="56">
        <f>SUM(EB158:EB158)</f>
        <v>0</v>
      </c>
      <c r="EC157" s="56"/>
      <c r="ED157" s="56"/>
      <c r="EE157" s="611"/>
      <c r="EF157" s="56"/>
      <c r="EG157" s="56">
        <f>SUM(EG158:EG158)</f>
        <v>161224</v>
      </c>
      <c r="EH157" s="56"/>
      <c r="EI157" s="56"/>
      <c r="EJ157" s="611"/>
      <c r="EK157" s="56"/>
      <c r="EL157" s="56">
        <f>SUM(EL158:EL158)</f>
        <v>41836</v>
      </c>
      <c r="EO157" s="144"/>
      <c r="EP157" s="42"/>
      <c r="EQ157" s="42"/>
    </row>
    <row r="158" spans="4:147" x14ac:dyDescent="0.3">
      <c r="D158" s="144" t="s">
        <v>335</v>
      </c>
      <c r="E158" s="494"/>
      <c r="F158" s="614"/>
      <c r="G158" s="618">
        <v>0</v>
      </c>
      <c r="H158" s="616"/>
      <c r="I158" s="56"/>
      <c r="J158" s="611"/>
      <c r="K158" s="617"/>
      <c r="L158" s="618">
        <v>0</v>
      </c>
      <c r="M158" s="616"/>
      <c r="N158" s="56"/>
      <c r="O158" s="611"/>
      <c r="P158" s="617"/>
      <c r="Q158" s="618">
        <v>0</v>
      </c>
      <c r="R158" s="616"/>
      <c r="S158" s="56"/>
      <c r="T158" s="611"/>
      <c r="U158" s="617"/>
      <c r="V158" s="618">
        <v>0</v>
      </c>
      <c r="W158" s="616"/>
      <c r="X158" s="56"/>
      <c r="Y158" s="611"/>
      <c r="Z158" s="617"/>
      <c r="AA158" s="618">
        <v>0</v>
      </c>
      <c r="AB158" s="616"/>
      <c r="AC158" s="56"/>
      <c r="AD158" s="611"/>
      <c r="AE158" s="617"/>
      <c r="AF158" s="618">
        <v>0</v>
      </c>
      <c r="AG158" s="616"/>
      <c r="AH158" s="56"/>
      <c r="AI158" s="611"/>
      <c r="AJ158" s="617"/>
      <c r="AK158" s="618">
        <v>0</v>
      </c>
      <c r="AL158" s="616"/>
      <c r="AM158" s="56"/>
      <c r="AN158" s="611"/>
      <c r="AO158" s="617"/>
      <c r="AP158" s="618">
        <v>0</v>
      </c>
      <c r="AQ158" s="616"/>
      <c r="AR158" s="56"/>
      <c r="AS158" s="611"/>
      <c r="AT158" s="617"/>
      <c r="AU158" s="618">
        <v>0</v>
      </c>
      <c r="AV158" s="616"/>
      <c r="AW158" s="56"/>
      <c r="AX158" s="611"/>
      <c r="AY158" s="617"/>
      <c r="AZ158" s="618">
        <v>0</v>
      </c>
      <c r="BA158" s="616"/>
      <c r="BB158" s="56"/>
      <c r="BC158" s="611"/>
      <c r="BD158" s="617"/>
      <c r="BE158" s="618">
        <v>0</v>
      </c>
      <c r="BF158" s="616"/>
      <c r="BG158" s="56"/>
      <c r="BH158" s="611"/>
      <c r="BI158" s="617"/>
      <c r="BJ158" s="618">
        <v>0</v>
      </c>
      <c r="BK158" s="616"/>
      <c r="BL158" s="56"/>
      <c r="BM158" s="611"/>
      <c r="BN158" s="617"/>
      <c r="BO158" s="618">
        <v>0</v>
      </c>
      <c r="BP158" s="616"/>
      <c r="BQ158" s="56"/>
      <c r="BR158" s="611"/>
      <c r="BS158" s="617"/>
      <c r="BT158" s="618">
        <f>SUM(L158:BO158)</f>
        <v>0</v>
      </c>
      <c r="BU158" s="616"/>
      <c r="BV158" s="56"/>
      <c r="BW158" s="611"/>
      <c r="BX158" s="617"/>
      <c r="BY158" s="618">
        <v>203060</v>
      </c>
      <c r="BZ158" s="616"/>
      <c r="CA158" s="56"/>
      <c r="CB158" s="611"/>
      <c r="CC158" s="617"/>
      <c r="CD158" s="618">
        <v>41836</v>
      </c>
      <c r="CE158" s="616"/>
      <c r="CF158" s="56"/>
      <c r="CG158" s="611"/>
      <c r="CH158" s="617"/>
      <c r="CI158" s="618">
        <v>0</v>
      </c>
      <c r="CJ158" s="616"/>
      <c r="CK158" s="56"/>
      <c r="CL158" s="611"/>
      <c r="CM158" s="617"/>
      <c r="CN158" s="618">
        <v>0</v>
      </c>
      <c r="CO158" s="616"/>
      <c r="CP158" s="56"/>
      <c r="CQ158" s="611"/>
      <c r="CR158" s="617"/>
      <c r="CS158" s="618">
        <v>0</v>
      </c>
      <c r="CT158" s="616"/>
      <c r="CU158" s="56"/>
      <c r="CV158" s="611"/>
      <c r="CW158" s="617"/>
      <c r="CX158" s="618">
        <v>0</v>
      </c>
      <c r="CY158" s="616"/>
      <c r="CZ158" s="56"/>
      <c r="DA158" s="611"/>
      <c r="DB158" s="617"/>
      <c r="DC158" s="618">
        <v>0</v>
      </c>
      <c r="DD158" s="616"/>
      <c r="DE158" s="56"/>
      <c r="DF158" s="611"/>
      <c r="DG158" s="617"/>
      <c r="DH158" s="618">
        <v>0</v>
      </c>
      <c r="DI158" s="616"/>
      <c r="DJ158" s="56"/>
      <c r="DK158" s="611"/>
      <c r="DL158" s="617"/>
      <c r="DM158" s="618">
        <v>0</v>
      </c>
      <c r="DN158" s="616"/>
      <c r="DO158" s="56"/>
      <c r="DP158" s="611"/>
      <c r="DQ158" s="617"/>
      <c r="DR158" s="618">
        <v>0</v>
      </c>
      <c r="DS158" s="616"/>
      <c r="DT158" s="56"/>
      <c r="DU158" s="611"/>
      <c r="DV158" s="617"/>
      <c r="DW158" s="618">
        <v>0</v>
      </c>
      <c r="DX158" s="616"/>
      <c r="DY158" s="56"/>
      <c r="DZ158" s="611"/>
      <c r="EA158" s="617"/>
      <c r="EB158" s="618">
        <v>0</v>
      </c>
      <c r="EC158" s="616"/>
      <c r="ED158" s="56"/>
      <c r="EE158" s="611"/>
      <c r="EF158" s="617"/>
      <c r="EG158" s="618">
        <v>161224</v>
      </c>
      <c r="EH158" s="616"/>
      <c r="EI158" s="56"/>
      <c r="EJ158" s="611"/>
      <c r="EK158" s="617"/>
      <c r="EL158" s="618">
        <f t="shared" ref="EL158" si="14">SUM(CD158:DW158)</f>
        <v>41836</v>
      </c>
      <c r="EM158" s="648"/>
      <c r="EO158" s="144"/>
      <c r="EP158" s="42"/>
      <c r="EQ158" s="42"/>
    </row>
    <row r="159" spans="4:147" x14ac:dyDescent="0.3">
      <c r="D159" s="144"/>
      <c r="E159" s="494"/>
      <c r="G159" s="56"/>
      <c r="H159" s="56"/>
      <c r="I159" s="56"/>
      <c r="J159" s="611"/>
      <c r="K159" s="56"/>
      <c r="L159" s="56"/>
      <c r="M159" s="56"/>
      <c r="N159" s="56"/>
      <c r="O159" s="611"/>
      <c r="P159" s="56"/>
      <c r="Q159" s="56"/>
      <c r="R159" s="56"/>
      <c r="S159" s="56"/>
      <c r="T159" s="611"/>
      <c r="U159" s="56"/>
      <c r="V159" s="56"/>
      <c r="W159" s="56"/>
      <c r="X159" s="56"/>
      <c r="Y159" s="611"/>
      <c r="Z159" s="56"/>
      <c r="AA159" s="56"/>
      <c r="AB159" s="56"/>
      <c r="AC159" s="56"/>
      <c r="AD159" s="611"/>
      <c r="AE159" s="56"/>
      <c r="AF159" s="56"/>
      <c r="AG159" s="56"/>
      <c r="AH159" s="56"/>
      <c r="AI159" s="611"/>
      <c r="AJ159" s="56"/>
      <c r="AK159" s="56"/>
      <c r="AL159" s="56"/>
      <c r="AM159" s="56"/>
      <c r="AN159" s="611"/>
      <c r="AO159" s="56"/>
      <c r="AP159" s="56"/>
      <c r="AQ159" s="56"/>
      <c r="AR159" s="56"/>
      <c r="AS159" s="611"/>
      <c r="AT159" s="56"/>
      <c r="AU159" s="56"/>
      <c r="AV159" s="56"/>
      <c r="AW159" s="56"/>
      <c r="AX159" s="611"/>
      <c r="AY159" s="56"/>
      <c r="AZ159" s="56"/>
      <c r="BA159" s="56"/>
      <c r="BB159" s="56"/>
      <c r="BC159" s="611"/>
      <c r="BD159" s="56"/>
      <c r="BE159" s="56"/>
      <c r="BF159" s="56"/>
      <c r="BG159" s="56"/>
      <c r="BH159" s="611"/>
      <c r="BI159" s="56"/>
      <c r="BJ159" s="56"/>
      <c r="BK159" s="56"/>
      <c r="BL159" s="56"/>
      <c r="BM159" s="611"/>
      <c r="BN159" s="56"/>
      <c r="BO159" s="56"/>
      <c r="BP159" s="56"/>
      <c r="BQ159" s="56"/>
      <c r="BR159" s="611"/>
      <c r="BS159" s="56"/>
      <c r="BT159" s="56"/>
      <c r="BU159" s="56"/>
      <c r="BV159" s="56"/>
      <c r="BW159" s="611"/>
      <c r="BX159" s="56"/>
      <c r="BY159" s="56"/>
      <c r="BZ159" s="56"/>
      <c r="CA159" s="56"/>
      <c r="CB159" s="611"/>
      <c r="CC159" s="56"/>
      <c r="CD159" s="56"/>
      <c r="CE159" s="56"/>
      <c r="CF159" s="56"/>
      <c r="CG159" s="611"/>
      <c r="CH159" s="56"/>
      <c r="CI159" s="56"/>
      <c r="CJ159" s="56"/>
      <c r="CK159" s="56"/>
      <c r="CL159" s="611"/>
      <c r="CM159" s="56"/>
      <c r="CN159" s="56"/>
      <c r="CO159" s="56"/>
      <c r="CP159" s="56"/>
      <c r="CQ159" s="611"/>
      <c r="CR159" s="56"/>
      <c r="CS159" s="56"/>
      <c r="CT159" s="56"/>
      <c r="CU159" s="56"/>
      <c r="CV159" s="611"/>
      <c r="CW159" s="56"/>
      <c r="CX159" s="56"/>
      <c r="CY159" s="56"/>
      <c r="CZ159" s="56"/>
      <c r="DA159" s="611"/>
      <c r="DB159" s="56"/>
      <c r="DC159" s="56"/>
      <c r="DD159" s="56"/>
      <c r="DE159" s="56"/>
      <c r="DF159" s="611"/>
      <c r="DG159" s="56"/>
      <c r="DH159" s="56"/>
      <c r="DI159" s="56"/>
      <c r="DJ159" s="56"/>
      <c r="DK159" s="611"/>
      <c r="DL159" s="56"/>
      <c r="DM159" s="56"/>
      <c r="DN159" s="56"/>
      <c r="DO159" s="56"/>
      <c r="DP159" s="611"/>
      <c r="DQ159" s="56"/>
      <c r="DR159" s="56"/>
      <c r="DS159" s="56"/>
      <c r="DT159" s="56"/>
      <c r="DU159" s="611"/>
      <c r="DV159" s="56"/>
      <c r="DW159" s="56"/>
      <c r="DX159" s="56"/>
      <c r="DY159" s="56"/>
      <c r="DZ159" s="611"/>
      <c r="EA159" s="56"/>
      <c r="EB159" s="56"/>
      <c r="EC159" s="56"/>
      <c r="ED159" s="56"/>
      <c r="EE159" s="611"/>
      <c r="EF159" s="56"/>
      <c r="EG159" s="56"/>
      <c r="EH159" s="56"/>
      <c r="EI159" s="56"/>
      <c r="EJ159" s="611"/>
      <c r="EK159" s="56"/>
      <c r="EL159" s="56"/>
      <c r="EO159" s="144"/>
      <c r="EP159" s="42"/>
      <c r="EQ159" s="42"/>
    </row>
    <row r="160" spans="4:147" x14ac:dyDescent="0.3">
      <c r="D160" s="144" t="s">
        <v>355</v>
      </c>
      <c r="E160" s="494"/>
      <c r="G160" s="56">
        <f>SUM(G161:G161)</f>
        <v>87218</v>
      </c>
      <c r="H160" s="56"/>
      <c r="I160" s="56"/>
      <c r="J160" s="611"/>
      <c r="K160" s="56"/>
      <c r="L160" s="56">
        <f>SUM(L161:L161)</f>
        <v>0</v>
      </c>
      <c r="M160" s="56"/>
      <c r="N160" s="56"/>
      <c r="O160" s="611"/>
      <c r="P160" s="56"/>
      <c r="Q160" s="56">
        <f>SUM(Q161:Q161)</f>
        <v>87218</v>
      </c>
      <c r="R160" s="56"/>
      <c r="S160" s="56"/>
      <c r="T160" s="611"/>
      <c r="U160" s="56"/>
      <c r="V160" s="56">
        <f>SUM(V161:V161)</f>
        <v>0</v>
      </c>
      <c r="W160" s="56"/>
      <c r="X160" s="56"/>
      <c r="Y160" s="611"/>
      <c r="Z160" s="56"/>
      <c r="AA160" s="56">
        <f>SUM(AA161:AA161)</f>
        <v>0</v>
      </c>
      <c r="AB160" s="56"/>
      <c r="AC160" s="56"/>
      <c r="AD160" s="611"/>
      <c r="AE160" s="56"/>
      <c r="AF160" s="56">
        <f>SUM(AF161:AF161)</f>
        <v>0</v>
      </c>
      <c r="AG160" s="56"/>
      <c r="AH160" s="56"/>
      <c r="AI160" s="611"/>
      <c r="AJ160" s="56"/>
      <c r="AK160" s="56">
        <f>SUM(AK161:AK161)</f>
        <v>0</v>
      </c>
      <c r="AL160" s="56"/>
      <c r="AM160" s="56"/>
      <c r="AN160" s="611"/>
      <c r="AO160" s="56"/>
      <c r="AP160" s="56">
        <f>SUM(AP161:AP161)</f>
        <v>0</v>
      </c>
      <c r="AQ160" s="56"/>
      <c r="AR160" s="56"/>
      <c r="AS160" s="611"/>
      <c r="AT160" s="56"/>
      <c r="AU160" s="56">
        <f>SUM(AU161:AU161)</f>
        <v>0</v>
      </c>
      <c r="AV160" s="56"/>
      <c r="AW160" s="56"/>
      <c r="AX160" s="611"/>
      <c r="AY160" s="56"/>
      <c r="AZ160" s="56">
        <f>SUM(AZ161:AZ161)</f>
        <v>0</v>
      </c>
      <c r="BA160" s="56"/>
      <c r="BB160" s="56"/>
      <c r="BC160" s="611"/>
      <c r="BD160" s="56"/>
      <c r="BE160" s="56">
        <f>SUM(BE161:BE161)</f>
        <v>0</v>
      </c>
      <c r="BF160" s="56"/>
      <c r="BG160" s="56"/>
      <c r="BH160" s="611"/>
      <c r="BI160" s="56"/>
      <c r="BJ160" s="56">
        <f>SUM(BJ161:BJ161)</f>
        <v>0</v>
      </c>
      <c r="BK160" s="56"/>
      <c r="BL160" s="56"/>
      <c r="BM160" s="611"/>
      <c r="BN160" s="56"/>
      <c r="BO160" s="56">
        <f>SUM(BO161:BO161)</f>
        <v>0</v>
      </c>
      <c r="BP160" s="56"/>
      <c r="BQ160" s="56"/>
      <c r="BR160" s="611"/>
      <c r="BS160" s="56"/>
      <c r="BT160" s="56">
        <f>SUM(BT161:BT161)</f>
        <v>87218</v>
      </c>
      <c r="BU160" s="56"/>
      <c r="BV160" s="56"/>
      <c r="BW160" s="611"/>
      <c r="BX160" s="56"/>
      <c r="BY160" s="56">
        <f>SUM(BY161:BY161)</f>
        <v>530579</v>
      </c>
      <c r="BZ160" s="56"/>
      <c r="CA160" s="56"/>
      <c r="CB160" s="611"/>
      <c r="CC160" s="56"/>
      <c r="CD160" s="56">
        <f>SUM(CD161:CD161)</f>
        <v>0</v>
      </c>
      <c r="CE160" s="56"/>
      <c r="CF160" s="56"/>
      <c r="CG160" s="611"/>
      <c r="CH160" s="56"/>
      <c r="CI160" s="56">
        <f>SUM(CI161:CI161)</f>
        <v>0</v>
      </c>
      <c r="CJ160" s="56"/>
      <c r="CK160" s="56"/>
      <c r="CL160" s="611"/>
      <c r="CM160" s="56"/>
      <c r="CN160" s="56">
        <f>SUM(CN161:CN161)</f>
        <v>0</v>
      </c>
      <c r="CO160" s="56"/>
      <c r="CP160" s="56"/>
      <c r="CQ160" s="611"/>
      <c r="CR160" s="56"/>
      <c r="CS160" s="56">
        <f>SUM(CS161:CS161)</f>
        <v>0</v>
      </c>
      <c r="CT160" s="56"/>
      <c r="CU160" s="56"/>
      <c r="CV160" s="611"/>
      <c r="CW160" s="56"/>
      <c r="CX160" s="56">
        <f>SUM(CX161:CX161)</f>
        <v>0</v>
      </c>
      <c r="CY160" s="56"/>
      <c r="CZ160" s="56"/>
      <c r="DA160" s="611"/>
      <c r="DB160" s="56"/>
      <c r="DC160" s="56">
        <f>SUM(DC161:DC161)</f>
        <v>0</v>
      </c>
      <c r="DD160" s="56"/>
      <c r="DE160" s="56"/>
      <c r="DF160" s="611"/>
      <c r="DG160" s="56"/>
      <c r="DH160" s="56">
        <f>SUM(DH161:DH161)</f>
        <v>0</v>
      </c>
      <c r="DI160" s="56"/>
      <c r="DJ160" s="56"/>
      <c r="DK160" s="611"/>
      <c r="DL160" s="56"/>
      <c r="DM160" s="56">
        <f>SUM(DM161:DM161)</f>
        <v>530579</v>
      </c>
      <c r="DN160" s="56"/>
      <c r="DO160" s="56"/>
      <c r="DP160" s="611"/>
      <c r="DQ160" s="56"/>
      <c r="DR160" s="56">
        <f>SUM(DR161:DR161)</f>
        <v>0</v>
      </c>
      <c r="DS160" s="56"/>
      <c r="DT160" s="56"/>
      <c r="DU160" s="611"/>
      <c r="DV160" s="56"/>
      <c r="DW160" s="56">
        <f>SUM(DW161:DW161)</f>
        <v>0</v>
      </c>
      <c r="DX160" s="56"/>
      <c r="DY160" s="56"/>
      <c r="DZ160" s="611"/>
      <c r="EA160" s="56"/>
      <c r="EB160" s="56">
        <f>SUM(EB161:EB161)</f>
        <v>0</v>
      </c>
      <c r="EC160" s="56"/>
      <c r="ED160" s="56"/>
      <c r="EE160" s="611"/>
      <c r="EF160" s="56"/>
      <c r="EG160" s="56">
        <f>SUM(EG161:EG161)</f>
        <v>0</v>
      </c>
      <c r="EH160" s="56"/>
      <c r="EI160" s="56"/>
      <c r="EJ160" s="611"/>
      <c r="EK160" s="56"/>
      <c r="EL160" s="56">
        <f>SUM(EL161:EL161)</f>
        <v>530579</v>
      </c>
      <c r="EO160" s="144"/>
      <c r="EP160" s="42"/>
      <c r="EQ160" s="42"/>
    </row>
    <row r="161" spans="4:147" x14ac:dyDescent="0.3">
      <c r="D161" s="144" t="s">
        <v>335</v>
      </c>
      <c r="E161" s="494"/>
      <c r="F161" s="614"/>
      <c r="G161" s="618">
        <v>87218</v>
      </c>
      <c r="H161" s="616"/>
      <c r="I161" s="56"/>
      <c r="J161" s="611"/>
      <c r="K161" s="617"/>
      <c r="L161" s="618">
        <v>0</v>
      </c>
      <c r="M161" s="616"/>
      <c r="N161" s="56"/>
      <c r="O161" s="611"/>
      <c r="P161" s="617"/>
      <c r="Q161" s="618">
        <v>87218</v>
      </c>
      <c r="R161" s="616"/>
      <c r="S161" s="56"/>
      <c r="T161" s="611"/>
      <c r="U161" s="617"/>
      <c r="V161" s="618">
        <v>0</v>
      </c>
      <c r="W161" s="616"/>
      <c r="X161" s="56"/>
      <c r="Y161" s="611"/>
      <c r="Z161" s="617"/>
      <c r="AA161" s="618">
        <v>0</v>
      </c>
      <c r="AB161" s="616"/>
      <c r="AC161" s="56"/>
      <c r="AD161" s="611"/>
      <c r="AE161" s="617"/>
      <c r="AF161" s="618">
        <v>0</v>
      </c>
      <c r="AG161" s="616"/>
      <c r="AH161" s="56"/>
      <c r="AI161" s="611"/>
      <c r="AJ161" s="617"/>
      <c r="AK161" s="618">
        <v>0</v>
      </c>
      <c r="AL161" s="616"/>
      <c r="AM161" s="56"/>
      <c r="AN161" s="611"/>
      <c r="AO161" s="617"/>
      <c r="AP161" s="618">
        <v>0</v>
      </c>
      <c r="AQ161" s="616"/>
      <c r="AR161" s="56"/>
      <c r="AS161" s="611"/>
      <c r="AT161" s="617"/>
      <c r="AU161" s="618">
        <v>0</v>
      </c>
      <c r="AV161" s="616"/>
      <c r="AW161" s="56"/>
      <c r="AX161" s="611"/>
      <c r="AY161" s="617"/>
      <c r="AZ161" s="618">
        <v>0</v>
      </c>
      <c r="BA161" s="616"/>
      <c r="BB161" s="56"/>
      <c r="BC161" s="611"/>
      <c r="BD161" s="617"/>
      <c r="BE161" s="618">
        <v>0</v>
      </c>
      <c r="BF161" s="616"/>
      <c r="BG161" s="56"/>
      <c r="BH161" s="611"/>
      <c r="BI161" s="617"/>
      <c r="BJ161" s="618">
        <v>0</v>
      </c>
      <c r="BK161" s="616"/>
      <c r="BL161" s="56"/>
      <c r="BM161" s="611"/>
      <c r="BN161" s="617"/>
      <c r="BO161" s="618">
        <v>0</v>
      </c>
      <c r="BP161" s="616"/>
      <c r="BQ161" s="56"/>
      <c r="BR161" s="611"/>
      <c r="BS161" s="617"/>
      <c r="BT161" s="618">
        <f>SUM(L161:BO161)</f>
        <v>87218</v>
      </c>
      <c r="BU161" s="616"/>
      <c r="BV161" s="56"/>
      <c r="BW161" s="611"/>
      <c r="BX161" s="617"/>
      <c r="BY161" s="618">
        <v>530579</v>
      </c>
      <c r="BZ161" s="616"/>
      <c r="CA161" s="56"/>
      <c r="CB161" s="611"/>
      <c r="CC161" s="617"/>
      <c r="CD161" s="618">
        <v>0</v>
      </c>
      <c r="CE161" s="616"/>
      <c r="CF161" s="56"/>
      <c r="CG161" s="611"/>
      <c r="CH161" s="617"/>
      <c r="CI161" s="618">
        <v>0</v>
      </c>
      <c r="CJ161" s="616"/>
      <c r="CK161" s="56"/>
      <c r="CL161" s="611"/>
      <c r="CM161" s="617"/>
      <c r="CN161" s="618">
        <v>0</v>
      </c>
      <c r="CO161" s="616"/>
      <c r="CP161" s="56"/>
      <c r="CQ161" s="611"/>
      <c r="CR161" s="617"/>
      <c r="CS161" s="618">
        <v>0</v>
      </c>
      <c r="CT161" s="616"/>
      <c r="CU161" s="56"/>
      <c r="CV161" s="611"/>
      <c r="CW161" s="617"/>
      <c r="CX161" s="618">
        <v>0</v>
      </c>
      <c r="CY161" s="616"/>
      <c r="CZ161" s="56"/>
      <c r="DA161" s="611"/>
      <c r="DB161" s="617"/>
      <c r="DC161" s="618">
        <v>0</v>
      </c>
      <c r="DD161" s="616"/>
      <c r="DE161" s="56"/>
      <c r="DF161" s="611"/>
      <c r="DG161" s="617"/>
      <c r="DH161" s="618">
        <v>0</v>
      </c>
      <c r="DI161" s="616"/>
      <c r="DJ161" s="56"/>
      <c r="DK161" s="611"/>
      <c r="DL161" s="617"/>
      <c r="DM161" s="618">
        <v>530579</v>
      </c>
      <c r="DN161" s="616"/>
      <c r="DO161" s="56"/>
      <c r="DP161" s="611"/>
      <c r="DQ161" s="617"/>
      <c r="DR161" s="618">
        <v>0</v>
      </c>
      <c r="DS161" s="616"/>
      <c r="DT161" s="56"/>
      <c r="DU161" s="611"/>
      <c r="DV161" s="617"/>
      <c r="DW161" s="618">
        <v>0</v>
      </c>
      <c r="DX161" s="616"/>
      <c r="DY161" s="56"/>
      <c r="DZ161" s="611"/>
      <c r="EA161" s="617"/>
      <c r="EB161" s="618">
        <v>0</v>
      </c>
      <c r="EC161" s="616"/>
      <c r="ED161" s="56"/>
      <c r="EE161" s="611"/>
      <c r="EF161" s="617"/>
      <c r="EG161" s="618">
        <v>0</v>
      </c>
      <c r="EH161" s="616"/>
      <c r="EI161" s="56"/>
      <c r="EJ161" s="611"/>
      <c r="EK161" s="617"/>
      <c r="EL161" s="618">
        <f t="shared" ref="EL161" si="15">SUM(CD161:DW161)</f>
        <v>530579</v>
      </c>
      <c r="EM161" s="648"/>
      <c r="EO161" s="144"/>
      <c r="EP161" s="42"/>
      <c r="EQ161" s="42"/>
    </row>
    <row r="162" spans="4:147" x14ac:dyDescent="0.3">
      <c r="D162" s="144"/>
      <c r="E162" s="494"/>
      <c r="G162" s="56"/>
      <c r="H162" s="56"/>
      <c r="I162" s="56"/>
      <c r="J162" s="611"/>
      <c r="K162" s="56"/>
      <c r="L162" s="56"/>
      <c r="M162" s="56"/>
      <c r="N162" s="56"/>
      <c r="O162" s="611"/>
      <c r="P162" s="56"/>
      <c r="Q162" s="56"/>
      <c r="R162" s="56"/>
      <c r="S162" s="56"/>
      <c r="T162" s="611"/>
      <c r="U162" s="56"/>
      <c r="V162" s="56"/>
      <c r="W162" s="56"/>
      <c r="X162" s="56"/>
      <c r="Y162" s="611"/>
      <c r="Z162" s="56"/>
      <c r="AA162" s="56"/>
      <c r="AB162" s="56"/>
      <c r="AC162" s="56"/>
      <c r="AD162" s="611"/>
      <c r="AE162" s="56"/>
      <c r="AF162" s="56"/>
      <c r="AG162" s="56"/>
      <c r="AH162" s="56"/>
      <c r="AI162" s="611"/>
      <c r="AJ162" s="56"/>
      <c r="AK162" s="56"/>
      <c r="AL162" s="56"/>
      <c r="AM162" s="56"/>
      <c r="AN162" s="611"/>
      <c r="AO162" s="56"/>
      <c r="AP162" s="56"/>
      <c r="AQ162" s="56"/>
      <c r="AR162" s="56"/>
      <c r="AS162" s="611"/>
      <c r="AT162" s="56"/>
      <c r="AU162" s="56"/>
      <c r="AV162" s="56"/>
      <c r="AW162" s="56"/>
      <c r="AX162" s="611"/>
      <c r="AY162" s="56"/>
      <c r="AZ162" s="56"/>
      <c r="BA162" s="56"/>
      <c r="BB162" s="56"/>
      <c r="BC162" s="611"/>
      <c r="BD162" s="56"/>
      <c r="BE162" s="56"/>
      <c r="BF162" s="56"/>
      <c r="BG162" s="56"/>
      <c r="BH162" s="611"/>
      <c r="BI162" s="56"/>
      <c r="BJ162" s="56"/>
      <c r="BK162" s="56"/>
      <c r="BL162" s="56"/>
      <c r="BM162" s="611"/>
      <c r="BN162" s="56"/>
      <c r="BO162" s="56"/>
      <c r="BP162" s="56"/>
      <c r="BQ162" s="56"/>
      <c r="BR162" s="611"/>
      <c r="BS162" s="56"/>
      <c r="BT162" s="56"/>
      <c r="BU162" s="56"/>
      <c r="BV162" s="56"/>
      <c r="BW162" s="611"/>
      <c r="BX162" s="56"/>
      <c r="BY162" s="56"/>
      <c r="BZ162" s="56"/>
      <c r="CA162" s="56"/>
      <c r="CB162" s="611"/>
      <c r="CC162" s="56"/>
      <c r="CD162" s="56"/>
      <c r="CE162" s="56"/>
      <c r="CF162" s="56"/>
      <c r="CG162" s="611"/>
      <c r="CH162" s="56"/>
      <c r="CI162" s="56"/>
      <c r="CJ162" s="56"/>
      <c r="CK162" s="56"/>
      <c r="CL162" s="611"/>
      <c r="CM162" s="56"/>
      <c r="CN162" s="56"/>
      <c r="CO162" s="56"/>
      <c r="CP162" s="56"/>
      <c r="CQ162" s="611"/>
      <c r="CR162" s="56"/>
      <c r="CS162" s="56"/>
      <c r="CT162" s="56"/>
      <c r="CU162" s="56"/>
      <c r="CV162" s="611"/>
      <c r="CW162" s="56"/>
      <c r="CX162" s="56"/>
      <c r="CY162" s="56"/>
      <c r="CZ162" s="56"/>
      <c r="DA162" s="611"/>
      <c r="DB162" s="56"/>
      <c r="DC162" s="56"/>
      <c r="DD162" s="56"/>
      <c r="DE162" s="56"/>
      <c r="DF162" s="611"/>
      <c r="DG162" s="56"/>
      <c r="DH162" s="56"/>
      <c r="DI162" s="56"/>
      <c r="DJ162" s="56"/>
      <c r="DK162" s="611"/>
      <c r="DL162" s="56"/>
      <c r="DM162" s="56"/>
      <c r="DN162" s="56"/>
      <c r="DO162" s="56"/>
      <c r="DP162" s="611"/>
      <c r="DQ162" s="56"/>
      <c r="DR162" s="56"/>
      <c r="DS162" s="56"/>
      <c r="DT162" s="56"/>
      <c r="DU162" s="611"/>
      <c r="DV162" s="56"/>
      <c r="DW162" s="56"/>
      <c r="DX162" s="56"/>
      <c r="DY162" s="56"/>
      <c r="DZ162" s="611"/>
      <c r="EA162" s="56"/>
      <c r="EB162" s="56"/>
      <c r="EC162" s="56"/>
      <c r="ED162" s="56"/>
      <c r="EE162" s="611"/>
      <c r="EF162" s="56"/>
      <c r="EG162" s="56"/>
      <c r="EH162" s="56"/>
      <c r="EI162" s="56"/>
      <c r="EJ162" s="611"/>
      <c r="EK162" s="56"/>
      <c r="EL162" s="56"/>
      <c r="EO162" s="144"/>
      <c r="EP162" s="42"/>
      <c r="EQ162" s="42"/>
    </row>
    <row r="163" spans="4:147" ht="12.75" customHeight="1" x14ac:dyDescent="0.3">
      <c r="D163" s="624" t="s">
        <v>356</v>
      </c>
      <c r="E163" s="494"/>
      <c r="G163" s="56">
        <f>SUM(G164:G164)</f>
        <v>346817</v>
      </c>
      <c r="H163" s="44"/>
      <c r="I163" s="44"/>
      <c r="J163" s="607"/>
      <c r="K163" s="44"/>
      <c r="L163" s="56">
        <f>SUM(L164:L164)</f>
        <v>0</v>
      </c>
      <c r="M163" s="56"/>
      <c r="N163" s="56"/>
      <c r="O163" s="611"/>
      <c r="P163" s="56"/>
      <c r="Q163" s="56">
        <f>SUM(Q164:Q164)</f>
        <v>88771</v>
      </c>
      <c r="R163" s="56"/>
      <c r="S163" s="56"/>
      <c r="T163" s="611"/>
      <c r="U163" s="56"/>
      <c r="V163" s="56">
        <f>SUM(V164:V164)</f>
        <v>0</v>
      </c>
      <c r="W163" s="56"/>
      <c r="X163" s="56"/>
      <c r="Y163" s="611"/>
      <c r="Z163" s="56"/>
      <c r="AA163" s="56">
        <f>SUM(AA164:AA164)</f>
        <v>0</v>
      </c>
      <c r="AB163" s="56"/>
      <c r="AC163" s="56"/>
      <c r="AD163" s="611"/>
      <c r="AE163" s="56"/>
      <c r="AF163" s="56">
        <f>SUM(AF164:AF164)</f>
        <v>0</v>
      </c>
      <c r="AG163" s="56"/>
      <c r="AH163" s="56"/>
      <c r="AI163" s="611"/>
      <c r="AJ163" s="56"/>
      <c r="AK163" s="56">
        <f>SUM(AK164:AK164)</f>
        <v>258046</v>
      </c>
      <c r="AL163" s="56"/>
      <c r="AM163" s="56"/>
      <c r="AN163" s="611"/>
      <c r="AO163" s="56"/>
      <c r="AP163" s="56">
        <f>SUM(AP164:AP164)</f>
        <v>0</v>
      </c>
      <c r="AQ163" s="56"/>
      <c r="AR163" s="56"/>
      <c r="AS163" s="611"/>
      <c r="AT163" s="56"/>
      <c r="AU163" s="56">
        <f>SUM(AU164:AU164)</f>
        <v>0</v>
      </c>
      <c r="AV163" s="56"/>
      <c r="AW163" s="56"/>
      <c r="AX163" s="611"/>
      <c r="AY163" s="56"/>
      <c r="AZ163" s="56">
        <f>SUM(AZ164:AZ164)</f>
        <v>0</v>
      </c>
      <c r="BA163" s="56"/>
      <c r="BB163" s="56"/>
      <c r="BC163" s="611"/>
      <c r="BD163" s="56"/>
      <c r="BE163" s="56">
        <f>SUM(BE164:BE164)</f>
        <v>0</v>
      </c>
      <c r="BF163" s="56"/>
      <c r="BG163" s="56"/>
      <c r="BH163" s="611"/>
      <c r="BI163" s="56"/>
      <c r="BJ163" s="56">
        <f>SUM(BJ164:BJ164)</f>
        <v>0</v>
      </c>
      <c r="BK163" s="56"/>
      <c r="BL163" s="56"/>
      <c r="BM163" s="611"/>
      <c r="BN163" s="56"/>
      <c r="BO163" s="56">
        <f>SUM(BO164:BO164)</f>
        <v>0</v>
      </c>
      <c r="BP163" s="56"/>
      <c r="BQ163" s="56"/>
      <c r="BR163" s="611"/>
      <c r="BS163" s="56"/>
      <c r="BT163" s="56">
        <f>SUM(BT164:BT164)</f>
        <v>346817</v>
      </c>
      <c r="BU163" s="56"/>
      <c r="BV163" s="56"/>
      <c r="BW163" s="611"/>
      <c r="BX163" s="56"/>
      <c r="BY163" s="56">
        <f>SUM(BY164:BY164)</f>
        <v>881202</v>
      </c>
      <c r="BZ163" s="44"/>
      <c r="CA163" s="44"/>
      <c r="CB163" s="607"/>
      <c r="CC163" s="44"/>
      <c r="CD163" s="56">
        <f>SUM(CD164:CD164)</f>
        <v>0</v>
      </c>
      <c r="CE163" s="56"/>
      <c r="CF163" s="56"/>
      <c r="CG163" s="611"/>
      <c r="CH163" s="56"/>
      <c r="CI163" s="56">
        <f>SUM(CI164:CI164)</f>
        <v>0</v>
      </c>
      <c r="CJ163" s="56"/>
      <c r="CK163" s="56"/>
      <c r="CL163" s="611"/>
      <c r="CM163" s="56"/>
      <c r="CN163" s="56">
        <f>SUM(CN164:CN164)</f>
        <v>0</v>
      </c>
      <c r="CO163" s="56"/>
      <c r="CP163" s="56"/>
      <c r="CQ163" s="611"/>
      <c r="CR163" s="56"/>
      <c r="CS163" s="56">
        <f>SUM(CS164:CS164)</f>
        <v>0</v>
      </c>
      <c r="CT163" s="56"/>
      <c r="CU163" s="56"/>
      <c r="CV163" s="611"/>
      <c r="CW163" s="56"/>
      <c r="CX163" s="56">
        <f>SUM(CX164:CX164)</f>
        <v>0</v>
      </c>
      <c r="CY163" s="56"/>
      <c r="CZ163" s="56"/>
      <c r="DA163" s="611"/>
      <c r="DB163" s="56"/>
      <c r="DC163" s="56">
        <f>SUM(DC164:DC164)</f>
        <v>0</v>
      </c>
      <c r="DD163" s="56"/>
      <c r="DE163" s="56"/>
      <c r="DF163" s="611"/>
      <c r="DG163" s="56"/>
      <c r="DH163" s="56">
        <f>SUM(DH164:DH164)</f>
        <v>0</v>
      </c>
      <c r="DI163" s="56"/>
      <c r="DJ163" s="56"/>
      <c r="DK163" s="611"/>
      <c r="DL163" s="56"/>
      <c r="DM163" s="56">
        <f>SUM(DM164:DM164)</f>
        <v>179611</v>
      </c>
      <c r="DN163" s="56"/>
      <c r="DO163" s="56"/>
      <c r="DP163" s="611"/>
      <c r="DQ163" s="56"/>
      <c r="DR163" s="56">
        <f>SUM(DR164:DR164)</f>
        <v>0</v>
      </c>
      <c r="DS163" s="56"/>
      <c r="DT163" s="56"/>
      <c r="DU163" s="611"/>
      <c r="DV163" s="56"/>
      <c r="DW163" s="56">
        <f>SUM(DW164:DW164)</f>
        <v>0</v>
      </c>
      <c r="DX163" s="56"/>
      <c r="DY163" s="56"/>
      <c r="DZ163" s="611"/>
      <c r="EA163" s="56"/>
      <c r="EB163" s="56">
        <f>SUM(EB164:EB164)</f>
        <v>0</v>
      </c>
      <c r="EC163" s="56"/>
      <c r="ED163" s="56"/>
      <c r="EE163" s="611"/>
      <c r="EF163" s="56"/>
      <c r="EG163" s="56">
        <f>SUM(EG164:EG164)</f>
        <v>701591</v>
      </c>
      <c r="EH163" s="56"/>
      <c r="EI163" s="56"/>
      <c r="EJ163" s="611"/>
      <c r="EK163" s="56"/>
      <c r="EL163" s="56">
        <f>SUM(EL164:EL164)</f>
        <v>179611</v>
      </c>
      <c r="EM163" s="56"/>
      <c r="EN163" s="56"/>
      <c r="EO163" s="144"/>
      <c r="EP163" s="42"/>
      <c r="EQ163" s="42"/>
    </row>
    <row r="164" spans="4:147" ht="12.75" customHeight="1" x14ac:dyDescent="0.3">
      <c r="D164" s="144" t="s">
        <v>335</v>
      </c>
      <c r="E164" s="494"/>
      <c r="F164" s="614"/>
      <c r="G164" s="618">
        <v>346817</v>
      </c>
      <c r="H164" s="616"/>
      <c r="I164" s="56"/>
      <c r="J164" s="611"/>
      <c r="K164" s="617"/>
      <c r="L164" s="618">
        <v>0</v>
      </c>
      <c r="M164" s="616"/>
      <c r="N164" s="56"/>
      <c r="O164" s="611"/>
      <c r="P164" s="617"/>
      <c r="Q164" s="618">
        <v>88771</v>
      </c>
      <c r="R164" s="616"/>
      <c r="S164" s="56"/>
      <c r="T164" s="611"/>
      <c r="U164" s="617"/>
      <c r="V164" s="618">
        <v>0</v>
      </c>
      <c r="W164" s="616"/>
      <c r="X164" s="56"/>
      <c r="Y164" s="611"/>
      <c r="Z164" s="617"/>
      <c r="AA164" s="618">
        <v>0</v>
      </c>
      <c r="AB164" s="616"/>
      <c r="AC164" s="56"/>
      <c r="AD164" s="611"/>
      <c r="AE164" s="617"/>
      <c r="AF164" s="618">
        <v>0</v>
      </c>
      <c r="AG164" s="616"/>
      <c r="AH164" s="56"/>
      <c r="AI164" s="611"/>
      <c r="AJ164" s="617"/>
      <c r="AK164" s="618">
        <v>258046</v>
      </c>
      <c r="AL164" s="616"/>
      <c r="AM164" s="56"/>
      <c r="AN164" s="611"/>
      <c r="AO164" s="617"/>
      <c r="AP164" s="618">
        <v>0</v>
      </c>
      <c r="AQ164" s="616"/>
      <c r="AR164" s="56"/>
      <c r="AS164" s="611"/>
      <c r="AT164" s="617"/>
      <c r="AU164" s="618">
        <v>0</v>
      </c>
      <c r="AV164" s="616"/>
      <c r="AW164" s="56"/>
      <c r="AX164" s="611"/>
      <c r="AY164" s="617"/>
      <c r="AZ164" s="618">
        <v>0</v>
      </c>
      <c r="BA164" s="616"/>
      <c r="BB164" s="56"/>
      <c r="BC164" s="611"/>
      <c r="BD164" s="617"/>
      <c r="BE164" s="618">
        <v>0</v>
      </c>
      <c r="BF164" s="616"/>
      <c r="BG164" s="56"/>
      <c r="BH164" s="611"/>
      <c r="BI164" s="617"/>
      <c r="BJ164" s="618">
        <v>0</v>
      </c>
      <c r="BK164" s="616"/>
      <c r="BL164" s="56"/>
      <c r="BM164" s="611"/>
      <c r="BN164" s="617"/>
      <c r="BO164" s="618">
        <v>0</v>
      </c>
      <c r="BP164" s="616"/>
      <c r="BQ164" s="56"/>
      <c r="BR164" s="611"/>
      <c r="BS164" s="617"/>
      <c r="BT164" s="618">
        <f>SUM(L164:BO164)</f>
        <v>346817</v>
      </c>
      <c r="BU164" s="616"/>
      <c r="BV164" s="56"/>
      <c r="BW164" s="611"/>
      <c r="BX164" s="617"/>
      <c r="BY164" s="618">
        <v>881202</v>
      </c>
      <c r="BZ164" s="616"/>
      <c r="CA164" s="56"/>
      <c r="CB164" s="611"/>
      <c r="CC164" s="617"/>
      <c r="CD164" s="618">
        <v>0</v>
      </c>
      <c r="CE164" s="616"/>
      <c r="CF164" s="56"/>
      <c r="CG164" s="611"/>
      <c r="CH164" s="617"/>
      <c r="CI164" s="618">
        <v>0</v>
      </c>
      <c r="CJ164" s="616"/>
      <c r="CK164" s="56"/>
      <c r="CL164" s="611"/>
      <c r="CM164" s="617"/>
      <c r="CN164" s="618">
        <v>0</v>
      </c>
      <c r="CO164" s="616"/>
      <c r="CP164" s="56"/>
      <c r="CQ164" s="611"/>
      <c r="CR164" s="617"/>
      <c r="CS164" s="618">
        <v>0</v>
      </c>
      <c r="CT164" s="616"/>
      <c r="CU164" s="56"/>
      <c r="CV164" s="611"/>
      <c r="CW164" s="617"/>
      <c r="CX164" s="618">
        <v>0</v>
      </c>
      <c r="CY164" s="616"/>
      <c r="CZ164" s="56"/>
      <c r="DA164" s="611"/>
      <c r="DB164" s="617"/>
      <c r="DC164" s="618">
        <v>0</v>
      </c>
      <c r="DD164" s="616"/>
      <c r="DE164" s="56"/>
      <c r="DF164" s="611"/>
      <c r="DG164" s="617"/>
      <c r="DH164" s="618">
        <v>0</v>
      </c>
      <c r="DI164" s="616"/>
      <c r="DJ164" s="56"/>
      <c r="DK164" s="611"/>
      <c r="DL164" s="617"/>
      <c r="DM164" s="618">
        <v>179611</v>
      </c>
      <c r="DN164" s="616"/>
      <c r="DO164" s="56"/>
      <c r="DP164" s="611"/>
      <c r="DQ164" s="617"/>
      <c r="DR164" s="618">
        <v>0</v>
      </c>
      <c r="DS164" s="616"/>
      <c r="DT164" s="56"/>
      <c r="DU164" s="611"/>
      <c r="DV164" s="617"/>
      <c r="DW164" s="618">
        <v>0</v>
      </c>
      <c r="DX164" s="616"/>
      <c r="DY164" s="56"/>
      <c r="DZ164" s="611"/>
      <c r="EA164" s="617"/>
      <c r="EB164" s="618">
        <v>0</v>
      </c>
      <c r="EC164" s="616"/>
      <c r="ED164" s="56"/>
      <c r="EE164" s="611"/>
      <c r="EF164" s="617"/>
      <c r="EG164" s="618">
        <v>701591</v>
      </c>
      <c r="EH164" s="616"/>
      <c r="EI164" s="56"/>
      <c r="EJ164" s="611"/>
      <c r="EK164" s="617"/>
      <c r="EL164" s="618">
        <f t="shared" ref="EL164" si="16">SUM(CD164:DW164)</f>
        <v>179611</v>
      </c>
      <c r="EM164" s="616"/>
      <c r="EN164" s="56"/>
      <c r="EO164" s="144"/>
      <c r="EP164" s="42"/>
      <c r="EQ164" s="42"/>
    </row>
    <row r="165" spans="4:147" ht="12.75" customHeight="1" x14ac:dyDescent="0.3">
      <c r="D165" s="144"/>
      <c r="E165" s="494"/>
      <c r="G165" s="56"/>
      <c r="H165" s="56"/>
      <c r="I165" s="56"/>
      <c r="J165" s="611"/>
      <c r="K165" s="56"/>
      <c r="L165" s="56"/>
      <c r="M165" s="56"/>
      <c r="N165" s="56"/>
      <c r="O165" s="611"/>
      <c r="P165" s="56"/>
      <c r="Q165" s="56"/>
      <c r="R165" s="56"/>
      <c r="S165" s="56"/>
      <c r="T165" s="611"/>
      <c r="U165" s="56"/>
      <c r="V165" s="56"/>
      <c r="W165" s="56"/>
      <c r="X165" s="56"/>
      <c r="Y165" s="611"/>
      <c r="Z165" s="56"/>
      <c r="AA165" s="56"/>
      <c r="AB165" s="56"/>
      <c r="AC165" s="56"/>
      <c r="AD165" s="611"/>
      <c r="AE165" s="56"/>
      <c r="AF165" s="56"/>
      <c r="AG165" s="56"/>
      <c r="AH165" s="56"/>
      <c r="AI165" s="611"/>
      <c r="AJ165" s="56"/>
      <c r="AK165" s="56"/>
      <c r="AL165" s="56"/>
      <c r="AM165" s="56"/>
      <c r="AN165" s="611"/>
      <c r="AO165" s="56"/>
      <c r="AP165" s="56"/>
      <c r="AQ165" s="56"/>
      <c r="AR165" s="56"/>
      <c r="AS165" s="611"/>
      <c r="AT165" s="56"/>
      <c r="AU165" s="56"/>
      <c r="AV165" s="56"/>
      <c r="AW165" s="56"/>
      <c r="AX165" s="611"/>
      <c r="AY165" s="56"/>
      <c r="AZ165" s="56"/>
      <c r="BA165" s="56"/>
      <c r="BB165" s="56"/>
      <c r="BC165" s="611"/>
      <c r="BD165" s="56"/>
      <c r="BE165" s="56"/>
      <c r="BF165" s="56"/>
      <c r="BG165" s="56"/>
      <c r="BH165" s="611"/>
      <c r="BI165" s="56"/>
      <c r="BJ165" s="56"/>
      <c r="BK165" s="56"/>
      <c r="BL165" s="56"/>
      <c r="BM165" s="611"/>
      <c r="BN165" s="56"/>
      <c r="BO165" s="56"/>
      <c r="BP165" s="56"/>
      <c r="BQ165" s="56"/>
      <c r="BR165" s="611"/>
      <c r="BS165" s="56"/>
      <c r="BT165" s="56"/>
      <c r="BU165" s="56"/>
      <c r="BV165" s="56"/>
      <c r="BW165" s="611"/>
      <c r="BX165" s="56"/>
      <c r="BY165" s="56"/>
      <c r="BZ165" s="56"/>
      <c r="CA165" s="56"/>
      <c r="CB165" s="611"/>
      <c r="CC165" s="56"/>
      <c r="CD165" s="56"/>
      <c r="CE165" s="56"/>
      <c r="CF165" s="56"/>
      <c r="CG165" s="611"/>
      <c r="CH165" s="56"/>
      <c r="CI165" s="56"/>
      <c r="CJ165" s="56"/>
      <c r="CK165" s="56"/>
      <c r="CL165" s="611"/>
      <c r="CM165" s="56"/>
      <c r="CN165" s="56"/>
      <c r="CO165" s="56"/>
      <c r="CP165" s="56"/>
      <c r="CQ165" s="611"/>
      <c r="CR165" s="56"/>
      <c r="CS165" s="56"/>
      <c r="CT165" s="56"/>
      <c r="CU165" s="56"/>
      <c r="CV165" s="611"/>
      <c r="CW165" s="56"/>
      <c r="CX165" s="56"/>
      <c r="CY165" s="56"/>
      <c r="CZ165" s="56"/>
      <c r="DA165" s="611"/>
      <c r="DB165" s="56"/>
      <c r="DC165" s="56"/>
      <c r="DD165" s="56"/>
      <c r="DE165" s="56"/>
      <c r="DF165" s="611"/>
      <c r="DG165" s="56"/>
      <c r="DH165" s="56"/>
      <c r="DI165" s="56"/>
      <c r="DJ165" s="56"/>
      <c r="DK165" s="611"/>
      <c r="DL165" s="56"/>
      <c r="DM165" s="56"/>
      <c r="DN165" s="56"/>
      <c r="DO165" s="56"/>
      <c r="DP165" s="611"/>
      <c r="DQ165" s="56"/>
      <c r="DR165" s="56"/>
      <c r="DS165" s="56"/>
      <c r="DT165" s="56"/>
      <c r="DU165" s="611"/>
      <c r="DV165" s="56"/>
      <c r="DW165" s="56"/>
      <c r="DX165" s="56"/>
      <c r="DY165" s="56"/>
      <c r="DZ165" s="611"/>
      <c r="EA165" s="56"/>
      <c r="EB165" s="56"/>
      <c r="EC165" s="56"/>
      <c r="ED165" s="56"/>
      <c r="EE165" s="611"/>
      <c r="EF165" s="56"/>
      <c r="EG165" s="56"/>
      <c r="EH165" s="56"/>
      <c r="EI165" s="56"/>
      <c r="EJ165" s="611"/>
      <c r="EK165" s="56"/>
      <c r="EL165" s="56"/>
      <c r="EM165" s="56"/>
      <c r="EN165" s="56"/>
      <c r="EO165" s="144"/>
      <c r="EP165" s="42"/>
      <c r="EQ165" s="42"/>
    </row>
    <row r="166" spans="4:147" ht="12.75" customHeight="1" x14ac:dyDescent="0.3">
      <c r="D166" s="624" t="s">
        <v>357</v>
      </c>
      <c r="E166" s="494"/>
      <c r="G166" s="56">
        <f>SUM(G167:G167)</f>
        <v>0</v>
      </c>
      <c r="H166" s="56"/>
      <c r="I166" s="56"/>
      <c r="J166" s="611"/>
      <c r="K166" s="56"/>
      <c r="L166" s="56">
        <f>SUM(L167:L167)</f>
        <v>0</v>
      </c>
      <c r="M166" s="56"/>
      <c r="N166" s="56"/>
      <c r="O166" s="611"/>
      <c r="P166" s="56"/>
      <c r="Q166" s="56">
        <f>SUM(Q167:Q167)</f>
        <v>0</v>
      </c>
      <c r="R166" s="56"/>
      <c r="S166" s="56"/>
      <c r="T166" s="611"/>
      <c r="U166" s="56"/>
      <c r="V166" s="56">
        <f>SUM(V167:V167)</f>
        <v>0</v>
      </c>
      <c r="W166" s="56"/>
      <c r="X166" s="56"/>
      <c r="Y166" s="611"/>
      <c r="Z166" s="56"/>
      <c r="AA166" s="56">
        <f>SUM(AA167:AA167)</f>
        <v>0</v>
      </c>
      <c r="AB166" s="56"/>
      <c r="AC166" s="56"/>
      <c r="AD166" s="611"/>
      <c r="AE166" s="56"/>
      <c r="AF166" s="56">
        <f>SUM(AF167:AF167)</f>
        <v>0</v>
      </c>
      <c r="AG166" s="56"/>
      <c r="AH166" s="56"/>
      <c r="AI166" s="611"/>
      <c r="AJ166" s="56"/>
      <c r="AK166" s="56">
        <f>SUM(AK167:AK167)</f>
        <v>0</v>
      </c>
      <c r="AL166" s="56"/>
      <c r="AM166" s="56"/>
      <c r="AN166" s="611"/>
      <c r="AO166" s="56"/>
      <c r="AP166" s="56">
        <f>SUM(AP167:AP167)</f>
        <v>0</v>
      </c>
      <c r="AQ166" s="56"/>
      <c r="AR166" s="56"/>
      <c r="AS166" s="611"/>
      <c r="AT166" s="56"/>
      <c r="AU166" s="56">
        <f>SUM(AU167:AU167)</f>
        <v>0</v>
      </c>
      <c r="AV166" s="56"/>
      <c r="AW166" s="56"/>
      <c r="AX166" s="611"/>
      <c r="AY166" s="56"/>
      <c r="AZ166" s="56">
        <f>SUM(AZ167:AZ167)</f>
        <v>0</v>
      </c>
      <c r="BA166" s="56"/>
      <c r="BB166" s="56"/>
      <c r="BC166" s="611"/>
      <c r="BD166" s="56"/>
      <c r="BE166" s="56">
        <f>SUM(BE167:BE167)</f>
        <v>0</v>
      </c>
      <c r="BF166" s="56"/>
      <c r="BG166" s="56"/>
      <c r="BH166" s="611"/>
      <c r="BI166" s="56"/>
      <c r="BJ166" s="56">
        <f>SUM(BJ167:BJ167)</f>
        <v>0</v>
      </c>
      <c r="BK166" s="56"/>
      <c r="BL166" s="56"/>
      <c r="BM166" s="611"/>
      <c r="BN166" s="56"/>
      <c r="BO166" s="56">
        <f>SUM(BO167:BO167)</f>
        <v>0</v>
      </c>
      <c r="BP166" s="56"/>
      <c r="BQ166" s="56"/>
      <c r="BR166" s="611"/>
      <c r="BS166" s="56"/>
      <c r="BT166" s="56">
        <f>SUM(BT167:BT167)</f>
        <v>0</v>
      </c>
      <c r="BU166" s="56"/>
      <c r="BV166" s="56"/>
      <c r="BW166" s="611"/>
      <c r="BX166" s="56"/>
      <c r="BY166" s="56">
        <f>SUM(BY167:BY167)</f>
        <v>185576</v>
      </c>
      <c r="BZ166" s="56"/>
      <c r="CA166" s="56"/>
      <c r="CB166" s="611"/>
      <c r="CC166" s="56"/>
      <c r="CD166" s="56">
        <f>SUM(CD167:CD167)</f>
        <v>0</v>
      </c>
      <c r="CE166" s="56"/>
      <c r="CF166" s="56"/>
      <c r="CG166" s="611"/>
      <c r="CH166" s="56"/>
      <c r="CI166" s="56">
        <f>SUM(CI167:CI167)</f>
        <v>0</v>
      </c>
      <c r="CJ166" s="56"/>
      <c r="CK166" s="56"/>
      <c r="CL166" s="611"/>
      <c r="CM166" s="56"/>
      <c r="CN166" s="56">
        <f>SUM(CN167:CN167)</f>
        <v>0</v>
      </c>
      <c r="CO166" s="56"/>
      <c r="CP166" s="56"/>
      <c r="CQ166" s="611"/>
      <c r="CR166" s="56"/>
      <c r="CS166" s="56">
        <f>SUM(CS167:CS167)</f>
        <v>0</v>
      </c>
      <c r="CT166" s="56"/>
      <c r="CU166" s="56"/>
      <c r="CV166" s="611"/>
      <c r="CW166" s="56"/>
      <c r="CX166" s="56">
        <f>SUM(CX167:CX167)</f>
        <v>0</v>
      </c>
      <c r="CY166" s="56"/>
      <c r="CZ166" s="56"/>
      <c r="DA166" s="611"/>
      <c r="DB166" s="56"/>
      <c r="DC166" s="56">
        <f>SUM(DC167:DC167)</f>
        <v>0</v>
      </c>
      <c r="DD166" s="56"/>
      <c r="DE166" s="56"/>
      <c r="DF166" s="611"/>
      <c r="DG166" s="56"/>
      <c r="DH166" s="56">
        <f>SUM(DH167:DH167)</f>
        <v>55605</v>
      </c>
      <c r="DI166" s="56"/>
      <c r="DJ166" s="56"/>
      <c r="DK166" s="611"/>
      <c r="DL166" s="56"/>
      <c r="DM166" s="56">
        <f>SUM(DM167:DM167)</f>
        <v>129971</v>
      </c>
      <c r="DN166" s="56"/>
      <c r="DO166" s="56"/>
      <c r="DP166" s="611"/>
      <c r="DQ166" s="56"/>
      <c r="DR166" s="56">
        <f>SUM(DR167:DR167)</f>
        <v>0</v>
      </c>
      <c r="DS166" s="56"/>
      <c r="DT166" s="56"/>
      <c r="DU166" s="611"/>
      <c r="DV166" s="56"/>
      <c r="DW166" s="56">
        <f>SUM(DW167:DW167)</f>
        <v>0</v>
      </c>
      <c r="DX166" s="56"/>
      <c r="DY166" s="56"/>
      <c r="DZ166" s="611"/>
      <c r="EA166" s="56"/>
      <c r="EB166" s="56">
        <f>SUM(EB167:EB167)</f>
        <v>0</v>
      </c>
      <c r="EC166" s="56"/>
      <c r="ED166" s="56"/>
      <c r="EE166" s="611"/>
      <c r="EF166" s="56"/>
      <c r="EG166" s="56">
        <f>SUM(EG167:EG167)</f>
        <v>0</v>
      </c>
      <c r="EH166" s="56"/>
      <c r="EI166" s="56"/>
      <c r="EJ166" s="611"/>
      <c r="EK166" s="56"/>
      <c r="EL166" s="56">
        <f>SUM(EL167:EL167)</f>
        <v>185576</v>
      </c>
      <c r="EM166" s="56"/>
      <c r="EN166" s="56"/>
      <c r="EO166" s="144"/>
      <c r="EP166" s="42"/>
      <c r="EQ166" s="42"/>
    </row>
    <row r="167" spans="4:147" ht="12.75" customHeight="1" x14ac:dyDescent="0.3">
      <c r="D167" s="144" t="s">
        <v>335</v>
      </c>
      <c r="E167" s="494"/>
      <c r="F167" s="614"/>
      <c r="G167" s="618">
        <v>0</v>
      </c>
      <c r="H167" s="616"/>
      <c r="I167" s="56"/>
      <c r="J167" s="611"/>
      <c r="K167" s="617"/>
      <c r="L167" s="618">
        <v>0</v>
      </c>
      <c r="M167" s="616"/>
      <c r="N167" s="56"/>
      <c r="O167" s="611"/>
      <c r="P167" s="617"/>
      <c r="Q167" s="618">
        <v>0</v>
      </c>
      <c r="R167" s="616"/>
      <c r="S167" s="56"/>
      <c r="T167" s="611"/>
      <c r="U167" s="617"/>
      <c r="V167" s="618">
        <v>0</v>
      </c>
      <c r="W167" s="616"/>
      <c r="X167" s="56"/>
      <c r="Y167" s="611"/>
      <c r="Z167" s="617"/>
      <c r="AA167" s="618">
        <v>0</v>
      </c>
      <c r="AB167" s="616"/>
      <c r="AC167" s="56"/>
      <c r="AD167" s="611"/>
      <c r="AE167" s="617"/>
      <c r="AF167" s="618">
        <v>0</v>
      </c>
      <c r="AG167" s="616"/>
      <c r="AH167" s="56"/>
      <c r="AI167" s="611"/>
      <c r="AJ167" s="617"/>
      <c r="AK167" s="618">
        <v>0</v>
      </c>
      <c r="AL167" s="616"/>
      <c r="AM167" s="56"/>
      <c r="AN167" s="611"/>
      <c r="AO167" s="617"/>
      <c r="AP167" s="618">
        <v>0</v>
      </c>
      <c r="AQ167" s="616"/>
      <c r="AR167" s="56"/>
      <c r="AS167" s="611"/>
      <c r="AT167" s="617"/>
      <c r="AU167" s="618">
        <v>0</v>
      </c>
      <c r="AV167" s="616"/>
      <c r="AW167" s="56"/>
      <c r="AX167" s="611"/>
      <c r="AY167" s="617"/>
      <c r="AZ167" s="618">
        <v>0</v>
      </c>
      <c r="BA167" s="616"/>
      <c r="BB167" s="56"/>
      <c r="BC167" s="611"/>
      <c r="BD167" s="617"/>
      <c r="BE167" s="618">
        <v>0</v>
      </c>
      <c r="BF167" s="616"/>
      <c r="BG167" s="56"/>
      <c r="BH167" s="611"/>
      <c r="BI167" s="617"/>
      <c r="BJ167" s="618">
        <v>0</v>
      </c>
      <c r="BK167" s="616"/>
      <c r="BL167" s="56"/>
      <c r="BM167" s="611"/>
      <c r="BN167" s="617"/>
      <c r="BO167" s="618">
        <v>0</v>
      </c>
      <c r="BP167" s="616"/>
      <c r="BQ167" s="56"/>
      <c r="BR167" s="611"/>
      <c r="BS167" s="617"/>
      <c r="BT167" s="618">
        <f>SUM(L167:BO167)</f>
        <v>0</v>
      </c>
      <c r="BU167" s="616"/>
      <c r="BV167" s="56"/>
      <c r="BW167" s="611"/>
      <c r="BX167" s="617"/>
      <c r="BY167" s="618">
        <v>185576</v>
      </c>
      <c r="BZ167" s="616"/>
      <c r="CA167" s="56"/>
      <c r="CB167" s="611"/>
      <c r="CC167" s="617"/>
      <c r="CD167" s="618">
        <v>0</v>
      </c>
      <c r="CE167" s="616"/>
      <c r="CF167" s="56"/>
      <c r="CG167" s="611"/>
      <c r="CH167" s="617"/>
      <c r="CI167" s="618">
        <v>0</v>
      </c>
      <c r="CJ167" s="616"/>
      <c r="CK167" s="56"/>
      <c r="CL167" s="611"/>
      <c r="CM167" s="617"/>
      <c r="CN167" s="618">
        <v>0</v>
      </c>
      <c r="CO167" s="616"/>
      <c r="CP167" s="56"/>
      <c r="CQ167" s="611"/>
      <c r="CR167" s="617"/>
      <c r="CS167" s="618">
        <v>0</v>
      </c>
      <c r="CT167" s="616"/>
      <c r="CU167" s="56"/>
      <c r="CV167" s="611"/>
      <c r="CW167" s="617"/>
      <c r="CX167" s="618">
        <v>0</v>
      </c>
      <c r="CY167" s="616"/>
      <c r="CZ167" s="56"/>
      <c r="DA167" s="611"/>
      <c r="DB167" s="617"/>
      <c r="DC167" s="618">
        <v>0</v>
      </c>
      <c r="DD167" s="616"/>
      <c r="DE167" s="56"/>
      <c r="DF167" s="611"/>
      <c r="DG167" s="617"/>
      <c r="DH167" s="618">
        <v>55605</v>
      </c>
      <c r="DI167" s="616"/>
      <c r="DJ167" s="56"/>
      <c r="DK167" s="611"/>
      <c r="DL167" s="617"/>
      <c r="DM167" s="618">
        <v>129971</v>
      </c>
      <c r="DN167" s="616"/>
      <c r="DO167" s="56"/>
      <c r="DP167" s="611"/>
      <c r="DQ167" s="617"/>
      <c r="DR167" s="618">
        <v>0</v>
      </c>
      <c r="DS167" s="616"/>
      <c r="DT167" s="56"/>
      <c r="DU167" s="611"/>
      <c r="DV167" s="617"/>
      <c r="DW167" s="618">
        <v>0</v>
      </c>
      <c r="DX167" s="616"/>
      <c r="DY167" s="56"/>
      <c r="DZ167" s="611"/>
      <c r="EA167" s="617"/>
      <c r="EB167" s="618">
        <v>0</v>
      </c>
      <c r="EC167" s="616"/>
      <c r="ED167" s="56"/>
      <c r="EE167" s="611"/>
      <c r="EF167" s="617"/>
      <c r="EG167" s="618">
        <v>0</v>
      </c>
      <c r="EH167" s="616"/>
      <c r="EI167" s="56"/>
      <c r="EJ167" s="611"/>
      <c r="EK167" s="617"/>
      <c r="EL167" s="618">
        <f t="shared" ref="EL167" si="17">SUM(CD167:DW167)</f>
        <v>185576</v>
      </c>
      <c r="EM167" s="616"/>
      <c r="EN167" s="56"/>
      <c r="EO167" s="144"/>
      <c r="EP167" s="42"/>
      <c r="EQ167" s="42"/>
    </row>
    <row r="168" spans="4:147" ht="12.75" customHeight="1" x14ac:dyDescent="0.3">
      <c r="D168" s="144"/>
      <c r="E168" s="494"/>
      <c r="G168" s="56"/>
      <c r="H168" s="56"/>
      <c r="I168" s="56"/>
      <c r="J168" s="611"/>
      <c r="K168" s="56"/>
      <c r="L168" s="56"/>
      <c r="M168" s="56"/>
      <c r="N168" s="56"/>
      <c r="O168" s="611"/>
      <c r="P168" s="56"/>
      <c r="Q168" s="56"/>
      <c r="R168" s="56"/>
      <c r="S168" s="56"/>
      <c r="T168" s="611"/>
      <c r="U168" s="56"/>
      <c r="V168" s="56"/>
      <c r="W168" s="56"/>
      <c r="X168" s="56"/>
      <c r="Y168" s="611"/>
      <c r="Z168" s="56"/>
      <c r="AA168" s="56"/>
      <c r="AB168" s="56"/>
      <c r="AC168" s="56"/>
      <c r="AD168" s="611"/>
      <c r="AE168" s="56"/>
      <c r="AF168" s="56"/>
      <c r="AG168" s="56"/>
      <c r="AH168" s="56"/>
      <c r="AI168" s="611"/>
      <c r="AJ168" s="56"/>
      <c r="AK168" s="56"/>
      <c r="AL168" s="56"/>
      <c r="AM168" s="56"/>
      <c r="AN168" s="611"/>
      <c r="AO168" s="56"/>
      <c r="AP168" s="56"/>
      <c r="AQ168" s="56"/>
      <c r="AR168" s="56"/>
      <c r="AS168" s="611"/>
      <c r="AT168" s="56"/>
      <c r="AU168" s="56"/>
      <c r="AV168" s="56"/>
      <c r="AW168" s="56"/>
      <c r="AX168" s="611"/>
      <c r="AY168" s="56"/>
      <c r="AZ168" s="56"/>
      <c r="BA168" s="56"/>
      <c r="BB168" s="56"/>
      <c r="BC168" s="611"/>
      <c r="BD168" s="56"/>
      <c r="BE168" s="56"/>
      <c r="BF168" s="56"/>
      <c r="BG168" s="56"/>
      <c r="BH168" s="611"/>
      <c r="BI168" s="56"/>
      <c r="BJ168" s="56"/>
      <c r="BK168" s="56"/>
      <c r="BL168" s="56"/>
      <c r="BM168" s="611"/>
      <c r="BN168" s="56"/>
      <c r="BO168" s="56"/>
      <c r="BP168" s="56"/>
      <c r="BQ168" s="56"/>
      <c r="BR168" s="611"/>
      <c r="BS168" s="56"/>
      <c r="BT168" s="56"/>
      <c r="BU168" s="56"/>
      <c r="BV168" s="56"/>
      <c r="BW168" s="611"/>
      <c r="BX168" s="56"/>
      <c r="BY168" s="56"/>
      <c r="BZ168" s="56"/>
      <c r="CA168" s="56"/>
      <c r="CB168" s="611"/>
      <c r="CC168" s="56"/>
      <c r="CD168" s="56"/>
      <c r="CE168" s="56"/>
      <c r="CF168" s="56"/>
      <c r="CG168" s="611"/>
      <c r="CH168" s="56"/>
      <c r="CI168" s="56"/>
      <c r="CJ168" s="56"/>
      <c r="CK168" s="56"/>
      <c r="CL168" s="611"/>
      <c r="CM168" s="56"/>
      <c r="CN168" s="56"/>
      <c r="CO168" s="56"/>
      <c r="CP168" s="56"/>
      <c r="CQ168" s="611"/>
      <c r="CR168" s="56"/>
      <c r="CS168" s="56"/>
      <c r="CT168" s="56"/>
      <c r="CU168" s="56"/>
      <c r="CV168" s="611"/>
      <c r="CW168" s="56"/>
      <c r="CX168" s="56"/>
      <c r="CY168" s="56"/>
      <c r="CZ168" s="56"/>
      <c r="DA168" s="611"/>
      <c r="DB168" s="56"/>
      <c r="DC168" s="56"/>
      <c r="DD168" s="56"/>
      <c r="DE168" s="56"/>
      <c r="DF168" s="611"/>
      <c r="DG168" s="56"/>
      <c r="DH168" s="56"/>
      <c r="DI168" s="56"/>
      <c r="DJ168" s="56"/>
      <c r="DK168" s="611"/>
      <c r="DL168" s="56"/>
      <c r="DM168" s="56"/>
      <c r="DN168" s="56"/>
      <c r="DO168" s="56"/>
      <c r="DP168" s="611"/>
      <c r="DQ168" s="56"/>
      <c r="DR168" s="56"/>
      <c r="DS168" s="56"/>
      <c r="DT168" s="56"/>
      <c r="DU168" s="611"/>
      <c r="DV168" s="56"/>
      <c r="DW168" s="56"/>
      <c r="DX168" s="56"/>
      <c r="DY168" s="56"/>
      <c r="DZ168" s="611"/>
      <c r="EA168" s="56"/>
      <c r="EB168" s="56"/>
      <c r="EC168" s="56"/>
      <c r="ED168" s="56"/>
      <c r="EE168" s="611"/>
      <c r="EF168" s="56"/>
      <c r="EG168" s="56"/>
      <c r="EH168" s="56"/>
      <c r="EI168" s="56"/>
      <c r="EJ168" s="611"/>
      <c r="EK168" s="56"/>
      <c r="EL168" s="56"/>
      <c r="EM168" s="56"/>
      <c r="EN168" s="56"/>
      <c r="EO168" s="144"/>
      <c r="EP168" s="42"/>
      <c r="EQ168" s="42"/>
    </row>
    <row r="169" spans="4:147" ht="12.75" customHeight="1" x14ac:dyDescent="0.3">
      <c r="D169" s="624" t="s">
        <v>358</v>
      </c>
      <c r="E169" s="494"/>
      <c r="G169" s="56">
        <f>SUM(G170:G170)</f>
        <v>92637</v>
      </c>
      <c r="H169" s="56"/>
      <c r="I169" s="56"/>
      <c r="J169" s="611"/>
      <c r="K169" s="56"/>
      <c r="L169" s="56">
        <f>SUM(L170:L170)</f>
        <v>0</v>
      </c>
      <c r="M169" s="56"/>
      <c r="N169" s="56"/>
      <c r="O169" s="611"/>
      <c r="P169" s="56"/>
      <c r="Q169" s="56">
        <f>SUM(Q170:Q170)</f>
        <v>0</v>
      </c>
      <c r="R169" s="56"/>
      <c r="S169" s="56"/>
      <c r="T169" s="611"/>
      <c r="U169" s="56"/>
      <c r="V169" s="56">
        <f>SUM(V170:V170)</f>
        <v>92637</v>
      </c>
      <c r="W169" s="56"/>
      <c r="X169" s="56"/>
      <c r="Y169" s="611"/>
      <c r="Z169" s="56"/>
      <c r="AA169" s="56">
        <f>SUM(AA170:AA170)</f>
        <v>0</v>
      </c>
      <c r="AB169" s="56"/>
      <c r="AC169" s="56"/>
      <c r="AD169" s="611"/>
      <c r="AE169" s="56"/>
      <c r="AF169" s="56">
        <f>SUM(AF170:AF170)</f>
        <v>0</v>
      </c>
      <c r="AG169" s="56"/>
      <c r="AH169" s="56"/>
      <c r="AI169" s="611"/>
      <c r="AJ169" s="56"/>
      <c r="AK169" s="56">
        <f>SUM(AK170:AK170)</f>
        <v>0</v>
      </c>
      <c r="AL169" s="56"/>
      <c r="AM169" s="56"/>
      <c r="AN169" s="611"/>
      <c r="AO169" s="56"/>
      <c r="AP169" s="56">
        <f>SUM(AP170:AP170)</f>
        <v>0</v>
      </c>
      <c r="AQ169" s="56"/>
      <c r="AR169" s="56"/>
      <c r="AS169" s="611"/>
      <c r="AT169" s="56"/>
      <c r="AU169" s="56">
        <f>SUM(AU170:AU170)</f>
        <v>0</v>
      </c>
      <c r="AV169" s="56"/>
      <c r="AW169" s="56"/>
      <c r="AX169" s="611"/>
      <c r="AY169" s="56"/>
      <c r="AZ169" s="56">
        <f>SUM(AZ170:AZ170)</f>
        <v>0</v>
      </c>
      <c r="BA169" s="56"/>
      <c r="BB169" s="56"/>
      <c r="BC169" s="611"/>
      <c r="BD169" s="56"/>
      <c r="BE169" s="56">
        <f>SUM(BE170:BE170)</f>
        <v>0</v>
      </c>
      <c r="BF169" s="56"/>
      <c r="BG169" s="56"/>
      <c r="BH169" s="611"/>
      <c r="BI169" s="56"/>
      <c r="BJ169" s="56">
        <f>SUM(BJ170:BJ170)</f>
        <v>0</v>
      </c>
      <c r="BK169" s="56"/>
      <c r="BL169" s="56"/>
      <c r="BM169" s="611"/>
      <c r="BN169" s="56"/>
      <c r="BO169" s="56">
        <f>SUM(BO170:BO170)</f>
        <v>0</v>
      </c>
      <c r="BP169" s="56"/>
      <c r="BQ169" s="56"/>
      <c r="BR169" s="611"/>
      <c r="BS169" s="56"/>
      <c r="BT169" s="56">
        <f>SUM(BT170:BT170)</f>
        <v>92637</v>
      </c>
      <c r="BU169" s="56"/>
      <c r="BV169" s="56"/>
      <c r="BW169" s="611"/>
      <c r="BX169" s="56"/>
      <c r="BY169" s="56">
        <f>SUM(BY170:BY170)</f>
        <v>56461</v>
      </c>
      <c r="BZ169" s="56"/>
      <c r="CA169" s="56"/>
      <c r="CB169" s="611"/>
      <c r="CC169" s="56"/>
      <c r="CD169" s="56">
        <f>SUM(CD170:CD170)</f>
        <v>0</v>
      </c>
      <c r="CE169" s="56"/>
      <c r="CF169" s="56"/>
      <c r="CG169" s="611"/>
      <c r="CH169" s="56"/>
      <c r="CI169" s="56">
        <f>SUM(CI170:CI170)</f>
        <v>0</v>
      </c>
      <c r="CJ169" s="56"/>
      <c r="CK169" s="56"/>
      <c r="CL169" s="611"/>
      <c r="CM169" s="56"/>
      <c r="CN169" s="56">
        <f>SUM(CN170:CN170)</f>
        <v>0</v>
      </c>
      <c r="CO169" s="56"/>
      <c r="CP169" s="56"/>
      <c r="CQ169" s="611"/>
      <c r="CR169" s="56"/>
      <c r="CS169" s="56">
        <f>SUM(CS170:CS170)</f>
        <v>0</v>
      </c>
      <c r="CT169" s="56"/>
      <c r="CU169" s="56"/>
      <c r="CV169" s="611"/>
      <c r="CW169" s="56"/>
      <c r="CX169" s="56">
        <f>SUM(CX170:CX170)</f>
        <v>0</v>
      </c>
      <c r="CY169" s="56"/>
      <c r="CZ169" s="56"/>
      <c r="DA169" s="611"/>
      <c r="DB169" s="56"/>
      <c r="DC169" s="56">
        <f>SUM(DC170:DC170)</f>
        <v>0</v>
      </c>
      <c r="DD169" s="56"/>
      <c r="DE169" s="56"/>
      <c r="DF169" s="611"/>
      <c r="DG169" s="56"/>
      <c r="DH169" s="56">
        <f>SUM(DH170:DH170)</f>
        <v>0</v>
      </c>
      <c r="DI169" s="56"/>
      <c r="DJ169" s="56"/>
      <c r="DK169" s="611"/>
      <c r="DL169" s="56"/>
      <c r="DM169" s="56">
        <f>SUM(DM170:DM170)</f>
        <v>0</v>
      </c>
      <c r="DN169" s="56"/>
      <c r="DO169" s="56"/>
      <c r="DP169" s="611"/>
      <c r="DQ169" s="56"/>
      <c r="DR169" s="56">
        <f>SUM(DR170:DR170)</f>
        <v>0</v>
      </c>
      <c r="DS169" s="56"/>
      <c r="DT169" s="56"/>
      <c r="DU169" s="611"/>
      <c r="DV169" s="56"/>
      <c r="DW169" s="56">
        <f>SUM(DW170:DW170)</f>
        <v>0</v>
      </c>
      <c r="DX169" s="56"/>
      <c r="DY169" s="56"/>
      <c r="DZ169" s="611"/>
      <c r="EA169" s="56"/>
      <c r="EB169" s="56">
        <f>SUM(EB170:EB170)</f>
        <v>0</v>
      </c>
      <c r="EC169" s="56"/>
      <c r="ED169" s="56"/>
      <c r="EE169" s="611"/>
      <c r="EF169" s="56"/>
      <c r="EG169" s="56">
        <f>SUM(EG170:EG170)</f>
        <v>56461</v>
      </c>
      <c r="EH169" s="56"/>
      <c r="EI169" s="56"/>
      <c r="EJ169" s="611"/>
      <c r="EK169" s="56"/>
      <c r="EL169" s="56">
        <f>SUM(EL170:EL170)</f>
        <v>0</v>
      </c>
      <c r="EM169" s="56"/>
      <c r="EN169" s="56"/>
      <c r="EO169" s="144"/>
      <c r="EP169" s="42"/>
      <c r="EQ169" s="42"/>
    </row>
    <row r="170" spans="4:147" ht="12.75" customHeight="1" x14ac:dyDescent="0.3">
      <c r="D170" s="144" t="s">
        <v>335</v>
      </c>
      <c r="E170" s="494"/>
      <c r="F170" s="614"/>
      <c r="G170" s="618">
        <v>92637</v>
      </c>
      <c r="H170" s="616"/>
      <c r="I170" s="56"/>
      <c r="J170" s="611"/>
      <c r="K170" s="617"/>
      <c r="L170" s="618">
        <v>0</v>
      </c>
      <c r="M170" s="616"/>
      <c r="N170" s="56"/>
      <c r="O170" s="611"/>
      <c r="P170" s="617"/>
      <c r="Q170" s="618">
        <v>0</v>
      </c>
      <c r="R170" s="616"/>
      <c r="S170" s="56"/>
      <c r="T170" s="611"/>
      <c r="U170" s="617"/>
      <c r="V170" s="618">
        <f>46376+46261</f>
        <v>92637</v>
      </c>
      <c r="W170" s="616"/>
      <c r="X170" s="56"/>
      <c r="Y170" s="611"/>
      <c r="Z170" s="617"/>
      <c r="AA170" s="618">
        <v>0</v>
      </c>
      <c r="AB170" s="616"/>
      <c r="AC170" s="56"/>
      <c r="AD170" s="611"/>
      <c r="AE170" s="617"/>
      <c r="AF170" s="618">
        <v>0</v>
      </c>
      <c r="AG170" s="616"/>
      <c r="AH170" s="56"/>
      <c r="AI170" s="611"/>
      <c r="AJ170" s="617"/>
      <c r="AK170" s="618">
        <v>0</v>
      </c>
      <c r="AL170" s="616"/>
      <c r="AM170" s="56"/>
      <c r="AN170" s="611"/>
      <c r="AO170" s="617"/>
      <c r="AP170" s="618">
        <v>0</v>
      </c>
      <c r="AQ170" s="616"/>
      <c r="AR170" s="56"/>
      <c r="AS170" s="611"/>
      <c r="AT170" s="617"/>
      <c r="AU170" s="618">
        <v>0</v>
      </c>
      <c r="AV170" s="616"/>
      <c r="AW170" s="56"/>
      <c r="AX170" s="611"/>
      <c r="AY170" s="617"/>
      <c r="AZ170" s="618">
        <v>0</v>
      </c>
      <c r="BA170" s="616"/>
      <c r="BB170" s="56"/>
      <c r="BC170" s="611"/>
      <c r="BD170" s="617"/>
      <c r="BE170" s="618">
        <v>0</v>
      </c>
      <c r="BF170" s="616"/>
      <c r="BG170" s="56"/>
      <c r="BH170" s="611"/>
      <c r="BI170" s="617"/>
      <c r="BJ170" s="618">
        <v>0</v>
      </c>
      <c r="BK170" s="616"/>
      <c r="BL170" s="56"/>
      <c r="BM170" s="611"/>
      <c r="BN170" s="617"/>
      <c r="BO170" s="618">
        <v>0</v>
      </c>
      <c r="BP170" s="616"/>
      <c r="BQ170" s="56"/>
      <c r="BR170" s="611"/>
      <c r="BS170" s="617"/>
      <c r="BT170" s="618">
        <f>SUM(L170:BO170)</f>
        <v>92637</v>
      </c>
      <c r="BU170" s="616"/>
      <c r="BV170" s="56"/>
      <c r="BW170" s="611"/>
      <c r="BX170" s="617"/>
      <c r="BY170" s="618">
        <v>56461</v>
      </c>
      <c r="BZ170" s="616"/>
      <c r="CA170" s="56"/>
      <c r="CB170" s="611"/>
      <c r="CC170" s="617"/>
      <c r="CD170" s="618">
        <v>0</v>
      </c>
      <c r="CE170" s="616"/>
      <c r="CF170" s="56"/>
      <c r="CG170" s="611"/>
      <c r="CH170" s="617"/>
      <c r="CI170" s="618">
        <v>0</v>
      </c>
      <c r="CJ170" s="616"/>
      <c r="CK170" s="56"/>
      <c r="CL170" s="611"/>
      <c r="CM170" s="617"/>
      <c r="CN170" s="618">
        <v>0</v>
      </c>
      <c r="CO170" s="616"/>
      <c r="CP170" s="56"/>
      <c r="CQ170" s="611"/>
      <c r="CR170" s="617"/>
      <c r="CS170" s="618">
        <v>0</v>
      </c>
      <c r="CT170" s="616"/>
      <c r="CU170" s="56"/>
      <c r="CV170" s="611"/>
      <c r="CW170" s="617"/>
      <c r="CX170" s="618">
        <v>0</v>
      </c>
      <c r="CY170" s="616"/>
      <c r="CZ170" s="56"/>
      <c r="DA170" s="611"/>
      <c r="DB170" s="617"/>
      <c r="DC170" s="618">
        <v>0</v>
      </c>
      <c r="DD170" s="616"/>
      <c r="DE170" s="56"/>
      <c r="DF170" s="611"/>
      <c r="DG170" s="617"/>
      <c r="DH170" s="618">
        <v>0</v>
      </c>
      <c r="DI170" s="616"/>
      <c r="DJ170" s="56"/>
      <c r="DK170" s="611"/>
      <c r="DL170" s="617"/>
      <c r="DM170" s="618">
        <v>0</v>
      </c>
      <c r="DN170" s="616"/>
      <c r="DO170" s="56"/>
      <c r="DP170" s="611"/>
      <c r="DQ170" s="617"/>
      <c r="DR170" s="618">
        <v>0</v>
      </c>
      <c r="DS170" s="616"/>
      <c r="DT170" s="56"/>
      <c r="DU170" s="611"/>
      <c r="DV170" s="617"/>
      <c r="DW170" s="618">
        <v>0</v>
      </c>
      <c r="DX170" s="616"/>
      <c r="DY170" s="56"/>
      <c r="DZ170" s="611"/>
      <c r="EA170" s="617"/>
      <c r="EB170" s="618">
        <v>0</v>
      </c>
      <c r="EC170" s="616"/>
      <c r="ED170" s="56"/>
      <c r="EE170" s="611"/>
      <c r="EF170" s="617"/>
      <c r="EG170" s="618">
        <v>56461</v>
      </c>
      <c r="EH170" s="616"/>
      <c r="EI170" s="56"/>
      <c r="EJ170" s="611"/>
      <c r="EK170" s="617"/>
      <c r="EL170" s="618">
        <f t="shared" ref="EL170" si="18">SUM(CD170:DW170)</f>
        <v>0</v>
      </c>
      <c r="EM170" s="616"/>
      <c r="EN170" s="56"/>
      <c r="EO170" s="144"/>
      <c r="EP170" s="42"/>
      <c r="EQ170" s="42"/>
    </row>
    <row r="171" spans="4:147" ht="12.75" customHeight="1" x14ac:dyDescent="0.3">
      <c r="D171" s="144"/>
      <c r="E171" s="494"/>
      <c r="G171" s="56"/>
      <c r="H171" s="56"/>
      <c r="I171" s="56"/>
      <c r="J171" s="611"/>
      <c r="K171" s="56"/>
      <c r="L171" s="56"/>
      <c r="M171" s="56"/>
      <c r="N171" s="56"/>
      <c r="O171" s="611"/>
      <c r="P171" s="56"/>
      <c r="Q171" s="56"/>
      <c r="R171" s="56"/>
      <c r="S171" s="56"/>
      <c r="T171" s="611"/>
      <c r="U171" s="56"/>
      <c r="V171" s="56"/>
      <c r="W171" s="56"/>
      <c r="X171" s="56"/>
      <c r="Y171" s="611"/>
      <c r="Z171" s="56"/>
      <c r="AA171" s="56"/>
      <c r="AB171" s="56"/>
      <c r="AC171" s="56"/>
      <c r="AD171" s="611"/>
      <c r="AE171" s="56"/>
      <c r="AF171" s="56"/>
      <c r="AG171" s="56"/>
      <c r="AH171" s="56"/>
      <c r="AI171" s="611"/>
      <c r="AJ171" s="56"/>
      <c r="AK171" s="56"/>
      <c r="AL171" s="56"/>
      <c r="AM171" s="56"/>
      <c r="AN171" s="611"/>
      <c r="AO171" s="56"/>
      <c r="AP171" s="56"/>
      <c r="AQ171" s="56"/>
      <c r="AR171" s="56"/>
      <c r="AS171" s="611"/>
      <c r="AT171" s="56"/>
      <c r="AU171" s="56"/>
      <c r="AV171" s="56"/>
      <c r="AW171" s="56"/>
      <c r="AX171" s="611"/>
      <c r="AY171" s="56"/>
      <c r="AZ171" s="56"/>
      <c r="BA171" s="56"/>
      <c r="BB171" s="56"/>
      <c r="BC171" s="611"/>
      <c r="BD171" s="56"/>
      <c r="BE171" s="56"/>
      <c r="BF171" s="56"/>
      <c r="BG171" s="56"/>
      <c r="BH171" s="611"/>
      <c r="BI171" s="56"/>
      <c r="BJ171" s="56"/>
      <c r="BK171" s="56"/>
      <c r="BL171" s="56"/>
      <c r="BM171" s="611"/>
      <c r="BN171" s="56"/>
      <c r="BO171" s="56"/>
      <c r="BP171" s="56"/>
      <c r="BQ171" s="56"/>
      <c r="BR171" s="611"/>
      <c r="BS171" s="56"/>
      <c r="BT171" s="56"/>
      <c r="BU171" s="56"/>
      <c r="BV171" s="56"/>
      <c r="BW171" s="611"/>
      <c r="BX171" s="56"/>
      <c r="BY171" s="56"/>
      <c r="BZ171" s="56"/>
      <c r="CA171" s="56"/>
      <c r="CB171" s="611"/>
      <c r="CC171" s="56"/>
      <c r="CD171" s="56"/>
      <c r="CE171" s="56"/>
      <c r="CF171" s="56"/>
      <c r="CG171" s="611"/>
      <c r="CH171" s="56"/>
      <c r="CI171" s="56"/>
      <c r="CJ171" s="56"/>
      <c r="CK171" s="56"/>
      <c r="CL171" s="611"/>
      <c r="CM171" s="56"/>
      <c r="CN171" s="56"/>
      <c r="CO171" s="56"/>
      <c r="CP171" s="56"/>
      <c r="CQ171" s="611"/>
      <c r="CR171" s="56"/>
      <c r="CS171" s="56"/>
      <c r="CT171" s="56"/>
      <c r="CU171" s="56"/>
      <c r="CV171" s="611"/>
      <c r="CW171" s="56"/>
      <c r="CX171" s="56"/>
      <c r="CY171" s="56"/>
      <c r="CZ171" s="56"/>
      <c r="DA171" s="611"/>
      <c r="DB171" s="56"/>
      <c r="DC171" s="56"/>
      <c r="DD171" s="56"/>
      <c r="DE171" s="56"/>
      <c r="DF171" s="611"/>
      <c r="DG171" s="56"/>
      <c r="DH171" s="56"/>
      <c r="DI171" s="56"/>
      <c r="DJ171" s="56"/>
      <c r="DK171" s="611"/>
      <c r="DL171" s="56"/>
      <c r="DM171" s="56"/>
      <c r="DN171" s="56"/>
      <c r="DO171" s="56"/>
      <c r="DP171" s="611"/>
      <c r="DQ171" s="56"/>
      <c r="DR171" s="56"/>
      <c r="DS171" s="56"/>
      <c r="DT171" s="56"/>
      <c r="DU171" s="611"/>
      <c r="DV171" s="56"/>
      <c r="DW171" s="56"/>
      <c r="DX171" s="56"/>
      <c r="DY171" s="56"/>
      <c r="DZ171" s="611"/>
      <c r="EA171" s="56"/>
      <c r="EB171" s="56"/>
      <c r="EC171" s="56"/>
      <c r="ED171" s="56"/>
      <c r="EE171" s="611"/>
      <c r="EF171" s="56"/>
      <c r="EG171" s="56"/>
      <c r="EH171" s="56"/>
      <c r="EI171" s="56"/>
      <c r="EJ171" s="611"/>
      <c r="EK171" s="56"/>
      <c r="EL171" s="56"/>
      <c r="EM171" s="56"/>
      <c r="EN171" s="56"/>
      <c r="EO171" s="144"/>
      <c r="EP171" s="42"/>
      <c r="EQ171" s="42"/>
    </row>
    <row r="172" spans="4:147" x14ac:dyDescent="0.3">
      <c r="D172" s="144" t="s">
        <v>359</v>
      </c>
      <c r="E172" s="494"/>
      <c r="G172" s="56">
        <f>SUM(G173:G173)</f>
        <v>385938</v>
      </c>
      <c r="H172" s="56"/>
      <c r="I172" s="56"/>
      <c r="J172" s="611"/>
      <c r="L172" s="56">
        <f>SUM(L173:L173)</f>
        <v>259191</v>
      </c>
      <c r="M172" s="56"/>
      <c r="N172" s="56"/>
      <c r="O172" s="611"/>
      <c r="P172" s="56"/>
      <c r="Q172" s="56">
        <f>SUM(Q173:Q173)</f>
        <v>0</v>
      </c>
      <c r="R172" s="56"/>
      <c r="S172" s="56"/>
      <c r="T172" s="611"/>
      <c r="U172" s="56"/>
      <c r="V172" s="56">
        <f>SUM(V173:V173)</f>
        <v>0</v>
      </c>
      <c r="W172" s="56"/>
      <c r="X172" s="56"/>
      <c r="Y172" s="611"/>
      <c r="Z172" s="56"/>
      <c r="AA172" s="56">
        <f>SUM(AA173:AA173)</f>
        <v>0</v>
      </c>
      <c r="AB172" s="56"/>
      <c r="AC172" s="56"/>
      <c r="AD172" s="611"/>
      <c r="AE172" s="56"/>
      <c r="AF172" s="56">
        <f>SUM(AF173:AF173)</f>
        <v>0</v>
      </c>
      <c r="AG172" s="56"/>
      <c r="AH172" s="56"/>
      <c r="AI172" s="611"/>
      <c r="AJ172" s="56"/>
      <c r="AK172" s="56">
        <f>SUM(AK173:AK173)</f>
        <v>126747</v>
      </c>
      <c r="AL172" s="56"/>
      <c r="AM172" s="56"/>
      <c r="AN172" s="611"/>
      <c r="AO172" s="56"/>
      <c r="AP172" s="56">
        <f>SUM(AP173:AP173)</f>
        <v>0</v>
      </c>
      <c r="AQ172" s="56"/>
      <c r="AR172" s="56"/>
      <c r="AS172" s="611"/>
      <c r="AT172" s="56"/>
      <c r="AU172" s="56">
        <f>SUM(AU173:AU173)</f>
        <v>55193</v>
      </c>
      <c r="AV172" s="56"/>
      <c r="AW172" s="56"/>
      <c r="AX172" s="611"/>
      <c r="AY172" s="56"/>
      <c r="AZ172" s="56">
        <f>SUM(AZ173:AZ173)</f>
        <v>0</v>
      </c>
      <c r="BA172" s="56"/>
      <c r="BB172" s="56"/>
      <c r="BC172" s="611"/>
      <c r="BD172" s="56"/>
      <c r="BE172" s="56">
        <f>SUM(BE173:BE173)</f>
        <v>0</v>
      </c>
      <c r="BF172" s="56"/>
      <c r="BG172" s="56"/>
      <c r="BH172" s="611"/>
      <c r="BI172" s="56"/>
      <c r="BJ172" s="56">
        <f>SUM(BJ173:BJ173)</f>
        <v>0</v>
      </c>
      <c r="BK172" s="56"/>
      <c r="BL172" s="56"/>
      <c r="BM172" s="611"/>
      <c r="BN172" s="56"/>
      <c r="BO172" s="56">
        <f>SUM(BO173:BO173)</f>
        <v>0</v>
      </c>
      <c r="BP172" s="56"/>
      <c r="BQ172" s="56"/>
      <c r="BR172" s="611"/>
      <c r="BT172" s="56">
        <f>SUM(BT173:BT173)</f>
        <v>441131</v>
      </c>
      <c r="BU172" s="56"/>
      <c r="BV172" s="56"/>
      <c r="BW172" s="611"/>
      <c r="BY172" s="56">
        <f>SUM(BY173:BY173)</f>
        <v>410666</v>
      </c>
      <c r="BZ172" s="56"/>
      <c r="CA172" s="56"/>
      <c r="CB172" s="611"/>
      <c r="CD172" s="56">
        <f>SUM(CD173:CD173)</f>
        <v>0</v>
      </c>
      <c r="CE172" s="56"/>
      <c r="CF172" s="56"/>
      <c r="CG172" s="611"/>
      <c r="CH172" s="56"/>
      <c r="CI172" s="56">
        <f>SUM(CI173:CI173)</f>
        <v>0</v>
      </c>
      <c r="CJ172" s="56"/>
      <c r="CK172" s="56"/>
      <c r="CL172" s="611"/>
      <c r="CM172" s="56"/>
      <c r="CN172" s="56">
        <f>SUM(CN173:CN173)</f>
        <v>0</v>
      </c>
      <c r="CO172" s="56"/>
      <c r="CP172" s="56"/>
      <c r="CQ172" s="611"/>
      <c r="CR172" s="56"/>
      <c r="CS172" s="56">
        <f>SUM(CS173:CS173)</f>
        <v>0</v>
      </c>
      <c r="CT172" s="56"/>
      <c r="CU172" s="56"/>
      <c r="CV172" s="611"/>
      <c r="CW172" s="56"/>
      <c r="CX172" s="56">
        <f>SUM(CX173:CX173)</f>
        <v>0</v>
      </c>
      <c r="CY172" s="56"/>
      <c r="CZ172" s="56"/>
      <c r="DA172" s="611"/>
      <c r="DB172" s="56"/>
      <c r="DC172" s="56">
        <f>SUM(DC173:DC173)</f>
        <v>0</v>
      </c>
      <c r="DD172" s="56"/>
      <c r="DE172" s="56"/>
      <c r="DF172" s="611"/>
      <c r="DG172" s="56"/>
      <c r="DH172" s="56">
        <f>SUM(DH173:DH173)</f>
        <v>0</v>
      </c>
      <c r="DI172" s="56"/>
      <c r="DJ172" s="56"/>
      <c r="DK172" s="611"/>
      <c r="DL172" s="56"/>
      <c r="DM172" s="56">
        <f>SUM(DM173:DM173)</f>
        <v>0</v>
      </c>
      <c r="DN172" s="56"/>
      <c r="DO172" s="56"/>
      <c r="DP172" s="611"/>
      <c r="DQ172" s="56"/>
      <c r="DR172" s="56">
        <f>SUM(DR173:DR173)</f>
        <v>0</v>
      </c>
      <c r="DS172" s="56"/>
      <c r="DT172" s="56"/>
      <c r="DU172" s="611"/>
      <c r="DV172" s="56"/>
      <c r="DW172" s="56">
        <f>SUM(DW173:DW173)</f>
        <v>0</v>
      </c>
      <c r="DX172" s="56"/>
      <c r="DY172" s="56"/>
      <c r="DZ172" s="611"/>
      <c r="EA172" s="56"/>
      <c r="EB172" s="56">
        <f>SUM(EB173:EB173)</f>
        <v>0</v>
      </c>
      <c r="EC172" s="56"/>
      <c r="ED172" s="56"/>
      <c r="EE172" s="611"/>
      <c r="EF172" s="56"/>
      <c r="EG172" s="56">
        <f>SUM(EG173:EG173)</f>
        <v>410666</v>
      </c>
      <c r="EH172" s="56"/>
      <c r="EI172" s="56"/>
      <c r="EJ172" s="611"/>
      <c r="EL172" s="56">
        <f>SUM(EL173:EL173)</f>
        <v>0</v>
      </c>
      <c r="EM172" s="56"/>
      <c r="EO172" s="144"/>
      <c r="EP172" s="42"/>
      <c r="EQ172" s="42"/>
    </row>
    <row r="173" spans="4:147" x14ac:dyDescent="0.3">
      <c r="D173" s="144" t="s">
        <v>335</v>
      </c>
      <c r="E173" s="494"/>
      <c r="F173" s="614"/>
      <c r="G173" s="618">
        <v>385938</v>
      </c>
      <c r="H173" s="616"/>
      <c r="I173" s="56"/>
      <c r="J173" s="611"/>
      <c r="K173" s="614"/>
      <c r="L173" s="618">
        <v>259191</v>
      </c>
      <c r="M173" s="616"/>
      <c r="N173" s="56"/>
      <c r="O173" s="611"/>
      <c r="P173" s="617"/>
      <c r="Q173" s="618">
        <v>0</v>
      </c>
      <c r="R173" s="616"/>
      <c r="S173" s="56"/>
      <c r="T173" s="611"/>
      <c r="U173" s="617"/>
      <c r="V173" s="618">
        <v>0</v>
      </c>
      <c r="W173" s="616"/>
      <c r="X173" s="56"/>
      <c r="Y173" s="611"/>
      <c r="Z173" s="617"/>
      <c r="AA173" s="618">
        <v>0</v>
      </c>
      <c r="AB173" s="616"/>
      <c r="AC173" s="56"/>
      <c r="AD173" s="611"/>
      <c r="AE173" s="617"/>
      <c r="AF173" s="618">
        <v>0</v>
      </c>
      <c r="AG173" s="616"/>
      <c r="AH173" s="56"/>
      <c r="AI173" s="611"/>
      <c r="AJ173" s="617"/>
      <c r="AK173" s="618">
        <v>126747</v>
      </c>
      <c r="AL173" s="616"/>
      <c r="AM173" s="56"/>
      <c r="AN173" s="611"/>
      <c r="AO173" s="617"/>
      <c r="AP173" s="618">
        <v>0</v>
      </c>
      <c r="AQ173" s="616"/>
      <c r="AR173" s="56"/>
      <c r="AS173" s="611"/>
      <c r="AT173" s="617"/>
      <c r="AU173" s="618">
        <v>55193</v>
      </c>
      <c r="AV173" s="616"/>
      <c r="AW173" s="56"/>
      <c r="AX173" s="611"/>
      <c r="AY173" s="617"/>
      <c r="AZ173" s="618">
        <v>0</v>
      </c>
      <c r="BA173" s="616"/>
      <c r="BB173" s="56"/>
      <c r="BC173" s="611"/>
      <c r="BD173" s="617"/>
      <c r="BE173" s="618">
        <v>0</v>
      </c>
      <c r="BF173" s="616"/>
      <c r="BG173" s="56"/>
      <c r="BH173" s="611"/>
      <c r="BI173" s="617"/>
      <c r="BJ173" s="618">
        <v>0</v>
      </c>
      <c r="BK173" s="616"/>
      <c r="BL173" s="56"/>
      <c r="BM173" s="611"/>
      <c r="BN173" s="617"/>
      <c r="BO173" s="618">
        <v>0</v>
      </c>
      <c r="BP173" s="616"/>
      <c r="BQ173" s="56"/>
      <c r="BR173" s="611"/>
      <c r="BS173" s="617"/>
      <c r="BT173" s="618">
        <f>SUM(L173:BO173)</f>
        <v>441131</v>
      </c>
      <c r="BU173" s="616"/>
      <c r="BV173" s="56"/>
      <c r="BW173" s="611"/>
      <c r="BX173" s="614"/>
      <c r="BY173" s="618">
        <v>410666</v>
      </c>
      <c r="BZ173" s="616"/>
      <c r="CA173" s="56"/>
      <c r="CB173" s="611"/>
      <c r="CC173" s="614"/>
      <c r="CD173" s="618">
        <v>0</v>
      </c>
      <c r="CE173" s="616"/>
      <c r="CF173" s="56"/>
      <c r="CG173" s="611"/>
      <c r="CH173" s="617"/>
      <c r="CI173" s="618">
        <v>0</v>
      </c>
      <c r="CJ173" s="616"/>
      <c r="CK173" s="56"/>
      <c r="CL173" s="611"/>
      <c r="CM173" s="617"/>
      <c r="CN173" s="618">
        <v>0</v>
      </c>
      <c r="CO173" s="616"/>
      <c r="CP173" s="56"/>
      <c r="CQ173" s="611"/>
      <c r="CR173" s="617"/>
      <c r="CS173" s="618">
        <v>0</v>
      </c>
      <c r="CT173" s="616"/>
      <c r="CU173" s="56"/>
      <c r="CV173" s="611"/>
      <c r="CW173" s="617"/>
      <c r="CX173" s="618">
        <v>0</v>
      </c>
      <c r="CY173" s="616"/>
      <c r="CZ173" s="56"/>
      <c r="DA173" s="611"/>
      <c r="DB173" s="617"/>
      <c r="DC173" s="618">
        <v>0</v>
      </c>
      <c r="DD173" s="616"/>
      <c r="DE173" s="56"/>
      <c r="DF173" s="611"/>
      <c r="DG173" s="617"/>
      <c r="DH173" s="618">
        <v>0</v>
      </c>
      <c r="DI173" s="616"/>
      <c r="DJ173" s="56"/>
      <c r="DK173" s="611"/>
      <c r="DL173" s="617"/>
      <c r="DM173" s="618">
        <v>0</v>
      </c>
      <c r="DN173" s="616"/>
      <c r="DO173" s="56"/>
      <c r="DP173" s="611"/>
      <c r="DQ173" s="617"/>
      <c r="DR173" s="618">
        <v>0</v>
      </c>
      <c r="DS173" s="616"/>
      <c r="DT173" s="56"/>
      <c r="DU173" s="611"/>
      <c r="DV173" s="617"/>
      <c r="DW173" s="618">
        <v>0</v>
      </c>
      <c r="DX173" s="616"/>
      <c r="DY173" s="56"/>
      <c r="DZ173" s="611"/>
      <c r="EA173" s="617"/>
      <c r="EB173" s="618">
        <v>0</v>
      </c>
      <c r="EC173" s="616"/>
      <c r="ED173" s="56"/>
      <c r="EE173" s="611"/>
      <c r="EF173" s="617"/>
      <c r="EG173" s="618">
        <v>410666</v>
      </c>
      <c r="EH173" s="616"/>
      <c r="EI173" s="56"/>
      <c r="EJ173" s="611"/>
      <c r="EK173" s="614"/>
      <c r="EL173" s="618">
        <f t="shared" ref="EL173" si="19">SUM(CD173:DW173)</f>
        <v>0</v>
      </c>
      <c r="EM173" s="616"/>
      <c r="EO173" s="144"/>
      <c r="EP173" s="42"/>
      <c r="EQ173" s="42"/>
    </row>
    <row r="174" spans="4:147" ht="12.75" customHeight="1" x14ac:dyDescent="0.3">
      <c r="D174" s="144"/>
      <c r="E174" s="494"/>
      <c r="G174" s="56"/>
      <c r="H174" s="56"/>
      <c r="I174" s="56"/>
      <c r="J174" s="611"/>
      <c r="K174" s="56"/>
      <c r="L174" s="56"/>
      <c r="M174" s="56"/>
      <c r="N174" s="56"/>
      <c r="O174" s="611"/>
      <c r="P174" s="56"/>
      <c r="Q174" s="56"/>
      <c r="R174" s="56"/>
      <c r="S174" s="56"/>
      <c r="T174" s="611"/>
      <c r="U174" s="56"/>
      <c r="V174" s="56"/>
      <c r="W174" s="56"/>
      <c r="X174" s="56"/>
      <c r="Y174" s="611"/>
      <c r="Z174" s="56"/>
      <c r="AA174" s="56"/>
      <c r="AB174" s="56"/>
      <c r="AC174" s="56"/>
      <c r="AD174" s="611"/>
      <c r="AE174" s="56"/>
      <c r="AF174" s="56"/>
      <c r="AG174" s="56"/>
      <c r="AH174" s="56"/>
      <c r="AI174" s="611"/>
      <c r="AJ174" s="56"/>
      <c r="AK174" s="56"/>
      <c r="AL174" s="56"/>
      <c r="AM174" s="56"/>
      <c r="AN174" s="611"/>
      <c r="AO174" s="56"/>
      <c r="AP174" s="56"/>
      <c r="AQ174" s="56"/>
      <c r="AR174" s="56"/>
      <c r="AS174" s="611"/>
      <c r="AT174" s="56"/>
      <c r="AU174" s="56"/>
      <c r="AV174" s="56"/>
      <c r="AW174" s="56"/>
      <c r="AX174" s="611"/>
      <c r="AY174" s="56"/>
      <c r="AZ174" s="56"/>
      <c r="BA174" s="56"/>
      <c r="BB174" s="56"/>
      <c r="BC174" s="611"/>
      <c r="BD174" s="56"/>
      <c r="BE174" s="56"/>
      <c r="BF174" s="56"/>
      <c r="BG174" s="56"/>
      <c r="BH174" s="611"/>
      <c r="BI174" s="56"/>
      <c r="BJ174" s="56"/>
      <c r="BK174" s="56"/>
      <c r="BL174" s="56"/>
      <c r="BM174" s="611"/>
      <c r="BN174" s="56"/>
      <c r="BO174" s="56"/>
      <c r="BP174" s="56"/>
      <c r="BQ174" s="56"/>
      <c r="BR174" s="611"/>
      <c r="BS174" s="56"/>
      <c r="BT174" s="56"/>
      <c r="BU174" s="56"/>
      <c r="BV174" s="56"/>
      <c r="BW174" s="611"/>
      <c r="BX174" s="56"/>
      <c r="BY174" s="56"/>
      <c r="BZ174" s="56"/>
      <c r="CA174" s="56"/>
      <c r="CB174" s="611"/>
      <c r="CC174" s="56"/>
      <c r="CD174" s="56"/>
      <c r="CE174" s="56"/>
      <c r="CF174" s="56"/>
      <c r="CG174" s="611"/>
      <c r="CH174" s="56"/>
      <c r="CI174" s="56"/>
      <c r="CJ174" s="56"/>
      <c r="CK174" s="56"/>
      <c r="CL174" s="611"/>
      <c r="CM174" s="56"/>
      <c r="CN174" s="56"/>
      <c r="CO174" s="56"/>
      <c r="CP174" s="56"/>
      <c r="CQ174" s="611"/>
      <c r="CR174" s="56"/>
      <c r="CS174" s="56"/>
      <c r="CT174" s="56"/>
      <c r="CU174" s="56"/>
      <c r="CV174" s="611"/>
      <c r="CW174" s="56"/>
      <c r="CX174" s="56"/>
      <c r="CY174" s="56"/>
      <c r="CZ174" s="56"/>
      <c r="DA174" s="611"/>
      <c r="DB174" s="56"/>
      <c r="DC174" s="56"/>
      <c r="DD174" s="56"/>
      <c r="DE174" s="56"/>
      <c r="DF174" s="611"/>
      <c r="DG174" s="56"/>
      <c r="DH174" s="56"/>
      <c r="DI174" s="56"/>
      <c r="DJ174" s="56"/>
      <c r="DK174" s="611"/>
      <c r="DL174" s="56"/>
      <c r="DM174" s="56"/>
      <c r="DN174" s="56"/>
      <c r="DO174" s="56"/>
      <c r="DP174" s="611"/>
      <c r="DQ174" s="56"/>
      <c r="DR174" s="56"/>
      <c r="DS174" s="56"/>
      <c r="DT174" s="56"/>
      <c r="DU174" s="611"/>
      <c r="DV174" s="56"/>
      <c r="DW174" s="56"/>
      <c r="DX174" s="56"/>
      <c r="DY174" s="56"/>
      <c r="DZ174" s="611"/>
      <c r="EA174" s="56"/>
      <c r="EB174" s="56"/>
      <c r="EC174" s="56"/>
      <c r="ED174" s="56"/>
      <c r="EE174" s="611"/>
      <c r="EF174" s="56"/>
      <c r="EG174" s="56"/>
      <c r="EH174" s="56"/>
      <c r="EI174" s="56"/>
      <c r="EJ174" s="611"/>
      <c r="EK174" s="56"/>
      <c r="EL174" s="56"/>
      <c r="EO174" s="144"/>
      <c r="EP174" s="42"/>
      <c r="EQ174" s="42"/>
    </row>
    <row r="175" spans="4:147" ht="12.75" customHeight="1" x14ac:dyDescent="0.3">
      <c r="D175" s="144" t="s">
        <v>360</v>
      </c>
      <c r="E175" s="494"/>
      <c r="G175" s="56">
        <f>SUM(G176:G176)</f>
        <v>1619226</v>
      </c>
      <c r="H175" s="56"/>
      <c r="I175" s="56"/>
      <c r="J175" s="611"/>
      <c r="K175" s="56"/>
      <c r="L175" s="56">
        <f>SUM(L176:L176)</f>
        <v>0</v>
      </c>
      <c r="M175" s="56"/>
      <c r="N175" s="56"/>
      <c r="O175" s="611"/>
      <c r="P175" s="56"/>
      <c r="Q175" s="56">
        <f>SUM(Q176:Q176)</f>
        <v>0</v>
      </c>
      <c r="R175" s="56"/>
      <c r="S175" s="56"/>
      <c r="T175" s="611"/>
      <c r="U175" s="56"/>
      <c r="V175" s="56">
        <f>SUM(V176:V176)</f>
        <v>129145</v>
      </c>
      <c r="W175" s="56"/>
      <c r="X175" s="56"/>
      <c r="Y175" s="611"/>
      <c r="Z175" s="56"/>
      <c r="AA175" s="56">
        <f>SUM(AA176:AA176)</f>
        <v>0</v>
      </c>
      <c r="AB175" s="56"/>
      <c r="AC175" s="56"/>
      <c r="AD175" s="611"/>
      <c r="AE175" s="56"/>
      <c r="AF175" s="56">
        <f>SUM(AF176:AF176)</f>
        <v>1420214</v>
      </c>
      <c r="AG175" s="56"/>
      <c r="AH175" s="56"/>
      <c r="AI175" s="611"/>
      <c r="AJ175" s="56"/>
      <c r="AK175" s="56">
        <f>SUM(AK176:AK176)</f>
        <v>69867</v>
      </c>
      <c r="AL175" s="56"/>
      <c r="AM175" s="56"/>
      <c r="AN175" s="611"/>
      <c r="AO175" s="56"/>
      <c r="AP175" s="56">
        <f>SUM(AP176:AP176)</f>
        <v>0</v>
      </c>
      <c r="AQ175" s="56"/>
      <c r="AR175" s="56"/>
      <c r="AS175" s="611"/>
      <c r="AT175" s="56"/>
      <c r="AU175" s="56">
        <f>SUM(AU176:AU176)</f>
        <v>120573</v>
      </c>
      <c r="AV175" s="56"/>
      <c r="AW175" s="56"/>
      <c r="AX175" s="611"/>
      <c r="AY175" s="56"/>
      <c r="AZ175" s="56">
        <f>SUM(AZ176:AZ176)</f>
        <v>0</v>
      </c>
      <c r="BA175" s="56"/>
      <c r="BB175" s="56"/>
      <c r="BC175" s="611"/>
      <c r="BD175" s="56"/>
      <c r="BE175" s="56">
        <f>SUM(BE176:BE176)</f>
        <v>0</v>
      </c>
      <c r="BF175" s="56"/>
      <c r="BG175" s="56"/>
      <c r="BH175" s="611"/>
      <c r="BI175" s="56"/>
      <c r="BJ175" s="56">
        <f>SUM(BJ176:BJ176)</f>
        <v>0</v>
      </c>
      <c r="BK175" s="56"/>
      <c r="BL175" s="56"/>
      <c r="BM175" s="611"/>
      <c r="BN175" s="56"/>
      <c r="BO175" s="56">
        <f>SUM(BO176:BO176)</f>
        <v>0</v>
      </c>
      <c r="BP175" s="56"/>
      <c r="BQ175" s="56"/>
      <c r="BR175" s="611"/>
      <c r="BS175" s="56"/>
      <c r="BT175" s="56">
        <f>SUM(BT176:BT176)</f>
        <v>1739799</v>
      </c>
      <c r="BU175" s="56"/>
      <c r="BV175" s="56"/>
      <c r="BW175" s="611"/>
      <c r="BX175" s="56"/>
      <c r="BY175" s="56">
        <f>SUM(BY176:BY176)</f>
        <v>92640</v>
      </c>
      <c r="BZ175" s="56"/>
      <c r="CA175" s="56"/>
      <c r="CB175" s="611"/>
      <c r="CC175" s="56"/>
      <c r="CD175" s="56">
        <f>SUM(CD176:CD176)</f>
        <v>0</v>
      </c>
      <c r="CE175" s="56"/>
      <c r="CF175" s="56"/>
      <c r="CG175" s="611"/>
      <c r="CH175" s="56"/>
      <c r="CI175" s="56">
        <f>SUM(CI176:CI176)</f>
        <v>0</v>
      </c>
      <c r="CJ175" s="56"/>
      <c r="CK175" s="56"/>
      <c r="CL175" s="611"/>
      <c r="CM175" s="56"/>
      <c r="CN175" s="56">
        <f>SUM(CN176:CN176)</f>
        <v>0</v>
      </c>
      <c r="CO175" s="56"/>
      <c r="CP175" s="56"/>
      <c r="CQ175" s="611"/>
      <c r="CR175" s="56"/>
      <c r="CS175" s="56">
        <f>SUM(CS176:CS176)</f>
        <v>0</v>
      </c>
      <c r="CT175" s="56"/>
      <c r="CU175" s="56"/>
      <c r="CV175" s="611"/>
      <c r="CW175" s="56"/>
      <c r="CX175" s="56">
        <f>SUM(CX176:CX176)</f>
        <v>0</v>
      </c>
      <c r="CY175" s="56"/>
      <c r="CZ175" s="56"/>
      <c r="DA175" s="611"/>
      <c r="DB175" s="56"/>
      <c r="DC175" s="56">
        <f>SUM(DC176:DC176)</f>
        <v>0</v>
      </c>
      <c r="DD175" s="56"/>
      <c r="DE175" s="56"/>
      <c r="DF175" s="611"/>
      <c r="DG175" s="56"/>
      <c r="DH175" s="56">
        <f>SUM(DH176:DH176)</f>
        <v>0</v>
      </c>
      <c r="DI175" s="56"/>
      <c r="DJ175" s="56"/>
      <c r="DK175" s="611"/>
      <c r="DL175" s="56"/>
      <c r="DM175" s="56">
        <f>SUM(DM176:DM176)</f>
        <v>0</v>
      </c>
      <c r="DN175" s="56"/>
      <c r="DO175" s="56"/>
      <c r="DP175" s="611"/>
      <c r="DQ175" s="56"/>
      <c r="DR175" s="56">
        <f>SUM(DR176:DR176)</f>
        <v>0</v>
      </c>
      <c r="DS175" s="56"/>
      <c r="DT175" s="56"/>
      <c r="DU175" s="611"/>
      <c r="DV175" s="56"/>
      <c r="DW175" s="56">
        <f>SUM(DW176:DW176)</f>
        <v>0</v>
      </c>
      <c r="DX175" s="56"/>
      <c r="DY175" s="56"/>
      <c r="DZ175" s="611"/>
      <c r="EA175" s="56"/>
      <c r="EB175" s="56">
        <f>SUM(EB176:EB176)</f>
        <v>92640</v>
      </c>
      <c r="EC175" s="56"/>
      <c r="ED175" s="56"/>
      <c r="EE175" s="611"/>
      <c r="EF175" s="56"/>
      <c r="EG175" s="56">
        <f>SUM(EG176:EG176)</f>
        <v>0</v>
      </c>
      <c r="EH175" s="56"/>
      <c r="EI175" s="56"/>
      <c r="EJ175" s="611"/>
      <c r="EK175" s="56"/>
      <c r="EL175" s="56">
        <f>SUM(EL176:EL176)</f>
        <v>0</v>
      </c>
      <c r="EO175" s="144"/>
      <c r="EP175" s="42"/>
      <c r="EQ175" s="42"/>
    </row>
    <row r="176" spans="4:147" ht="12.75" customHeight="1" x14ac:dyDescent="0.3">
      <c r="D176" s="144" t="s">
        <v>335</v>
      </c>
      <c r="E176" s="494"/>
      <c r="F176" s="614"/>
      <c r="G176" s="618">
        <v>1619226</v>
      </c>
      <c r="H176" s="616"/>
      <c r="I176" s="56"/>
      <c r="J176" s="611"/>
      <c r="K176" s="614"/>
      <c r="L176" s="618">
        <v>0</v>
      </c>
      <c r="M176" s="616"/>
      <c r="N176" s="56"/>
      <c r="O176" s="611"/>
      <c r="P176" s="614"/>
      <c r="Q176" s="618">
        <v>0</v>
      </c>
      <c r="R176" s="616"/>
      <c r="S176" s="56"/>
      <c r="T176" s="611"/>
      <c r="U176" s="614"/>
      <c r="V176" s="618">
        <v>129145</v>
      </c>
      <c r="W176" s="616"/>
      <c r="X176" s="56"/>
      <c r="Y176" s="611"/>
      <c r="Z176" s="614"/>
      <c r="AA176" s="618">
        <v>0</v>
      </c>
      <c r="AB176" s="616"/>
      <c r="AC176" s="56"/>
      <c r="AD176" s="611"/>
      <c r="AE176" s="614"/>
      <c r="AF176" s="618">
        <v>1420214</v>
      </c>
      <c r="AG176" s="616"/>
      <c r="AH176" s="56"/>
      <c r="AI176" s="611"/>
      <c r="AJ176" s="614"/>
      <c r="AK176" s="618">
        <v>69867</v>
      </c>
      <c r="AL176" s="616"/>
      <c r="AM176" s="55"/>
      <c r="AN176" s="52"/>
      <c r="AO176" s="614"/>
      <c r="AP176" s="618">
        <v>0</v>
      </c>
      <c r="AQ176" s="616"/>
      <c r="AR176" s="56"/>
      <c r="AS176" s="611"/>
      <c r="AT176" s="614"/>
      <c r="AU176" s="618">
        <v>120573</v>
      </c>
      <c r="AV176" s="616"/>
      <c r="AW176" s="56"/>
      <c r="AX176" s="611"/>
      <c r="AY176" s="614"/>
      <c r="AZ176" s="618">
        <v>0</v>
      </c>
      <c r="BA176" s="616"/>
      <c r="BB176" s="56"/>
      <c r="BC176" s="611"/>
      <c r="BD176" s="614"/>
      <c r="BE176" s="618">
        <v>0</v>
      </c>
      <c r="BF176" s="616"/>
      <c r="BG176" s="56"/>
      <c r="BH176" s="611"/>
      <c r="BI176" s="614"/>
      <c r="BJ176" s="618">
        <v>0</v>
      </c>
      <c r="BK176" s="616"/>
      <c r="BL176" s="56"/>
      <c r="BM176" s="611"/>
      <c r="BN176" s="614"/>
      <c r="BO176" s="618">
        <v>0</v>
      </c>
      <c r="BP176" s="616"/>
      <c r="BQ176" s="56"/>
      <c r="BR176" s="611"/>
      <c r="BS176" s="614"/>
      <c r="BT176" s="618">
        <f>SUM(L176:BO176)</f>
        <v>1739799</v>
      </c>
      <c r="BU176" s="616"/>
      <c r="BV176" s="56"/>
      <c r="BW176" s="611"/>
      <c r="BX176" s="614"/>
      <c r="BY176" s="618">
        <v>92640</v>
      </c>
      <c r="BZ176" s="616"/>
      <c r="CA176" s="56"/>
      <c r="CB176" s="611"/>
      <c r="CC176" s="614"/>
      <c r="CD176" s="618">
        <v>0</v>
      </c>
      <c r="CE176" s="616"/>
      <c r="CF176" s="56"/>
      <c r="CG176" s="611"/>
      <c r="CH176" s="614"/>
      <c r="CI176" s="618">
        <v>0</v>
      </c>
      <c r="CJ176" s="616"/>
      <c r="CK176" s="56"/>
      <c r="CL176" s="611"/>
      <c r="CM176" s="614"/>
      <c r="CN176" s="618">
        <v>0</v>
      </c>
      <c r="CO176" s="616"/>
      <c r="CP176" s="56"/>
      <c r="CQ176" s="611"/>
      <c r="CR176" s="614"/>
      <c r="CS176" s="618">
        <v>0</v>
      </c>
      <c r="CT176" s="616"/>
      <c r="CU176" s="56"/>
      <c r="CV176" s="611"/>
      <c r="CW176" s="614"/>
      <c r="CX176" s="618">
        <v>0</v>
      </c>
      <c r="CY176" s="616"/>
      <c r="CZ176" s="56"/>
      <c r="DA176" s="611"/>
      <c r="DB176" s="614"/>
      <c r="DC176" s="618">
        <v>0</v>
      </c>
      <c r="DD176" s="616"/>
      <c r="DE176" s="55"/>
      <c r="DF176" s="52"/>
      <c r="DG176" s="614"/>
      <c r="DH176" s="618">
        <v>0</v>
      </c>
      <c r="DI176" s="616"/>
      <c r="DJ176" s="56"/>
      <c r="DK176" s="611"/>
      <c r="DL176" s="614"/>
      <c r="DM176" s="618">
        <v>0</v>
      </c>
      <c r="DN176" s="616"/>
      <c r="DO176" s="56"/>
      <c r="DP176" s="611"/>
      <c r="DQ176" s="614"/>
      <c r="DR176" s="618">
        <v>0</v>
      </c>
      <c r="DS176" s="616"/>
      <c r="DT176" s="56"/>
      <c r="DU176" s="611"/>
      <c r="DV176" s="614"/>
      <c r="DW176" s="618">
        <v>0</v>
      </c>
      <c r="DX176" s="616"/>
      <c r="DY176" s="56"/>
      <c r="DZ176" s="611"/>
      <c r="EA176" s="614"/>
      <c r="EB176" s="618">
        <v>92640</v>
      </c>
      <c r="EC176" s="616"/>
      <c r="ED176" s="56"/>
      <c r="EE176" s="611"/>
      <c r="EF176" s="614"/>
      <c r="EG176" s="618">
        <v>0</v>
      </c>
      <c r="EH176" s="616"/>
      <c r="EI176" s="56"/>
      <c r="EJ176" s="611"/>
      <c r="EK176" s="614"/>
      <c r="EL176" s="618">
        <f t="shared" ref="EL176" si="20">SUM(CD176:DW176)</f>
        <v>0</v>
      </c>
      <c r="EM176" s="616"/>
      <c r="EO176" s="144"/>
      <c r="EP176" s="42"/>
      <c r="EQ176" s="42"/>
    </row>
    <row r="177" spans="4:147" x14ac:dyDescent="0.3">
      <c r="D177" s="144"/>
      <c r="E177" s="494"/>
      <c r="G177" s="56"/>
      <c r="H177" s="56"/>
      <c r="I177" s="56"/>
      <c r="J177" s="611"/>
      <c r="L177" s="56"/>
      <c r="M177" s="56"/>
      <c r="N177" s="56"/>
      <c r="O177" s="611"/>
      <c r="Q177" s="56"/>
      <c r="R177" s="56"/>
      <c r="S177" s="56"/>
      <c r="T177" s="611"/>
      <c r="V177" s="56"/>
      <c r="W177" s="56"/>
      <c r="X177" s="56"/>
      <c r="Y177" s="611"/>
      <c r="AA177" s="56"/>
      <c r="AB177" s="56"/>
      <c r="AC177" s="56"/>
      <c r="AD177" s="611"/>
      <c r="AF177" s="56"/>
      <c r="AG177" s="56"/>
      <c r="AH177" s="56"/>
      <c r="AI177" s="611"/>
      <c r="AK177" s="56"/>
      <c r="AL177" s="56"/>
      <c r="AM177" s="56"/>
      <c r="AN177" s="611"/>
      <c r="AP177" s="56"/>
      <c r="AQ177" s="56"/>
      <c r="AR177" s="56"/>
      <c r="AS177" s="611"/>
      <c r="AU177" s="56"/>
      <c r="AV177" s="56"/>
      <c r="AW177" s="56"/>
      <c r="AX177" s="611"/>
      <c r="AZ177" s="56"/>
      <c r="BA177" s="56"/>
      <c r="BB177" s="56"/>
      <c r="BC177" s="611"/>
      <c r="BE177" s="56"/>
      <c r="BF177" s="56"/>
      <c r="BG177" s="56"/>
      <c r="BH177" s="611"/>
      <c r="BJ177" s="56"/>
      <c r="BK177" s="56"/>
      <c r="BL177" s="56"/>
      <c r="BM177" s="611"/>
      <c r="BO177" s="56"/>
      <c r="BP177" s="56"/>
      <c r="BQ177" s="56"/>
      <c r="BR177" s="611"/>
      <c r="BT177" s="56"/>
      <c r="BU177" s="56"/>
      <c r="BV177" s="56"/>
      <c r="BW177" s="611"/>
      <c r="BY177" s="56"/>
      <c r="BZ177" s="56"/>
      <c r="CA177" s="56"/>
      <c r="CB177" s="611"/>
      <c r="CD177" s="56"/>
      <c r="CE177" s="56"/>
      <c r="CF177" s="56"/>
      <c r="CG177" s="611"/>
      <c r="CI177" s="56"/>
      <c r="CJ177" s="56"/>
      <c r="CK177" s="56"/>
      <c r="CL177" s="611"/>
      <c r="CN177" s="56"/>
      <c r="CO177" s="56"/>
      <c r="CP177" s="56"/>
      <c r="CQ177" s="611"/>
      <c r="CS177" s="56"/>
      <c r="CT177" s="56"/>
      <c r="CU177" s="56"/>
      <c r="CV177" s="611"/>
      <c r="CX177" s="56"/>
      <c r="CY177" s="56"/>
      <c r="CZ177" s="56"/>
      <c r="DA177" s="611"/>
      <c r="DC177" s="56"/>
      <c r="DD177" s="56"/>
      <c r="DE177" s="56"/>
      <c r="DF177" s="611"/>
      <c r="DH177" s="56"/>
      <c r="DI177" s="56"/>
      <c r="DJ177" s="56"/>
      <c r="DK177" s="611"/>
      <c r="DM177" s="56"/>
      <c r="DN177" s="56"/>
      <c r="DO177" s="56"/>
      <c r="DP177" s="611"/>
      <c r="DR177" s="56"/>
      <c r="DS177" s="56"/>
      <c r="DT177" s="56"/>
      <c r="DU177" s="611"/>
      <c r="DW177" s="56"/>
      <c r="DX177" s="56"/>
      <c r="DY177" s="56"/>
      <c r="DZ177" s="611"/>
      <c r="EB177" s="56"/>
      <c r="EC177" s="56"/>
      <c r="ED177" s="56"/>
      <c r="EE177" s="611"/>
      <c r="EG177" s="56"/>
      <c r="EH177" s="56"/>
      <c r="EI177" s="56"/>
      <c r="EJ177" s="611"/>
      <c r="EL177" s="56"/>
      <c r="EM177" s="56"/>
      <c r="EO177" s="144"/>
      <c r="EP177" s="42"/>
      <c r="EQ177" s="42"/>
    </row>
    <row r="178" spans="4:147" x14ac:dyDescent="0.3">
      <c r="D178" s="144" t="s">
        <v>361</v>
      </c>
      <c r="E178" s="494"/>
      <c r="G178" s="56">
        <f>SUM(G179:G179)</f>
        <v>39629</v>
      </c>
      <c r="H178" s="56"/>
      <c r="I178" s="56"/>
      <c r="J178" s="611"/>
      <c r="K178" s="56"/>
      <c r="L178" s="56">
        <f>SUM(L179:L179)</f>
        <v>0</v>
      </c>
      <c r="M178" s="56"/>
      <c r="N178" s="56"/>
      <c r="O178" s="611"/>
      <c r="P178" s="56"/>
      <c r="Q178" s="56">
        <f>SUM(Q179:Q179)</f>
        <v>39629</v>
      </c>
      <c r="R178" s="56"/>
      <c r="S178" s="56"/>
      <c r="T178" s="611"/>
      <c r="U178" s="56"/>
      <c r="V178" s="56">
        <f>SUM(V179:V179)</f>
        <v>0</v>
      </c>
      <c r="W178" s="56"/>
      <c r="X178" s="56"/>
      <c r="Y178" s="611"/>
      <c r="Z178" s="56"/>
      <c r="AA178" s="56">
        <f>SUM(AA179:AA179)</f>
        <v>0</v>
      </c>
      <c r="AB178" s="56"/>
      <c r="AC178" s="56"/>
      <c r="AD178" s="611"/>
      <c r="AE178" s="56"/>
      <c r="AF178" s="56">
        <f>SUM(AF179:AF179)</f>
        <v>0</v>
      </c>
      <c r="AG178" s="56"/>
      <c r="AH178" s="56"/>
      <c r="AI178" s="611"/>
      <c r="AJ178" s="56"/>
      <c r="AK178" s="56">
        <f>SUM(AK179:AK179)</f>
        <v>0</v>
      </c>
      <c r="AL178" s="56"/>
      <c r="AM178" s="56"/>
      <c r="AN178" s="611"/>
      <c r="AO178" s="56"/>
      <c r="AP178" s="56">
        <f>SUM(AP179:AP179)</f>
        <v>0</v>
      </c>
      <c r="AQ178" s="56"/>
      <c r="AR178" s="56"/>
      <c r="AS178" s="611"/>
      <c r="AT178" s="56"/>
      <c r="AU178" s="56">
        <f>SUM(AU179:AU179)</f>
        <v>0</v>
      </c>
      <c r="AV178" s="56"/>
      <c r="AW178" s="56"/>
      <c r="AX178" s="611"/>
      <c r="AY178" s="56"/>
      <c r="AZ178" s="56">
        <f>SUM(AZ179:AZ179)</f>
        <v>0</v>
      </c>
      <c r="BA178" s="56"/>
      <c r="BB178" s="56"/>
      <c r="BC178" s="611"/>
      <c r="BD178" s="56"/>
      <c r="BE178" s="56">
        <f>SUM(BE179:BE179)</f>
        <v>0</v>
      </c>
      <c r="BF178" s="56"/>
      <c r="BG178" s="56"/>
      <c r="BH178" s="611"/>
      <c r="BI178" s="56"/>
      <c r="BJ178" s="56">
        <f>SUM(BJ179:BJ179)</f>
        <v>0</v>
      </c>
      <c r="BK178" s="56"/>
      <c r="BL178" s="56"/>
      <c r="BM178" s="611"/>
      <c r="BN178" s="56"/>
      <c r="BO178" s="56">
        <f>SUM(BO179:BO179)</f>
        <v>0</v>
      </c>
      <c r="BP178" s="56"/>
      <c r="BQ178" s="56"/>
      <c r="BR178" s="611"/>
      <c r="BT178" s="56">
        <f>SUM(BT179:BT179)</f>
        <v>39629</v>
      </c>
      <c r="BU178" s="56"/>
      <c r="BV178" s="56"/>
      <c r="BW178" s="611"/>
      <c r="BY178" s="56">
        <f>SUM(BY179:BY179)</f>
        <v>256981</v>
      </c>
      <c r="BZ178" s="56"/>
      <c r="CA178" s="56"/>
      <c r="CB178" s="611"/>
      <c r="CC178" s="56"/>
      <c r="CD178" s="56">
        <f>SUM(CD179:CD179)</f>
        <v>0</v>
      </c>
      <c r="CE178" s="56"/>
      <c r="CF178" s="56"/>
      <c r="CG178" s="611"/>
      <c r="CH178" s="56"/>
      <c r="CI178" s="56">
        <f>SUM(CI179:CI179)</f>
        <v>0</v>
      </c>
      <c r="CJ178" s="56"/>
      <c r="CK178" s="56"/>
      <c r="CL178" s="611"/>
      <c r="CM178" s="56"/>
      <c r="CN178" s="56">
        <f>SUM(CN179:CN179)</f>
        <v>0</v>
      </c>
      <c r="CO178" s="56"/>
      <c r="CP178" s="56"/>
      <c r="CQ178" s="611"/>
      <c r="CR178" s="56"/>
      <c r="CS178" s="56">
        <f>SUM(CS179:CS179)</f>
        <v>0</v>
      </c>
      <c r="CT178" s="56"/>
      <c r="CU178" s="56"/>
      <c r="CV178" s="611"/>
      <c r="CW178" s="56"/>
      <c r="CX178" s="56">
        <f>SUM(CX179:CX179)</f>
        <v>83879</v>
      </c>
      <c r="CY178" s="56"/>
      <c r="CZ178" s="56"/>
      <c r="DA178" s="611"/>
      <c r="DB178" s="56"/>
      <c r="DC178" s="56">
        <f>SUM(DC179:DC179)</f>
        <v>0</v>
      </c>
      <c r="DD178" s="56"/>
      <c r="DE178" s="56"/>
      <c r="DF178" s="611"/>
      <c r="DG178" s="56"/>
      <c r="DH178" s="56">
        <f>SUM(DH179:DH179)</f>
        <v>0</v>
      </c>
      <c r="DI178" s="56"/>
      <c r="DJ178" s="56"/>
      <c r="DK178" s="611"/>
      <c r="DL178" s="56"/>
      <c r="DM178" s="56">
        <f>SUM(DM179:DM179)</f>
        <v>0</v>
      </c>
      <c r="DN178" s="56"/>
      <c r="DO178" s="56"/>
      <c r="DP178" s="611"/>
      <c r="DQ178" s="56"/>
      <c r="DR178" s="56">
        <f>SUM(DR179:DR179)</f>
        <v>0</v>
      </c>
      <c r="DS178" s="56"/>
      <c r="DT178" s="56"/>
      <c r="DU178" s="611"/>
      <c r="DV178" s="56"/>
      <c r="DW178" s="56">
        <f>SUM(DW179:DW179)</f>
        <v>0</v>
      </c>
      <c r="DX178" s="56"/>
      <c r="DY178" s="56"/>
      <c r="DZ178" s="611"/>
      <c r="EA178" s="56"/>
      <c r="EB178" s="56">
        <f>SUM(EB179:EB179)</f>
        <v>0</v>
      </c>
      <c r="EC178" s="56"/>
      <c r="ED178" s="56"/>
      <c r="EE178" s="611"/>
      <c r="EF178" s="56"/>
      <c r="EG178" s="56">
        <f>SUM(EG179:EG179)</f>
        <v>173102</v>
      </c>
      <c r="EH178" s="56"/>
      <c r="EI178" s="56"/>
      <c r="EJ178" s="611"/>
      <c r="EL178" s="56">
        <f>SUM(EL179:EL179)</f>
        <v>83879</v>
      </c>
      <c r="EM178" s="56"/>
      <c r="EO178" s="144"/>
      <c r="EP178" s="42"/>
      <c r="EQ178" s="42"/>
    </row>
    <row r="179" spans="4:147" x14ac:dyDescent="0.3">
      <c r="D179" s="144" t="s">
        <v>335</v>
      </c>
      <c r="E179" s="494"/>
      <c r="F179" s="614"/>
      <c r="G179" s="618">
        <v>39629</v>
      </c>
      <c r="H179" s="616"/>
      <c r="I179" s="56"/>
      <c r="J179" s="611"/>
      <c r="K179" s="614"/>
      <c r="L179" s="618">
        <v>0</v>
      </c>
      <c r="M179" s="616"/>
      <c r="N179" s="56"/>
      <c r="O179" s="611"/>
      <c r="P179" s="617"/>
      <c r="Q179" s="618">
        <v>39629</v>
      </c>
      <c r="R179" s="616"/>
      <c r="S179" s="56"/>
      <c r="T179" s="611"/>
      <c r="U179" s="617"/>
      <c r="V179" s="618">
        <v>0</v>
      </c>
      <c r="W179" s="616"/>
      <c r="X179" s="56"/>
      <c r="Y179" s="611"/>
      <c r="Z179" s="617"/>
      <c r="AA179" s="618">
        <v>0</v>
      </c>
      <c r="AB179" s="616"/>
      <c r="AC179" s="56"/>
      <c r="AD179" s="611"/>
      <c r="AE179" s="617"/>
      <c r="AF179" s="618">
        <v>0</v>
      </c>
      <c r="AG179" s="616"/>
      <c r="AH179" s="56"/>
      <c r="AI179" s="611"/>
      <c r="AJ179" s="617"/>
      <c r="AK179" s="618">
        <v>0</v>
      </c>
      <c r="AL179" s="616"/>
      <c r="AM179" s="56"/>
      <c r="AN179" s="611"/>
      <c r="AO179" s="617"/>
      <c r="AP179" s="618">
        <v>0</v>
      </c>
      <c r="AQ179" s="616"/>
      <c r="AR179" s="56"/>
      <c r="AS179" s="611"/>
      <c r="AT179" s="617"/>
      <c r="AU179" s="618">
        <v>0</v>
      </c>
      <c r="AV179" s="616"/>
      <c r="AW179" s="56"/>
      <c r="AX179" s="611"/>
      <c r="AY179" s="617"/>
      <c r="AZ179" s="618">
        <v>0</v>
      </c>
      <c r="BA179" s="616"/>
      <c r="BB179" s="56"/>
      <c r="BC179" s="611"/>
      <c r="BD179" s="617"/>
      <c r="BE179" s="618">
        <v>0</v>
      </c>
      <c r="BF179" s="616"/>
      <c r="BG179" s="56"/>
      <c r="BH179" s="611"/>
      <c r="BI179" s="617"/>
      <c r="BJ179" s="618">
        <v>0</v>
      </c>
      <c r="BK179" s="616"/>
      <c r="BL179" s="56"/>
      <c r="BM179" s="611"/>
      <c r="BN179" s="617"/>
      <c r="BO179" s="618">
        <v>0</v>
      </c>
      <c r="BP179" s="616"/>
      <c r="BQ179" s="56"/>
      <c r="BR179" s="611"/>
      <c r="BS179" s="614"/>
      <c r="BT179" s="618">
        <f>SUM(L179:BO179)</f>
        <v>39629</v>
      </c>
      <c r="BU179" s="616"/>
      <c r="BV179" s="56"/>
      <c r="BW179" s="611"/>
      <c r="BX179" s="614"/>
      <c r="BY179" s="618">
        <v>256981</v>
      </c>
      <c r="BZ179" s="616"/>
      <c r="CA179" s="56"/>
      <c r="CB179" s="611"/>
      <c r="CC179" s="614"/>
      <c r="CD179" s="618">
        <v>0</v>
      </c>
      <c r="CE179" s="616"/>
      <c r="CF179" s="56"/>
      <c r="CG179" s="611"/>
      <c r="CH179" s="617"/>
      <c r="CI179" s="618">
        <v>0</v>
      </c>
      <c r="CJ179" s="616"/>
      <c r="CK179" s="56"/>
      <c r="CL179" s="611"/>
      <c r="CM179" s="617"/>
      <c r="CN179" s="618">
        <v>0</v>
      </c>
      <c r="CO179" s="616"/>
      <c r="CP179" s="56"/>
      <c r="CQ179" s="611"/>
      <c r="CR179" s="617"/>
      <c r="CS179" s="618">
        <v>0</v>
      </c>
      <c r="CT179" s="616"/>
      <c r="CU179" s="56"/>
      <c r="CV179" s="611"/>
      <c r="CW179" s="617"/>
      <c r="CX179" s="618">
        <v>83879</v>
      </c>
      <c r="CY179" s="616"/>
      <c r="CZ179" s="56"/>
      <c r="DA179" s="611"/>
      <c r="DB179" s="617"/>
      <c r="DC179" s="618">
        <v>0</v>
      </c>
      <c r="DD179" s="616"/>
      <c r="DE179" s="56"/>
      <c r="DF179" s="611"/>
      <c r="DG179" s="617"/>
      <c r="DH179" s="618">
        <v>0</v>
      </c>
      <c r="DI179" s="616"/>
      <c r="DJ179" s="56"/>
      <c r="DK179" s="611"/>
      <c r="DL179" s="617"/>
      <c r="DM179" s="618">
        <v>0</v>
      </c>
      <c r="DN179" s="616"/>
      <c r="DO179" s="56"/>
      <c r="DP179" s="611"/>
      <c r="DQ179" s="617"/>
      <c r="DR179" s="618">
        <v>0</v>
      </c>
      <c r="DS179" s="616"/>
      <c r="DT179" s="56"/>
      <c r="DU179" s="611"/>
      <c r="DV179" s="617"/>
      <c r="DW179" s="618">
        <v>0</v>
      </c>
      <c r="DX179" s="616"/>
      <c r="DY179" s="56"/>
      <c r="DZ179" s="611"/>
      <c r="EA179" s="617"/>
      <c r="EB179" s="618">
        <v>0</v>
      </c>
      <c r="EC179" s="616"/>
      <c r="ED179" s="56"/>
      <c r="EE179" s="611"/>
      <c r="EF179" s="617"/>
      <c r="EG179" s="618">
        <v>173102</v>
      </c>
      <c r="EH179" s="616"/>
      <c r="EI179" s="56"/>
      <c r="EJ179" s="611"/>
      <c r="EK179" s="614"/>
      <c r="EL179" s="618">
        <f t="shared" ref="EL179" si="21">SUM(CD179:DW179)</f>
        <v>83879</v>
      </c>
      <c r="EM179" s="616"/>
      <c r="EO179" s="144"/>
      <c r="EP179" s="42"/>
      <c r="EQ179" s="42"/>
    </row>
    <row r="180" spans="4:147" x14ac:dyDescent="0.3">
      <c r="D180" s="144"/>
      <c r="E180" s="494"/>
      <c r="G180" s="56"/>
      <c r="H180" s="56"/>
      <c r="I180" s="56"/>
      <c r="J180" s="611"/>
      <c r="L180" s="56"/>
      <c r="M180" s="56"/>
      <c r="N180" s="56"/>
      <c r="O180" s="611"/>
      <c r="Q180" s="56"/>
      <c r="R180" s="56"/>
      <c r="S180" s="56"/>
      <c r="T180" s="611"/>
      <c r="V180" s="56"/>
      <c r="W180" s="56"/>
      <c r="X180" s="56"/>
      <c r="Y180" s="611"/>
      <c r="AA180" s="56"/>
      <c r="AB180" s="56"/>
      <c r="AC180" s="56"/>
      <c r="AD180" s="611"/>
      <c r="AF180" s="56"/>
      <c r="AG180" s="56"/>
      <c r="AH180" s="56"/>
      <c r="AI180" s="611"/>
      <c r="AK180" s="56"/>
      <c r="AL180" s="56"/>
      <c r="AM180" s="56"/>
      <c r="AN180" s="611"/>
      <c r="AP180" s="56"/>
      <c r="AQ180" s="56"/>
      <c r="AR180" s="56"/>
      <c r="AS180" s="611"/>
      <c r="AU180" s="56"/>
      <c r="AV180" s="56"/>
      <c r="AW180" s="56"/>
      <c r="AX180" s="611"/>
      <c r="AZ180" s="56"/>
      <c r="BA180" s="56"/>
      <c r="BB180" s="56"/>
      <c r="BC180" s="611"/>
      <c r="BE180" s="56"/>
      <c r="BF180" s="56"/>
      <c r="BG180" s="56"/>
      <c r="BH180" s="611"/>
      <c r="BJ180" s="56"/>
      <c r="BK180" s="56"/>
      <c r="BL180" s="56"/>
      <c r="BM180" s="611"/>
      <c r="BO180" s="56"/>
      <c r="BP180" s="56"/>
      <c r="BQ180" s="56"/>
      <c r="BR180" s="611"/>
      <c r="BT180" s="56"/>
      <c r="BU180" s="56"/>
      <c r="BV180" s="56"/>
      <c r="BW180" s="611"/>
      <c r="BY180" s="56"/>
      <c r="BZ180" s="56"/>
      <c r="CA180" s="56"/>
      <c r="CB180" s="611"/>
      <c r="CD180" s="56"/>
      <c r="CE180" s="56"/>
      <c r="CF180" s="56"/>
      <c r="CG180" s="611"/>
      <c r="CI180" s="56"/>
      <c r="CJ180" s="56"/>
      <c r="CK180" s="56"/>
      <c r="CL180" s="611"/>
      <c r="CN180" s="56"/>
      <c r="CO180" s="56"/>
      <c r="CP180" s="56"/>
      <c r="CQ180" s="611"/>
      <c r="CS180" s="56"/>
      <c r="CT180" s="56"/>
      <c r="CU180" s="56"/>
      <c r="CV180" s="611"/>
      <c r="CX180" s="56"/>
      <c r="CY180" s="56"/>
      <c r="CZ180" s="56"/>
      <c r="DA180" s="611"/>
      <c r="DC180" s="56"/>
      <c r="DD180" s="56"/>
      <c r="DE180" s="56"/>
      <c r="DF180" s="611"/>
      <c r="DH180" s="56"/>
      <c r="DI180" s="56"/>
      <c r="DJ180" s="56"/>
      <c r="DK180" s="611"/>
      <c r="DM180" s="56"/>
      <c r="DN180" s="56"/>
      <c r="DO180" s="56"/>
      <c r="DP180" s="611"/>
      <c r="DR180" s="56"/>
      <c r="DS180" s="56"/>
      <c r="DT180" s="56"/>
      <c r="DU180" s="611"/>
      <c r="DW180" s="56"/>
      <c r="DX180" s="56"/>
      <c r="DY180" s="56"/>
      <c r="DZ180" s="611"/>
      <c r="EB180" s="56"/>
      <c r="EC180" s="56"/>
      <c r="ED180" s="56"/>
      <c r="EE180" s="611"/>
      <c r="EG180" s="56"/>
      <c r="EH180" s="56"/>
      <c r="EI180" s="56"/>
      <c r="EJ180" s="611"/>
      <c r="EL180" s="56"/>
      <c r="EM180" s="56"/>
      <c r="EO180" s="144"/>
      <c r="EP180" s="42"/>
      <c r="EQ180" s="42"/>
    </row>
    <row r="181" spans="4:147" x14ac:dyDescent="0.3">
      <c r="D181" s="144" t="s">
        <v>362</v>
      </c>
      <c r="E181" s="494"/>
      <c r="G181" s="56">
        <f>SUM(G182:G182)</f>
        <v>88512</v>
      </c>
      <c r="H181" s="56"/>
      <c r="I181" s="56"/>
      <c r="J181" s="611"/>
      <c r="K181" s="56"/>
      <c r="L181" s="56">
        <f>SUM(L182:L182)</f>
        <v>0</v>
      </c>
      <c r="M181" s="56"/>
      <c r="N181" s="56"/>
      <c r="O181" s="611"/>
      <c r="P181" s="56"/>
      <c r="Q181" s="56">
        <f>SUM(Q182:Q182)</f>
        <v>88512</v>
      </c>
      <c r="R181" s="56"/>
      <c r="S181" s="56"/>
      <c r="T181" s="611"/>
      <c r="U181" s="56"/>
      <c r="V181" s="56">
        <f>SUM(V182:V182)</f>
        <v>0</v>
      </c>
      <c r="W181" s="56"/>
      <c r="X181" s="56"/>
      <c r="Y181" s="611"/>
      <c r="Z181" s="56"/>
      <c r="AA181" s="56">
        <f>SUM(AA182:AA182)</f>
        <v>0</v>
      </c>
      <c r="AB181" s="56"/>
      <c r="AC181" s="56"/>
      <c r="AD181" s="611"/>
      <c r="AE181" s="56"/>
      <c r="AF181" s="56">
        <f>SUM(AF182:AF182)</f>
        <v>0</v>
      </c>
      <c r="AG181" s="56"/>
      <c r="AH181" s="56"/>
      <c r="AI181" s="611"/>
      <c r="AJ181" s="56"/>
      <c r="AK181" s="56">
        <f>SUM(AK182:AK182)</f>
        <v>0</v>
      </c>
      <c r="AL181" s="56"/>
      <c r="AM181" s="56"/>
      <c r="AN181" s="611"/>
      <c r="AO181" s="56"/>
      <c r="AP181" s="56">
        <f>SUM(AP182:AP182)</f>
        <v>0</v>
      </c>
      <c r="AQ181" s="56"/>
      <c r="AR181" s="56"/>
      <c r="AS181" s="611"/>
      <c r="AT181" s="56"/>
      <c r="AU181" s="56">
        <f>SUM(AU182:AU182)</f>
        <v>0</v>
      </c>
      <c r="AV181" s="56"/>
      <c r="AW181" s="56"/>
      <c r="AX181" s="611"/>
      <c r="AY181" s="56"/>
      <c r="AZ181" s="56">
        <f>SUM(AZ182:AZ182)</f>
        <v>0</v>
      </c>
      <c r="BA181" s="56"/>
      <c r="BB181" s="56"/>
      <c r="BC181" s="611"/>
      <c r="BD181" s="56"/>
      <c r="BE181" s="56">
        <f>SUM(BE182:BE182)</f>
        <v>0</v>
      </c>
      <c r="BF181" s="56"/>
      <c r="BG181" s="56"/>
      <c r="BH181" s="611"/>
      <c r="BI181" s="56"/>
      <c r="BJ181" s="56">
        <f>SUM(BJ182:BJ182)</f>
        <v>0</v>
      </c>
      <c r="BK181" s="56"/>
      <c r="BL181" s="56"/>
      <c r="BM181" s="611"/>
      <c r="BN181" s="56"/>
      <c r="BO181" s="56">
        <f>SUM(BO182:BO182)</f>
        <v>0</v>
      </c>
      <c r="BP181" s="56"/>
      <c r="BQ181" s="56"/>
      <c r="BR181" s="611"/>
      <c r="BT181" s="56">
        <f>SUM(BT182:BT182)</f>
        <v>88512</v>
      </c>
      <c r="BU181" s="56"/>
      <c r="BV181" s="56"/>
      <c r="BW181" s="611"/>
      <c r="BY181" s="56">
        <f>SUM(BY182:BY182)</f>
        <v>99343</v>
      </c>
      <c r="BZ181" s="56"/>
      <c r="CA181" s="56"/>
      <c r="CB181" s="611"/>
      <c r="CC181" s="56"/>
      <c r="CD181" s="56">
        <f>SUM(CD182:CD182)</f>
        <v>0</v>
      </c>
      <c r="CE181" s="56"/>
      <c r="CF181" s="56"/>
      <c r="CG181" s="611"/>
      <c r="CH181" s="56"/>
      <c r="CI181" s="56">
        <f>SUM(CI182:CI182)</f>
        <v>0</v>
      </c>
      <c r="CJ181" s="56"/>
      <c r="CK181" s="56"/>
      <c r="CL181" s="611"/>
      <c r="CM181" s="56"/>
      <c r="CN181" s="56">
        <f>SUM(CN182:CN182)</f>
        <v>0</v>
      </c>
      <c r="CO181" s="56"/>
      <c r="CP181" s="56"/>
      <c r="CQ181" s="611"/>
      <c r="CR181" s="56"/>
      <c r="CS181" s="56">
        <f>SUM(CS182:CS182)</f>
        <v>0</v>
      </c>
      <c r="CT181" s="56"/>
      <c r="CU181" s="56"/>
      <c r="CV181" s="611"/>
      <c r="CW181" s="56"/>
      <c r="CX181" s="56">
        <f>SUM(CX182:CX182)</f>
        <v>0</v>
      </c>
      <c r="CY181" s="56"/>
      <c r="CZ181" s="56"/>
      <c r="DA181" s="611"/>
      <c r="DB181" s="56"/>
      <c r="DC181" s="56">
        <f>SUM(DC182:DC182)</f>
        <v>0</v>
      </c>
      <c r="DD181" s="56"/>
      <c r="DE181" s="56"/>
      <c r="DF181" s="611"/>
      <c r="DG181" s="56"/>
      <c r="DH181" s="56">
        <f>SUM(DH182:DH182)</f>
        <v>0</v>
      </c>
      <c r="DI181" s="56"/>
      <c r="DJ181" s="56"/>
      <c r="DK181" s="611"/>
      <c r="DL181" s="56"/>
      <c r="DM181" s="56">
        <f>SUM(DM182:DM182)</f>
        <v>0</v>
      </c>
      <c r="DN181" s="56"/>
      <c r="DO181" s="56"/>
      <c r="DP181" s="611"/>
      <c r="DQ181" s="56"/>
      <c r="DR181" s="56">
        <f>SUM(DR182:DR182)</f>
        <v>0</v>
      </c>
      <c r="DS181" s="56"/>
      <c r="DT181" s="56"/>
      <c r="DU181" s="611"/>
      <c r="DV181" s="56"/>
      <c r="DW181" s="56">
        <f>SUM(DW182:DW182)</f>
        <v>0</v>
      </c>
      <c r="DX181" s="56"/>
      <c r="DY181" s="56"/>
      <c r="DZ181" s="611"/>
      <c r="EA181" s="56"/>
      <c r="EB181" s="56">
        <f>SUM(EB182:EB182)</f>
        <v>0</v>
      </c>
      <c r="EC181" s="56"/>
      <c r="ED181" s="56"/>
      <c r="EE181" s="611"/>
      <c r="EF181" s="56"/>
      <c r="EG181" s="56">
        <f>SUM(EG182:EG182)</f>
        <v>99343</v>
      </c>
      <c r="EH181" s="56"/>
      <c r="EI181" s="56"/>
      <c r="EJ181" s="611"/>
      <c r="EL181" s="56">
        <f>SUM(EL182:EL182)</f>
        <v>0</v>
      </c>
      <c r="EM181" s="56"/>
      <c r="EO181" s="144"/>
      <c r="EP181" s="42"/>
      <c r="EQ181" s="42"/>
    </row>
    <row r="182" spans="4:147" x14ac:dyDescent="0.3">
      <c r="D182" s="144" t="s">
        <v>335</v>
      </c>
      <c r="E182" s="494"/>
      <c r="F182" s="614"/>
      <c r="G182" s="618">
        <v>88512</v>
      </c>
      <c r="H182" s="616"/>
      <c r="I182" s="56"/>
      <c r="J182" s="611"/>
      <c r="K182" s="614"/>
      <c r="L182" s="618">
        <v>0</v>
      </c>
      <c r="M182" s="616"/>
      <c r="N182" s="56"/>
      <c r="O182" s="611"/>
      <c r="P182" s="617"/>
      <c r="Q182" s="618">
        <v>88512</v>
      </c>
      <c r="R182" s="616"/>
      <c r="S182" s="56"/>
      <c r="T182" s="611"/>
      <c r="U182" s="617"/>
      <c r="V182" s="618">
        <v>0</v>
      </c>
      <c r="W182" s="616"/>
      <c r="X182" s="56"/>
      <c r="Y182" s="611"/>
      <c r="Z182" s="617"/>
      <c r="AA182" s="618">
        <v>0</v>
      </c>
      <c r="AB182" s="616"/>
      <c r="AC182" s="56"/>
      <c r="AD182" s="611"/>
      <c r="AE182" s="617"/>
      <c r="AF182" s="618">
        <v>0</v>
      </c>
      <c r="AG182" s="616"/>
      <c r="AH182" s="56"/>
      <c r="AI182" s="611"/>
      <c r="AJ182" s="617"/>
      <c r="AK182" s="618">
        <v>0</v>
      </c>
      <c r="AL182" s="616"/>
      <c r="AM182" s="56"/>
      <c r="AN182" s="611"/>
      <c r="AO182" s="617"/>
      <c r="AP182" s="618">
        <v>0</v>
      </c>
      <c r="AQ182" s="616"/>
      <c r="AR182" s="56"/>
      <c r="AS182" s="611"/>
      <c r="AT182" s="617"/>
      <c r="AU182" s="618">
        <v>0</v>
      </c>
      <c r="AV182" s="616"/>
      <c r="AW182" s="56"/>
      <c r="AX182" s="611"/>
      <c r="AY182" s="617"/>
      <c r="AZ182" s="618">
        <v>0</v>
      </c>
      <c r="BA182" s="616"/>
      <c r="BB182" s="56"/>
      <c r="BC182" s="611"/>
      <c r="BD182" s="617"/>
      <c r="BE182" s="618">
        <v>0</v>
      </c>
      <c r="BF182" s="616"/>
      <c r="BG182" s="56"/>
      <c r="BH182" s="611"/>
      <c r="BI182" s="617"/>
      <c r="BJ182" s="618">
        <v>0</v>
      </c>
      <c r="BK182" s="616"/>
      <c r="BL182" s="56"/>
      <c r="BM182" s="611"/>
      <c r="BN182" s="617"/>
      <c r="BO182" s="618">
        <v>0</v>
      </c>
      <c r="BP182" s="616"/>
      <c r="BQ182" s="56"/>
      <c r="BR182" s="611"/>
      <c r="BS182" s="614"/>
      <c r="BT182" s="618">
        <f>SUM(L182:BO182)</f>
        <v>88512</v>
      </c>
      <c r="BU182" s="616"/>
      <c r="BV182" s="56"/>
      <c r="BW182" s="611"/>
      <c r="BX182" s="614"/>
      <c r="BY182" s="618">
        <v>99343</v>
      </c>
      <c r="BZ182" s="616"/>
      <c r="CA182" s="56"/>
      <c r="CB182" s="611"/>
      <c r="CC182" s="614"/>
      <c r="CD182" s="618">
        <v>0</v>
      </c>
      <c r="CE182" s="616"/>
      <c r="CF182" s="56"/>
      <c r="CG182" s="611"/>
      <c r="CH182" s="617"/>
      <c r="CI182" s="618">
        <v>0</v>
      </c>
      <c r="CJ182" s="616"/>
      <c r="CK182" s="56"/>
      <c r="CL182" s="611"/>
      <c r="CM182" s="617"/>
      <c r="CN182" s="618">
        <v>0</v>
      </c>
      <c r="CO182" s="616"/>
      <c r="CP182" s="56"/>
      <c r="CQ182" s="611"/>
      <c r="CR182" s="617"/>
      <c r="CS182" s="618">
        <v>0</v>
      </c>
      <c r="CT182" s="616"/>
      <c r="CU182" s="56"/>
      <c r="CV182" s="611"/>
      <c r="CW182" s="617"/>
      <c r="CX182" s="618">
        <v>0</v>
      </c>
      <c r="CY182" s="616"/>
      <c r="CZ182" s="56"/>
      <c r="DA182" s="611"/>
      <c r="DB182" s="617"/>
      <c r="DC182" s="618">
        <v>0</v>
      </c>
      <c r="DD182" s="616"/>
      <c r="DE182" s="56"/>
      <c r="DF182" s="611"/>
      <c r="DG182" s="617"/>
      <c r="DH182" s="618">
        <v>0</v>
      </c>
      <c r="DI182" s="616"/>
      <c r="DJ182" s="56"/>
      <c r="DK182" s="611"/>
      <c r="DL182" s="617"/>
      <c r="DM182" s="618">
        <v>0</v>
      </c>
      <c r="DN182" s="616"/>
      <c r="DO182" s="56"/>
      <c r="DP182" s="611"/>
      <c r="DQ182" s="617"/>
      <c r="DR182" s="618">
        <v>0</v>
      </c>
      <c r="DS182" s="616"/>
      <c r="DT182" s="56"/>
      <c r="DU182" s="611"/>
      <c r="DV182" s="617"/>
      <c r="DW182" s="618">
        <v>0</v>
      </c>
      <c r="DX182" s="616"/>
      <c r="DY182" s="56"/>
      <c r="DZ182" s="611"/>
      <c r="EA182" s="617"/>
      <c r="EB182" s="618">
        <v>0</v>
      </c>
      <c r="EC182" s="616"/>
      <c r="ED182" s="56"/>
      <c r="EE182" s="611"/>
      <c r="EF182" s="617"/>
      <c r="EG182" s="618">
        <v>99343</v>
      </c>
      <c r="EH182" s="616"/>
      <c r="EI182" s="56"/>
      <c r="EJ182" s="611"/>
      <c r="EK182" s="614"/>
      <c r="EL182" s="618">
        <f t="shared" ref="EL182" si="22">SUM(CD182:DW182)</f>
        <v>0</v>
      </c>
      <c r="EM182" s="616"/>
      <c r="EO182" s="144"/>
      <c r="EP182" s="42"/>
      <c r="EQ182" s="42"/>
    </row>
    <row r="183" spans="4:147" hidden="1" x14ac:dyDescent="0.3">
      <c r="D183" s="144"/>
      <c r="E183" s="494"/>
      <c r="G183" s="56"/>
      <c r="H183" s="56"/>
      <c r="I183" s="56"/>
      <c r="J183" s="611"/>
      <c r="L183" s="56"/>
      <c r="M183" s="56"/>
      <c r="N183" s="56"/>
      <c r="O183" s="611"/>
      <c r="Q183" s="56"/>
      <c r="R183" s="56"/>
      <c r="S183" s="56"/>
      <c r="T183" s="611"/>
      <c r="V183" s="56"/>
      <c r="W183" s="56"/>
      <c r="X183" s="56"/>
      <c r="Y183" s="611"/>
      <c r="AA183" s="56"/>
      <c r="AB183" s="56"/>
      <c r="AC183" s="56"/>
      <c r="AD183" s="611"/>
      <c r="AF183" s="56"/>
      <c r="AG183" s="56"/>
      <c r="AH183" s="56"/>
      <c r="AI183" s="611"/>
      <c r="AK183" s="56"/>
      <c r="AL183" s="56"/>
      <c r="AM183" s="56"/>
      <c r="AN183" s="611"/>
      <c r="AP183" s="56"/>
      <c r="AQ183" s="56"/>
      <c r="AR183" s="56"/>
      <c r="AS183" s="611"/>
      <c r="AU183" s="56"/>
      <c r="AV183" s="56"/>
      <c r="AW183" s="56"/>
      <c r="AX183" s="611"/>
      <c r="AZ183" s="56"/>
      <c r="BA183" s="56"/>
      <c r="BB183" s="56"/>
      <c r="BC183" s="611"/>
      <c r="BE183" s="56"/>
      <c r="BF183" s="56"/>
      <c r="BG183" s="56"/>
      <c r="BH183" s="611"/>
      <c r="BJ183" s="56"/>
      <c r="BK183" s="56"/>
      <c r="BL183" s="56"/>
      <c r="BM183" s="611"/>
      <c r="BO183" s="56"/>
      <c r="BP183" s="56"/>
      <c r="BQ183" s="56"/>
      <c r="BR183" s="611"/>
      <c r="BT183" s="56"/>
      <c r="BU183" s="56"/>
      <c r="BV183" s="56"/>
      <c r="BW183" s="611"/>
      <c r="BY183" s="56"/>
      <c r="BZ183" s="56"/>
      <c r="CA183" s="56"/>
      <c r="CB183" s="611"/>
      <c r="CD183" s="56"/>
      <c r="CE183" s="56"/>
      <c r="CF183" s="56"/>
      <c r="CG183" s="611"/>
      <c r="CI183" s="56"/>
      <c r="CJ183" s="56"/>
      <c r="CK183" s="56"/>
      <c r="CL183" s="611"/>
      <c r="CN183" s="56"/>
      <c r="CO183" s="56"/>
      <c r="CP183" s="56"/>
      <c r="CQ183" s="611"/>
      <c r="CS183" s="56"/>
      <c r="CT183" s="56"/>
      <c r="CU183" s="56"/>
      <c r="CV183" s="611"/>
      <c r="CX183" s="56"/>
      <c r="CY183" s="56"/>
      <c r="CZ183" s="56"/>
      <c r="DA183" s="611"/>
      <c r="DC183" s="56"/>
      <c r="DD183" s="56"/>
      <c r="DE183" s="56"/>
      <c r="DF183" s="611"/>
      <c r="DH183" s="56"/>
      <c r="DI183" s="56"/>
      <c r="DJ183" s="56"/>
      <c r="DK183" s="611"/>
      <c r="DM183" s="56"/>
      <c r="DN183" s="56"/>
      <c r="DO183" s="56"/>
      <c r="DP183" s="611"/>
      <c r="DR183" s="56"/>
      <c r="DS183" s="56"/>
      <c r="DT183" s="56"/>
      <c r="DU183" s="611"/>
      <c r="DW183" s="56"/>
      <c r="DX183" s="56"/>
      <c r="DY183" s="56"/>
      <c r="DZ183" s="611"/>
      <c r="EB183" s="56"/>
      <c r="EC183" s="56"/>
      <c r="ED183" s="56"/>
      <c r="EE183" s="611"/>
      <c r="EG183" s="56"/>
      <c r="EH183" s="56"/>
      <c r="EI183" s="56"/>
      <c r="EJ183" s="611"/>
      <c r="EL183" s="56"/>
      <c r="EM183" s="56"/>
      <c r="EO183" s="144"/>
      <c r="EP183" s="42"/>
      <c r="EQ183" s="42"/>
    </row>
    <row r="184" spans="4:147" hidden="1" x14ac:dyDescent="0.3">
      <c r="D184" s="144" t="s">
        <v>364</v>
      </c>
      <c r="E184" s="494"/>
      <c r="G184" s="56">
        <f>SUM(G185:G185)</f>
        <v>0</v>
      </c>
      <c r="H184" s="56"/>
      <c r="I184" s="56"/>
      <c r="J184" s="611"/>
      <c r="K184" s="56"/>
      <c r="L184" s="56">
        <f>SUM(L185:L185)</f>
        <v>0</v>
      </c>
      <c r="M184" s="56"/>
      <c r="N184" s="56"/>
      <c r="O184" s="611"/>
      <c r="P184" s="56"/>
      <c r="Q184" s="56">
        <f>SUM(Q185:Q185)</f>
        <v>0</v>
      </c>
      <c r="R184" s="56"/>
      <c r="S184" s="56"/>
      <c r="T184" s="611"/>
      <c r="U184" s="56"/>
      <c r="V184" s="56">
        <f>SUM(V185:V185)</f>
        <v>0</v>
      </c>
      <c r="W184" s="56"/>
      <c r="X184" s="56"/>
      <c r="Y184" s="611"/>
      <c r="Z184" s="56"/>
      <c r="AA184" s="56">
        <f>SUM(AA185:AA185)</f>
        <v>0</v>
      </c>
      <c r="AB184" s="56"/>
      <c r="AC184" s="56"/>
      <c r="AD184" s="611"/>
      <c r="AE184" s="56"/>
      <c r="AF184" s="56">
        <f>SUM(AF185:AF185)</f>
        <v>0</v>
      </c>
      <c r="AG184" s="56"/>
      <c r="AH184" s="56"/>
      <c r="AI184" s="611"/>
      <c r="AJ184" s="56"/>
      <c r="AK184" s="56">
        <f>SUM(AK185:AK185)</f>
        <v>0</v>
      </c>
      <c r="AL184" s="56"/>
      <c r="AM184" s="56"/>
      <c r="AN184" s="611"/>
      <c r="AO184" s="56"/>
      <c r="AP184" s="56">
        <f>SUM(AP185:AP185)</f>
        <v>0</v>
      </c>
      <c r="AQ184" s="56"/>
      <c r="AR184" s="56"/>
      <c r="AS184" s="611"/>
      <c r="AT184" s="56"/>
      <c r="AU184" s="56">
        <f>SUM(AU185:AU185)</f>
        <v>0</v>
      </c>
      <c r="AV184" s="56"/>
      <c r="AW184" s="56"/>
      <c r="AX184" s="611"/>
      <c r="AY184" s="56"/>
      <c r="AZ184" s="56">
        <f>SUM(AZ185:AZ185)</f>
        <v>0</v>
      </c>
      <c r="BA184" s="56"/>
      <c r="BB184" s="56"/>
      <c r="BC184" s="611"/>
      <c r="BD184" s="56"/>
      <c r="BE184" s="56">
        <f>SUM(BE185:BE185)</f>
        <v>0</v>
      </c>
      <c r="BF184" s="56"/>
      <c r="BG184" s="56"/>
      <c r="BH184" s="611"/>
      <c r="BI184" s="56"/>
      <c r="BJ184" s="56">
        <f>SUM(BJ185:BJ185)</f>
        <v>0</v>
      </c>
      <c r="BK184" s="56"/>
      <c r="BL184" s="56"/>
      <c r="BM184" s="611"/>
      <c r="BN184" s="56"/>
      <c r="BO184" s="56">
        <f>SUM(BO185:BO185)</f>
        <v>0</v>
      </c>
      <c r="BP184" s="56"/>
      <c r="BQ184" s="56"/>
      <c r="BR184" s="611"/>
      <c r="BT184" s="56">
        <f>SUM(BT185:BT185)</f>
        <v>0</v>
      </c>
      <c r="BU184" s="56"/>
      <c r="BV184" s="56"/>
      <c r="BW184" s="611"/>
      <c r="BY184" s="56">
        <f>SUM(BY185:BY185)</f>
        <v>0</v>
      </c>
      <c r="BZ184" s="56"/>
      <c r="CA184" s="56"/>
      <c r="CB184" s="611"/>
      <c r="CC184" s="56"/>
      <c r="CD184" s="56">
        <f>SUM(CD185:CD185)</f>
        <v>0</v>
      </c>
      <c r="CE184" s="56"/>
      <c r="CF184" s="56"/>
      <c r="CG184" s="611"/>
      <c r="CH184" s="56"/>
      <c r="CI184" s="56">
        <f>SUM(CI185:CI185)</f>
        <v>0</v>
      </c>
      <c r="CJ184" s="56"/>
      <c r="CK184" s="56"/>
      <c r="CL184" s="611"/>
      <c r="CM184" s="56"/>
      <c r="CN184" s="56">
        <f>SUM(CN185:CN185)</f>
        <v>0</v>
      </c>
      <c r="CO184" s="56"/>
      <c r="CP184" s="56"/>
      <c r="CQ184" s="611"/>
      <c r="CR184" s="56"/>
      <c r="CS184" s="56">
        <f>SUM(CS185:CS185)</f>
        <v>0</v>
      </c>
      <c r="CT184" s="56"/>
      <c r="CU184" s="56"/>
      <c r="CV184" s="611"/>
      <c r="CW184" s="56"/>
      <c r="CX184" s="56">
        <f>SUM(CX185:CX185)</f>
        <v>0</v>
      </c>
      <c r="CY184" s="56"/>
      <c r="CZ184" s="56"/>
      <c r="DA184" s="611"/>
      <c r="DB184" s="56"/>
      <c r="DC184" s="56">
        <f>SUM(DC185:DC185)</f>
        <v>0</v>
      </c>
      <c r="DD184" s="56"/>
      <c r="DE184" s="56"/>
      <c r="DF184" s="611"/>
      <c r="DG184" s="56"/>
      <c r="DH184" s="56">
        <f>SUM(DH185:DH185)</f>
        <v>0</v>
      </c>
      <c r="DI184" s="56"/>
      <c r="DJ184" s="56"/>
      <c r="DK184" s="611"/>
      <c r="DL184" s="56"/>
      <c r="DM184" s="56">
        <f>SUM(DM185:DM185)</f>
        <v>0</v>
      </c>
      <c r="DN184" s="56"/>
      <c r="DO184" s="56"/>
      <c r="DP184" s="611"/>
      <c r="DQ184" s="56"/>
      <c r="DR184" s="56">
        <f>SUM(DR185:DR185)</f>
        <v>0</v>
      </c>
      <c r="DS184" s="56"/>
      <c r="DT184" s="56"/>
      <c r="DU184" s="611"/>
      <c r="DV184" s="56"/>
      <c r="DW184" s="56">
        <f>SUM(DW185:DW185)</f>
        <v>0</v>
      </c>
      <c r="DX184" s="56"/>
      <c r="DY184" s="56"/>
      <c r="DZ184" s="611"/>
      <c r="EA184" s="56"/>
      <c r="EB184" s="56">
        <f>SUM(EB185:EB185)</f>
        <v>0</v>
      </c>
      <c r="EC184" s="56"/>
      <c r="ED184" s="56"/>
      <c r="EE184" s="611"/>
      <c r="EF184" s="56"/>
      <c r="EG184" s="56">
        <f>SUM(EG185:EG185)</f>
        <v>0</v>
      </c>
      <c r="EH184" s="56"/>
      <c r="EI184" s="56"/>
      <c r="EJ184" s="611"/>
      <c r="EL184" s="56">
        <f>SUM(EL185:EL185)</f>
        <v>0</v>
      </c>
      <c r="EM184" s="56"/>
      <c r="EO184" s="144"/>
      <c r="EP184" s="42"/>
      <c r="EQ184" s="42"/>
    </row>
    <row r="185" spans="4:147" hidden="1" x14ac:dyDescent="0.3">
      <c r="D185" s="144" t="s">
        <v>335</v>
      </c>
      <c r="E185" s="494"/>
      <c r="F185" s="614"/>
      <c r="G185" s="618">
        <v>0</v>
      </c>
      <c r="H185" s="616"/>
      <c r="I185" s="56"/>
      <c r="J185" s="611"/>
      <c r="K185" s="614"/>
      <c r="L185" s="618">
        <v>0</v>
      </c>
      <c r="M185" s="616"/>
      <c r="N185" s="56"/>
      <c r="O185" s="611"/>
      <c r="P185" s="617"/>
      <c r="Q185" s="618">
        <v>0</v>
      </c>
      <c r="R185" s="616"/>
      <c r="S185" s="56"/>
      <c r="T185" s="611"/>
      <c r="U185" s="617"/>
      <c r="V185" s="618">
        <v>0</v>
      </c>
      <c r="W185" s="616"/>
      <c r="X185" s="56"/>
      <c r="Y185" s="611"/>
      <c r="Z185" s="617"/>
      <c r="AA185" s="618">
        <v>0</v>
      </c>
      <c r="AB185" s="616"/>
      <c r="AC185" s="56"/>
      <c r="AD185" s="611"/>
      <c r="AE185" s="617"/>
      <c r="AF185" s="618">
        <v>0</v>
      </c>
      <c r="AG185" s="616"/>
      <c r="AH185" s="56"/>
      <c r="AI185" s="611"/>
      <c r="AJ185" s="617"/>
      <c r="AK185" s="618">
        <v>0</v>
      </c>
      <c r="AL185" s="616"/>
      <c r="AM185" s="56"/>
      <c r="AN185" s="611"/>
      <c r="AO185" s="617"/>
      <c r="AP185" s="618">
        <v>0</v>
      </c>
      <c r="AQ185" s="616"/>
      <c r="AR185" s="56"/>
      <c r="AS185" s="611"/>
      <c r="AT185" s="617"/>
      <c r="AU185" s="618">
        <v>0</v>
      </c>
      <c r="AV185" s="616"/>
      <c r="AW185" s="56"/>
      <c r="AX185" s="611"/>
      <c r="AY185" s="617"/>
      <c r="AZ185" s="618">
        <v>0</v>
      </c>
      <c r="BA185" s="616"/>
      <c r="BB185" s="56"/>
      <c r="BC185" s="611"/>
      <c r="BD185" s="617"/>
      <c r="BE185" s="618">
        <v>0</v>
      </c>
      <c r="BF185" s="616"/>
      <c r="BG185" s="56"/>
      <c r="BH185" s="611"/>
      <c r="BI185" s="617"/>
      <c r="BJ185" s="618">
        <v>0</v>
      </c>
      <c r="BK185" s="616"/>
      <c r="BL185" s="56"/>
      <c r="BM185" s="611"/>
      <c r="BN185" s="617"/>
      <c r="BO185" s="618">
        <v>0</v>
      </c>
      <c r="BP185" s="616"/>
      <c r="BQ185" s="56"/>
      <c r="BR185" s="611"/>
      <c r="BS185" s="614"/>
      <c r="BT185" s="618">
        <f>SUM(L185:BO185)</f>
        <v>0</v>
      </c>
      <c r="BU185" s="616"/>
      <c r="BV185" s="56"/>
      <c r="BW185" s="611"/>
      <c r="BX185" s="614"/>
      <c r="BY185" s="618">
        <v>0</v>
      </c>
      <c r="BZ185" s="616"/>
      <c r="CA185" s="56"/>
      <c r="CB185" s="611"/>
      <c r="CC185" s="614"/>
      <c r="CD185" s="618">
        <v>0</v>
      </c>
      <c r="CE185" s="616"/>
      <c r="CF185" s="56"/>
      <c r="CG185" s="611"/>
      <c r="CH185" s="617"/>
      <c r="CI185" s="618">
        <v>0</v>
      </c>
      <c r="CJ185" s="616"/>
      <c r="CK185" s="56"/>
      <c r="CL185" s="611"/>
      <c r="CM185" s="617"/>
      <c r="CN185" s="618">
        <v>0</v>
      </c>
      <c r="CO185" s="616"/>
      <c r="CP185" s="56"/>
      <c r="CQ185" s="611"/>
      <c r="CR185" s="617"/>
      <c r="CS185" s="618">
        <v>0</v>
      </c>
      <c r="CT185" s="616"/>
      <c r="CU185" s="56"/>
      <c r="CV185" s="611"/>
      <c r="CW185" s="617"/>
      <c r="CX185" s="618">
        <v>0</v>
      </c>
      <c r="CY185" s="616"/>
      <c r="CZ185" s="56"/>
      <c r="DA185" s="611"/>
      <c r="DB185" s="617"/>
      <c r="DC185" s="618">
        <v>0</v>
      </c>
      <c r="DD185" s="616"/>
      <c r="DE185" s="56"/>
      <c r="DF185" s="611"/>
      <c r="DG185" s="617"/>
      <c r="DH185" s="618">
        <v>0</v>
      </c>
      <c r="DI185" s="616"/>
      <c r="DJ185" s="56"/>
      <c r="DK185" s="611"/>
      <c r="DL185" s="617"/>
      <c r="DM185" s="618">
        <v>0</v>
      </c>
      <c r="DN185" s="616"/>
      <c r="DO185" s="56"/>
      <c r="DP185" s="611"/>
      <c r="DQ185" s="617"/>
      <c r="DR185" s="618">
        <v>0</v>
      </c>
      <c r="DS185" s="616"/>
      <c r="DT185" s="56"/>
      <c r="DU185" s="611"/>
      <c r="DV185" s="617"/>
      <c r="DW185" s="618">
        <v>0</v>
      </c>
      <c r="DX185" s="616"/>
      <c r="DY185" s="56"/>
      <c r="DZ185" s="611"/>
      <c r="EA185" s="617"/>
      <c r="EB185" s="618">
        <v>0</v>
      </c>
      <c r="EC185" s="616"/>
      <c r="ED185" s="56"/>
      <c r="EE185" s="611"/>
      <c r="EF185" s="617"/>
      <c r="EG185" s="618">
        <v>0</v>
      </c>
      <c r="EH185" s="616"/>
      <c r="EI185" s="56"/>
      <c r="EJ185" s="611"/>
      <c r="EK185" s="614"/>
      <c r="EL185" s="618">
        <f>SUM(CD185:EG185)</f>
        <v>0</v>
      </c>
      <c r="EM185" s="616"/>
      <c r="EO185" s="144"/>
      <c r="EP185" s="42"/>
      <c r="EQ185" s="42"/>
    </row>
    <row r="186" spans="4:147" hidden="1" x14ac:dyDescent="0.3">
      <c r="D186" s="144"/>
      <c r="E186" s="494"/>
      <c r="G186" s="56"/>
      <c r="H186" s="56"/>
      <c r="I186" s="56"/>
      <c r="J186" s="611"/>
      <c r="L186" s="56"/>
      <c r="M186" s="56"/>
      <c r="N186" s="56"/>
      <c r="O186" s="611"/>
      <c r="Q186" s="56"/>
      <c r="R186" s="56"/>
      <c r="S186" s="56"/>
      <c r="T186" s="611"/>
      <c r="V186" s="56"/>
      <c r="W186" s="56"/>
      <c r="X186" s="56"/>
      <c r="Y186" s="611"/>
      <c r="AA186" s="56"/>
      <c r="AB186" s="56"/>
      <c r="AC186" s="56"/>
      <c r="AD186" s="611"/>
      <c r="AF186" s="56"/>
      <c r="AG186" s="56"/>
      <c r="AH186" s="56"/>
      <c r="AI186" s="611"/>
      <c r="AK186" s="56"/>
      <c r="AL186" s="56"/>
      <c r="AM186" s="56"/>
      <c r="AN186" s="611"/>
      <c r="AP186" s="56"/>
      <c r="AQ186" s="56"/>
      <c r="AR186" s="56"/>
      <c r="AS186" s="611"/>
      <c r="AU186" s="56"/>
      <c r="AV186" s="56"/>
      <c r="AW186" s="56"/>
      <c r="AX186" s="611"/>
      <c r="AZ186" s="56"/>
      <c r="BA186" s="56"/>
      <c r="BB186" s="56"/>
      <c r="BC186" s="611"/>
      <c r="BE186" s="56"/>
      <c r="BF186" s="56"/>
      <c r="BG186" s="56"/>
      <c r="BH186" s="611"/>
      <c r="BJ186" s="56"/>
      <c r="BK186" s="56"/>
      <c r="BL186" s="56"/>
      <c r="BM186" s="611"/>
      <c r="BO186" s="56"/>
      <c r="BP186" s="56"/>
      <c r="BQ186" s="56"/>
      <c r="BR186" s="611"/>
      <c r="BT186" s="56"/>
      <c r="BU186" s="56"/>
      <c r="BV186" s="56"/>
      <c r="BW186" s="611"/>
      <c r="BY186" s="56"/>
      <c r="BZ186" s="56"/>
      <c r="CA186" s="56"/>
      <c r="CB186" s="611"/>
      <c r="CD186" s="56"/>
      <c r="CE186" s="56"/>
      <c r="CF186" s="56"/>
      <c r="CG186" s="611"/>
      <c r="CI186" s="56"/>
      <c r="CJ186" s="56"/>
      <c r="CK186" s="56"/>
      <c r="CL186" s="611"/>
      <c r="CN186" s="56"/>
      <c r="CO186" s="56"/>
      <c r="CP186" s="56"/>
      <c r="CQ186" s="611"/>
      <c r="CS186" s="56"/>
      <c r="CT186" s="56"/>
      <c r="CU186" s="56"/>
      <c r="CV186" s="611"/>
      <c r="CX186" s="56"/>
      <c r="CY186" s="56"/>
      <c r="CZ186" s="56"/>
      <c r="DA186" s="611"/>
      <c r="DC186" s="56"/>
      <c r="DD186" s="56"/>
      <c r="DE186" s="56"/>
      <c r="DF186" s="611"/>
      <c r="DH186" s="56"/>
      <c r="DI186" s="56"/>
      <c r="DJ186" s="56"/>
      <c r="DK186" s="611"/>
      <c r="DM186" s="56"/>
      <c r="DN186" s="56"/>
      <c r="DO186" s="56"/>
      <c r="DP186" s="611"/>
      <c r="DR186" s="56"/>
      <c r="DS186" s="56"/>
      <c r="DT186" s="56"/>
      <c r="DU186" s="611"/>
      <c r="DW186" s="56"/>
      <c r="DX186" s="56"/>
      <c r="DY186" s="56"/>
      <c r="DZ186" s="611"/>
      <c r="EB186" s="56"/>
      <c r="EC186" s="56"/>
      <c r="ED186" s="56"/>
      <c r="EE186" s="611"/>
      <c r="EG186" s="56"/>
      <c r="EH186" s="56"/>
      <c r="EI186" s="56"/>
      <c r="EJ186" s="611"/>
      <c r="EL186" s="56"/>
      <c r="EM186" s="56"/>
      <c r="EO186" s="144"/>
      <c r="EP186" s="42"/>
      <c r="EQ186" s="42"/>
    </row>
    <row r="187" spans="4:147" hidden="1" x14ac:dyDescent="0.3">
      <c r="D187" s="144" t="s">
        <v>364</v>
      </c>
      <c r="E187" s="494"/>
      <c r="G187" s="56">
        <f>SUM(G188:G188)</f>
        <v>0</v>
      </c>
      <c r="H187" s="56"/>
      <c r="I187" s="56"/>
      <c r="J187" s="611"/>
      <c r="K187" s="56"/>
      <c r="L187" s="56">
        <f>SUM(L188:L188)</f>
        <v>0</v>
      </c>
      <c r="M187" s="56"/>
      <c r="N187" s="56"/>
      <c r="O187" s="611"/>
      <c r="P187" s="56"/>
      <c r="Q187" s="56">
        <f>SUM(Q188:Q188)</f>
        <v>0</v>
      </c>
      <c r="R187" s="56"/>
      <c r="S187" s="56"/>
      <c r="T187" s="611"/>
      <c r="U187" s="56"/>
      <c r="V187" s="56">
        <f>SUM(V188:V188)</f>
        <v>0</v>
      </c>
      <c r="W187" s="56"/>
      <c r="X187" s="56"/>
      <c r="Y187" s="611"/>
      <c r="Z187" s="56"/>
      <c r="AA187" s="56">
        <f>SUM(AA188:AA188)</f>
        <v>0</v>
      </c>
      <c r="AB187" s="56"/>
      <c r="AC187" s="56"/>
      <c r="AD187" s="611"/>
      <c r="AE187" s="56"/>
      <c r="AF187" s="56">
        <f>SUM(AF188:AF188)</f>
        <v>0</v>
      </c>
      <c r="AG187" s="56"/>
      <c r="AH187" s="56"/>
      <c r="AI187" s="611"/>
      <c r="AJ187" s="56"/>
      <c r="AK187" s="56">
        <f>SUM(AK188:AK188)</f>
        <v>0</v>
      </c>
      <c r="AL187" s="56"/>
      <c r="AM187" s="56"/>
      <c r="AN187" s="611"/>
      <c r="AO187" s="56"/>
      <c r="AP187" s="56">
        <f>SUM(AP188:AP188)</f>
        <v>0</v>
      </c>
      <c r="AQ187" s="56"/>
      <c r="AR187" s="56"/>
      <c r="AS187" s="611"/>
      <c r="AT187" s="56"/>
      <c r="AU187" s="56">
        <f>SUM(AU188:AU188)</f>
        <v>0</v>
      </c>
      <c r="AV187" s="56"/>
      <c r="AW187" s="56"/>
      <c r="AX187" s="611"/>
      <c r="AY187" s="56"/>
      <c r="AZ187" s="56">
        <f>SUM(AZ188:AZ188)</f>
        <v>0</v>
      </c>
      <c r="BA187" s="56"/>
      <c r="BB187" s="56"/>
      <c r="BC187" s="611"/>
      <c r="BD187" s="56"/>
      <c r="BE187" s="56">
        <f>SUM(BE188:BE188)</f>
        <v>0</v>
      </c>
      <c r="BF187" s="56"/>
      <c r="BG187" s="56"/>
      <c r="BH187" s="611"/>
      <c r="BI187" s="56"/>
      <c r="BJ187" s="56">
        <f>SUM(BJ188:BJ188)</f>
        <v>0</v>
      </c>
      <c r="BK187" s="56"/>
      <c r="BL187" s="56"/>
      <c r="BM187" s="611"/>
      <c r="BN187" s="56"/>
      <c r="BO187" s="56">
        <f>SUM(BO188:BO188)</f>
        <v>0</v>
      </c>
      <c r="BP187" s="56"/>
      <c r="BQ187" s="56"/>
      <c r="BR187" s="611"/>
      <c r="BT187" s="56">
        <f>SUM(BT188:BT188)</f>
        <v>0</v>
      </c>
      <c r="BU187" s="56"/>
      <c r="BV187" s="56"/>
      <c r="BW187" s="611"/>
      <c r="BY187" s="56">
        <f>SUM(BY188:BY188)</f>
        <v>0</v>
      </c>
      <c r="BZ187" s="56"/>
      <c r="CA187" s="56"/>
      <c r="CB187" s="611"/>
      <c r="CC187" s="56"/>
      <c r="CD187" s="56">
        <f>SUM(CD188:CD188)</f>
        <v>0</v>
      </c>
      <c r="CE187" s="56"/>
      <c r="CF187" s="56"/>
      <c r="CG187" s="611"/>
      <c r="CH187" s="56"/>
      <c r="CI187" s="56">
        <f>SUM(CI188:CI188)</f>
        <v>0</v>
      </c>
      <c r="CJ187" s="56"/>
      <c r="CK187" s="56"/>
      <c r="CL187" s="611"/>
      <c r="CM187" s="56"/>
      <c r="CN187" s="56">
        <f>SUM(CN188:CN188)</f>
        <v>0</v>
      </c>
      <c r="CO187" s="56"/>
      <c r="CP187" s="56"/>
      <c r="CQ187" s="611"/>
      <c r="CR187" s="56"/>
      <c r="CS187" s="56">
        <f>SUM(CS188:CS188)</f>
        <v>0</v>
      </c>
      <c r="CT187" s="56"/>
      <c r="CU187" s="56"/>
      <c r="CV187" s="611"/>
      <c r="CW187" s="56"/>
      <c r="CX187" s="56">
        <f>SUM(CX188:CX188)</f>
        <v>0</v>
      </c>
      <c r="CY187" s="56"/>
      <c r="CZ187" s="56"/>
      <c r="DA187" s="611"/>
      <c r="DB187" s="56"/>
      <c r="DC187" s="56">
        <f>SUM(DC188:DC188)</f>
        <v>0</v>
      </c>
      <c r="DD187" s="56"/>
      <c r="DE187" s="56"/>
      <c r="DF187" s="611"/>
      <c r="DG187" s="56"/>
      <c r="DH187" s="56">
        <f>SUM(DH188:DH188)</f>
        <v>0</v>
      </c>
      <c r="DI187" s="56"/>
      <c r="DJ187" s="56"/>
      <c r="DK187" s="611"/>
      <c r="DL187" s="56"/>
      <c r="DM187" s="56">
        <f>SUM(DM188:DM188)</f>
        <v>0</v>
      </c>
      <c r="DN187" s="56"/>
      <c r="DO187" s="56"/>
      <c r="DP187" s="611"/>
      <c r="DQ187" s="56"/>
      <c r="DR187" s="56">
        <f>SUM(DR188:DR188)</f>
        <v>0</v>
      </c>
      <c r="DS187" s="56"/>
      <c r="DT187" s="56"/>
      <c r="DU187" s="611"/>
      <c r="DV187" s="56"/>
      <c r="DW187" s="56">
        <f>SUM(DW188:DW188)</f>
        <v>0</v>
      </c>
      <c r="DX187" s="56"/>
      <c r="DY187" s="56"/>
      <c r="DZ187" s="611"/>
      <c r="EA187" s="56"/>
      <c r="EB187" s="56">
        <f>SUM(EB188:EB188)</f>
        <v>0</v>
      </c>
      <c r="EC187" s="56"/>
      <c r="ED187" s="56"/>
      <c r="EE187" s="611"/>
      <c r="EF187" s="56"/>
      <c r="EG187" s="56">
        <f>SUM(EG188:EG188)</f>
        <v>0</v>
      </c>
      <c r="EH187" s="56"/>
      <c r="EI187" s="56"/>
      <c r="EJ187" s="611"/>
      <c r="EL187" s="56">
        <f>SUM(EL188:EL188)</f>
        <v>0</v>
      </c>
      <c r="EM187" s="56"/>
      <c r="EO187" s="144"/>
      <c r="EP187" s="42"/>
      <c r="EQ187" s="42"/>
    </row>
    <row r="188" spans="4:147" hidden="1" x14ac:dyDescent="0.3">
      <c r="D188" s="144" t="s">
        <v>335</v>
      </c>
      <c r="E188" s="494"/>
      <c r="F188" s="614"/>
      <c r="G188" s="618">
        <v>0</v>
      </c>
      <c r="H188" s="616"/>
      <c r="I188" s="56"/>
      <c r="J188" s="611"/>
      <c r="K188" s="614"/>
      <c r="L188" s="618">
        <v>0</v>
      </c>
      <c r="M188" s="616"/>
      <c r="N188" s="56"/>
      <c r="O188" s="611"/>
      <c r="P188" s="617"/>
      <c r="Q188" s="618">
        <v>0</v>
      </c>
      <c r="R188" s="616"/>
      <c r="S188" s="56"/>
      <c r="T188" s="611"/>
      <c r="U188" s="617"/>
      <c r="V188" s="618">
        <v>0</v>
      </c>
      <c r="W188" s="616"/>
      <c r="X188" s="56"/>
      <c r="Y188" s="611"/>
      <c r="Z188" s="617"/>
      <c r="AA188" s="618">
        <v>0</v>
      </c>
      <c r="AB188" s="616"/>
      <c r="AC188" s="56"/>
      <c r="AD188" s="611"/>
      <c r="AE188" s="617"/>
      <c r="AF188" s="618">
        <v>0</v>
      </c>
      <c r="AG188" s="616"/>
      <c r="AH188" s="56"/>
      <c r="AI188" s="611"/>
      <c r="AJ188" s="617"/>
      <c r="AK188" s="618">
        <v>0</v>
      </c>
      <c r="AL188" s="616"/>
      <c r="AM188" s="56"/>
      <c r="AN188" s="611"/>
      <c r="AO188" s="617"/>
      <c r="AP188" s="618">
        <v>0</v>
      </c>
      <c r="AQ188" s="616"/>
      <c r="AR188" s="56"/>
      <c r="AS188" s="611"/>
      <c r="AT188" s="617"/>
      <c r="AU188" s="618">
        <v>0</v>
      </c>
      <c r="AV188" s="616"/>
      <c r="AW188" s="56"/>
      <c r="AX188" s="611"/>
      <c r="AY188" s="617"/>
      <c r="AZ188" s="618">
        <v>0</v>
      </c>
      <c r="BA188" s="616"/>
      <c r="BB188" s="56"/>
      <c r="BC188" s="611"/>
      <c r="BD188" s="617"/>
      <c r="BE188" s="618">
        <v>0</v>
      </c>
      <c r="BF188" s="616"/>
      <c r="BG188" s="56"/>
      <c r="BH188" s="611"/>
      <c r="BI188" s="617"/>
      <c r="BJ188" s="618">
        <v>0</v>
      </c>
      <c r="BK188" s="616"/>
      <c r="BL188" s="56"/>
      <c r="BM188" s="611"/>
      <c r="BN188" s="617"/>
      <c r="BO188" s="618">
        <v>0</v>
      </c>
      <c r="BP188" s="616"/>
      <c r="BQ188" s="56"/>
      <c r="BR188" s="611"/>
      <c r="BS188" s="614"/>
      <c r="BT188" s="618">
        <f>SUM(L188:BO188)</f>
        <v>0</v>
      </c>
      <c r="BU188" s="616"/>
      <c r="BV188" s="56"/>
      <c r="BW188" s="611"/>
      <c r="BX188" s="614"/>
      <c r="BY188" s="618">
        <v>0</v>
      </c>
      <c r="BZ188" s="616"/>
      <c r="CA188" s="56"/>
      <c r="CB188" s="611"/>
      <c r="CC188" s="614"/>
      <c r="CD188" s="618">
        <v>0</v>
      </c>
      <c r="CE188" s="616"/>
      <c r="CF188" s="56"/>
      <c r="CG188" s="611"/>
      <c r="CH188" s="617"/>
      <c r="CI188" s="618">
        <v>0</v>
      </c>
      <c r="CJ188" s="616"/>
      <c r="CK188" s="56"/>
      <c r="CL188" s="611"/>
      <c r="CM188" s="617"/>
      <c r="CN188" s="618">
        <v>0</v>
      </c>
      <c r="CO188" s="616"/>
      <c r="CP188" s="56"/>
      <c r="CQ188" s="611"/>
      <c r="CR188" s="617"/>
      <c r="CS188" s="618">
        <v>0</v>
      </c>
      <c r="CT188" s="616"/>
      <c r="CU188" s="56"/>
      <c r="CV188" s="611"/>
      <c r="CW188" s="617"/>
      <c r="CX188" s="618">
        <v>0</v>
      </c>
      <c r="CY188" s="616"/>
      <c r="CZ188" s="56"/>
      <c r="DA188" s="611"/>
      <c r="DB188" s="617"/>
      <c r="DC188" s="618">
        <v>0</v>
      </c>
      <c r="DD188" s="616"/>
      <c r="DE188" s="56"/>
      <c r="DF188" s="611"/>
      <c r="DG188" s="617"/>
      <c r="DH188" s="618">
        <v>0</v>
      </c>
      <c r="DI188" s="616"/>
      <c r="DJ188" s="56"/>
      <c r="DK188" s="611"/>
      <c r="DL188" s="617"/>
      <c r="DM188" s="618">
        <v>0</v>
      </c>
      <c r="DN188" s="616"/>
      <c r="DO188" s="56"/>
      <c r="DP188" s="611"/>
      <c r="DQ188" s="617"/>
      <c r="DR188" s="618">
        <v>0</v>
      </c>
      <c r="DS188" s="616"/>
      <c r="DT188" s="56"/>
      <c r="DU188" s="611"/>
      <c r="DV188" s="617"/>
      <c r="DW188" s="618">
        <v>0</v>
      </c>
      <c r="DX188" s="616"/>
      <c r="DY188" s="56"/>
      <c r="DZ188" s="611"/>
      <c r="EA188" s="617"/>
      <c r="EB188" s="618">
        <v>0</v>
      </c>
      <c r="EC188" s="616"/>
      <c r="ED188" s="56"/>
      <c r="EE188" s="611"/>
      <c r="EF188" s="617"/>
      <c r="EG188" s="618">
        <v>0</v>
      </c>
      <c r="EH188" s="616"/>
      <c r="EI188" s="56"/>
      <c r="EJ188" s="611"/>
      <c r="EK188" s="614"/>
      <c r="EL188" s="618">
        <f>SUM(CD188:EG188)</f>
        <v>0</v>
      </c>
      <c r="EM188" s="616"/>
      <c r="EO188" s="144"/>
      <c r="EP188" s="42"/>
      <c r="EQ188" s="42"/>
    </row>
    <row r="189" spans="4:147" hidden="1" x14ac:dyDescent="0.3">
      <c r="D189" s="624"/>
      <c r="E189" s="494"/>
      <c r="G189" s="56"/>
      <c r="H189" s="56"/>
      <c r="I189" s="56"/>
      <c r="J189" s="611"/>
      <c r="K189" s="56"/>
      <c r="L189" s="56"/>
      <c r="M189" s="56"/>
      <c r="N189" s="56"/>
      <c r="O189" s="611"/>
      <c r="P189" s="56"/>
      <c r="Q189" s="56"/>
      <c r="R189" s="56"/>
      <c r="S189" s="56"/>
      <c r="T189" s="611"/>
      <c r="U189" s="56"/>
      <c r="V189" s="56"/>
      <c r="W189" s="56"/>
      <c r="X189" s="56"/>
      <c r="Y189" s="611"/>
      <c r="Z189" s="56"/>
      <c r="AA189" s="56"/>
      <c r="AB189" s="56"/>
      <c r="AC189" s="56"/>
      <c r="AD189" s="611"/>
      <c r="AE189" s="56"/>
      <c r="AF189" s="56"/>
      <c r="AG189" s="56"/>
      <c r="AH189" s="56"/>
      <c r="AI189" s="611"/>
      <c r="AJ189" s="56"/>
      <c r="AK189" s="56"/>
      <c r="AL189" s="56"/>
      <c r="AM189" s="56"/>
      <c r="AN189" s="611"/>
      <c r="AO189" s="56"/>
      <c r="AP189" s="56"/>
      <c r="AQ189" s="56"/>
      <c r="AR189" s="56"/>
      <c r="AS189" s="611"/>
      <c r="AT189" s="56"/>
      <c r="AU189" s="56"/>
      <c r="AV189" s="56"/>
      <c r="AW189" s="56"/>
      <c r="AX189" s="611"/>
      <c r="AY189" s="56"/>
      <c r="AZ189" s="56"/>
      <c r="BA189" s="56"/>
      <c r="BB189" s="56"/>
      <c r="BC189" s="611"/>
      <c r="BD189" s="56"/>
      <c r="BE189" s="56"/>
      <c r="BF189" s="56"/>
      <c r="BG189" s="56"/>
      <c r="BH189" s="611"/>
      <c r="BI189" s="56"/>
      <c r="BJ189" s="56"/>
      <c r="BK189" s="56"/>
      <c r="BL189" s="56"/>
      <c r="BM189" s="611"/>
      <c r="BN189" s="56"/>
      <c r="BO189" s="56"/>
      <c r="BP189" s="56"/>
      <c r="BQ189" s="56"/>
      <c r="BR189" s="611"/>
      <c r="BS189" s="56"/>
      <c r="BT189" s="56"/>
      <c r="BU189" s="56"/>
      <c r="BV189" s="56"/>
      <c r="BW189" s="611"/>
      <c r="BX189" s="56"/>
      <c r="BY189" s="56"/>
      <c r="BZ189" s="56"/>
      <c r="CA189" s="56"/>
      <c r="CB189" s="611"/>
      <c r="CC189" s="56"/>
      <c r="CD189" s="56"/>
      <c r="CE189" s="56"/>
      <c r="CF189" s="56"/>
      <c r="CG189" s="611"/>
      <c r="CH189" s="56"/>
      <c r="CI189" s="56"/>
      <c r="CJ189" s="56"/>
      <c r="CK189" s="56"/>
      <c r="CL189" s="611"/>
      <c r="CM189" s="56"/>
      <c r="CN189" s="56"/>
      <c r="CO189" s="56"/>
      <c r="CP189" s="56"/>
      <c r="CQ189" s="611"/>
      <c r="CR189" s="56"/>
      <c r="CS189" s="56"/>
      <c r="CT189" s="56"/>
      <c r="CU189" s="56"/>
      <c r="CV189" s="611"/>
      <c r="CW189" s="56"/>
      <c r="CX189" s="56"/>
      <c r="CY189" s="56"/>
      <c r="CZ189" s="56"/>
      <c r="DA189" s="611"/>
      <c r="DB189" s="56"/>
      <c r="DC189" s="56"/>
      <c r="DD189" s="56"/>
      <c r="DE189" s="56"/>
      <c r="DF189" s="611"/>
      <c r="DG189" s="56"/>
      <c r="DH189" s="56"/>
      <c r="DI189" s="56"/>
      <c r="DJ189" s="56"/>
      <c r="DK189" s="611"/>
      <c r="DL189" s="56"/>
      <c r="DM189" s="56"/>
      <c r="DN189" s="56"/>
      <c r="DO189" s="56"/>
      <c r="DP189" s="611"/>
      <c r="DQ189" s="56"/>
      <c r="DR189" s="56"/>
      <c r="DS189" s="56"/>
      <c r="DT189" s="56"/>
      <c r="DU189" s="611"/>
      <c r="DV189" s="56"/>
      <c r="DW189" s="56"/>
      <c r="DX189" s="56"/>
      <c r="DY189" s="56"/>
      <c r="DZ189" s="611"/>
      <c r="EA189" s="56"/>
      <c r="EB189" s="56"/>
      <c r="EC189" s="56"/>
      <c r="ED189" s="56"/>
      <c r="EE189" s="611"/>
      <c r="EF189" s="56"/>
      <c r="EG189" s="56"/>
      <c r="EH189" s="56"/>
      <c r="EI189" s="56"/>
      <c r="EJ189" s="611"/>
      <c r="EK189" s="56"/>
      <c r="EL189" s="56"/>
      <c r="EN189" s="625"/>
      <c r="EO189" s="144"/>
      <c r="EP189" s="42"/>
      <c r="EQ189" s="42"/>
    </row>
    <row r="190" spans="4:147" s="42" customFormat="1" hidden="1" x14ac:dyDescent="0.3">
      <c r="D190" s="234" t="s">
        <v>407</v>
      </c>
      <c r="E190" s="496"/>
      <c r="G190" s="44">
        <v>0</v>
      </c>
      <c r="H190" s="44"/>
      <c r="I190" s="44"/>
      <c r="J190" s="607"/>
      <c r="K190" s="44"/>
      <c r="L190" s="44">
        <f>SUM(L191:L193)</f>
        <v>0</v>
      </c>
      <c r="M190" s="44"/>
      <c r="N190" s="44"/>
      <c r="O190" s="607"/>
      <c r="P190" s="44"/>
      <c r="Q190" s="44">
        <f>SUM(Q191:Q193)</f>
        <v>0</v>
      </c>
      <c r="R190" s="44"/>
      <c r="S190" s="44"/>
      <c r="T190" s="607"/>
      <c r="U190" s="44"/>
      <c r="V190" s="44">
        <f>SUM(V191:V193)</f>
        <v>0</v>
      </c>
      <c r="W190" s="44"/>
      <c r="X190" s="44"/>
      <c r="Y190" s="607"/>
      <c r="Z190" s="44"/>
      <c r="AA190" s="44">
        <f>SUM(AA191:AA193)</f>
        <v>0</v>
      </c>
      <c r="AB190" s="44"/>
      <c r="AC190" s="44"/>
      <c r="AD190" s="607"/>
      <c r="AE190" s="44"/>
      <c r="AF190" s="44">
        <f>SUM(AF191:AF193)</f>
        <v>0</v>
      </c>
      <c r="AG190" s="44"/>
      <c r="AH190" s="44"/>
      <c r="AI190" s="607"/>
      <c r="AJ190" s="44"/>
      <c r="AK190" s="44">
        <f>SUM(AK191:AK193)</f>
        <v>0</v>
      </c>
      <c r="AL190" s="44"/>
      <c r="AM190" s="44"/>
      <c r="AN190" s="607"/>
      <c r="AO190" s="44"/>
      <c r="AP190" s="44">
        <f>SUM(AP191:AP193)</f>
        <v>0</v>
      </c>
      <c r="AQ190" s="44"/>
      <c r="AR190" s="44"/>
      <c r="AS190" s="607"/>
      <c r="AT190" s="44"/>
      <c r="AU190" s="44">
        <f>SUM(AU191:AU193)</f>
        <v>0</v>
      </c>
      <c r="AV190" s="44"/>
      <c r="AW190" s="44"/>
      <c r="AX190" s="607"/>
      <c r="AY190" s="44"/>
      <c r="AZ190" s="44">
        <f>SUM(AZ191:AZ193)</f>
        <v>0</v>
      </c>
      <c r="BA190" s="44"/>
      <c r="BB190" s="44"/>
      <c r="BC190" s="607"/>
      <c r="BD190" s="44"/>
      <c r="BE190" s="44">
        <f>SUM(BE191:BE193)</f>
        <v>0</v>
      </c>
      <c r="BF190" s="44"/>
      <c r="BG190" s="44"/>
      <c r="BH190" s="607"/>
      <c r="BI190" s="44"/>
      <c r="BJ190" s="44">
        <f>SUM(BJ191:BJ193)</f>
        <v>0</v>
      </c>
      <c r="BK190" s="44"/>
      <c r="BL190" s="44"/>
      <c r="BM190" s="607"/>
      <c r="BN190" s="44"/>
      <c r="BO190" s="44">
        <f>SUM(BO191:BO193)</f>
        <v>0</v>
      </c>
      <c r="BP190" s="44"/>
      <c r="BQ190" s="44"/>
      <c r="BR190" s="607"/>
      <c r="BS190" s="44"/>
      <c r="BT190" s="44">
        <f>SUM(BT191:BT193)</f>
        <v>0</v>
      </c>
      <c r="BU190" s="44"/>
      <c r="BV190" s="44"/>
      <c r="BW190" s="607"/>
      <c r="BX190" s="44"/>
      <c r="BY190" s="44">
        <v>0</v>
      </c>
      <c r="BZ190" s="44"/>
      <c r="CA190" s="44"/>
      <c r="CB190" s="607"/>
      <c r="CC190" s="44"/>
      <c r="CD190" s="44">
        <f>SUM(CD191:CD193)</f>
        <v>0</v>
      </c>
      <c r="CE190" s="44"/>
      <c r="CF190" s="44"/>
      <c r="CG190" s="607"/>
      <c r="CH190" s="44"/>
      <c r="CI190" s="44">
        <f>SUM(CI191:CI193)</f>
        <v>0</v>
      </c>
      <c r="CJ190" s="44"/>
      <c r="CK190" s="44"/>
      <c r="CL190" s="607"/>
      <c r="CM190" s="44"/>
      <c r="CN190" s="44">
        <f>SUM(CN191:CN193)</f>
        <v>0</v>
      </c>
      <c r="CO190" s="44"/>
      <c r="CP190" s="44"/>
      <c r="CQ190" s="607"/>
      <c r="CR190" s="44"/>
      <c r="CS190" s="44">
        <f>SUM(CS191:CS193)</f>
        <v>0</v>
      </c>
      <c r="CT190" s="44"/>
      <c r="CU190" s="44"/>
      <c r="CV190" s="607"/>
      <c r="CW190" s="44"/>
      <c r="CX190" s="44">
        <f>SUM(CX191:CX193)</f>
        <v>0</v>
      </c>
      <c r="CY190" s="44"/>
      <c r="CZ190" s="44"/>
      <c r="DA190" s="607"/>
      <c r="DB190" s="44"/>
      <c r="DC190" s="44">
        <f>SUM(DC191:DC193)</f>
        <v>0</v>
      </c>
      <c r="DD190" s="44"/>
      <c r="DE190" s="44"/>
      <c r="DF190" s="607"/>
      <c r="DG190" s="44"/>
      <c r="DH190" s="44">
        <f>SUM(DH191:DH193)</f>
        <v>0</v>
      </c>
      <c r="DI190" s="44"/>
      <c r="DJ190" s="44"/>
      <c r="DK190" s="607"/>
      <c r="DL190" s="44"/>
      <c r="DM190" s="44">
        <f>SUM(DM191:DM193)</f>
        <v>0</v>
      </c>
      <c r="DN190" s="44"/>
      <c r="DO190" s="44"/>
      <c r="DP190" s="607"/>
      <c r="DQ190" s="44"/>
      <c r="DR190" s="44">
        <f>SUM(DR191:DR193)</f>
        <v>0</v>
      </c>
      <c r="DS190" s="44"/>
      <c r="DT190" s="44"/>
      <c r="DU190" s="607"/>
      <c r="DV190" s="44"/>
      <c r="DW190" s="44">
        <f>SUM(DW191:DW193)</f>
        <v>0</v>
      </c>
      <c r="DX190" s="44"/>
      <c r="DY190" s="44"/>
      <c r="DZ190" s="607"/>
      <c r="EA190" s="44"/>
      <c r="EB190" s="44">
        <f>SUM(EB191:EB193)</f>
        <v>0</v>
      </c>
      <c r="EC190" s="44"/>
      <c r="ED190" s="44"/>
      <c r="EE190" s="607"/>
      <c r="EF190" s="44"/>
      <c r="EG190" s="44">
        <f>SUM(EG191:EG193)</f>
        <v>0</v>
      </c>
      <c r="EH190" s="44"/>
      <c r="EI190" s="56"/>
      <c r="EJ190" s="611"/>
      <c r="EK190" s="44"/>
      <c r="EL190" s="44">
        <f>SUM(EL191:EL193)</f>
        <v>0</v>
      </c>
      <c r="EO190" s="234"/>
    </row>
    <row r="191" spans="4:147" hidden="1" x14ac:dyDescent="0.3">
      <c r="D191" s="144" t="s">
        <v>335</v>
      </c>
      <c r="E191" s="494"/>
      <c r="F191" s="500"/>
      <c r="G191" s="609">
        <f>G201+G221</f>
        <v>0</v>
      </c>
      <c r="H191" s="610"/>
      <c r="I191" s="56"/>
      <c r="J191" s="611"/>
      <c r="K191" s="612"/>
      <c r="L191" s="609">
        <f>L201+L221</f>
        <v>0</v>
      </c>
      <c r="M191" s="610"/>
      <c r="N191" s="56"/>
      <c r="O191" s="611"/>
      <c r="P191" s="612"/>
      <c r="Q191" s="609">
        <f>Q201+Q221</f>
        <v>0</v>
      </c>
      <c r="R191" s="610"/>
      <c r="S191" s="56"/>
      <c r="T191" s="611"/>
      <c r="U191" s="612"/>
      <c r="V191" s="609">
        <f>V201+V221</f>
        <v>0</v>
      </c>
      <c r="W191" s="610"/>
      <c r="X191" s="56"/>
      <c r="Y191" s="611"/>
      <c r="Z191" s="612"/>
      <c r="AA191" s="609">
        <f>AA201+AA221</f>
        <v>0</v>
      </c>
      <c r="AB191" s="610"/>
      <c r="AC191" s="56"/>
      <c r="AD191" s="611"/>
      <c r="AE191" s="612"/>
      <c r="AF191" s="609">
        <f>AF201+AF221</f>
        <v>0</v>
      </c>
      <c r="AG191" s="610"/>
      <c r="AH191" s="56"/>
      <c r="AI191" s="611"/>
      <c r="AJ191" s="612"/>
      <c r="AK191" s="609">
        <f>AK201+AK221</f>
        <v>0</v>
      </c>
      <c r="AL191" s="610"/>
      <c r="AM191" s="56"/>
      <c r="AN191" s="611"/>
      <c r="AO191" s="612"/>
      <c r="AP191" s="609">
        <f>AP201+AP221</f>
        <v>0</v>
      </c>
      <c r="AQ191" s="610"/>
      <c r="AR191" s="56"/>
      <c r="AS191" s="611"/>
      <c r="AT191" s="612"/>
      <c r="AU191" s="609">
        <f>AU201+AU221</f>
        <v>0</v>
      </c>
      <c r="AV191" s="610"/>
      <c r="AW191" s="56"/>
      <c r="AX191" s="611"/>
      <c r="AY191" s="612"/>
      <c r="AZ191" s="609">
        <f>AZ201+AZ221</f>
        <v>0</v>
      </c>
      <c r="BA191" s="610"/>
      <c r="BB191" s="56"/>
      <c r="BC191" s="611"/>
      <c r="BD191" s="612"/>
      <c r="BE191" s="609">
        <f>BE201+BE221</f>
        <v>0</v>
      </c>
      <c r="BF191" s="610"/>
      <c r="BG191" s="56"/>
      <c r="BH191" s="611"/>
      <c r="BI191" s="612"/>
      <c r="BJ191" s="609">
        <f>BJ201+BJ221</f>
        <v>0</v>
      </c>
      <c r="BK191" s="610"/>
      <c r="BL191" s="56"/>
      <c r="BM191" s="611"/>
      <c r="BN191" s="612"/>
      <c r="BO191" s="609">
        <f>BO201+BO221</f>
        <v>0</v>
      </c>
      <c r="BP191" s="610"/>
      <c r="BQ191" s="56"/>
      <c r="BR191" s="611"/>
      <c r="BS191" s="612"/>
      <c r="BT191" s="609">
        <f>BT201+BT196+BT221+BT206+BT211+BT216</f>
        <v>0</v>
      </c>
      <c r="BU191" s="610"/>
      <c r="BV191" s="56"/>
      <c r="BW191" s="611"/>
      <c r="BX191" s="612"/>
      <c r="BY191" s="609">
        <f>BY201+BY221</f>
        <v>0</v>
      </c>
      <c r="BZ191" s="610"/>
      <c r="CA191" s="56"/>
      <c r="CB191" s="611"/>
      <c r="CC191" s="612"/>
      <c r="CD191" s="609">
        <f>CD201+CD221</f>
        <v>0</v>
      </c>
      <c r="CE191" s="610"/>
      <c r="CF191" s="56"/>
      <c r="CG191" s="611"/>
      <c r="CH191" s="612"/>
      <c r="CI191" s="609">
        <f>CI201+CI221</f>
        <v>0</v>
      </c>
      <c r="CJ191" s="610"/>
      <c r="CK191" s="56"/>
      <c r="CL191" s="611"/>
      <c r="CM191" s="612"/>
      <c r="CN191" s="609">
        <f>CN201+CN221</f>
        <v>0</v>
      </c>
      <c r="CO191" s="610"/>
      <c r="CP191" s="56"/>
      <c r="CQ191" s="611"/>
      <c r="CR191" s="612"/>
      <c r="CS191" s="609">
        <f>CS201+CS221</f>
        <v>0</v>
      </c>
      <c r="CT191" s="610"/>
      <c r="CU191" s="56"/>
      <c r="CV191" s="611"/>
      <c r="CW191" s="612"/>
      <c r="CX191" s="609">
        <f>CX201+CX221</f>
        <v>0</v>
      </c>
      <c r="CY191" s="610"/>
      <c r="CZ191" s="56"/>
      <c r="DA191" s="611"/>
      <c r="DB191" s="612"/>
      <c r="DC191" s="609">
        <f>DC201+DC221</f>
        <v>0</v>
      </c>
      <c r="DD191" s="610"/>
      <c r="DE191" s="56"/>
      <c r="DF191" s="611"/>
      <c r="DG191" s="612"/>
      <c r="DH191" s="609">
        <f>DH201+DH221</f>
        <v>0</v>
      </c>
      <c r="DI191" s="610"/>
      <c r="DJ191" s="56"/>
      <c r="DK191" s="611"/>
      <c r="DL191" s="612"/>
      <c r="DM191" s="609">
        <f>DM201+DM221</f>
        <v>0</v>
      </c>
      <c r="DN191" s="610"/>
      <c r="DO191" s="56"/>
      <c r="DP191" s="611"/>
      <c r="DQ191" s="612"/>
      <c r="DR191" s="609">
        <f>DR201+DR221</f>
        <v>0</v>
      </c>
      <c r="DS191" s="610"/>
      <c r="DT191" s="56"/>
      <c r="DU191" s="611"/>
      <c r="DV191" s="612"/>
      <c r="DW191" s="609">
        <f>DW201+DW221</f>
        <v>0</v>
      </c>
      <c r="DX191" s="610"/>
      <c r="DY191" s="56"/>
      <c r="DZ191" s="611"/>
      <c r="EA191" s="612"/>
      <c r="EB191" s="609">
        <f>EB201+EB221</f>
        <v>0</v>
      </c>
      <c r="EC191" s="610"/>
      <c r="ED191" s="56"/>
      <c r="EE191" s="611"/>
      <c r="EF191" s="612"/>
      <c r="EG191" s="609">
        <f>EG201+EG221</f>
        <v>0</v>
      </c>
      <c r="EH191" s="610"/>
      <c r="EI191" s="56"/>
      <c r="EJ191" s="611"/>
      <c r="EK191" s="612"/>
      <c r="EL191" s="609">
        <f>EL201+EL196+EL221+EL206+EL211+EL216</f>
        <v>0</v>
      </c>
      <c r="EM191" s="610"/>
      <c r="EO191" s="144"/>
      <c r="EP191" s="42"/>
      <c r="EQ191" s="42"/>
    </row>
    <row r="192" spans="4:147" hidden="1" x14ac:dyDescent="0.3">
      <c r="D192" s="144" t="s">
        <v>408</v>
      </c>
      <c r="E192" s="494"/>
      <c r="F192" s="494"/>
      <c r="G192" s="56">
        <f>G202+G222</f>
        <v>0</v>
      </c>
      <c r="H192" s="55"/>
      <c r="I192" s="56"/>
      <c r="J192" s="611"/>
      <c r="K192" s="611"/>
      <c r="L192" s="56">
        <f>L202+L222</f>
        <v>0</v>
      </c>
      <c r="M192" s="55"/>
      <c r="N192" s="56"/>
      <c r="O192" s="611"/>
      <c r="P192" s="611"/>
      <c r="Q192" s="56">
        <f>Q202+Q222</f>
        <v>0</v>
      </c>
      <c r="R192" s="55"/>
      <c r="S192" s="56"/>
      <c r="T192" s="611"/>
      <c r="U192" s="611"/>
      <c r="V192" s="56">
        <f>V202+V222</f>
        <v>0</v>
      </c>
      <c r="W192" s="55"/>
      <c r="X192" s="56"/>
      <c r="Y192" s="611"/>
      <c r="Z192" s="611"/>
      <c r="AA192" s="56">
        <f>AA202+AA222</f>
        <v>0</v>
      </c>
      <c r="AB192" s="55"/>
      <c r="AC192" s="56"/>
      <c r="AD192" s="611"/>
      <c r="AE192" s="611"/>
      <c r="AF192" s="56">
        <f>AF202+AF222</f>
        <v>0</v>
      </c>
      <c r="AG192" s="55"/>
      <c r="AH192" s="56"/>
      <c r="AI192" s="611"/>
      <c r="AJ192" s="611"/>
      <c r="AK192" s="56">
        <f>AK202+AK222</f>
        <v>0</v>
      </c>
      <c r="AL192" s="55"/>
      <c r="AM192" s="56"/>
      <c r="AN192" s="611"/>
      <c r="AO192" s="611"/>
      <c r="AP192" s="56">
        <f>AP202+AP222</f>
        <v>0</v>
      </c>
      <c r="AQ192" s="55"/>
      <c r="AR192" s="56"/>
      <c r="AS192" s="611"/>
      <c r="AT192" s="611"/>
      <c r="AU192" s="56">
        <f>AU202+AU222</f>
        <v>0</v>
      </c>
      <c r="AV192" s="55"/>
      <c r="AW192" s="56"/>
      <c r="AX192" s="611"/>
      <c r="AY192" s="611"/>
      <c r="AZ192" s="56">
        <f>AZ202+AZ222</f>
        <v>0</v>
      </c>
      <c r="BA192" s="55"/>
      <c r="BB192" s="56"/>
      <c r="BC192" s="611"/>
      <c r="BD192" s="611"/>
      <c r="BE192" s="56">
        <f>BE202+BE222</f>
        <v>0</v>
      </c>
      <c r="BF192" s="55"/>
      <c r="BG192" s="56"/>
      <c r="BH192" s="611"/>
      <c r="BI192" s="611"/>
      <c r="BJ192" s="56">
        <f>BJ202+BJ222</f>
        <v>0</v>
      </c>
      <c r="BK192" s="55"/>
      <c r="BL192" s="56"/>
      <c r="BM192" s="611"/>
      <c r="BN192" s="611"/>
      <c r="BO192" s="56">
        <f>BO202+BO222</f>
        <v>0</v>
      </c>
      <c r="BP192" s="55"/>
      <c r="BQ192" s="56"/>
      <c r="BR192" s="611"/>
      <c r="BS192" s="611"/>
      <c r="BT192" s="56">
        <f>BT202+BT197+BT207+BT212+BT222+BT217</f>
        <v>0</v>
      </c>
      <c r="BU192" s="55"/>
      <c r="BV192" s="56"/>
      <c r="BW192" s="611"/>
      <c r="BX192" s="611"/>
      <c r="BY192" s="56">
        <f>BY202+BY222</f>
        <v>0</v>
      </c>
      <c r="BZ192" s="55"/>
      <c r="CA192" s="56"/>
      <c r="CB192" s="611"/>
      <c r="CC192" s="611"/>
      <c r="CD192" s="56">
        <f>CD202+CD222</f>
        <v>0</v>
      </c>
      <c r="CE192" s="55"/>
      <c r="CF192" s="56"/>
      <c r="CG192" s="611"/>
      <c r="CH192" s="611"/>
      <c r="CI192" s="56">
        <f>CI202+CI222</f>
        <v>0</v>
      </c>
      <c r="CJ192" s="55"/>
      <c r="CK192" s="56"/>
      <c r="CL192" s="611"/>
      <c r="CM192" s="611"/>
      <c r="CN192" s="56">
        <f>CN202+CN222</f>
        <v>0</v>
      </c>
      <c r="CO192" s="55"/>
      <c r="CP192" s="56"/>
      <c r="CQ192" s="611"/>
      <c r="CR192" s="611"/>
      <c r="CS192" s="56">
        <f>CS202+CS222</f>
        <v>0</v>
      </c>
      <c r="CT192" s="55"/>
      <c r="CU192" s="56"/>
      <c r="CV192" s="611"/>
      <c r="CW192" s="611"/>
      <c r="CX192" s="56">
        <f>CX202+CX222</f>
        <v>0</v>
      </c>
      <c r="CY192" s="55"/>
      <c r="CZ192" s="56"/>
      <c r="DA192" s="611"/>
      <c r="DB192" s="611"/>
      <c r="DC192" s="56">
        <f>DC202+DC222</f>
        <v>0</v>
      </c>
      <c r="DD192" s="55"/>
      <c r="DE192" s="56"/>
      <c r="DF192" s="611"/>
      <c r="DG192" s="611"/>
      <c r="DH192" s="56">
        <f>DH202+DH222</f>
        <v>0</v>
      </c>
      <c r="DI192" s="55"/>
      <c r="DJ192" s="56"/>
      <c r="DK192" s="611"/>
      <c r="DL192" s="611"/>
      <c r="DM192" s="56">
        <f>DM202+DM222</f>
        <v>0</v>
      </c>
      <c r="DN192" s="55"/>
      <c r="DO192" s="56"/>
      <c r="DP192" s="611"/>
      <c r="DQ192" s="611"/>
      <c r="DR192" s="56">
        <f>DR202+DR222</f>
        <v>0</v>
      </c>
      <c r="DS192" s="55"/>
      <c r="DT192" s="56"/>
      <c r="DU192" s="611"/>
      <c r="DV192" s="611"/>
      <c r="DW192" s="56">
        <f>DW202+DW222</f>
        <v>0</v>
      </c>
      <c r="DX192" s="55"/>
      <c r="DY192" s="56"/>
      <c r="DZ192" s="611"/>
      <c r="EA192" s="611"/>
      <c r="EB192" s="56">
        <f>EB202+EB222</f>
        <v>0</v>
      </c>
      <c r="EC192" s="55"/>
      <c r="ED192" s="56"/>
      <c r="EE192" s="611"/>
      <c r="EF192" s="611"/>
      <c r="EG192" s="56">
        <f>EG202+EG222</f>
        <v>0</v>
      </c>
      <c r="EH192" s="55"/>
      <c r="EI192" s="56"/>
      <c r="EJ192" s="611"/>
      <c r="EK192" s="611"/>
      <c r="EL192" s="56">
        <f>EL202+EL197+EL207+EL212+EL222+EL217</f>
        <v>0</v>
      </c>
      <c r="EM192" s="55"/>
      <c r="EO192" s="144"/>
      <c r="EP192" s="42"/>
      <c r="EQ192" s="42"/>
    </row>
    <row r="193" spans="4:147" hidden="1" x14ac:dyDescent="0.3">
      <c r="D193" s="144" t="s">
        <v>409</v>
      </c>
      <c r="E193" s="494"/>
      <c r="F193" s="513"/>
      <c r="G193" s="117">
        <f>G203+G223</f>
        <v>0</v>
      </c>
      <c r="H193" s="116"/>
      <c r="I193" s="56"/>
      <c r="J193" s="611"/>
      <c r="K193" s="620"/>
      <c r="L193" s="117">
        <f>L203+L223</f>
        <v>0</v>
      </c>
      <c r="M193" s="116"/>
      <c r="N193" s="56"/>
      <c r="O193" s="611"/>
      <c r="P193" s="620"/>
      <c r="Q193" s="117">
        <f>Q203+Q223</f>
        <v>0</v>
      </c>
      <c r="R193" s="116"/>
      <c r="S193" s="56"/>
      <c r="T193" s="611"/>
      <c r="U193" s="620"/>
      <c r="V193" s="117">
        <f>V203+V223</f>
        <v>0</v>
      </c>
      <c r="W193" s="116"/>
      <c r="X193" s="56"/>
      <c r="Y193" s="611"/>
      <c r="Z193" s="620"/>
      <c r="AA193" s="117">
        <f>AA203+AA223</f>
        <v>0</v>
      </c>
      <c r="AB193" s="116"/>
      <c r="AC193" s="56"/>
      <c r="AD193" s="611"/>
      <c r="AE193" s="620"/>
      <c r="AF193" s="117">
        <f>AF203+AF223</f>
        <v>0</v>
      </c>
      <c r="AG193" s="116"/>
      <c r="AH193" s="56"/>
      <c r="AI193" s="611"/>
      <c r="AJ193" s="620"/>
      <c r="AK193" s="117">
        <f>AK203+AK223</f>
        <v>0</v>
      </c>
      <c r="AL193" s="116"/>
      <c r="AM193" s="56"/>
      <c r="AN193" s="611"/>
      <c r="AO193" s="620"/>
      <c r="AP193" s="117">
        <f>AP203+AP223</f>
        <v>0</v>
      </c>
      <c r="AQ193" s="116"/>
      <c r="AR193" s="56"/>
      <c r="AS193" s="611"/>
      <c r="AT193" s="620"/>
      <c r="AU193" s="117">
        <f>AU203+AU223</f>
        <v>0</v>
      </c>
      <c r="AV193" s="116"/>
      <c r="AW193" s="56"/>
      <c r="AX193" s="611"/>
      <c r="AY193" s="620"/>
      <c r="AZ193" s="117">
        <f>AZ203+AZ223</f>
        <v>0</v>
      </c>
      <c r="BA193" s="116"/>
      <c r="BB193" s="56"/>
      <c r="BC193" s="611"/>
      <c r="BD193" s="620"/>
      <c r="BE193" s="117">
        <f>BE203+BE223</f>
        <v>0</v>
      </c>
      <c r="BF193" s="116"/>
      <c r="BG193" s="56"/>
      <c r="BH193" s="611"/>
      <c r="BI193" s="620"/>
      <c r="BJ193" s="117">
        <f>BJ203+BJ223</f>
        <v>0</v>
      </c>
      <c r="BK193" s="116"/>
      <c r="BL193" s="56"/>
      <c r="BM193" s="611"/>
      <c r="BN193" s="620"/>
      <c r="BO193" s="117">
        <f>BO203+BO223</f>
        <v>0</v>
      </c>
      <c r="BP193" s="116"/>
      <c r="BQ193" s="56"/>
      <c r="BR193" s="611"/>
      <c r="BS193" s="620"/>
      <c r="BT193" s="117">
        <f>BT203+BT198+BT223+BT208+BT213+BT218</f>
        <v>0</v>
      </c>
      <c r="BU193" s="116"/>
      <c r="BV193" s="56"/>
      <c r="BW193" s="611"/>
      <c r="BX193" s="620"/>
      <c r="BY193" s="117">
        <f>BY203+BY223</f>
        <v>0</v>
      </c>
      <c r="BZ193" s="116"/>
      <c r="CA193" s="56"/>
      <c r="CB193" s="611"/>
      <c r="CC193" s="620"/>
      <c r="CD193" s="117">
        <f>CD203+CD223</f>
        <v>0</v>
      </c>
      <c r="CE193" s="116"/>
      <c r="CF193" s="56"/>
      <c r="CG193" s="611"/>
      <c r="CH193" s="620"/>
      <c r="CI193" s="117">
        <f>CI203+CI223</f>
        <v>0</v>
      </c>
      <c r="CJ193" s="116"/>
      <c r="CK193" s="56"/>
      <c r="CL193" s="611"/>
      <c r="CM193" s="620"/>
      <c r="CN193" s="117">
        <f>CN203+CN223</f>
        <v>0</v>
      </c>
      <c r="CO193" s="116"/>
      <c r="CP193" s="56"/>
      <c r="CQ193" s="611"/>
      <c r="CR193" s="620"/>
      <c r="CS193" s="117">
        <f>CS203+CS223</f>
        <v>0</v>
      </c>
      <c r="CT193" s="116"/>
      <c r="CU193" s="56"/>
      <c r="CV193" s="611"/>
      <c r="CW193" s="620"/>
      <c r="CX193" s="117">
        <f>CX203+CX223</f>
        <v>0</v>
      </c>
      <c r="CY193" s="116"/>
      <c r="CZ193" s="56"/>
      <c r="DA193" s="611"/>
      <c r="DB193" s="620"/>
      <c r="DC193" s="117">
        <f>DC203+DC223</f>
        <v>0</v>
      </c>
      <c r="DD193" s="116"/>
      <c r="DE193" s="56"/>
      <c r="DF193" s="611"/>
      <c r="DG193" s="620"/>
      <c r="DH193" s="117">
        <f>DH203+DH223</f>
        <v>0</v>
      </c>
      <c r="DI193" s="116"/>
      <c r="DJ193" s="56"/>
      <c r="DK193" s="611"/>
      <c r="DL193" s="620"/>
      <c r="DM193" s="117">
        <f>DM203+DM223</f>
        <v>0</v>
      </c>
      <c r="DN193" s="116"/>
      <c r="DO193" s="56"/>
      <c r="DP193" s="611"/>
      <c r="DQ193" s="620"/>
      <c r="DR193" s="117">
        <f>DR203+DR223</f>
        <v>0</v>
      </c>
      <c r="DS193" s="116"/>
      <c r="DT193" s="56"/>
      <c r="DU193" s="611"/>
      <c r="DV193" s="620"/>
      <c r="DW193" s="117">
        <f>DW203+DW223</f>
        <v>0</v>
      </c>
      <c r="DX193" s="116"/>
      <c r="DY193" s="56"/>
      <c r="DZ193" s="611"/>
      <c r="EA193" s="620"/>
      <c r="EB193" s="117">
        <f>EB203+EB223</f>
        <v>0</v>
      </c>
      <c r="EC193" s="116"/>
      <c r="ED193" s="56"/>
      <c r="EE193" s="611"/>
      <c r="EF193" s="620"/>
      <c r="EG193" s="117">
        <f>EG203+EG223</f>
        <v>0</v>
      </c>
      <c r="EH193" s="116"/>
      <c r="EI193" s="56"/>
      <c r="EJ193" s="611"/>
      <c r="EK193" s="620"/>
      <c r="EL193" s="117">
        <f>EL203+EL198+EL223+EL208+EL213+EL218</f>
        <v>0</v>
      </c>
      <c r="EM193" s="116"/>
      <c r="EO193" s="144"/>
      <c r="EP193" s="42"/>
      <c r="EQ193" s="42"/>
    </row>
    <row r="194" spans="4:147" hidden="1" x14ac:dyDescent="0.3">
      <c r="D194" s="144"/>
      <c r="E194" s="494"/>
      <c r="G194" s="56"/>
      <c r="H194" s="56"/>
      <c r="I194" s="56"/>
      <c r="J194" s="611"/>
      <c r="K194" s="56"/>
      <c r="L194" s="56"/>
      <c r="M194" s="56"/>
      <c r="N194" s="56"/>
      <c r="O194" s="611"/>
      <c r="P194" s="56"/>
      <c r="Q194" s="56"/>
      <c r="R194" s="56"/>
      <c r="S194" s="56"/>
      <c r="T194" s="611"/>
      <c r="U194" s="56"/>
      <c r="V194" s="56"/>
      <c r="W194" s="56"/>
      <c r="X194" s="56"/>
      <c r="Y194" s="611"/>
      <c r="Z194" s="56"/>
      <c r="AA194" s="56"/>
      <c r="AB194" s="56"/>
      <c r="AC194" s="56"/>
      <c r="AD194" s="611"/>
      <c r="AE194" s="56"/>
      <c r="AF194" s="56"/>
      <c r="AG194" s="56"/>
      <c r="AH194" s="56"/>
      <c r="AI194" s="611"/>
      <c r="AJ194" s="56"/>
      <c r="AK194" s="56"/>
      <c r="AL194" s="56"/>
      <c r="AM194" s="56"/>
      <c r="AN194" s="611"/>
      <c r="AO194" s="56"/>
      <c r="AP194" s="56"/>
      <c r="AQ194" s="56"/>
      <c r="AR194" s="56"/>
      <c r="AS194" s="611"/>
      <c r="AT194" s="56"/>
      <c r="AU194" s="56"/>
      <c r="AV194" s="56"/>
      <c r="AW194" s="56"/>
      <c r="AX194" s="611"/>
      <c r="AY194" s="56"/>
      <c r="AZ194" s="56"/>
      <c r="BA194" s="56"/>
      <c r="BB194" s="56"/>
      <c r="BC194" s="611"/>
      <c r="BD194" s="56"/>
      <c r="BE194" s="56"/>
      <c r="BF194" s="56"/>
      <c r="BG194" s="56"/>
      <c r="BH194" s="611"/>
      <c r="BI194" s="56"/>
      <c r="BJ194" s="56"/>
      <c r="BK194" s="56"/>
      <c r="BL194" s="56"/>
      <c r="BM194" s="611"/>
      <c r="BN194" s="56"/>
      <c r="BO194" s="56"/>
      <c r="BP194" s="56"/>
      <c r="BQ194" s="56"/>
      <c r="BR194" s="611"/>
      <c r="BS194" s="56"/>
      <c r="BT194" s="56"/>
      <c r="BU194" s="56"/>
      <c r="BV194" s="56"/>
      <c r="BW194" s="611"/>
      <c r="BX194" s="56"/>
      <c r="BY194" s="56"/>
      <c r="BZ194" s="56"/>
      <c r="CA194" s="56"/>
      <c r="CB194" s="611"/>
      <c r="CC194" s="56"/>
      <c r="CD194" s="56"/>
      <c r="CE194" s="56"/>
      <c r="CF194" s="56"/>
      <c r="CG194" s="611"/>
      <c r="CH194" s="56"/>
      <c r="CI194" s="56"/>
      <c r="CJ194" s="56"/>
      <c r="CK194" s="56"/>
      <c r="CL194" s="611"/>
      <c r="CM194" s="56"/>
      <c r="CN194" s="56"/>
      <c r="CO194" s="56"/>
      <c r="CP194" s="56"/>
      <c r="CQ194" s="611"/>
      <c r="CR194" s="56"/>
      <c r="CS194" s="56"/>
      <c r="CT194" s="56"/>
      <c r="CU194" s="56"/>
      <c r="CV194" s="611"/>
      <c r="CW194" s="56"/>
      <c r="CX194" s="56"/>
      <c r="CY194" s="56"/>
      <c r="CZ194" s="56"/>
      <c r="DA194" s="611"/>
      <c r="DB194" s="56"/>
      <c r="DC194" s="56"/>
      <c r="DD194" s="56"/>
      <c r="DE194" s="56"/>
      <c r="DF194" s="611"/>
      <c r="DG194" s="56"/>
      <c r="DH194" s="56"/>
      <c r="DI194" s="56"/>
      <c r="DJ194" s="56"/>
      <c r="DK194" s="611"/>
      <c r="DL194" s="56"/>
      <c r="DM194" s="56"/>
      <c r="DN194" s="56"/>
      <c r="DO194" s="56"/>
      <c r="DP194" s="611"/>
      <c r="DQ194" s="56"/>
      <c r="DR194" s="56"/>
      <c r="DS194" s="56"/>
      <c r="DT194" s="56"/>
      <c r="DU194" s="611"/>
      <c r="DV194" s="56"/>
      <c r="DW194" s="56"/>
      <c r="DX194" s="56"/>
      <c r="DY194" s="56"/>
      <c r="DZ194" s="611"/>
      <c r="EA194" s="56"/>
      <c r="EB194" s="56"/>
      <c r="EC194" s="56"/>
      <c r="ED194" s="56"/>
      <c r="EE194" s="611"/>
      <c r="EF194" s="56"/>
      <c r="EG194" s="56"/>
      <c r="EH194" s="56"/>
      <c r="EI194" s="56"/>
      <c r="EJ194" s="611"/>
      <c r="EK194" s="56"/>
      <c r="EL194" s="56"/>
      <c r="EO194" s="144"/>
      <c r="EP194" s="42"/>
      <c r="EQ194" s="42"/>
    </row>
    <row r="195" spans="4:147" hidden="1" x14ac:dyDescent="0.3">
      <c r="D195" s="144" t="s">
        <v>410</v>
      </c>
      <c r="E195" s="494"/>
      <c r="G195" s="56">
        <f>SUM(G196:G198)</f>
        <v>0</v>
      </c>
      <c r="H195" s="56"/>
      <c r="I195" s="56"/>
      <c r="J195" s="611"/>
      <c r="K195" s="56"/>
      <c r="L195" s="56">
        <f>SUM(L196:L198)</f>
        <v>0</v>
      </c>
      <c r="M195" s="56"/>
      <c r="N195" s="56"/>
      <c r="O195" s="611"/>
      <c r="P195" s="56"/>
      <c r="Q195" s="56">
        <f>SUM(Q196:Q198)</f>
        <v>0</v>
      </c>
      <c r="R195" s="56"/>
      <c r="S195" s="56"/>
      <c r="T195" s="611"/>
      <c r="U195" s="56"/>
      <c r="V195" s="56">
        <f>SUM(V196:V198)</f>
        <v>0</v>
      </c>
      <c r="W195" s="56"/>
      <c r="X195" s="56"/>
      <c r="Y195" s="611"/>
      <c r="Z195" s="56"/>
      <c r="AA195" s="56">
        <f>SUM(AA196:AA198)</f>
        <v>0</v>
      </c>
      <c r="AB195" s="56"/>
      <c r="AC195" s="56"/>
      <c r="AD195" s="611"/>
      <c r="AE195" s="56"/>
      <c r="AF195" s="56">
        <f>SUM(AF196:AF198)</f>
        <v>0</v>
      </c>
      <c r="AG195" s="56"/>
      <c r="AH195" s="56"/>
      <c r="AI195" s="611"/>
      <c r="AJ195" s="56"/>
      <c r="AK195" s="56">
        <f>SUM(AK196:AK198)</f>
        <v>0</v>
      </c>
      <c r="AL195" s="56"/>
      <c r="AM195" s="56"/>
      <c r="AN195" s="611"/>
      <c r="AO195" s="56"/>
      <c r="AP195" s="56">
        <f>SUM(AP196:AP198)</f>
        <v>0</v>
      </c>
      <c r="AQ195" s="56"/>
      <c r="AR195" s="56"/>
      <c r="AS195" s="611"/>
      <c r="AT195" s="56"/>
      <c r="AU195" s="56">
        <f>SUM(AU196:AU198)</f>
        <v>0</v>
      </c>
      <c r="AV195" s="56"/>
      <c r="AW195" s="56"/>
      <c r="AX195" s="611"/>
      <c r="AY195" s="56"/>
      <c r="AZ195" s="56">
        <f>SUM(AZ196:AZ198)</f>
        <v>0</v>
      </c>
      <c r="BA195" s="56"/>
      <c r="BB195" s="56"/>
      <c r="BC195" s="611"/>
      <c r="BD195" s="56"/>
      <c r="BE195" s="56">
        <f>SUM(BE196:BE198)</f>
        <v>0</v>
      </c>
      <c r="BF195" s="56"/>
      <c r="BG195" s="56"/>
      <c r="BH195" s="611"/>
      <c r="BI195" s="56"/>
      <c r="BJ195" s="56">
        <f>SUM(BJ196:BJ198)</f>
        <v>0</v>
      </c>
      <c r="BK195" s="56"/>
      <c r="BL195" s="56"/>
      <c r="BM195" s="611"/>
      <c r="BN195" s="56"/>
      <c r="BO195" s="56">
        <f>SUM(BO196:BO198)</f>
        <v>0</v>
      </c>
      <c r="BP195" s="56"/>
      <c r="BQ195" s="56"/>
      <c r="BR195" s="611"/>
      <c r="BS195" s="56"/>
      <c r="BT195" s="56">
        <f>SUM(BT196:BT198)</f>
        <v>0</v>
      </c>
      <c r="BU195" s="56"/>
      <c r="BV195" s="56"/>
      <c r="BW195" s="611"/>
      <c r="BX195" s="56"/>
      <c r="BY195" s="56">
        <f>SUM(BY196:BY198)</f>
        <v>0</v>
      </c>
      <c r="BZ195" s="56"/>
      <c r="CA195" s="56"/>
      <c r="CB195" s="611"/>
      <c r="CC195" s="56"/>
      <c r="CD195" s="56">
        <f>SUM(CD196:CD198)</f>
        <v>0</v>
      </c>
      <c r="CE195" s="56"/>
      <c r="CF195" s="56"/>
      <c r="CG195" s="611"/>
      <c r="CH195" s="56"/>
      <c r="CI195" s="56">
        <f>SUM(CI196:CI198)</f>
        <v>0</v>
      </c>
      <c r="CJ195" s="56"/>
      <c r="CK195" s="56"/>
      <c r="CL195" s="611"/>
      <c r="CM195" s="56"/>
      <c r="CN195" s="56">
        <f>SUM(CN196:CN198)</f>
        <v>0</v>
      </c>
      <c r="CO195" s="56"/>
      <c r="CP195" s="56"/>
      <c r="CQ195" s="611"/>
      <c r="CR195" s="56"/>
      <c r="CS195" s="56">
        <f>SUM(CS196:CS198)</f>
        <v>0</v>
      </c>
      <c r="CT195" s="56"/>
      <c r="CU195" s="56"/>
      <c r="CV195" s="611"/>
      <c r="CW195" s="56"/>
      <c r="CX195" s="56">
        <f>SUM(CX196:CX198)</f>
        <v>0</v>
      </c>
      <c r="CY195" s="56"/>
      <c r="CZ195" s="56"/>
      <c r="DA195" s="611"/>
      <c r="DB195" s="56"/>
      <c r="DC195" s="56">
        <f>SUM(DC196:DC198)</f>
        <v>0</v>
      </c>
      <c r="DD195" s="56"/>
      <c r="DE195" s="56"/>
      <c r="DF195" s="611"/>
      <c r="DG195" s="56"/>
      <c r="DH195" s="56">
        <f>SUM(DH196:DH198)</f>
        <v>0</v>
      </c>
      <c r="DI195" s="56"/>
      <c r="DJ195" s="56"/>
      <c r="DK195" s="611"/>
      <c r="DL195" s="56"/>
      <c r="DM195" s="56">
        <f>SUM(DM196:DM198)</f>
        <v>0</v>
      </c>
      <c r="DN195" s="56"/>
      <c r="DO195" s="56"/>
      <c r="DP195" s="611"/>
      <c r="DQ195" s="56"/>
      <c r="DR195" s="56">
        <f>SUM(DR196:DR198)</f>
        <v>0</v>
      </c>
      <c r="DS195" s="56"/>
      <c r="DT195" s="56"/>
      <c r="DU195" s="611"/>
      <c r="DV195" s="56"/>
      <c r="DW195" s="56">
        <f>SUM(DW196:DW198)</f>
        <v>0</v>
      </c>
      <c r="DX195" s="56"/>
      <c r="DY195" s="56"/>
      <c r="DZ195" s="611"/>
      <c r="EA195" s="56"/>
      <c r="EB195" s="56">
        <f>SUM(EB196:EB198)</f>
        <v>0</v>
      </c>
      <c r="EC195" s="56"/>
      <c r="ED195" s="56"/>
      <c r="EE195" s="611"/>
      <c r="EF195" s="56"/>
      <c r="EG195" s="56">
        <f>SUM(EG196:EG198)</f>
        <v>0</v>
      </c>
      <c r="EH195" s="56"/>
      <c r="EI195" s="56"/>
      <c r="EJ195" s="611"/>
      <c r="EK195" s="56"/>
      <c r="EL195" s="56">
        <f>SUM(EL196:EL198)</f>
        <v>0</v>
      </c>
      <c r="EO195" s="144"/>
      <c r="EP195" s="42"/>
      <c r="EQ195" s="42"/>
    </row>
    <row r="196" spans="4:147" hidden="1" x14ac:dyDescent="0.3">
      <c r="D196" s="144" t="s">
        <v>335</v>
      </c>
      <c r="E196" s="494"/>
      <c r="F196" s="500"/>
      <c r="G196" s="609">
        <v>0</v>
      </c>
      <c r="H196" s="610"/>
      <c r="I196" s="56"/>
      <c r="J196" s="611"/>
      <c r="K196" s="612"/>
      <c r="L196" s="609">
        <v>0</v>
      </c>
      <c r="M196" s="610"/>
      <c r="N196" s="56"/>
      <c r="O196" s="611"/>
      <c r="P196" s="612"/>
      <c r="Q196" s="609">
        <v>0</v>
      </c>
      <c r="R196" s="610"/>
      <c r="S196" s="56"/>
      <c r="T196" s="611"/>
      <c r="U196" s="612"/>
      <c r="V196" s="609">
        <v>0</v>
      </c>
      <c r="W196" s="610"/>
      <c r="X196" s="56"/>
      <c r="Y196" s="611"/>
      <c r="Z196" s="612"/>
      <c r="AA196" s="609">
        <v>0</v>
      </c>
      <c r="AB196" s="610"/>
      <c r="AC196" s="56"/>
      <c r="AD196" s="611"/>
      <c r="AE196" s="612"/>
      <c r="AF196" s="609">
        <v>0</v>
      </c>
      <c r="AG196" s="610"/>
      <c r="AH196" s="56"/>
      <c r="AI196" s="611"/>
      <c r="AJ196" s="612"/>
      <c r="AK196" s="609">
        <v>0</v>
      </c>
      <c r="AL196" s="610"/>
      <c r="AM196" s="56"/>
      <c r="AN196" s="611"/>
      <c r="AO196" s="612"/>
      <c r="AP196" s="609">
        <v>0</v>
      </c>
      <c r="AQ196" s="610"/>
      <c r="AR196" s="56"/>
      <c r="AS196" s="611"/>
      <c r="AT196" s="612"/>
      <c r="AU196" s="609">
        <v>0</v>
      </c>
      <c r="AV196" s="610"/>
      <c r="AW196" s="56"/>
      <c r="AX196" s="611"/>
      <c r="AY196" s="612"/>
      <c r="AZ196" s="609">
        <v>0</v>
      </c>
      <c r="BA196" s="610"/>
      <c r="BB196" s="56"/>
      <c r="BC196" s="611"/>
      <c r="BD196" s="612"/>
      <c r="BE196" s="609">
        <v>0</v>
      </c>
      <c r="BF196" s="610"/>
      <c r="BG196" s="56"/>
      <c r="BH196" s="611"/>
      <c r="BI196" s="612"/>
      <c r="BJ196" s="609">
        <v>0</v>
      </c>
      <c r="BK196" s="610"/>
      <c r="BL196" s="56"/>
      <c r="BM196" s="611"/>
      <c r="BN196" s="612"/>
      <c r="BO196" s="609">
        <v>0</v>
      </c>
      <c r="BP196" s="610"/>
      <c r="BQ196" s="56"/>
      <c r="BR196" s="611"/>
      <c r="BS196" s="612"/>
      <c r="BT196" s="609">
        <f>SUM(L196:BO196)</f>
        <v>0</v>
      </c>
      <c r="BU196" s="610"/>
      <c r="BV196" s="56"/>
      <c r="BW196" s="611"/>
      <c r="BX196" s="612"/>
      <c r="BY196" s="609">
        <v>0</v>
      </c>
      <c r="BZ196" s="610"/>
      <c r="CA196" s="56"/>
      <c r="CB196" s="611"/>
      <c r="CC196" s="612"/>
      <c r="CD196" s="609">
        <v>0</v>
      </c>
      <c r="CE196" s="610"/>
      <c r="CF196" s="56"/>
      <c r="CG196" s="611"/>
      <c r="CH196" s="612"/>
      <c r="CI196" s="609">
        <v>0</v>
      </c>
      <c r="CJ196" s="610"/>
      <c r="CK196" s="56"/>
      <c r="CL196" s="611"/>
      <c r="CM196" s="612"/>
      <c r="CN196" s="609">
        <v>0</v>
      </c>
      <c r="CO196" s="610"/>
      <c r="CP196" s="56"/>
      <c r="CQ196" s="611"/>
      <c r="CR196" s="612"/>
      <c r="CS196" s="609">
        <v>0</v>
      </c>
      <c r="CT196" s="610"/>
      <c r="CU196" s="56"/>
      <c r="CV196" s="611"/>
      <c r="CW196" s="612"/>
      <c r="CX196" s="609">
        <v>0</v>
      </c>
      <c r="CY196" s="610"/>
      <c r="CZ196" s="56"/>
      <c r="DA196" s="611"/>
      <c r="DB196" s="612"/>
      <c r="DC196" s="609">
        <v>0</v>
      </c>
      <c r="DD196" s="610"/>
      <c r="DE196" s="56"/>
      <c r="DF196" s="611"/>
      <c r="DG196" s="612"/>
      <c r="DH196" s="609">
        <v>0</v>
      </c>
      <c r="DI196" s="610"/>
      <c r="DJ196" s="56"/>
      <c r="DK196" s="611"/>
      <c r="DL196" s="612"/>
      <c r="DM196" s="609">
        <v>0</v>
      </c>
      <c r="DN196" s="610"/>
      <c r="DO196" s="56"/>
      <c r="DP196" s="611"/>
      <c r="DQ196" s="612"/>
      <c r="DR196" s="609">
        <v>0</v>
      </c>
      <c r="DS196" s="610"/>
      <c r="DT196" s="56"/>
      <c r="DU196" s="611"/>
      <c r="DV196" s="612"/>
      <c r="DW196" s="609">
        <v>0</v>
      </c>
      <c r="DX196" s="610"/>
      <c r="DY196" s="56"/>
      <c r="DZ196" s="611"/>
      <c r="EA196" s="612"/>
      <c r="EB196" s="609">
        <v>0</v>
      </c>
      <c r="EC196" s="610"/>
      <c r="ED196" s="56"/>
      <c r="EE196" s="611"/>
      <c r="EF196" s="612"/>
      <c r="EG196" s="609">
        <v>0</v>
      </c>
      <c r="EH196" s="610"/>
      <c r="EI196" s="56"/>
      <c r="EJ196" s="611"/>
      <c r="EK196" s="612"/>
      <c r="EL196" s="609">
        <f>SUM(CD196:EG196)</f>
        <v>0</v>
      </c>
      <c r="EM196" s="501"/>
      <c r="EO196" s="144"/>
      <c r="EP196" s="42"/>
      <c r="EQ196" s="42"/>
    </row>
    <row r="197" spans="4:147" hidden="1" x14ac:dyDescent="0.3">
      <c r="D197" s="144" t="s">
        <v>408</v>
      </c>
      <c r="E197" s="494"/>
      <c r="F197" s="494"/>
      <c r="G197" s="56">
        <v>0</v>
      </c>
      <c r="H197" s="55"/>
      <c r="I197" s="56"/>
      <c r="J197" s="611"/>
      <c r="K197" s="611"/>
      <c r="L197" s="56">
        <v>0</v>
      </c>
      <c r="M197" s="55"/>
      <c r="N197" s="56"/>
      <c r="O197" s="611"/>
      <c r="P197" s="611"/>
      <c r="Q197" s="56">
        <v>0</v>
      </c>
      <c r="R197" s="55"/>
      <c r="S197" s="56"/>
      <c r="T197" s="611"/>
      <c r="U197" s="611"/>
      <c r="V197" s="56">
        <v>0</v>
      </c>
      <c r="W197" s="55"/>
      <c r="X197" s="56"/>
      <c r="Y197" s="611"/>
      <c r="Z197" s="611"/>
      <c r="AA197" s="56">
        <v>0</v>
      </c>
      <c r="AB197" s="55"/>
      <c r="AC197" s="56"/>
      <c r="AD197" s="611"/>
      <c r="AE197" s="611"/>
      <c r="AF197" s="56">
        <v>0</v>
      </c>
      <c r="AG197" s="55"/>
      <c r="AH197" s="56"/>
      <c r="AI197" s="611"/>
      <c r="AJ197" s="611"/>
      <c r="AK197" s="56">
        <v>0</v>
      </c>
      <c r="AL197" s="55"/>
      <c r="AM197" s="56"/>
      <c r="AN197" s="611"/>
      <c r="AO197" s="611"/>
      <c r="AP197" s="56">
        <v>0</v>
      </c>
      <c r="AQ197" s="55"/>
      <c r="AR197" s="56"/>
      <c r="AS197" s="611"/>
      <c r="AT197" s="611"/>
      <c r="AU197" s="56">
        <v>0</v>
      </c>
      <c r="AV197" s="55"/>
      <c r="AW197" s="56"/>
      <c r="AX197" s="611"/>
      <c r="AY197" s="611"/>
      <c r="AZ197" s="56">
        <v>0</v>
      </c>
      <c r="BA197" s="55"/>
      <c r="BB197" s="56"/>
      <c r="BC197" s="611"/>
      <c r="BD197" s="611"/>
      <c r="BE197" s="56">
        <v>0</v>
      </c>
      <c r="BF197" s="55"/>
      <c r="BG197" s="56"/>
      <c r="BH197" s="611"/>
      <c r="BI197" s="611"/>
      <c r="BJ197" s="56">
        <v>0</v>
      </c>
      <c r="BK197" s="55"/>
      <c r="BL197" s="56"/>
      <c r="BM197" s="611"/>
      <c r="BN197" s="611"/>
      <c r="BO197" s="56">
        <v>0</v>
      </c>
      <c r="BP197" s="55"/>
      <c r="BQ197" s="56"/>
      <c r="BR197" s="611"/>
      <c r="BS197" s="611"/>
      <c r="BT197" s="56">
        <f>SUM(L197:BO197)</f>
        <v>0</v>
      </c>
      <c r="BU197" s="55"/>
      <c r="BV197" s="56"/>
      <c r="BW197" s="611"/>
      <c r="BX197" s="611"/>
      <c r="BY197" s="56">
        <v>0</v>
      </c>
      <c r="BZ197" s="55"/>
      <c r="CA197" s="56"/>
      <c r="CB197" s="611"/>
      <c r="CC197" s="611"/>
      <c r="CD197" s="56">
        <v>0</v>
      </c>
      <c r="CE197" s="55"/>
      <c r="CF197" s="56"/>
      <c r="CG197" s="611"/>
      <c r="CH197" s="611"/>
      <c r="CI197" s="56">
        <v>0</v>
      </c>
      <c r="CJ197" s="55"/>
      <c r="CK197" s="56"/>
      <c r="CL197" s="611"/>
      <c r="CM197" s="611"/>
      <c r="CN197" s="56">
        <v>0</v>
      </c>
      <c r="CO197" s="55"/>
      <c r="CP197" s="56"/>
      <c r="CQ197" s="611"/>
      <c r="CR197" s="611"/>
      <c r="CS197" s="56">
        <v>0</v>
      </c>
      <c r="CT197" s="55"/>
      <c r="CU197" s="56"/>
      <c r="CV197" s="611"/>
      <c r="CW197" s="611"/>
      <c r="CX197" s="56">
        <v>0</v>
      </c>
      <c r="CY197" s="55"/>
      <c r="CZ197" s="56"/>
      <c r="DA197" s="611"/>
      <c r="DB197" s="611"/>
      <c r="DC197" s="56">
        <v>0</v>
      </c>
      <c r="DD197" s="55"/>
      <c r="DE197" s="56"/>
      <c r="DF197" s="611"/>
      <c r="DG197" s="611"/>
      <c r="DH197" s="56">
        <v>0</v>
      </c>
      <c r="DI197" s="55"/>
      <c r="DJ197" s="56"/>
      <c r="DK197" s="611"/>
      <c r="DL197" s="611"/>
      <c r="DM197" s="56">
        <v>0</v>
      </c>
      <c r="DN197" s="55"/>
      <c r="DO197" s="56"/>
      <c r="DP197" s="611"/>
      <c r="DQ197" s="611"/>
      <c r="DR197" s="56">
        <v>0</v>
      </c>
      <c r="DS197" s="55"/>
      <c r="DT197" s="56"/>
      <c r="DU197" s="611"/>
      <c r="DV197" s="611"/>
      <c r="DW197" s="56">
        <v>0</v>
      </c>
      <c r="DX197" s="55"/>
      <c r="DY197" s="56"/>
      <c r="DZ197" s="611"/>
      <c r="EA197" s="611"/>
      <c r="EB197" s="56">
        <v>0</v>
      </c>
      <c r="EC197" s="55"/>
      <c r="ED197" s="56"/>
      <c r="EE197" s="611"/>
      <c r="EF197" s="611"/>
      <c r="EG197" s="56">
        <v>0</v>
      </c>
      <c r="EH197" s="55"/>
      <c r="EI197" s="56"/>
      <c r="EJ197" s="611"/>
      <c r="EK197" s="611"/>
      <c r="EL197" s="56">
        <f>SUM(CD197:EG197)</f>
        <v>0</v>
      </c>
      <c r="EM197" s="506"/>
      <c r="EO197" s="144"/>
      <c r="EP197" s="42"/>
      <c r="EQ197" s="42"/>
    </row>
    <row r="198" spans="4:147" hidden="1" x14ac:dyDescent="0.3">
      <c r="D198" s="144" t="s">
        <v>409</v>
      </c>
      <c r="E198" s="494"/>
      <c r="F198" s="513"/>
      <c r="G198" s="117">
        <v>0</v>
      </c>
      <c r="H198" s="116"/>
      <c r="I198" s="56"/>
      <c r="J198" s="611"/>
      <c r="K198" s="620"/>
      <c r="L198" s="117">
        <v>0</v>
      </c>
      <c r="M198" s="116"/>
      <c r="N198" s="56"/>
      <c r="O198" s="611"/>
      <c r="P198" s="620"/>
      <c r="Q198" s="117">
        <v>0</v>
      </c>
      <c r="R198" s="116"/>
      <c r="S198" s="56"/>
      <c r="T198" s="611"/>
      <c r="U198" s="620"/>
      <c r="V198" s="117">
        <v>0</v>
      </c>
      <c r="W198" s="116"/>
      <c r="X198" s="56"/>
      <c r="Y198" s="611"/>
      <c r="Z198" s="620"/>
      <c r="AA198" s="117">
        <v>0</v>
      </c>
      <c r="AB198" s="116"/>
      <c r="AC198" s="56"/>
      <c r="AD198" s="611"/>
      <c r="AE198" s="620"/>
      <c r="AF198" s="117">
        <v>0</v>
      </c>
      <c r="AG198" s="116"/>
      <c r="AH198" s="56"/>
      <c r="AI198" s="611"/>
      <c r="AJ198" s="620"/>
      <c r="AK198" s="117">
        <v>0</v>
      </c>
      <c r="AL198" s="116"/>
      <c r="AM198" s="56"/>
      <c r="AN198" s="611"/>
      <c r="AO198" s="620"/>
      <c r="AP198" s="117">
        <v>0</v>
      </c>
      <c r="AQ198" s="116"/>
      <c r="AR198" s="56"/>
      <c r="AS198" s="611"/>
      <c r="AT198" s="620"/>
      <c r="AU198" s="117">
        <v>0</v>
      </c>
      <c r="AV198" s="116"/>
      <c r="AW198" s="56"/>
      <c r="AX198" s="611"/>
      <c r="AY198" s="620"/>
      <c r="AZ198" s="117">
        <v>0</v>
      </c>
      <c r="BA198" s="116"/>
      <c r="BB198" s="56"/>
      <c r="BC198" s="611"/>
      <c r="BD198" s="620"/>
      <c r="BE198" s="117">
        <v>0</v>
      </c>
      <c r="BF198" s="116"/>
      <c r="BG198" s="56"/>
      <c r="BH198" s="611"/>
      <c r="BI198" s="620"/>
      <c r="BJ198" s="117">
        <v>0</v>
      </c>
      <c r="BK198" s="116"/>
      <c r="BL198" s="56"/>
      <c r="BM198" s="611"/>
      <c r="BN198" s="620"/>
      <c r="BO198" s="117">
        <v>0</v>
      </c>
      <c r="BP198" s="116"/>
      <c r="BQ198" s="56"/>
      <c r="BR198" s="611"/>
      <c r="BS198" s="620"/>
      <c r="BT198" s="117">
        <f>SUM(L198:BO198)</f>
        <v>0</v>
      </c>
      <c r="BU198" s="116"/>
      <c r="BV198" s="56"/>
      <c r="BW198" s="611"/>
      <c r="BX198" s="620"/>
      <c r="BY198" s="117">
        <v>0</v>
      </c>
      <c r="BZ198" s="116"/>
      <c r="CA198" s="56"/>
      <c r="CB198" s="611"/>
      <c r="CC198" s="620"/>
      <c r="CD198" s="117">
        <v>0</v>
      </c>
      <c r="CE198" s="116"/>
      <c r="CF198" s="56"/>
      <c r="CG198" s="611"/>
      <c r="CH198" s="620"/>
      <c r="CI198" s="117">
        <v>0</v>
      </c>
      <c r="CJ198" s="116"/>
      <c r="CK198" s="56"/>
      <c r="CL198" s="611"/>
      <c r="CM198" s="620"/>
      <c r="CN198" s="117">
        <v>0</v>
      </c>
      <c r="CO198" s="116"/>
      <c r="CP198" s="56"/>
      <c r="CQ198" s="611"/>
      <c r="CR198" s="620"/>
      <c r="CS198" s="117">
        <v>0</v>
      </c>
      <c r="CT198" s="116"/>
      <c r="CU198" s="56"/>
      <c r="CV198" s="611"/>
      <c r="CW198" s="620"/>
      <c r="CX198" s="117">
        <v>0</v>
      </c>
      <c r="CY198" s="116"/>
      <c r="CZ198" s="56"/>
      <c r="DA198" s="611"/>
      <c r="DB198" s="620"/>
      <c r="DC198" s="117">
        <v>0</v>
      </c>
      <c r="DD198" s="116"/>
      <c r="DE198" s="56"/>
      <c r="DF198" s="611"/>
      <c r="DG198" s="620"/>
      <c r="DH198" s="117">
        <v>0</v>
      </c>
      <c r="DI198" s="116"/>
      <c r="DJ198" s="56"/>
      <c r="DK198" s="611"/>
      <c r="DL198" s="620"/>
      <c r="DM198" s="117">
        <v>0</v>
      </c>
      <c r="DN198" s="116"/>
      <c r="DO198" s="56"/>
      <c r="DP198" s="611"/>
      <c r="DQ198" s="620"/>
      <c r="DR198" s="117">
        <v>0</v>
      </c>
      <c r="DS198" s="116"/>
      <c r="DT198" s="56"/>
      <c r="DU198" s="611"/>
      <c r="DV198" s="620"/>
      <c r="DW198" s="117">
        <v>0</v>
      </c>
      <c r="DX198" s="116"/>
      <c r="DY198" s="56"/>
      <c r="DZ198" s="611"/>
      <c r="EA198" s="620"/>
      <c r="EB198" s="117">
        <v>0</v>
      </c>
      <c r="EC198" s="116"/>
      <c r="ED198" s="56"/>
      <c r="EE198" s="611"/>
      <c r="EF198" s="620"/>
      <c r="EG198" s="117">
        <v>0</v>
      </c>
      <c r="EH198" s="116"/>
      <c r="EI198" s="56"/>
      <c r="EJ198" s="611"/>
      <c r="EK198" s="620"/>
      <c r="EL198" s="117">
        <f>SUM(CD198:EG198)</f>
        <v>0</v>
      </c>
      <c r="EM198" s="515"/>
      <c r="EO198" s="144"/>
      <c r="EP198" s="42"/>
      <c r="EQ198" s="42"/>
    </row>
    <row r="199" spans="4:147" hidden="1" x14ac:dyDescent="0.3">
      <c r="D199" s="144"/>
      <c r="E199" s="494"/>
      <c r="G199" s="56"/>
      <c r="H199" s="56"/>
      <c r="I199" s="56"/>
      <c r="J199" s="611"/>
      <c r="K199" s="56"/>
      <c r="L199" s="56"/>
      <c r="M199" s="56"/>
      <c r="N199" s="56"/>
      <c r="O199" s="611"/>
      <c r="P199" s="56"/>
      <c r="Q199" s="56"/>
      <c r="R199" s="56"/>
      <c r="S199" s="56"/>
      <c r="T199" s="611"/>
      <c r="U199" s="56"/>
      <c r="V199" s="56"/>
      <c r="W199" s="56"/>
      <c r="X199" s="56"/>
      <c r="Y199" s="611"/>
      <c r="Z199" s="56"/>
      <c r="AA199" s="56"/>
      <c r="AB199" s="56"/>
      <c r="AC199" s="56"/>
      <c r="AD199" s="611"/>
      <c r="AE199" s="56"/>
      <c r="AF199" s="56"/>
      <c r="AG199" s="56"/>
      <c r="AH199" s="56"/>
      <c r="AI199" s="611"/>
      <c r="AJ199" s="56"/>
      <c r="AK199" s="56"/>
      <c r="AL199" s="56"/>
      <c r="AM199" s="56"/>
      <c r="AN199" s="611"/>
      <c r="AO199" s="56"/>
      <c r="AP199" s="56"/>
      <c r="AQ199" s="56"/>
      <c r="AR199" s="56"/>
      <c r="AS199" s="611"/>
      <c r="AT199" s="56"/>
      <c r="AU199" s="56"/>
      <c r="AV199" s="56"/>
      <c r="AW199" s="56"/>
      <c r="AX199" s="611"/>
      <c r="AY199" s="56"/>
      <c r="AZ199" s="56"/>
      <c r="BA199" s="56"/>
      <c r="BB199" s="56"/>
      <c r="BC199" s="611"/>
      <c r="BD199" s="56"/>
      <c r="BE199" s="56"/>
      <c r="BF199" s="56"/>
      <c r="BG199" s="56"/>
      <c r="BH199" s="611"/>
      <c r="BI199" s="56"/>
      <c r="BJ199" s="56"/>
      <c r="BK199" s="56"/>
      <c r="BL199" s="56"/>
      <c r="BM199" s="611"/>
      <c r="BN199" s="56"/>
      <c r="BO199" s="56"/>
      <c r="BP199" s="56"/>
      <c r="BQ199" s="56"/>
      <c r="BR199" s="611"/>
      <c r="BS199" s="56"/>
      <c r="BT199" s="56"/>
      <c r="BU199" s="56"/>
      <c r="BV199" s="56"/>
      <c r="BW199" s="611"/>
      <c r="BX199" s="56"/>
      <c r="BY199" s="56"/>
      <c r="BZ199" s="56"/>
      <c r="CA199" s="56"/>
      <c r="CB199" s="611"/>
      <c r="CC199" s="56"/>
      <c r="CD199" s="56"/>
      <c r="CE199" s="56"/>
      <c r="CF199" s="56"/>
      <c r="CG199" s="611"/>
      <c r="CH199" s="56"/>
      <c r="CI199" s="56"/>
      <c r="CJ199" s="56"/>
      <c r="CK199" s="56"/>
      <c r="CL199" s="611"/>
      <c r="CM199" s="56"/>
      <c r="CN199" s="56"/>
      <c r="CO199" s="56"/>
      <c r="CP199" s="56"/>
      <c r="CQ199" s="611"/>
      <c r="CR199" s="56"/>
      <c r="CS199" s="56"/>
      <c r="CT199" s="56"/>
      <c r="CU199" s="56"/>
      <c r="CV199" s="611"/>
      <c r="CW199" s="56"/>
      <c r="CX199" s="56"/>
      <c r="CY199" s="56"/>
      <c r="CZ199" s="56"/>
      <c r="DA199" s="611"/>
      <c r="DB199" s="56"/>
      <c r="DC199" s="56"/>
      <c r="DD199" s="56"/>
      <c r="DE199" s="56"/>
      <c r="DF199" s="611"/>
      <c r="DG199" s="56"/>
      <c r="DH199" s="56"/>
      <c r="DI199" s="56"/>
      <c r="DJ199" s="56"/>
      <c r="DK199" s="611"/>
      <c r="DL199" s="56"/>
      <c r="DM199" s="56"/>
      <c r="DN199" s="56"/>
      <c r="DO199" s="56"/>
      <c r="DP199" s="611"/>
      <c r="DQ199" s="56"/>
      <c r="DR199" s="56"/>
      <c r="DS199" s="56"/>
      <c r="DT199" s="56"/>
      <c r="DU199" s="611"/>
      <c r="DV199" s="56"/>
      <c r="DW199" s="56"/>
      <c r="DX199" s="56"/>
      <c r="DY199" s="56"/>
      <c r="DZ199" s="611"/>
      <c r="EA199" s="56"/>
      <c r="EB199" s="56"/>
      <c r="EC199" s="56"/>
      <c r="ED199" s="56"/>
      <c r="EE199" s="611"/>
      <c r="EF199" s="56"/>
      <c r="EG199" s="56"/>
      <c r="EH199" s="56"/>
      <c r="EI199" s="56"/>
      <c r="EJ199" s="611"/>
      <c r="EK199" s="56"/>
      <c r="EL199" s="56"/>
      <c r="EO199" s="144"/>
      <c r="EP199" s="42"/>
      <c r="EQ199" s="42"/>
    </row>
    <row r="200" spans="4:147" hidden="1" x14ac:dyDescent="0.3">
      <c r="D200" s="144" t="s">
        <v>411</v>
      </c>
      <c r="E200" s="494"/>
      <c r="G200" s="56">
        <f>SUM(G201:G203)</f>
        <v>0</v>
      </c>
      <c r="H200" s="56"/>
      <c r="I200" s="56"/>
      <c r="J200" s="611"/>
      <c r="K200" s="56"/>
      <c r="L200" s="56">
        <f>SUM(L201:L203)</f>
        <v>0</v>
      </c>
      <c r="M200" s="56"/>
      <c r="N200" s="56"/>
      <c r="O200" s="611"/>
      <c r="P200" s="56"/>
      <c r="Q200" s="56">
        <f>SUM(Q201:Q203)</f>
        <v>0</v>
      </c>
      <c r="R200" s="56"/>
      <c r="S200" s="56"/>
      <c r="T200" s="611"/>
      <c r="U200" s="56"/>
      <c r="V200" s="56">
        <f>SUM(V201:V203)</f>
        <v>0</v>
      </c>
      <c r="W200" s="56"/>
      <c r="X200" s="56"/>
      <c r="Y200" s="611"/>
      <c r="Z200" s="56"/>
      <c r="AA200" s="56">
        <f>SUM(AA201:AA203)</f>
        <v>0</v>
      </c>
      <c r="AB200" s="56"/>
      <c r="AC200" s="56"/>
      <c r="AD200" s="611"/>
      <c r="AE200" s="56"/>
      <c r="AF200" s="56">
        <f>SUM(AF201:AF203)</f>
        <v>0</v>
      </c>
      <c r="AG200" s="56"/>
      <c r="AH200" s="56"/>
      <c r="AI200" s="611"/>
      <c r="AJ200" s="56"/>
      <c r="AK200" s="56">
        <f>SUM(AK201:AK203)</f>
        <v>0</v>
      </c>
      <c r="AL200" s="56"/>
      <c r="AM200" s="56"/>
      <c r="AN200" s="611"/>
      <c r="AO200" s="56"/>
      <c r="AP200" s="56">
        <f>SUM(AP201:AP203)</f>
        <v>0</v>
      </c>
      <c r="AQ200" s="56"/>
      <c r="AR200" s="56"/>
      <c r="AS200" s="611"/>
      <c r="AT200" s="56"/>
      <c r="AU200" s="56">
        <f>SUM(AU201:AU203)</f>
        <v>0</v>
      </c>
      <c r="AV200" s="56"/>
      <c r="AW200" s="56"/>
      <c r="AX200" s="611"/>
      <c r="AY200" s="56"/>
      <c r="AZ200" s="56">
        <f>SUM(AZ201:AZ203)</f>
        <v>0</v>
      </c>
      <c r="BA200" s="56"/>
      <c r="BB200" s="56"/>
      <c r="BC200" s="611"/>
      <c r="BD200" s="56"/>
      <c r="BE200" s="56">
        <f>SUM(BE201:BE203)</f>
        <v>0</v>
      </c>
      <c r="BF200" s="56"/>
      <c r="BG200" s="56"/>
      <c r="BH200" s="611"/>
      <c r="BI200" s="56"/>
      <c r="BJ200" s="56">
        <f>SUM(BJ201:BJ203)</f>
        <v>0</v>
      </c>
      <c r="BK200" s="56"/>
      <c r="BL200" s="56"/>
      <c r="BM200" s="611"/>
      <c r="BN200" s="56"/>
      <c r="BO200" s="56">
        <f>SUM(BO201:BO203)</f>
        <v>0</v>
      </c>
      <c r="BP200" s="56"/>
      <c r="BQ200" s="56"/>
      <c r="BR200" s="611"/>
      <c r="BS200" s="56"/>
      <c r="BT200" s="56">
        <f>SUM(BT201:BT203)</f>
        <v>0</v>
      </c>
      <c r="BU200" s="56"/>
      <c r="BV200" s="56"/>
      <c r="BW200" s="611"/>
      <c r="BX200" s="56"/>
      <c r="BY200" s="56">
        <f>SUM(BY201:BY203)</f>
        <v>0</v>
      </c>
      <c r="BZ200" s="56"/>
      <c r="CA200" s="56"/>
      <c r="CB200" s="611"/>
      <c r="CC200" s="56"/>
      <c r="CD200" s="56">
        <f>SUM(CD201:CD203)</f>
        <v>0</v>
      </c>
      <c r="CE200" s="56"/>
      <c r="CF200" s="56"/>
      <c r="CG200" s="611"/>
      <c r="CH200" s="56"/>
      <c r="CI200" s="56">
        <f>SUM(CI201:CI203)</f>
        <v>0</v>
      </c>
      <c r="CJ200" s="56"/>
      <c r="CK200" s="56"/>
      <c r="CL200" s="611"/>
      <c r="CM200" s="56"/>
      <c r="CN200" s="56">
        <f>SUM(CN201:CN203)</f>
        <v>0</v>
      </c>
      <c r="CO200" s="56"/>
      <c r="CP200" s="56"/>
      <c r="CQ200" s="611"/>
      <c r="CR200" s="56"/>
      <c r="CS200" s="56">
        <f>SUM(CS201:CS203)</f>
        <v>0</v>
      </c>
      <c r="CT200" s="56"/>
      <c r="CU200" s="56"/>
      <c r="CV200" s="611"/>
      <c r="CW200" s="56"/>
      <c r="CX200" s="56">
        <f>SUM(CX201:CX203)</f>
        <v>0</v>
      </c>
      <c r="CY200" s="56"/>
      <c r="CZ200" s="56"/>
      <c r="DA200" s="611"/>
      <c r="DB200" s="56"/>
      <c r="DC200" s="56">
        <f>SUM(DC201:DC203)</f>
        <v>0</v>
      </c>
      <c r="DD200" s="56"/>
      <c r="DE200" s="56"/>
      <c r="DF200" s="611"/>
      <c r="DG200" s="56"/>
      <c r="DH200" s="56">
        <f>SUM(DH201:DH203)</f>
        <v>0</v>
      </c>
      <c r="DI200" s="56"/>
      <c r="DJ200" s="56"/>
      <c r="DK200" s="611"/>
      <c r="DL200" s="56"/>
      <c r="DM200" s="56">
        <f>SUM(DM201:DM203)</f>
        <v>0</v>
      </c>
      <c r="DN200" s="56"/>
      <c r="DO200" s="56"/>
      <c r="DP200" s="611"/>
      <c r="DQ200" s="56"/>
      <c r="DR200" s="56">
        <f>SUM(DR201:DR203)</f>
        <v>0</v>
      </c>
      <c r="DS200" s="56"/>
      <c r="DT200" s="56"/>
      <c r="DU200" s="611"/>
      <c r="DV200" s="56"/>
      <c r="DW200" s="56">
        <f>SUM(DW201:DW203)</f>
        <v>0</v>
      </c>
      <c r="DX200" s="56"/>
      <c r="DY200" s="56"/>
      <c r="DZ200" s="611"/>
      <c r="EA200" s="56"/>
      <c r="EB200" s="56">
        <f>SUM(EB201:EB203)</f>
        <v>0</v>
      </c>
      <c r="EC200" s="56"/>
      <c r="ED200" s="56"/>
      <c r="EE200" s="611"/>
      <c r="EF200" s="56"/>
      <c r="EG200" s="56">
        <f>SUM(EG201:EG203)</f>
        <v>0</v>
      </c>
      <c r="EH200" s="56"/>
      <c r="EI200" s="56"/>
      <c r="EJ200" s="611"/>
      <c r="EK200" s="56"/>
      <c r="EL200" s="56">
        <f>SUM(EL201:EL203)</f>
        <v>0</v>
      </c>
      <c r="EO200" s="144"/>
      <c r="EP200" s="42"/>
      <c r="EQ200" s="42"/>
    </row>
    <row r="201" spans="4:147" hidden="1" x14ac:dyDescent="0.3">
      <c r="D201" s="144" t="s">
        <v>335</v>
      </c>
      <c r="E201" s="494"/>
      <c r="F201" s="500"/>
      <c r="G201" s="609">
        <v>0</v>
      </c>
      <c r="H201" s="610"/>
      <c r="I201" s="56"/>
      <c r="J201" s="611"/>
      <c r="K201" s="612"/>
      <c r="L201" s="609">
        <v>0</v>
      </c>
      <c r="M201" s="610"/>
      <c r="N201" s="56"/>
      <c r="O201" s="611"/>
      <c r="P201" s="612"/>
      <c r="Q201" s="609">
        <v>0</v>
      </c>
      <c r="R201" s="610"/>
      <c r="S201" s="56"/>
      <c r="T201" s="611"/>
      <c r="U201" s="612"/>
      <c r="V201" s="609">
        <v>0</v>
      </c>
      <c r="W201" s="610"/>
      <c r="X201" s="56"/>
      <c r="Y201" s="611"/>
      <c r="Z201" s="612"/>
      <c r="AA201" s="609">
        <v>0</v>
      </c>
      <c r="AB201" s="610"/>
      <c r="AC201" s="56"/>
      <c r="AD201" s="611"/>
      <c r="AE201" s="612"/>
      <c r="AF201" s="609">
        <v>0</v>
      </c>
      <c r="AG201" s="610"/>
      <c r="AH201" s="56"/>
      <c r="AI201" s="611"/>
      <c r="AJ201" s="612"/>
      <c r="AK201" s="609">
        <v>0</v>
      </c>
      <c r="AL201" s="610"/>
      <c r="AM201" s="56"/>
      <c r="AN201" s="611"/>
      <c r="AO201" s="612"/>
      <c r="AP201" s="609">
        <v>0</v>
      </c>
      <c r="AQ201" s="610"/>
      <c r="AR201" s="56"/>
      <c r="AS201" s="611"/>
      <c r="AT201" s="612"/>
      <c r="AU201" s="609">
        <v>0</v>
      </c>
      <c r="AV201" s="610"/>
      <c r="AW201" s="56"/>
      <c r="AX201" s="611"/>
      <c r="AY201" s="612"/>
      <c r="AZ201" s="609">
        <v>0</v>
      </c>
      <c r="BA201" s="610"/>
      <c r="BB201" s="56"/>
      <c r="BC201" s="611"/>
      <c r="BD201" s="612"/>
      <c r="BE201" s="609">
        <v>0</v>
      </c>
      <c r="BF201" s="610"/>
      <c r="BG201" s="56"/>
      <c r="BH201" s="611"/>
      <c r="BI201" s="612"/>
      <c r="BJ201" s="609">
        <v>0</v>
      </c>
      <c r="BK201" s="610"/>
      <c r="BL201" s="56"/>
      <c r="BM201" s="611"/>
      <c r="BN201" s="612"/>
      <c r="BO201" s="609">
        <v>0</v>
      </c>
      <c r="BP201" s="610"/>
      <c r="BQ201" s="56"/>
      <c r="BR201" s="611"/>
      <c r="BS201" s="612"/>
      <c r="BT201" s="609">
        <f>SUM(L201:BO201)</f>
        <v>0</v>
      </c>
      <c r="BU201" s="610"/>
      <c r="BV201" s="56"/>
      <c r="BW201" s="611"/>
      <c r="BX201" s="612"/>
      <c r="BY201" s="609">
        <v>0</v>
      </c>
      <c r="BZ201" s="610"/>
      <c r="CA201" s="56"/>
      <c r="CB201" s="611"/>
      <c r="CC201" s="612"/>
      <c r="CD201" s="609">
        <v>0</v>
      </c>
      <c r="CE201" s="610"/>
      <c r="CF201" s="56"/>
      <c r="CG201" s="611"/>
      <c r="CH201" s="612"/>
      <c r="CI201" s="609">
        <v>0</v>
      </c>
      <c r="CJ201" s="610"/>
      <c r="CK201" s="56"/>
      <c r="CL201" s="611"/>
      <c r="CM201" s="612"/>
      <c r="CN201" s="609">
        <v>0</v>
      </c>
      <c r="CO201" s="610"/>
      <c r="CP201" s="56"/>
      <c r="CQ201" s="611"/>
      <c r="CR201" s="612"/>
      <c r="CS201" s="609">
        <v>0</v>
      </c>
      <c r="CT201" s="610"/>
      <c r="CU201" s="56"/>
      <c r="CV201" s="611"/>
      <c r="CW201" s="612"/>
      <c r="CX201" s="609">
        <v>0</v>
      </c>
      <c r="CY201" s="610"/>
      <c r="CZ201" s="56"/>
      <c r="DA201" s="611"/>
      <c r="DB201" s="612"/>
      <c r="DC201" s="609">
        <v>0</v>
      </c>
      <c r="DD201" s="610"/>
      <c r="DE201" s="56"/>
      <c r="DF201" s="611"/>
      <c r="DG201" s="612"/>
      <c r="DH201" s="609">
        <v>0</v>
      </c>
      <c r="DI201" s="610"/>
      <c r="DJ201" s="56"/>
      <c r="DK201" s="611"/>
      <c r="DL201" s="612"/>
      <c r="DM201" s="609">
        <v>0</v>
      </c>
      <c r="DN201" s="610"/>
      <c r="DO201" s="56"/>
      <c r="DP201" s="611"/>
      <c r="DQ201" s="612"/>
      <c r="DR201" s="609">
        <v>0</v>
      </c>
      <c r="DS201" s="610"/>
      <c r="DT201" s="56"/>
      <c r="DU201" s="611"/>
      <c r="DV201" s="612"/>
      <c r="DW201" s="609">
        <v>0</v>
      </c>
      <c r="DX201" s="610"/>
      <c r="DY201" s="56"/>
      <c r="DZ201" s="611"/>
      <c r="EA201" s="612"/>
      <c r="EB201" s="609">
        <v>0</v>
      </c>
      <c r="EC201" s="610"/>
      <c r="ED201" s="56"/>
      <c r="EE201" s="611"/>
      <c r="EF201" s="612"/>
      <c r="EG201" s="609">
        <v>0</v>
      </c>
      <c r="EH201" s="610"/>
      <c r="EI201" s="56"/>
      <c r="EJ201" s="611"/>
      <c r="EK201" s="612"/>
      <c r="EL201" s="609">
        <f>SUM(CD201:EG201)</f>
        <v>0</v>
      </c>
      <c r="EM201" s="501"/>
      <c r="EO201" s="144"/>
      <c r="EP201" s="42"/>
      <c r="EQ201" s="42"/>
    </row>
    <row r="202" spans="4:147" hidden="1" x14ac:dyDescent="0.3">
      <c r="D202" s="144" t="s">
        <v>408</v>
      </c>
      <c r="E202" s="494"/>
      <c r="F202" s="494"/>
      <c r="G202" s="56">
        <v>0</v>
      </c>
      <c r="H202" s="55"/>
      <c r="I202" s="56"/>
      <c r="J202" s="611"/>
      <c r="K202" s="611"/>
      <c r="L202" s="56">
        <v>0</v>
      </c>
      <c r="M202" s="55"/>
      <c r="N202" s="56"/>
      <c r="O202" s="611"/>
      <c r="P202" s="611"/>
      <c r="Q202" s="56">
        <v>0</v>
      </c>
      <c r="R202" s="55"/>
      <c r="S202" s="56"/>
      <c r="T202" s="611"/>
      <c r="U202" s="611"/>
      <c r="V202" s="56">
        <v>0</v>
      </c>
      <c r="W202" s="55"/>
      <c r="X202" s="56"/>
      <c r="Y202" s="611"/>
      <c r="Z202" s="611"/>
      <c r="AA202" s="56">
        <v>0</v>
      </c>
      <c r="AB202" s="55"/>
      <c r="AC202" s="56"/>
      <c r="AD202" s="611"/>
      <c r="AE202" s="611"/>
      <c r="AF202" s="56">
        <v>0</v>
      </c>
      <c r="AG202" s="55"/>
      <c r="AH202" s="56"/>
      <c r="AI202" s="611"/>
      <c r="AJ202" s="611"/>
      <c r="AK202" s="56">
        <v>0</v>
      </c>
      <c r="AL202" s="55"/>
      <c r="AM202" s="56"/>
      <c r="AN202" s="611"/>
      <c r="AO202" s="611"/>
      <c r="AP202" s="56">
        <v>0</v>
      </c>
      <c r="AQ202" s="55"/>
      <c r="AR202" s="56"/>
      <c r="AS202" s="611"/>
      <c r="AT202" s="611"/>
      <c r="AU202" s="56">
        <v>0</v>
      </c>
      <c r="AV202" s="55"/>
      <c r="AW202" s="56"/>
      <c r="AX202" s="611"/>
      <c r="AY202" s="611"/>
      <c r="AZ202" s="56">
        <v>0</v>
      </c>
      <c r="BA202" s="55"/>
      <c r="BB202" s="56"/>
      <c r="BC202" s="611"/>
      <c r="BD202" s="611"/>
      <c r="BE202" s="56">
        <v>0</v>
      </c>
      <c r="BF202" s="55"/>
      <c r="BG202" s="56"/>
      <c r="BH202" s="611"/>
      <c r="BI202" s="611"/>
      <c r="BJ202" s="56">
        <v>0</v>
      </c>
      <c r="BK202" s="55"/>
      <c r="BL202" s="56"/>
      <c r="BM202" s="611"/>
      <c r="BN202" s="611"/>
      <c r="BO202" s="56">
        <v>0</v>
      </c>
      <c r="BP202" s="55"/>
      <c r="BQ202" s="56"/>
      <c r="BR202" s="611"/>
      <c r="BS202" s="611"/>
      <c r="BT202" s="56">
        <f>SUM(L202:BO202)</f>
        <v>0</v>
      </c>
      <c r="BU202" s="55"/>
      <c r="BV202" s="56"/>
      <c r="BW202" s="611"/>
      <c r="BX202" s="611"/>
      <c r="BY202" s="56">
        <v>0</v>
      </c>
      <c r="BZ202" s="55"/>
      <c r="CA202" s="56"/>
      <c r="CB202" s="611"/>
      <c r="CC202" s="611"/>
      <c r="CD202" s="56">
        <v>0</v>
      </c>
      <c r="CE202" s="55"/>
      <c r="CF202" s="56"/>
      <c r="CG202" s="611"/>
      <c r="CH202" s="611"/>
      <c r="CI202" s="56">
        <v>0</v>
      </c>
      <c r="CJ202" s="55"/>
      <c r="CK202" s="56"/>
      <c r="CL202" s="611"/>
      <c r="CM202" s="611"/>
      <c r="CN202" s="56">
        <v>0</v>
      </c>
      <c r="CO202" s="55"/>
      <c r="CP202" s="56"/>
      <c r="CQ202" s="611"/>
      <c r="CR202" s="611"/>
      <c r="CS202" s="56">
        <v>0</v>
      </c>
      <c r="CT202" s="55"/>
      <c r="CU202" s="56"/>
      <c r="CV202" s="611"/>
      <c r="CW202" s="611"/>
      <c r="CX202" s="56">
        <v>0</v>
      </c>
      <c r="CY202" s="55"/>
      <c r="CZ202" s="56"/>
      <c r="DA202" s="611"/>
      <c r="DB202" s="611"/>
      <c r="DC202" s="56">
        <v>0</v>
      </c>
      <c r="DD202" s="55"/>
      <c r="DE202" s="56"/>
      <c r="DF202" s="611"/>
      <c r="DG202" s="611"/>
      <c r="DH202" s="56">
        <v>0</v>
      </c>
      <c r="DI202" s="55"/>
      <c r="DJ202" s="56"/>
      <c r="DK202" s="611"/>
      <c r="DL202" s="611"/>
      <c r="DM202" s="56">
        <v>0</v>
      </c>
      <c r="DN202" s="55"/>
      <c r="DO202" s="56"/>
      <c r="DP202" s="611"/>
      <c r="DQ202" s="611"/>
      <c r="DR202" s="56">
        <v>0</v>
      </c>
      <c r="DS202" s="55"/>
      <c r="DT202" s="56"/>
      <c r="DU202" s="611"/>
      <c r="DV202" s="611"/>
      <c r="DW202" s="56">
        <v>0</v>
      </c>
      <c r="DX202" s="55"/>
      <c r="DY202" s="56"/>
      <c r="DZ202" s="611"/>
      <c r="EA202" s="611"/>
      <c r="EB202" s="56">
        <v>0</v>
      </c>
      <c r="EC202" s="55"/>
      <c r="ED202" s="56"/>
      <c r="EE202" s="611"/>
      <c r="EF202" s="611"/>
      <c r="EG202" s="56">
        <v>0</v>
      </c>
      <c r="EH202" s="55"/>
      <c r="EI202" s="56"/>
      <c r="EJ202" s="611"/>
      <c r="EK202" s="611"/>
      <c r="EL202" s="56">
        <f>SUM(CD202:EG202)</f>
        <v>0</v>
      </c>
      <c r="EM202" s="506"/>
      <c r="EO202" s="144"/>
      <c r="EP202" s="42"/>
      <c r="EQ202" s="42"/>
    </row>
    <row r="203" spans="4:147" hidden="1" x14ac:dyDescent="0.3">
      <c r="D203" s="144" t="s">
        <v>409</v>
      </c>
      <c r="E203" s="494"/>
      <c r="F203" s="513"/>
      <c r="G203" s="117">
        <v>0</v>
      </c>
      <c r="H203" s="116"/>
      <c r="I203" s="56"/>
      <c r="J203" s="611"/>
      <c r="K203" s="620"/>
      <c r="L203" s="117">
        <v>0</v>
      </c>
      <c r="M203" s="116"/>
      <c r="N203" s="56"/>
      <c r="O203" s="611"/>
      <c r="P203" s="620"/>
      <c r="Q203" s="117">
        <v>0</v>
      </c>
      <c r="R203" s="116"/>
      <c r="S203" s="56"/>
      <c r="T203" s="611"/>
      <c r="U203" s="620"/>
      <c r="V203" s="117">
        <v>0</v>
      </c>
      <c r="W203" s="116"/>
      <c r="X203" s="56"/>
      <c r="Y203" s="611"/>
      <c r="Z203" s="620"/>
      <c r="AA203" s="117">
        <v>0</v>
      </c>
      <c r="AB203" s="116"/>
      <c r="AC203" s="56"/>
      <c r="AD203" s="611"/>
      <c r="AE203" s="620"/>
      <c r="AF203" s="117">
        <v>0</v>
      </c>
      <c r="AG203" s="116"/>
      <c r="AH203" s="56"/>
      <c r="AI203" s="611"/>
      <c r="AJ203" s="620"/>
      <c r="AK203" s="117">
        <v>0</v>
      </c>
      <c r="AL203" s="116"/>
      <c r="AM203" s="56"/>
      <c r="AN203" s="611"/>
      <c r="AO203" s="620"/>
      <c r="AP203" s="117">
        <v>0</v>
      </c>
      <c r="AQ203" s="116"/>
      <c r="AR203" s="56"/>
      <c r="AS203" s="611"/>
      <c r="AT203" s="620"/>
      <c r="AU203" s="117">
        <v>0</v>
      </c>
      <c r="AV203" s="116"/>
      <c r="AW203" s="56"/>
      <c r="AX203" s="611"/>
      <c r="AY203" s="620"/>
      <c r="AZ203" s="117">
        <v>0</v>
      </c>
      <c r="BA203" s="116"/>
      <c r="BB203" s="56"/>
      <c r="BC203" s="611"/>
      <c r="BD203" s="620"/>
      <c r="BE203" s="117">
        <v>0</v>
      </c>
      <c r="BF203" s="116"/>
      <c r="BG203" s="56"/>
      <c r="BH203" s="611"/>
      <c r="BI203" s="620"/>
      <c r="BJ203" s="117">
        <v>0</v>
      </c>
      <c r="BK203" s="116"/>
      <c r="BL203" s="56"/>
      <c r="BM203" s="611"/>
      <c r="BN203" s="620"/>
      <c r="BO203" s="117">
        <v>0</v>
      </c>
      <c r="BP203" s="116"/>
      <c r="BQ203" s="56"/>
      <c r="BR203" s="611"/>
      <c r="BS203" s="620"/>
      <c r="BT203" s="117">
        <f>SUM(L203:BO203)</f>
        <v>0</v>
      </c>
      <c r="BU203" s="116"/>
      <c r="BV203" s="56"/>
      <c r="BW203" s="611"/>
      <c r="BX203" s="620"/>
      <c r="BY203" s="117">
        <v>0</v>
      </c>
      <c r="BZ203" s="116"/>
      <c r="CA203" s="56"/>
      <c r="CB203" s="611"/>
      <c r="CC203" s="620"/>
      <c r="CD203" s="117">
        <v>0</v>
      </c>
      <c r="CE203" s="116"/>
      <c r="CF203" s="56"/>
      <c r="CG203" s="611"/>
      <c r="CH203" s="620"/>
      <c r="CI203" s="117">
        <v>0</v>
      </c>
      <c r="CJ203" s="116"/>
      <c r="CK203" s="56"/>
      <c r="CL203" s="611"/>
      <c r="CM203" s="620"/>
      <c r="CN203" s="117">
        <v>0</v>
      </c>
      <c r="CO203" s="116"/>
      <c r="CP203" s="56"/>
      <c r="CQ203" s="611"/>
      <c r="CR203" s="620"/>
      <c r="CS203" s="117">
        <v>0</v>
      </c>
      <c r="CT203" s="116"/>
      <c r="CU203" s="56"/>
      <c r="CV203" s="611"/>
      <c r="CW203" s="620"/>
      <c r="CX203" s="117">
        <v>0</v>
      </c>
      <c r="CY203" s="116"/>
      <c r="CZ203" s="56"/>
      <c r="DA203" s="611"/>
      <c r="DB203" s="620"/>
      <c r="DC203" s="117">
        <v>0</v>
      </c>
      <c r="DD203" s="116"/>
      <c r="DE203" s="56"/>
      <c r="DF203" s="611"/>
      <c r="DG203" s="620"/>
      <c r="DH203" s="117">
        <v>0</v>
      </c>
      <c r="DI203" s="116"/>
      <c r="DJ203" s="56"/>
      <c r="DK203" s="611"/>
      <c r="DL203" s="620"/>
      <c r="DM203" s="117">
        <v>0</v>
      </c>
      <c r="DN203" s="116"/>
      <c r="DO203" s="56"/>
      <c r="DP203" s="611"/>
      <c r="DQ203" s="620"/>
      <c r="DR203" s="117">
        <v>0</v>
      </c>
      <c r="DS203" s="116"/>
      <c r="DT203" s="56"/>
      <c r="DU203" s="611"/>
      <c r="DV203" s="620"/>
      <c r="DW203" s="117">
        <v>0</v>
      </c>
      <c r="DX203" s="116"/>
      <c r="DY203" s="56"/>
      <c r="DZ203" s="611"/>
      <c r="EA203" s="620"/>
      <c r="EB203" s="117">
        <v>0</v>
      </c>
      <c r="EC203" s="116"/>
      <c r="ED203" s="56"/>
      <c r="EE203" s="611"/>
      <c r="EF203" s="620"/>
      <c r="EG203" s="117">
        <v>0</v>
      </c>
      <c r="EH203" s="116"/>
      <c r="EI203" s="56"/>
      <c r="EJ203" s="611"/>
      <c r="EK203" s="620"/>
      <c r="EL203" s="117">
        <f>SUM(CD203:EG203)</f>
        <v>0</v>
      </c>
      <c r="EM203" s="515"/>
      <c r="EO203" s="144"/>
      <c r="EP203" s="42"/>
      <c r="EQ203" s="42"/>
    </row>
    <row r="204" spans="4:147" hidden="1" x14ac:dyDescent="0.3">
      <c r="D204" s="144"/>
      <c r="E204" s="494"/>
      <c r="G204" s="56"/>
      <c r="H204" s="56"/>
      <c r="I204" s="56"/>
      <c r="J204" s="611"/>
      <c r="K204" s="56"/>
      <c r="L204" s="56"/>
      <c r="M204" s="56"/>
      <c r="N204" s="56"/>
      <c r="O204" s="611"/>
      <c r="P204" s="56"/>
      <c r="Q204" s="56"/>
      <c r="R204" s="56"/>
      <c r="S204" s="56"/>
      <c r="T204" s="611"/>
      <c r="U204" s="56"/>
      <c r="V204" s="56"/>
      <c r="W204" s="56"/>
      <c r="X204" s="56"/>
      <c r="Y204" s="611"/>
      <c r="Z204" s="56"/>
      <c r="AA204" s="56"/>
      <c r="AB204" s="56"/>
      <c r="AC204" s="56"/>
      <c r="AD204" s="611"/>
      <c r="AE204" s="56"/>
      <c r="AF204" s="56"/>
      <c r="AG204" s="56"/>
      <c r="AH204" s="56"/>
      <c r="AI204" s="611"/>
      <c r="AJ204" s="56"/>
      <c r="AK204" s="56"/>
      <c r="AL204" s="56"/>
      <c r="AM204" s="56"/>
      <c r="AN204" s="611"/>
      <c r="AO204" s="56"/>
      <c r="AP204" s="56"/>
      <c r="AQ204" s="56"/>
      <c r="AR204" s="56"/>
      <c r="AS204" s="611"/>
      <c r="AT204" s="56"/>
      <c r="AU204" s="56"/>
      <c r="AV204" s="56"/>
      <c r="AW204" s="56"/>
      <c r="AX204" s="611"/>
      <c r="AY204" s="56"/>
      <c r="AZ204" s="56"/>
      <c r="BA204" s="56"/>
      <c r="BB204" s="56"/>
      <c r="BC204" s="611"/>
      <c r="BD204" s="56"/>
      <c r="BE204" s="56"/>
      <c r="BF204" s="56"/>
      <c r="BG204" s="56"/>
      <c r="BH204" s="611"/>
      <c r="BI204" s="56"/>
      <c r="BJ204" s="56"/>
      <c r="BK204" s="56"/>
      <c r="BL204" s="56"/>
      <c r="BM204" s="611"/>
      <c r="BN204" s="56"/>
      <c r="BO204" s="56"/>
      <c r="BP204" s="56"/>
      <c r="BQ204" s="56"/>
      <c r="BR204" s="611"/>
      <c r="BS204" s="56"/>
      <c r="BT204" s="56"/>
      <c r="BU204" s="56"/>
      <c r="BV204" s="56"/>
      <c r="BW204" s="611"/>
      <c r="BX204" s="56"/>
      <c r="BY204" s="56"/>
      <c r="BZ204" s="56"/>
      <c r="CA204" s="56"/>
      <c r="CB204" s="611"/>
      <c r="CC204" s="56"/>
      <c r="CD204" s="56"/>
      <c r="CE204" s="56"/>
      <c r="CF204" s="56"/>
      <c r="CG204" s="611"/>
      <c r="CH204" s="56"/>
      <c r="CI204" s="56"/>
      <c r="CJ204" s="56"/>
      <c r="CK204" s="56"/>
      <c r="CL204" s="611"/>
      <c r="CM204" s="56"/>
      <c r="CN204" s="56"/>
      <c r="CO204" s="56"/>
      <c r="CP204" s="56"/>
      <c r="CQ204" s="611"/>
      <c r="CR204" s="56"/>
      <c r="CS204" s="56"/>
      <c r="CT204" s="56"/>
      <c r="CU204" s="56"/>
      <c r="CV204" s="611"/>
      <c r="CW204" s="56"/>
      <c r="CX204" s="56"/>
      <c r="CY204" s="56"/>
      <c r="CZ204" s="56"/>
      <c r="DA204" s="611"/>
      <c r="DB204" s="56"/>
      <c r="DC204" s="56"/>
      <c r="DD204" s="56"/>
      <c r="DE204" s="56"/>
      <c r="DF204" s="611"/>
      <c r="DG204" s="56"/>
      <c r="DH204" s="56"/>
      <c r="DI204" s="56"/>
      <c r="DJ204" s="56"/>
      <c r="DK204" s="611"/>
      <c r="DL204" s="56"/>
      <c r="DM204" s="56"/>
      <c r="DN204" s="56"/>
      <c r="DO204" s="56"/>
      <c r="DP204" s="611"/>
      <c r="DQ204" s="56"/>
      <c r="DR204" s="56"/>
      <c r="DS204" s="56"/>
      <c r="DT204" s="56"/>
      <c r="DU204" s="611"/>
      <c r="DV204" s="56"/>
      <c r="DW204" s="56"/>
      <c r="DX204" s="56"/>
      <c r="DY204" s="56"/>
      <c r="DZ204" s="611"/>
      <c r="EA204" s="56"/>
      <c r="EB204" s="56"/>
      <c r="EC204" s="56"/>
      <c r="ED204" s="56"/>
      <c r="EE204" s="611"/>
      <c r="EF204" s="56"/>
      <c r="EG204" s="56"/>
      <c r="EH204" s="56"/>
      <c r="EI204" s="56"/>
      <c r="EJ204" s="611"/>
      <c r="EK204" s="56"/>
      <c r="EL204" s="56"/>
      <c r="EO204" s="144"/>
      <c r="EP204" s="42"/>
      <c r="EQ204" s="42"/>
    </row>
    <row r="205" spans="4:147" hidden="1" x14ac:dyDescent="0.3">
      <c r="D205" s="144" t="s">
        <v>412</v>
      </c>
      <c r="E205" s="494"/>
      <c r="G205" s="56">
        <f>SUM(G206:G208)</f>
        <v>0</v>
      </c>
      <c r="H205" s="56"/>
      <c r="I205" s="56"/>
      <c r="J205" s="611"/>
      <c r="K205" s="56"/>
      <c r="L205" s="56">
        <f>SUM(L206:L208)</f>
        <v>0</v>
      </c>
      <c r="M205" s="56"/>
      <c r="N205" s="56"/>
      <c r="O205" s="611"/>
      <c r="P205" s="56"/>
      <c r="Q205" s="56">
        <f>SUM(Q206:Q208)</f>
        <v>0</v>
      </c>
      <c r="R205" s="56"/>
      <c r="S205" s="56"/>
      <c r="T205" s="611"/>
      <c r="U205" s="56"/>
      <c r="V205" s="56">
        <f>SUM(V206:V208)</f>
        <v>0</v>
      </c>
      <c r="W205" s="56"/>
      <c r="X205" s="56"/>
      <c r="Y205" s="611"/>
      <c r="Z205" s="56"/>
      <c r="AA205" s="56">
        <f>SUM(AA206:AA208)</f>
        <v>0</v>
      </c>
      <c r="AB205" s="56"/>
      <c r="AC205" s="56"/>
      <c r="AD205" s="611"/>
      <c r="AE205" s="56"/>
      <c r="AF205" s="56">
        <f>SUM(AF206:AF208)</f>
        <v>0</v>
      </c>
      <c r="AG205" s="56"/>
      <c r="AH205" s="56"/>
      <c r="AI205" s="611"/>
      <c r="AJ205" s="56"/>
      <c r="AK205" s="56">
        <f>SUM(AK206:AK208)</f>
        <v>0</v>
      </c>
      <c r="AL205" s="56"/>
      <c r="AM205" s="56"/>
      <c r="AN205" s="611"/>
      <c r="AO205" s="56"/>
      <c r="AP205" s="56">
        <f>SUM(AP206:AP208)</f>
        <v>0</v>
      </c>
      <c r="AQ205" s="56"/>
      <c r="AR205" s="56"/>
      <c r="AS205" s="611"/>
      <c r="AT205" s="56"/>
      <c r="AU205" s="56">
        <f>SUM(AU206:AU208)</f>
        <v>0</v>
      </c>
      <c r="AV205" s="56"/>
      <c r="AW205" s="56"/>
      <c r="AX205" s="611"/>
      <c r="AY205" s="56"/>
      <c r="AZ205" s="56">
        <f>SUM(AZ206:AZ208)</f>
        <v>0</v>
      </c>
      <c r="BA205" s="56"/>
      <c r="BB205" s="56"/>
      <c r="BC205" s="611"/>
      <c r="BD205" s="56"/>
      <c r="BE205" s="56">
        <f>SUM(BE206:BE208)</f>
        <v>0</v>
      </c>
      <c r="BF205" s="56"/>
      <c r="BG205" s="56"/>
      <c r="BH205" s="611"/>
      <c r="BI205" s="56"/>
      <c r="BJ205" s="56">
        <f>SUM(BJ206:BJ208)</f>
        <v>0</v>
      </c>
      <c r="BK205" s="56"/>
      <c r="BL205" s="56"/>
      <c r="BM205" s="611"/>
      <c r="BN205" s="56"/>
      <c r="BO205" s="56">
        <f>SUM(BO206:BO208)</f>
        <v>0</v>
      </c>
      <c r="BP205" s="56"/>
      <c r="BQ205" s="56"/>
      <c r="BR205" s="611"/>
      <c r="BS205" s="56"/>
      <c r="BT205" s="56">
        <f>SUM(BT206:BT208)</f>
        <v>0</v>
      </c>
      <c r="BU205" s="56"/>
      <c r="BV205" s="56"/>
      <c r="BW205" s="611"/>
      <c r="BX205" s="56"/>
      <c r="BY205" s="56">
        <f>SUM(BY206:BY208)</f>
        <v>0</v>
      </c>
      <c r="BZ205" s="56"/>
      <c r="CA205" s="56"/>
      <c r="CB205" s="611"/>
      <c r="CC205" s="56"/>
      <c r="CD205" s="56">
        <f>SUM(CD206:CD208)</f>
        <v>0</v>
      </c>
      <c r="CE205" s="56"/>
      <c r="CF205" s="56"/>
      <c r="CG205" s="611"/>
      <c r="CH205" s="56"/>
      <c r="CI205" s="56">
        <f>SUM(CI206:CI208)</f>
        <v>0</v>
      </c>
      <c r="CJ205" s="56"/>
      <c r="CK205" s="56"/>
      <c r="CL205" s="611"/>
      <c r="CM205" s="56"/>
      <c r="CN205" s="56">
        <f>SUM(CN206:CN208)</f>
        <v>0</v>
      </c>
      <c r="CO205" s="56"/>
      <c r="CP205" s="56"/>
      <c r="CQ205" s="611"/>
      <c r="CR205" s="56"/>
      <c r="CS205" s="56">
        <f>SUM(CS206:CS208)</f>
        <v>0</v>
      </c>
      <c r="CT205" s="56"/>
      <c r="CU205" s="56"/>
      <c r="CV205" s="611"/>
      <c r="CW205" s="56"/>
      <c r="CX205" s="56">
        <f>SUM(CX206:CX208)</f>
        <v>0</v>
      </c>
      <c r="CY205" s="56"/>
      <c r="CZ205" s="56"/>
      <c r="DA205" s="611"/>
      <c r="DB205" s="56"/>
      <c r="DC205" s="56">
        <f>SUM(DC206:DC208)</f>
        <v>0</v>
      </c>
      <c r="DD205" s="56"/>
      <c r="DE205" s="56"/>
      <c r="DF205" s="611"/>
      <c r="DG205" s="56"/>
      <c r="DH205" s="56">
        <f>SUM(DH206:DH208)</f>
        <v>0</v>
      </c>
      <c r="DI205" s="56"/>
      <c r="DJ205" s="56"/>
      <c r="DK205" s="611"/>
      <c r="DL205" s="56"/>
      <c r="DM205" s="56">
        <f>SUM(DM206:DM208)</f>
        <v>0</v>
      </c>
      <c r="DN205" s="56"/>
      <c r="DO205" s="56"/>
      <c r="DP205" s="611"/>
      <c r="DQ205" s="56"/>
      <c r="DR205" s="56">
        <f>SUM(DR206:DR208)</f>
        <v>0</v>
      </c>
      <c r="DS205" s="56"/>
      <c r="DT205" s="56"/>
      <c r="DU205" s="611"/>
      <c r="DV205" s="56"/>
      <c r="DW205" s="56">
        <f>SUM(DW206:DW208)</f>
        <v>0</v>
      </c>
      <c r="DX205" s="56"/>
      <c r="DY205" s="56"/>
      <c r="DZ205" s="611"/>
      <c r="EA205" s="56"/>
      <c r="EB205" s="56">
        <f>SUM(EB206:EB208)</f>
        <v>0</v>
      </c>
      <c r="EC205" s="56"/>
      <c r="ED205" s="56"/>
      <c r="EE205" s="611"/>
      <c r="EF205" s="56"/>
      <c r="EG205" s="56">
        <f>SUM(EG206:EG208)</f>
        <v>0</v>
      </c>
      <c r="EH205" s="56"/>
      <c r="EI205" s="56"/>
      <c r="EJ205" s="611"/>
      <c r="EK205" s="56"/>
      <c r="EL205" s="56">
        <f>SUM(EL206:EL208)</f>
        <v>0</v>
      </c>
      <c r="EO205" s="144"/>
      <c r="EP205" s="42"/>
      <c r="EQ205" s="42"/>
    </row>
    <row r="206" spans="4:147" hidden="1" x14ac:dyDescent="0.3">
      <c r="D206" s="144" t="s">
        <v>335</v>
      </c>
      <c r="E206" s="494"/>
      <c r="F206" s="500"/>
      <c r="G206" s="609">
        <v>0</v>
      </c>
      <c r="H206" s="610"/>
      <c r="I206" s="56"/>
      <c r="J206" s="611"/>
      <c r="K206" s="612"/>
      <c r="L206" s="609">
        <v>0</v>
      </c>
      <c r="M206" s="610"/>
      <c r="N206" s="56"/>
      <c r="O206" s="611"/>
      <c r="P206" s="612"/>
      <c r="Q206" s="609">
        <v>0</v>
      </c>
      <c r="R206" s="610"/>
      <c r="S206" s="56"/>
      <c r="T206" s="611"/>
      <c r="U206" s="612"/>
      <c r="V206" s="609">
        <v>0</v>
      </c>
      <c r="W206" s="610"/>
      <c r="X206" s="56"/>
      <c r="Y206" s="611"/>
      <c r="Z206" s="612"/>
      <c r="AA206" s="609">
        <v>0</v>
      </c>
      <c r="AB206" s="610"/>
      <c r="AC206" s="56"/>
      <c r="AD206" s="611"/>
      <c r="AE206" s="612"/>
      <c r="AF206" s="609">
        <v>0</v>
      </c>
      <c r="AG206" s="610"/>
      <c r="AH206" s="56"/>
      <c r="AI206" s="611"/>
      <c r="AJ206" s="612"/>
      <c r="AK206" s="609">
        <v>0</v>
      </c>
      <c r="AL206" s="610"/>
      <c r="AM206" s="56"/>
      <c r="AN206" s="611"/>
      <c r="AO206" s="612"/>
      <c r="AP206" s="609">
        <v>0</v>
      </c>
      <c r="AQ206" s="610"/>
      <c r="AR206" s="56"/>
      <c r="AS206" s="611"/>
      <c r="AT206" s="612"/>
      <c r="AU206" s="609">
        <v>0</v>
      </c>
      <c r="AV206" s="610"/>
      <c r="AW206" s="56"/>
      <c r="AX206" s="611"/>
      <c r="AY206" s="612"/>
      <c r="AZ206" s="609">
        <v>0</v>
      </c>
      <c r="BA206" s="610"/>
      <c r="BB206" s="56"/>
      <c r="BC206" s="611"/>
      <c r="BD206" s="612"/>
      <c r="BE206" s="609">
        <v>0</v>
      </c>
      <c r="BF206" s="610"/>
      <c r="BG206" s="56"/>
      <c r="BH206" s="611"/>
      <c r="BI206" s="612"/>
      <c r="BJ206" s="609">
        <v>0</v>
      </c>
      <c r="BK206" s="610"/>
      <c r="BL206" s="56"/>
      <c r="BM206" s="611"/>
      <c r="BN206" s="612"/>
      <c r="BO206" s="609">
        <v>0</v>
      </c>
      <c r="BP206" s="610"/>
      <c r="BQ206" s="56"/>
      <c r="BR206" s="611"/>
      <c r="BS206" s="612"/>
      <c r="BT206" s="609">
        <f>SUM(L206:BO206)</f>
        <v>0</v>
      </c>
      <c r="BU206" s="610"/>
      <c r="BV206" s="56"/>
      <c r="BW206" s="611"/>
      <c r="BX206" s="612"/>
      <c r="BY206" s="609">
        <v>0</v>
      </c>
      <c r="BZ206" s="610"/>
      <c r="CA206" s="56"/>
      <c r="CB206" s="611"/>
      <c r="CC206" s="612"/>
      <c r="CD206" s="609">
        <v>0</v>
      </c>
      <c r="CE206" s="610"/>
      <c r="CF206" s="56"/>
      <c r="CG206" s="611"/>
      <c r="CH206" s="612"/>
      <c r="CI206" s="609">
        <v>0</v>
      </c>
      <c r="CJ206" s="610"/>
      <c r="CK206" s="56"/>
      <c r="CL206" s="611"/>
      <c r="CM206" s="612"/>
      <c r="CN206" s="609">
        <v>0</v>
      </c>
      <c r="CO206" s="610"/>
      <c r="CP206" s="56"/>
      <c r="CQ206" s="611"/>
      <c r="CR206" s="612"/>
      <c r="CS206" s="609">
        <v>0</v>
      </c>
      <c r="CT206" s="610"/>
      <c r="CU206" s="56"/>
      <c r="CV206" s="611"/>
      <c r="CW206" s="612"/>
      <c r="CX206" s="609">
        <v>0</v>
      </c>
      <c r="CY206" s="610"/>
      <c r="CZ206" s="56"/>
      <c r="DA206" s="611"/>
      <c r="DB206" s="612"/>
      <c r="DC206" s="609">
        <v>0</v>
      </c>
      <c r="DD206" s="610"/>
      <c r="DE206" s="56"/>
      <c r="DF206" s="611"/>
      <c r="DG206" s="612"/>
      <c r="DH206" s="609">
        <v>0</v>
      </c>
      <c r="DI206" s="610"/>
      <c r="DJ206" s="56"/>
      <c r="DK206" s="611"/>
      <c r="DL206" s="612"/>
      <c r="DM206" s="609">
        <v>0</v>
      </c>
      <c r="DN206" s="610"/>
      <c r="DO206" s="56"/>
      <c r="DP206" s="611"/>
      <c r="DQ206" s="612"/>
      <c r="DR206" s="609">
        <v>0</v>
      </c>
      <c r="DS206" s="610"/>
      <c r="DT206" s="56"/>
      <c r="DU206" s="611"/>
      <c r="DV206" s="612"/>
      <c r="DW206" s="609">
        <v>0</v>
      </c>
      <c r="DX206" s="610"/>
      <c r="DY206" s="56"/>
      <c r="DZ206" s="611"/>
      <c r="EA206" s="612"/>
      <c r="EB206" s="609">
        <v>0</v>
      </c>
      <c r="EC206" s="610"/>
      <c r="ED206" s="56"/>
      <c r="EE206" s="611"/>
      <c r="EF206" s="612"/>
      <c r="EG206" s="609">
        <v>0</v>
      </c>
      <c r="EH206" s="610"/>
      <c r="EI206" s="56"/>
      <c r="EJ206" s="611"/>
      <c r="EK206" s="612"/>
      <c r="EL206" s="609">
        <f>SUM(CD206:EG206)</f>
        <v>0</v>
      </c>
      <c r="EM206" s="501"/>
      <c r="EO206" s="144"/>
      <c r="EP206" s="42"/>
      <c r="EQ206" s="42"/>
    </row>
    <row r="207" spans="4:147" hidden="1" x14ac:dyDescent="0.3">
      <c r="D207" s="144" t="s">
        <v>408</v>
      </c>
      <c r="E207" s="494"/>
      <c r="F207" s="494"/>
      <c r="G207" s="56">
        <v>0</v>
      </c>
      <c r="H207" s="55"/>
      <c r="I207" s="56"/>
      <c r="J207" s="611"/>
      <c r="K207" s="611"/>
      <c r="L207" s="56">
        <v>0</v>
      </c>
      <c r="M207" s="55"/>
      <c r="N207" s="56"/>
      <c r="O207" s="611"/>
      <c r="P207" s="611"/>
      <c r="Q207" s="56">
        <v>0</v>
      </c>
      <c r="R207" s="55"/>
      <c r="S207" s="56"/>
      <c r="T207" s="611"/>
      <c r="U207" s="611"/>
      <c r="V207" s="56">
        <v>0</v>
      </c>
      <c r="W207" s="55"/>
      <c r="X207" s="56"/>
      <c r="Y207" s="611"/>
      <c r="Z207" s="611"/>
      <c r="AA207" s="56">
        <v>0</v>
      </c>
      <c r="AB207" s="55"/>
      <c r="AC207" s="56"/>
      <c r="AD207" s="611"/>
      <c r="AE207" s="611"/>
      <c r="AF207" s="56">
        <v>0</v>
      </c>
      <c r="AG207" s="55"/>
      <c r="AH207" s="56"/>
      <c r="AI207" s="611"/>
      <c r="AJ207" s="611"/>
      <c r="AK207" s="56">
        <v>0</v>
      </c>
      <c r="AL207" s="55"/>
      <c r="AM207" s="56"/>
      <c r="AN207" s="611"/>
      <c r="AO207" s="611"/>
      <c r="AP207" s="56">
        <v>0</v>
      </c>
      <c r="AQ207" s="55"/>
      <c r="AR207" s="56"/>
      <c r="AS207" s="611"/>
      <c r="AT207" s="611"/>
      <c r="AU207" s="56">
        <v>0</v>
      </c>
      <c r="AV207" s="55"/>
      <c r="AW207" s="56"/>
      <c r="AX207" s="611"/>
      <c r="AY207" s="611"/>
      <c r="AZ207" s="56">
        <v>0</v>
      </c>
      <c r="BA207" s="55"/>
      <c r="BB207" s="56"/>
      <c r="BC207" s="611"/>
      <c r="BD207" s="611"/>
      <c r="BE207" s="56">
        <v>0</v>
      </c>
      <c r="BF207" s="55"/>
      <c r="BG207" s="56"/>
      <c r="BH207" s="611"/>
      <c r="BI207" s="611"/>
      <c r="BJ207" s="56">
        <v>0</v>
      </c>
      <c r="BK207" s="55"/>
      <c r="BL207" s="56"/>
      <c r="BM207" s="611"/>
      <c r="BN207" s="611"/>
      <c r="BO207" s="56">
        <v>0</v>
      </c>
      <c r="BP207" s="55"/>
      <c r="BQ207" s="56"/>
      <c r="BR207" s="611"/>
      <c r="BS207" s="611"/>
      <c r="BT207" s="56">
        <f>SUM(L207:BO207)</f>
        <v>0</v>
      </c>
      <c r="BU207" s="55"/>
      <c r="BV207" s="56"/>
      <c r="BW207" s="611"/>
      <c r="BX207" s="611"/>
      <c r="BY207" s="56">
        <v>0</v>
      </c>
      <c r="BZ207" s="55"/>
      <c r="CA207" s="56"/>
      <c r="CB207" s="611"/>
      <c r="CC207" s="611"/>
      <c r="CD207" s="56">
        <v>0</v>
      </c>
      <c r="CE207" s="55"/>
      <c r="CF207" s="56"/>
      <c r="CG207" s="611"/>
      <c r="CH207" s="611"/>
      <c r="CI207" s="56">
        <v>0</v>
      </c>
      <c r="CJ207" s="55"/>
      <c r="CK207" s="56"/>
      <c r="CL207" s="611"/>
      <c r="CM207" s="611"/>
      <c r="CN207" s="56">
        <v>0</v>
      </c>
      <c r="CO207" s="55"/>
      <c r="CP207" s="56"/>
      <c r="CQ207" s="611"/>
      <c r="CR207" s="611"/>
      <c r="CS207" s="56">
        <v>0</v>
      </c>
      <c r="CT207" s="55"/>
      <c r="CU207" s="56"/>
      <c r="CV207" s="611"/>
      <c r="CW207" s="611"/>
      <c r="CX207" s="56">
        <v>0</v>
      </c>
      <c r="CY207" s="55"/>
      <c r="CZ207" s="56"/>
      <c r="DA207" s="611"/>
      <c r="DB207" s="611"/>
      <c r="DC207" s="56">
        <v>0</v>
      </c>
      <c r="DD207" s="55"/>
      <c r="DE207" s="56"/>
      <c r="DF207" s="611"/>
      <c r="DG207" s="611"/>
      <c r="DH207" s="56">
        <v>0</v>
      </c>
      <c r="DI207" s="55"/>
      <c r="DJ207" s="56"/>
      <c r="DK207" s="611"/>
      <c r="DL207" s="611"/>
      <c r="DM207" s="56">
        <v>0</v>
      </c>
      <c r="DN207" s="55"/>
      <c r="DO207" s="56"/>
      <c r="DP207" s="611"/>
      <c r="DQ207" s="611"/>
      <c r="DR207" s="56">
        <v>0</v>
      </c>
      <c r="DS207" s="55"/>
      <c r="DT207" s="56"/>
      <c r="DU207" s="611"/>
      <c r="DV207" s="611"/>
      <c r="DW207" s="56">
        <v>0</v>
      </c>
      <c r="DX207" s="55"/>
      <c r="DY207" s="56"/>
      <c r="DZ207" s="611"/>
      <c r="EA207" s="611"/>
      <c r="EB207" s="56">
        <v>0</v>
      </c>
      <c r="EC207" s="55"/>
      <c r="ED207" s="56"/>
      <c r="EE207" s="611"/>
      <c r="EF207" s="611"/>
      <c r="EG207" s="56">
        <v>0</v>
      </c>
      <c r="EH207" s="55"/>
      <c r="EI207" s="56"/>
      <c r="EJ207" s="611"/>
      <c r="EK207" s="611"/>
      <c r="EL207" s="56">
        <f>SUM(CD207:EG207)</f>
        <v>0</v>
      </c>
      <c r="EM207" s="506"/>
      <c r="EO207" s="144"/>
      <c r="EP207" s="42"/>
      <c r="EQ207" s="42"/>
    </row>
    <row r="208" spans="4:147" hidden="1" x14ac:dyDescent="0.3">
      <c r="D208" s="144" t="s">
        <v>409</v>
      </c>
      <c r="E208" s="494"/>
      <c r="F208" s="513"/>
      <c r="G208" s="117">
        <v>0</v>
      </c>
      <c r="H208" s="116"/>
      <c r="I208" s="56"/>
      <c r="J208" s="611"/>
      <c r="K208" s="620"/>
      <c r="L208" s="117">
        <v>0</v>
      </c>
      <c r="M208" s="116"/>
      <c r="N208" s="56"/>
      <c r="O208" s="611"/>
      <c r="P208" s="620"/>
      <c r="Q208" s="117">
        <v>0</v>
      </c>
      <c r="R208" s="116"/>
      <c r="S208" s="56"/>
      <c r="T208" s="611"/>
      <c r="U208" s="620"/>
      <c r="V208" s="117">
        <v>0</v>
      </c>
      <c r="W208" s="116"/>
      <c r="X208" s="56"/>
      <c r="Y208" s="611"/>
      <c r="Z208" s="620"/>
      <c r="AA208" s="117">
        <v>0</v>
      </c>
      <c r="AB208" s="116"/>
      <c r="AC208" s="56"/>
      <c r="AD208" s="611"/>
      <c r="AE208" s="620"/>
      <c r="AF208" s="117">
        <v>0</v>
      </c>
      <c r="AG208" s="116"/>
      <c r="AH208" s="56"/>
      <c r="AI208" s="611"/>
      <c r="AJ208" s="620"/>
      <c r="AK208" s="117">
        <v>0</v>
      </c>
      <c r="AL208" s="116"/>
      <c r="AM208" s="56"/>
      <c r="AN208" s="611"/>
      <c r="AO208" s="620"/>
      <c r="AP208" s="117">
        <v>0</v>
      </c>
      <c r="AQ208" s="116"/>
      <c r="AR208" s="56"/>
      <c r="AS208" s="611"/>
      <c r="AT208" s="620"/>
      <c r="AU208" s="117">
        <v>0</v>
      </c>
      <c r="AV208" s="116"/>
      <c r="AW208" s="56"/>
      <c r="AX208" s="611"/>
      <c r="AY208" s="620"/>
      <c r="AZ208" s="117">
        <v>0</v>
      </c>
      <c r="BA208" s="116"/>
      <c r="BB208" s="56"/>
      <c r="BC208" s="611"/>
      <c r="BD208" s="620"/>
      <c r="BE208" s="117">
        <v>0</v>
      </c>
      <c r="BF208" s="116"/>
      <c r="BG208" s="56"/>
      <c r="BH208" s="611"/>
      <c r="BI208" s="620"/>
      <c r="BJ208" s="117">
        <v>0</v>
      </c>
      <c r="BK208" s="116"/>
      <c r="BL208" s="56"/>
      <c r="BM208" s="611"/>
      <c r="BN208" s="620"/>
      <c r="BO208" s="117">
        <v>0</v>
      </c>
      <c r="BP208" s="116"/>
      <c r="BQ208" s="56"/>
      <c r="BR208" s="611"/>
      <c r="BS208" s="620"/>
      <c r="BT208" s="117">
        <f>SUM(L208:BO208)</f>
        <v>0</v>
      </c>
      <c r="BU208" s="116"/>
      <c r="BV208" s="56"/>
      <c r="BW208" s="611"/>
      <c r="BX208" s="620"/>
      <c r="BY208" s="117">
        <v>0</v>
      </c>
      <c r="BZ208" s="116"/>
      <c r="CA208" s="56"/>
      <c r="CB208" s="611"/>
      <c r="CC208" s="620"/>
      <c r="CD208" s="117">
        <v>0</v>
      </c>
      <c r="CE208" s="116"/>
      <c r="CF208" s="56"/>
      <c r="CG208" s="611"/>
      <c r="CH208" s="620"/>
      <c r="CI208" s="117">
        <v>0</v>
      </c>
      <c r="CJ208" s="116"/>
      <c r="CK208" s="56"/>
      <c r="CL208" s="611"/>
      <c r="CM208" s="620"/>
      <c r="CN208" s="117">
        <v>0</v>
      </c>
      <c r="CO208" s="116"/>
      <c r="CP208" s="56"/>
      <c r="CQ208" s="611"/>
      <c r="CR208" s="620"/>
      <c r="CS208" s="117">
        <v>0</v>
      </c>
      <c r="CT208" s="116"/>
      <c r="CU208" s="56"/>
      <c r="CV208" s="611"/>
      <c r="CW208" s="620"/>
      <c r="CX208" s="117">
        <v>0</v>
      </c>
      <c r="CY208" s="116"/>
      <c r="CZ208" s="56"/>
      <c r="DA208" s="611"/>
      <c r="DB208" s="620"/>
      <c r="DC208" s="117">
        <v>0</v>
      </c>
      <c r="DD208" s="116"/>
      <c r="DE208" s="56"/>
      <c r="DF208" s="611"/>
      <c r="DG208" s="620"/>
      <c r="DH208" s="117">
        <v>0</v>
      </c>
      <c r="DI208" s="116"/>
      <c r="DJ208" s="56"/>
      <c r="DK208" s="611"/>
      <c r="DL208" s="620"/>
      <c r="DM208" s="117">
        <v>0</v>
      </c>
      <c r="DN208" s="116"/>
      <c r="DO208" s="56"/>
      <c r="DP208" s="611"/>
      <c r="DQ208" s="620"/>
      <c r="DR208" s="117">
        <v>0</v>
      </c>
      <c r="DS208" s="116"/>
      <c r="DT208" s="56"/>
      <c r="DU208" s="611"/>
      <c r="DV208" s="620"/>
      <c r="DW208" s="117">
        <v>0</v>
      </c>
      <c r="DX208" s="116"/>
      <c r="DY208" s="56"/>
      <c r="DZ208" s="611"/>
      <c r="EA208" s="620"/>
      <c r="EB208" s="117">
        <v>0</v>
      </c>
      <c r="EC208" s="116"/>
      <c r="ED208" s="56"/>
      <c r="EE208" s="611"/>
      <c r="EF208" s="620"/>
      <c r="EG208" s="117">
        <v>0</v>
      </c>
      <c r="EH208" s="116"/>
      <c r="EI208" s="56"/>
      <c r="EJ208" s="611"/>
      <c r="EK208" s="620"/>
      <c r="EL208" s="117">
        <f>SUM(CD208:EG208)</f>
        <v>0</v>
      </c>
      <c r="EM208" s="515"/>
      <c r="EO208" s="144"/>
      <c r="EP208" s="42"/>
      <c r="EQ208" s="42"/>
    </row>
    <row r="209" spans="4:147" hidden="1" x14ac:dyDescent="0.3">
      <c r="D209" s="144"/>
      <c r="E209" s="494"/>
      <c r="G209" s="56"/>
      <c r="H209" s="56"/>
      <c r="I209" s="56"/>
      <c r="J209" s="611"/>
      <c r="K209" s="56"/>
      <c r="L209" s="56"/>
      <c r="M209" s="56"/>
      <c r="N209" s="56"/>
      <c r="O209" s="611"/>
      <c r="P209" s="56"/>
      <c r="Q209" s="56"/>
      <c r="R209" s="56"/>
      <c r="S209" s="56"/>
      <c r="T209" s="611"/>
      <c r="U209" s="56"/>
      <c r="V209" s="56"/>
      <c r="W209" s="56"/>
      <c r="X209" s="56"/>
      <c r="Y209" s="611"/>
      <c r="Z209" s="56"/>
      <c r="AA209" s="56"/>
      <c r="AB209" s="56"/>
      <c r="AC209" s="56"/>
      <c r="AD209" s="611"/>
      <c r="AE209" s="56"/>
      <c r="AF209" s="56"/>
      <c r="AG209" s="56"/>
      <c r="AH209" s="56"/>
      <c r="AI209" s="611"/>
      <c r="AJ209" s="56"/>
      <c r="AK209" s="56"/>
      <c r="AL209" s="56"/>
      <c r="AM209" s="56"/>
      <c r="AN209" s="611"/>
      <c r="AO209" s="56"/>
      <c r="AP209" s="56"/>
      <c r="AQ209" s="56"/>
      <c r="AR209" s="56"/>
      <c r="AS209" s="611"/>
      <c r="AT209" s="56"/>
      <c r="AU209" s="56"/>
      <c r="AV209" s="56"/>
      <c r="AW209" s="56"/>
      <c r="AX209" s="611"/>
      <c r="AY209" s="56"/>
      <c r="AZ209" s="56"/>
      <c r="BA209" s="56"/>
      <c r="BB209" s="56"/>
      <c r="BC209" s="611"/>
      <c r="BD209" s="56"/>
      <c r="BE209" s="56"/>
      <c r="BF209" s="56"/>
      <c r="BG209" s="56"/>
      <c r="BH209" s="611"/>
      <c r="BI209" s="56"/>
      <c r="BJ209" s="56"/>
      <c r="BK209" s="56"/>
      <c r="BL209" s="56"/>
      <c r="BM209" s="611"/>
      <c r="BN209" s="56"/>
      <c r="BO209" s="56"/>
      <c r="BP209" s="56"/>
      <c r="BQ209" s="56"/>
      <c r="BR209" s="611"/>
      <c r="BS209" s="56"/>
      <c r="BT209" s="56"/>
      <c r="BU209" s="56"/>
      <c r="BV209" s="56"/>
      <c r="BW209" s="611"/>
      <c r="BX209" s="56"/>
      <c r="BY209" s="56"/>
      <c r="BZ209" s="56"/>
      <c r="CA209" s="56"/>
      <c r="CB209" s="611"/>
      <c r="CC209" s="56"/>
      <c r="CD209" s="56"/>
      <c r="CE209" s="56"/>
      <c r="CF209" s="56"/>
      <c r="CG209" s="611"/>
      <c r="CH209" s="56"/>
      <c r="CI209" s="56"/>
      <c r="CJ209" s="56"/>
      <c r="CK209" s="56"/>
      <c r="CL209" s="611"/>
      <c r="CM209" s="56"/>
      <c r="CN209" s="56"/>
      <c r="CO209" s="56"/>
      <c r="CP209" s="56"/>
      <c r="CQ209" s="611"/>
      <c r="CR209" s="56"/>
      <c r="CS209" s="56"/>
      <c r="CT209" s="56"/>
      <c r="CU209" s="56"/>
      <c r="CV209" s="611"/>
      <c r="CW209" s="56"/>
      <c r="CX209" s="56"/>
      <c r="CY209" s="56"/>
      <c r="CZ209" s="56"/>
      <c r="DA209" s="611"/>
      <c r="DB209" s="56"/>
      <c r="DC209" s="56"/>
      <c r="DD209" s="56"/>
      <c r="DE209" s="56"/>
      <c r="DF209" s="611"/>
      <c r="DG209" s="56"/>
      <c r="DH209" s="56"/>
      <c r="DI209" s="56"/>
      <c r="DJ209" s="56"/>
      <c r="DK209" s="611"/>
      <c r="DL209" s="56"/>
      <c r="DM209" s="56"/>
      <c r="DN209" s="56"/>
      <c r="DO209" s="56"/>
      <c r="DP209" s="611"/>
      <c r="DQ209" s="56"/>
      <c r="DR209" s="56"/>
      <c r="DS209" s="56"/>
      <c r="DT209" s="56"/>
      <c r="DU209" s="611"/>
      <c r="DV209" s="56"/>
      <c r="DW209" s="56"/>
      <c r="DX209" s="56"/>
      <c r="DY209" s="56"/>
      <c r="DZ209" s="611"/>
      <c r="EA209" s="56"/>
      <c r="EB209" s="56"/>
      <c r="EC209" s="56"/>
      <c r="ED209" s="56"/>
      <c r="EE209" s="611"/>
      <c r="EF209" s="56"/>
      <c r="EG209" s="56"/>
      <c r="EH209" s="56"/>
      <c r="EI209" s="56"/>
      <c r="EJ209" s="611"/>
      <c r="EK209" s="56"/>
      <c r="EL209" s="56"/>
      <c r="EO209" s="144"/>
      <c r="EP209" s="42"/>
      <c r="EQ209" s="42"/>
    </row>
    <row r="210" spans="4:147" hidden="1" x14ac:dyDescent="0.3">
      <c r="D210" s="144" t="s">
        <v>413</v>
      </c>
      <c r="E210" s="494"/>
      <c r="G210" s="56">
        <f>SUM(G211:G213)</f>
        <v>0</v>
      </c>
      <c r="H210" s="56"/>
      <c r="I210" s="56"/>
      <c r="J210" s="611"/>
      <c r="K210" s="56"/>
      <c r="L210" s="56">
        <f>SUM(L211:L213)</f>
        <v>0</v>
      </c>
      <c r="M210" s="56"/>
      <c r="N210" s="56"/>
      <c r="O210" s="611"/>
      <c r="P210" s="56"/>
      <c r="Q210" s="56">
        <f>SUM(Q211:Q213)</f>
        <v>0</v>
      </c>
      <c r="R210" s="56"/>
      <c r="S210" s="56"/>
      <c r="T210" s="611"/>
      <c r="U210" s="56"/>
      <c r="V210" s="56">
        <f>SUM(V211:V213)</f>
        <v>0</v>
      </c>
      <c r="W210" s="56"/>
      <c r="X210" s="56"/>
      <c r="Y210" s="611"/>
      <c r="Z210" s="56"/>
      <c r="AA210" s="56">
        <f>SUM(AA211:AA213)</f>
        <v>0</v>
      </c>
      <c r="AB210" s="56"/>
      <c r="AC210" s="56"/>
      <c r="AD210" s="611"/>
      <c r="AE210" s="56"/>
      <c r="AF210" s="56">
        <f>SUM(AF211:AF213)</f>
        <v>0</v>
      </c>
      <c r="AG210" s="56"/>
      <c r="AH210" s="56"/>
      <c r="AI210" s="611"/>
      <c r="AJ210" s="56"/>
      <c r="AK210" s="56">
        <f>SUM(AK211:AK213)</f>
        <v>0</v>
      </c>
      <c r="AL210" s="56"/>
      <c r="AM210" s="56"/>
      <c r="AN210" s="611"/>
      <c r="AO210" s="56"/>
      <c r="AP210" s="56">
        <f>SUM(AP211:AP213)</f>
        <v>0</v>
      </c>
      <c r="AQ210" s="56"/>
      <c r="AR210" s="56"/>
      <c r="AS210" s="611"/>
      <c r="AT210" s="56"/>
      <c r="AU210" s="56">
        <f>SUM(AU211:AU213)</f>
        <v>0</v>
      </c>
      <c r="AV210" s="56"/>
      <c r="AW210" s="56"/>
      <c r="AX210" s="611"/>
      <c r="AY210" s="56"/>
      <c r="AZ210" s="56">
        <f>SUM(AZ211:AZ213)</f>
        <v>0</v>
      </c>
      <c r="BA210" s="56"/>
      <c r="BB210" s="56"/>
      <c r="BC210" s="611"/>
      <c r="BD210" s="56"/>
      <c r="BE210" s="56">
        <f>SUM(BE211:BE213)</f>
        <v>0</v>
      </c>
      <c r="BF210" s="56"/>
      <c r="BG210" s="56"/>
      <c r="BH210" s="611"/>
      <c r="BI210" s="56"/>
      <c r="BJ210" s="56">
        <f>SUM(BJ211:BJ213)</f>
        <v>0</v>
      </c>
      <c r="BK210" s="56"/>
      <c r="BL210" s="56"/>
      <c r="BM210" s="611"/>
      <c r="BN210" s="56"/>
      <c r="BO210" s="56">
        <f>SUM(BO211:BO213)</f>
        <v>0</v>
      </c>
      <c r="BP210" s="56"/>
      <c r="BQ210" s="56"/>
      <c r="BR210" s="611"/>
      <c r="BS210" s="56"/>
      <c r="BT210" s="56">
        <f>SUM(BT211:BT213)</f>
        <v>0</v>
      </c>
      <c r="BU210" s="56"/>
      <c r="BV210" s="56"/>
      <c r="BW210" s="611"/>
      <c r="BX210" s="56"/>
      <c r="BY210" s="56">
        <f>SUM(BY211:BY213)</f>
        <v>0</v>
      </c>
      <c r="BZ210" s="56"/>
      <c r="CA210" s="56"/>
      <c r="CB210" s="611"/>
      <c r="CC210" s="56"/>
      <c r="CD210" s="56">
        <f>SUM(CD211:CD213)</f>
        <v>0</v>
      </c>
      <c r="CE210" s="56"/>
      <c r="CF210" s="56"/>
      <c r="CG210" s="611"/>
      <c r="CH210" s="56"/>
      <c r="CI210" s="56">
        <f>SUM(CI211:CI213)</f>
        <v>0</v>
      </c>
      <c r="CJ210" s="56"/>
      <c r="CK210" s="56"/>
      <c r="CL210" s="611"/>
      <c r="CM210" s="56"/>
      <c r="CN210" s="56">
        <f>SUM(CN211:CN213)</f>
        <v>0</v>
      </c>
      <c r="CO210" s="56"/>
      <c r="CP210" s="56"/>
      <c r="CQ210" s="611"/>
      <c r="CR210" s="56"/>
      <c r="CS210" s="56">
        <f>SUM(CS211:CS213)</f>
        <v>0</v>
      </c>
      <c r="CT210" s="56"/>
      <c r="CU210" s="56"/>
      <c r="CV210" s="611"/>
      <c r="CW210" s="56"/>
      <c r="CX210" s="56">
        <f>SUM(CX211:CX213)</f>
        <v>0</v>
      </c>
      <c r="CY210" s="56"/>
      <c r="CZ210" s="56"/>
      <c r="DA210" s="611"/>
      <c r="DB210" s="56"/>
      <c r="DC210" s="56">
        <f>SUM(DC211:DC213)</f>
        <v>0</v>
      </c>
      <c r="DD210" s="56"/>
      <c r="DE210" s="56"/>
      <c r="DF210" s="611"/>
      <c r="DG210" s="56"/>
      <c r="DH210" s="56">
        <f>SUM(DH211:DH213)</f>
        <v>0</v>
      </c>
      <c r="DI210" s="56"/>
      <c r="DJ210" s="56"/>
      <c r="DK210" s="611"/>
      <c r="DL210" s="56"/>
      <c r="DM210" s="56">
        <f>SUM(DM211:DM213)</f>
        <v>0</v>
      </c>
      <c r="DN210" s="56"/>
      <c r="DO210" s="56"/>
      <c r="DP210" s="611"/>
      <c r="DQ210" s="56"/>
      <c r="DR210" s="56">
        <f>SUM(DR211:DR213)</f>
        <v>0</v>
      </c>
      <c r="DS210" s="56"/>
      <c r="DT210" s="56"/>
      <c r="DU210" s="611"/>
      <c r="DV210" s="56"/>
      <c r="DW210" s="56">
        <f>SUM(DW211:DW213)</f>
        <v>0</v>
      </c>
      <c r="DX210" s="56"/>
      <c r="DY210" s="56"/>
      <c r="DZ210" s="611"/>
      <c r="EA210" s="56"/>
      <c r="EB210" s="56">
        <f>SUM(EB211:EB213)</f>
        <v>0</v>
      </c>
      <c r="EC210" s="56"/>
      <c r="ED210" s="56"/>
      <c r="EE210" s="611"/>
      <c r="EF210" s="56"/>
      <c r="EG210" s="56">
        <f>SUM(EG211:EG213)</f>
        <v>0</v>
      </c>
      <c r="EH210" s="56"/>
      <c r="EI210" s="56"/>
      <c r="EJ210" s="611"/>
      <c r="EK210" s="56"/>
      <c r="EL210" s="56">
        <f>SUM(EL211:EL213)</f>
        <v>0</v>
      </c>
      <c r="EO210" s="144"/>
      <c r="EP210" s="42"/>
      <c r="EQ210" s="42"/>
    </row>
    <row r="211" spans="4:147" hidden="1" x14ac:dyDescent="0.3">
      <c r="D211" s="144" t="s">
        <v>335</v>
      </c>
      <c r="E211" s="494"/>
      <c r="F211" s="500"/>
      <c r="G211" s="609">
        <v>0</v>
      </c>
      <c r="H211" s="610"/>
      <c r="I211" s="56"/>
      <c r="J211" s="611"/>
      <c r="K211" s="612"/>
      <c r="L211" s="609">
        <v>0</v>
      </c>
      <c r="M211" s="610"/>
      <c r="N211" s="56"/>
      <c r="O211" s="611"/>
      <c r="P211" s="612"/>
      <c r="Q211" s="609">
        <v>0</v>
      </c>
      <c r="R211" s="610"/>
      <c r="S211" s="56"/>
      <c r="T211" s="611"/>
      <c r="U211" s="612"/>
      <c r="V211" s="609">
        <v>0</v>
      </c>
      <c r="W211" s="610"/>
      <c r="X211" s="56"/>
      <c r="Y211" s="611"/>
      <c r="Z211" s="612"/>
      <c r="AA211" s="609">
        <v>0</v>
      </c>
      <c r="AB211" s="610"/>
      <c r="AC211" s="56"/>
      <c r="AD211" s="611"/>
      <c r="AE211" s="612"/>
      <c r="AF211" s="609">
        <v>0</v>
      </c>
      <c r="AG211" s="610"/>
      <c r="AH211" s="56"/>
      <c r="AI211" s="611"/>
      <c r="AJ211" s="612"/>
      <c r="AK211" s="609">
        <v>0</v>
      </c>
      <c r="AL211" s="610"/>
      <c r="AM211" s="56"/>
      <c r="AN211" s="611"/>
      <c r="AO211" s="612"/>
      <c r="AP211" s="609">
        <v>0</v>
      </c>
      <c r="AQ211" s="610"/>
      <c r="AR211" s="56"/>
      <c r="AS211" s="611"/>
      <c r="AT211" s="612"/>
      <c r="AU211" s="609">
        <v>0</v>
      </c>
      <c r="AV211" s="610"/>
      <c r="AW211" s="56"/>
      <c r="AX211" s="611"/>
      <c r="AY211" s="612"/>
      <c r="AZ211" s="609">
        <v>0</v>
      </c>
      <c r="BA211" s="610"/>
      <c r="BB211" s="56"/>
      <c r="BC211" s="611"/>
      <c r="BD211" s="612"/>
      <c r="BE211" s="609">
        <v>0</v>
      </c>
      <c r="BF211" s="610"/>
      <c r="BG211" s="56"/>
      <c r="BH211" s="611"/>
      <c r="BI211" s="612"/>
      <c r="BJ211" s="609">
        <v>0</v>
      </c>
      <c r="BK211" s="610"/>
      <c r="BL211" s="56"/>
      <c r="BM211" s="611"/>
      <c r="BN211" s="612"/>
      <c r="BO211" s="609">
        <v>0</v>
      </c>
      <c r="BP211" s="610"/>
      <c r="BQ211" s="56"/>
      <c r="BR211" s="611"/>
      <c r="BS211" s="612"/>
      <c r="BT211" s="609">
        <f>SUM(L211:BO211)</f>
        <v>0</v>
      </c>
      <c r="BU211" s="610"/>
      <c r="BV211" s="56"/>
      <c r="BW211" s="611"/>
      <c r="BX211" s="612"/>
      <c r="BY211" s="609">
        <v>0</v>
      </c>
      <c r="BZ211" s="610"/>
      <c r="CA211" s="56"/>
      <c r="CB211" s="611"/>
      <c r="CC211" s="612"/>
      <c r="CD211" s="609">
        <v>0</v>
      </c>
      <c r="CE211" s="610"/>
      <c r="CF211" s="56"/>
      <c r="CG211" s="611"/>
      <c r="CH211" s="612"/>
      <c r="CI211" s="609">
        <v>0</v>
      </c>
      <c r="CJ211" s="610"/>
      <c r="CK211" s="56"/>
      <c r="CL211" s="611"/>
      <c r="CM211" s="612"/>
      <c r="CN211" s="609">
        <v>0</v>
      </c>
      <c r="CO211" s="610"/>
      <c r="CP211" s="56"/>
      <c r="CQ211" s="611"/>
      <c r="CR211" s="612"/>
      <c r="CS211" s="609">
        <v>0</v>
      </c>
      <c r="CT211" s="610"/>
      <c r="CU211" s="56"/>
      <c r="CV211" s="611"/>
      <c r="CW211" s="612"/>
      <c r="CX211" s="609">
        <v>0</v>
      </c>
      <c r="CY211" s="610"/>
      <c r="CZ211" s="56"/>
      <c r="DA211" s="611"/>
      <c r="DB211" s="612"/>
      <c r="DC211" s="609">
        <v>0</v>
      </c>
      <c r="DD211" s="610"/>
      <c r="DE211" s="56"/>
      <c r="DF211" s="611"/>
      <c r="DG211" s="612"/>
      <c r="DH211" s="609">
        <v>0</v>
      </c>
      <c r="DI211" s="610"/>
      <c r="DJ211" s="56"/>
      <c r="DK211" s="611"/>
      <c r="DL211" s="612"/>
      <c r="DM211" s="609">
        <v>0</v>
      </c>
      <c r="DN211" s="610"/>
      <c r="DO211" s="56"/>
      <c r="DP211" s="611"/>
      <c r="DQ211" s="612"/>
      <c r="DR211" s="609">
        <v>0</v>
      </c>
      <c r="DS211" s="610"/>
      <c r="DT211" s="56"/>
      <c r="DU211" s="611"/>
      <c r="DV211" s="612"/>
      <c r="DW211" s="609">
        <v>0</v>
      </c>
      <c r="DX211" s="610"/>
      <c r="DY211" s="56"/>
      <c r="DZ211" s="611"/>
      <c r="EA211" s="612"/>
      <c r="EB211" s="609">
        <v>0</v>
      </c>
      <c r="EC211" s="610"/>
      <c r="ED211" s="56"/>
      <c r="EE211" s="611"/>
      <c r="EF211" s="612"/>
      <c r="EG211" s="609">
        <v>0</v>
      </c>
      <c r="EH211" s="610"/>
      <c r="EI211" s="56"/>
      <c r="EJ211" s="611"/>
      <c r="EK211" s="612"/>
      <c r="EL211" s="609">
        <f>SUM(CD211:EG211)</f>
        <v>0</v>
      </c>
      <c r="EM211" s="501"/>
      <c r="EO211" s="144"/>
      <c r="EP211" s="42"/>
      <c r="EQ211" s="42"/>
    </row>
    <row r="212" spans="4:147" hidden="1" x14ac:dyDescent="0.3">
      <c r="D212" s="144" t="s">
        <v>408</v>
      </c>
      <c r="E212" s="494"/>
      <c r="F212" s="494"/>
      <c r="G212" s="56">
        <v>0</v>
      </c>
      <c r="H212" s="55"/>
      <c r="I212" s="56"/>
      <c r="J212" s="611"/>
      <c r="K212" s="611"/>
      <c r="L212" s="56">
        <v>0</v>
      </c>
      <c r="M212" s="55"/>
      <c r="N212" s="56"/>
      <c r="O212" s="611"/>
      <c r="P212" s="611"/>
      <c r="Q212" s="56">
        <v>0</v>
      </c>
      <c r="R212" s="55"/>
      <c r="S212" s="56"/>
      <c r="T212" s="611"/>
      <c r="U212" s="611"/>
      <c r="V212" s="56">
        <v>0</v>
      </c>
      <c r="W212" s="55"/>
      <c r="X212" s="56"/>
      <c r="Y212" s="611"/>
      <c r="Z212" s="611"/>
      <c r="AA212" s="56">
        <v>0</v>
      </c>
      <c r="AB212" s="55"/>
      <c r="AC212" s="56"/>
      <c r="AD212" s="611"/>
      <c r="AE212" s="611"/>
      <c r="AF212" s="56">
        <v>0</v>
      </c>
      <c r="AG212" s="55"/>
      <c r="AH212" s="56"/>
      <c r="AI212" s="611"/>
      <c r="AJ212" s="611"/>
      <c r="AK212" s="56">
        <v>0</v>
      </c>
      <c r="AL212" s="55"/>
      <c r="AM212" s="56"/>
      <c r="AN212" s="611"/>
      <c r="AO212" s="611"/>
      <c r="AP212" s="56">
        <v>0</v>
      </c>
      <c r="AQ212" s="55"/>
      <c r="AR212" s="56"/>
      <c r="AS212" s="611"/>
      <c r="AT212" s="611"/>
      <c r="AU212" s="56">
        <v>0</v>
      </c>
      <c r="AV212" s="55"/>
      <c r="AW212" s="56"/>
      <c r="AX212" s="611"/>
      <c r="AY212" s="611"/>
      <c r="AZ212" s="56">
        <v>0</v>
      </c>
      <c r="BA212" s="55"/>
      <c r="BB212" s="56"/>
      <c r="BC212" s="611"/>
      <c r="BD212" s="611"/>
      <c r="BE212" s="56">
        <v>0</v>
      </c>
      <c r="BF212" s="55"/>
      <c r="BG212" s="56"/>
      <c r="BH212" s="611"/>
      <c r="BI212" s="611"/>
      <c r="BJ212" s="56">
        <v>0</v>
      </c>
      <c r="BK212" s="55"/>
      <c r="BL212" s="56"/>
      <c r="BM212" s="611"/>
      <c r="BN212" s="611"/>
      <c r="BO212" s="56">
        <v>0</v>
      </c>
      <c r="BP212" s="55"/>
      <c r="BQ212" s="56"/>
      <c r="BR212" s="611"/>
      <c r="BS212" s="611"/>
      <c r="BT212" s="56">
        <f>SUM(L212:BO212)</f>
        <v>0</v>
      </c>
      <c r="BU212" s="55"/>
      <c r="BV212" s="56"/>
      <c r="BW212" s="611"/>
      <c r="BX212" s="611"/>
      <c r="BY212" s="56">
        <v>0</v>
      </c>
      <c r="BZ212" s="55"/>
      <c r="CA212" s="56"/>
      <c r="CB212" s="611"/>
      <c r="CC212" s="611"/>
      <c r="CD212" s="56">
        <v>0</v>
      </c>
      <c r="CE212" s="55"/>
      <c r="CF212" s="56"/>
      <c r="CG212" s="611"/>
      <c r="CH212" s="611"/>
      <c r="CI212" s="56">
        <v>0</v>
      </c>
      <c r="CJ212" s="55"/>
      <c r="CK212" s="56"/>
      <c r="CL212" s="611"/>
      <c r="CM212" s="611"/>
      <c r="CN212" s="56">
        <v>0</v>
      </c>
      <c r="CO212" s="55"/>
      <c r="CP212" s="56"/>
      <c r="CQ212" s="611"/>
      <c r="CR212" s="611"/>
      <c r="CS212" s="56">
        <v>0</v>
      </c>
      <c r="CT212" s="55"/>
      <c r="CU212" s="56"/>
      <c r="CV212" s="611"/>
      <c r="CW212" s="611"/>
      <c r="CX212" s="56">
        <v>0</v>
      </c>
      <c r="CY212" s="55"/>
      <c r="CZ212" s="56"/>
      <c r="DA212" s="611"/>
      <c r="DB212" s="611"/>
      <c r="DC212" s="56">
        <v>0</v>
      </c>
      <c r="DD212" s="55"/>
      <c r="DE212" s="56"/>
      <c r="DF212" s="611"/>
      <c r="DG212" s="611"/>
      <c r="DH212" s="56">
        <v>0</v>
      </c>
      <c r="DI212" s="55"/>
      <c r="DJ212" s="56"/>
      <c r="DK212" s="611"/>
      <c r="DL212" s="611"/>
      <c r="DM212" s="56">
        <v>0</v>
      </c>
      <c r="DN212" s="55"/>
      <c r="DO212" s="56"/>
      <c r="DP212" s="611"/>
      <c r="DQ212" s="611"/>
      <c r="DR212" s="56">
        <v>0</v>
      </c>
      <c r="DS212" s="55"/>
      <c r="DT212" s="56"/>
      <c r="DU212" s="611"/>
      <c r="DV212" s="611"/>
      <c r="DW212" s="56">
        <v>0</v>
      </c>
      <c r="DX212" s="55"/>
      <c r="DY212" s="56"/>
      <c r="DZ212" s="611"/>
      <c r="EA212" s="611"/>
      <c r="EB212" s="56">
        <v>0</v>
      </c>
      <c r="EC212" s="55"/>
      <c r="ED212" s="56"/>
      <c r="EE212" s="611"/>
      <c r="EF212" s="611"/>
      <c r="EG212" s="56">
        <v>0</v>
      </c>
      <c r="EH212" s="55"/>
      <c r="EI212" s="56"/>
      <c r="EJ212" s="611"/>
      <c r="EK212" s="611"/>
      <c r="EL212" s="56">
        <f>SUM(CD212:EG212)</f>
        <v>0</v>
      </c>
      <c r="EM212" s="506"/>
      <c r="EO212" s="144"/>
      <c r="EP212" s="42"/>
      <c r="EQ212" s="42"/>
    </row>
    <row r="213" spans="4:147" hidden="1" x14ac:dyDescent="0.3">
      <c r="D213" s="144" t="s">
        <v>409</v>
      </c>
      <c r="E213" s="494"/>
      <c r="F213" s="513"/>
      <c r="G213" s="117">
        <v>0</v>
      </c>
      <c r="H213" s="116"/>
      <c r="I213" s="56"/>
      <c r="J213" s="611"/>
      <c r="K213" s="620"/>
      <c r="L213" s="117">
        <v>0</v>
      </c>
      <c r="M213" s="116"/>
      <c r="N213" s="56"/>
      <c r="O213" s="611"/>
      <c r="P213" s="620"/>
      <c r="Q213" s="117">
        <v>0</v>
      </c>
      <c r="R213" s="116"/>
      <c r="S213" s="56"/>
      <c r="T213" s="611"/>
      <c r="U213" s="620"/>
      <c r="V213" s="117">
        <v>0</v>
      </c>
      <c r="W213" s="116"/>
      <c r="X213" s="56"/>
      <c r="Y213" s="611"/>
      <c r="Z213" s="620"/>
      <c r="AA213" s="117">
        <v>0</v>
      </c>
      <c r="AB213" s="116"/>
      <c r="AC213" s="56"/>
      <c r="AD213" s="611"/>
      <c r="AE213" s="620"/>
      <c r="AF213" s="117">
        <v>0</v>
      </c>
      <c r="AG213" s="116"/>
      <c r="AH213" s="56"/>
      <c r="AI213" s="611"/>
      <c r="AJ213" s="620"/>
      <c r="AK213" s="117">
        <v>0</v>
      </c>
      <c r="AL213" s="116"/>
      <c r="AM213" s="56"/>
      <c r="AN213" s="611"/>
      <c r="AO213" s="620"/>
      <c r="AP213" s="117">
        <v>0</v>
      </c>
      <c r="AQ213" s="116"/>
      <c r="AR213" s="56"/>
      <c r="AS213" s="611"/>
      <c r="AT213" s="620"/>
      <c r="AU213" s="117">
        <v>0</v>
      </c>
      <c r="AV213" s="116"/>
      <c r="AW213" s="56"/>
      <c r="AX213" s="611"/>
      <c r="AY213" s="620"/>
      <c r="AZ213" s="117">
        <v>0</v>
      </c>
      <c r="BA213" s="116"/>
      <c r="BB213" s="56"/>
      <c r="BC213" s="611"/>
      <c r="BD213" s="620"/>
      <c r="BE213" s="117">
        <v>0</v>
      </c>
      <c r="BF213" s="116"/>
      <c r="BG213" s="56"/>
      <c r="BH213" s="611"/>
      <c r="BI213" s="620"/>
      <c r="BJ213" s="117">
        <v>0</v>
      </c>
      <c r="BK213" s="116"/>
      <c r="BL213" s="56"/>
      <c r="BM213" s="611"/>
      <c r="BN213" s="620"/>
      <c r="BO213" s="117">
        <v>0</v>
      </c>
      <c r="BP213" s="116"/>
      <c r="BQ213" s="56"/>
      <c r="BR213" s="611"/>
      <c r="BS213" s="620"/>
      <c r="BT213" s="117">
        <f>SUM(L213:BO213)</f>
        <v>0</v>
      </c>
      <c r="BU213" s="116"/>
      <c r="BV213" s="56"/>
      <c r="BW213" s="611"/>
      <c r="BX213" s="620"/>
      <c r="BY213" s="117">
        <v>0</v>
      </c>
      <c r="BZ213" s="116"/>
      <c r="CA213" s="56"/>
      <c r="CB213" s="611"/>
      <c r="CC213" s="620"/>
      <c r="CD213" s="117">
        <v>0</v>
      </c>
      <c r="CE213" s="116"/>
      <c r="CF213" s="56"/>
      <c r="CG213" s="611"/>
      <c r="CH213" s="620"/>
      <c r="CI213" s="117">
        <v>0</v>
      </c>
      <c r="CJ213" s="116"/>
      <c r="CK213" s="56"/>
      <c r="CL213" s="611"/>
      <c r="CM213" s="620"/>
      <c r="CN213" s="117">
        <v>0</v>
      </c>
      <c r="CO213" s="116"/>
      <c r="CP213" s="56"/>
      <c r="CQ213" s="611"/>
      <c r="CR213" s="620"/>
      <c r="CS213" s="117">
        <v>0</v>
      </c>
      <c r="CT213" s="116"/>
      <c r="CU213" s="56"/>
      <c r="CV213" s="611"/>
      <c r="CW213" s="620"/>
      <c r="CX213" s="117">
        <v>0</v>
      </c>
      <c r="CY213" s="116"/>
      <c r="CZ213" s="56"/>
      <c r="DA213" s="611"/>
      <c r="DB213" s="620"/>
      <c r="DC213" s="117">
        <v>0</v>
      </c>
      <c r="DD213" s="116"/>
      <c r="DE213" s="56"/>
      <c r="DF213" s="611"/>
      <c r="DG213" s="620"/>
      <c r="DH213" s="117">
        <v>0</v>
      </c>
      <c r="DI213" s="116"/>
      <c r="DJ213" s="56"/>
      <c r="DK213" s="611"/>
      <c r="DL213" s="620"/>
      <c r="DM213" s="117">
        <v>0</v>
      </c>
      <c r="DN213" s="116"/>
      <c r="DO213" s="56"/>
      <c r="DP213" s="611"/>
      <c r="DQ213" s="620"/>
      <c r="DR213" s="117">
        <v>0</v>
      </c>
      <c r="DS213" s="116"/>
      <c r="DT213" s="56"/>
      <c r="DU213" s="611"/>
      <c r="DV213" s="620"/>
      <c r="DW213" s="117">
        <v>0</v>
      </c>
      <c r="DX213" s="116"/>
      <c r="DY213" s="56"/>
      <c r="DZ213" s="611"/>
      <c r="EA213" s="620"/>
      <c r="EB213" s="117">
        <v>0</v>
      </c>
      <c r="EC213" s="116"/>
      <c r="ED213" s="56"/>
      <c r="EE213" s="611"/>
      <c r="EF213" s="620"/>
      <c r="EG213" s="117">
        <v>0</v>
      </c>
      <c r="EH213" s="116"/>
      <c r="EI213" s="56"/>
      <c r="EJ213" s="611"/>
      <c r="EK213" s="620"/>
      <c r="EL213" s="117">
        <f>SUM(CD213:EG213)</f>
        <v>0</v>
      </c>
      <c r="EM213" s="515"/>
      <c r="EO213" s="144"/>
      <c r="EP213" s="42"/>
      <c r="EQ213" s="42"/>
    </row>
    <row r="214" spans="4:147" hidden="1" x14ac:dyDescent="0.3">
      <c r="D214" s="144"/>
      <c r="E214" s="494"/>
      <c r="G214" s="56"/>
      <c r="H214" s="56"/>
      <c r="I214" s="56"/>
      <c r="J214" s="611"/>
      <c r="K214" s="56"/>
      <c r="L214" s="56"/>
      <c r="M214" s="56"/>
      <c r="N214" s="56"/>
      <c r="O214" s="611"/>
      <c r="P214" s="56"/>
      <c r="Q214" s="56"/>
      <c r="R214" s="56"/>
      <c r="S214" s="56"/>
      <c r="T214" s="611"/>
      <c r="U214" s="56"/>
      <c r="V214" s="56"/>
      <c r="W214" s="56"/>
      <c r="X214" s="56"/>
      <c r="Y214" s="611"/>
      <c r="Z214" s="56"/>
      <c r="AA214" s="56"/>
      <c r="AB214" s="56"/>
      <c r="AC214" s="56"/>
      <c r="AD214" s="611"/>
      <c r="AE214" s="56"/>
      <c r="AF214" s="56"/>
      <c r="AG214" s="56"/>
      <c r="AH214" s="56"/>
      <c r="AI214" s="611"/>
      <c r="AJ214" s="56"/>
      <c r="AK214" s="56"/>
      <c r="AL214" s="56"/>
      <c r="AM214" s="56"/>
      <c r="AN214" s="611"/>
      <c r="AO214" s="56"/>
      <c r="AP214" s="56"/>
      <c r="AQ214" s="56"/>
      <c r="AR214" s="56"/>
      <c r="AS214" s="611"/>
      <c r="AT214" s="56"/>
      <c r="AU214" s="56"/>
      <c r="AV214" s="56"/>
      <c r="AW214" s="56"/>
      <c r="AX214" s="611"/>
      <c r="AY214" s="56"/>
      <c r="AZ214" s="56"/>
      <c r="BA214" s="56"/>
      <c r="BB214" s="56"/>
      <c r="BC214" s="611"/>
      <c r="BD214" s="56"/>
      <c r="BE214" s="56"/>
      <c r="BF214" s="56"/>
      <c r="BG214" s="56"/>
      <c r="BH214" s="611"/>
      <c r="BI214" s="56"/>
      <c r="BJ214" s="56"/>
      <c r="BK214" s="56"/>
      <c r="BL214" s="56"/>
      <c r="BM214" s="611"/>
      <c r="BN214" s="56"/>
      <c r="BO214" s="56"/>
      <c r="BP214" s="56"/>
      <c r="BQ214" s="56"/>
      <c r="BR214" s="611"/>
      <c r="BS214" s="56"/>
      <c r="BT214" s="56"/>
      <c r="BU214" s="56"/>
      <c r="BV214" s="56"/>
      <c r="BW214" s="611"/>
      <c r="BX214" s="56"/>
      <c r="BY214" s="56"/>
      <c r="BZ214" s="56"/>
      <c r="CA214" s="56"/>
      <c r="CB214" s="611"/>
      <c r="CC214" s="56"/>
      <c r="CD214" s="56"/>
      <c r="CE214" s="56"/>
      <c r="CF214" s="56"/>
      <c r="CG214" s="611"/>
      <c r="CH214" s="56"/>
      <c r="CI214" s="56"/>
      <c r="CJ214" s="56"/>
      <c r="CK214" s="56"/>
      <c r="CL214" s="611"/>
      <c r="CM214" s="56"/>
      <c r="CN214" s="56"/>
      <c r="CO214" s="56"/>
      <c r="CP214" s="56"/>
      <c r="CQ214" s="611"/>
      <c r="CR214" s="56"/>
      <c r="CS214" s="56"/>
      <c r="CT214" s="56"/>
      <c r="CU214" s="56"/>
      <c r="CV214" s="611"/>
      <c r="CW214" s="56"/>
      <c r="CX214" s="56"/>
      <c r="CY214" s="56"/>
      <c r="CZ214" s="56"/>
      <c r="DA214" s="611"/>
      <c r="DB214" s="56"/>
      <c r="DC214" s="56"/>
      <c r="DD214" s="56"/>
      <c r="DE214" s="56"/>
      <c r="DF214" s="611"/>
      <c r="DG214" s="56"/>
      <c r="DH214" s="56"/>
      <c r="DI214" s="56"/>
      <c r="DJ214" s="56"/>
      <c r="DK214" s="611"/>
      <c r="DL214" s="56"/>
      <c r="DM214" s="56"/>
      <c r="DN214" s="56"/>
      <c r="DO214" s="56"/>
      <c r="DP214" s="611"/>
      <c r="DQ214" s="56"/>
      <c r="DR214" s="56"/>
      <c r="DS214" s="56"/>
      <c r="DT214" s="56"/>
      <c r="DU214" s="611"/>
      <c r="DV214" s="56"/>
      <c r="DW214" s="56"/>
      <c r="DX214" s="56"/>
      <c r="DY214" s="56"/>
      <c r="DZ214" s="611"/>
      <c r="EA214" s="56"/>
      <c r="EB214" s="56"/>
      <c r="EC214" s="56"/>
      <c r="ED214" s="56"/>
      <c r="EE214" s="611"/>
      <c r="EF214" s="56"/>
      <c r="EG214" s="56"/>
      <c r="EH214" s="56"/>
      <c r="EI214" s="56"/>
      <c r="EJ214" s="611"/>
      <c r="EK214" s="56"/>
      <c r="EL214" s="56"/>
      <c r="EO214" s="144"/>
      <c r="EP214" s="42"/>
      <c r="EQ214" s="42"/>
    </row>
    <row r="215" spans="4:147" hidden="1" x14ac:dyDescent="0.3">
      <c r="D215" s="144" t="s">
        <v>414</v>
      </c>
      <c r="E215" s="494"/>
      <c r="G215" s="56">
        <f>SUM(G216:G218)</f>
        <v>0</v>
      </c>
      <c r="H215" s="56"/>
      <c r="I215" s="56"/>
      <c r="J215" s="611"/>
      <c r="K215" s="56"/>
      <c r="L215" s="56">
        <f>SUM(L216:L218)</f>
        <v>0</v>
      </c>
      <c r="M215" s="56"/>
      <c r="N215" s="56"/>
      <c r="O215" s="611"/>
      <c r="P215" s="56"/>
      <c r="Q215" s="56">
        <f>SUM(Q216:Q218)</f>
        <v>0</v>
      </c>
      <c r="R215" s="56"/>
      <c r="S215" s="56"/>
      <c r="T215" s="611"/>
      <c r="U215" s="56"/>
      <c r="V215" s="56">
        <f>SUM(V216:V218)</f>
        <v>0</v>
      </c>
      <c r="W215" s="56"/>
      <c r="X215" s="56"/>
      <c r="Y215" s="611"/>
      <c r="Z215" s="56"/>
      <c r="AA215" s="56">
        <f>SUM(AA216:AA218)</f>
        <v>0</v>
      </c>
      <c r="AB215" s="56"/>
      <c r="AC215" s="56"/>
      <c r="AD215" s="611"/>
      <c r="AE215" s="56"/>
      <c r="AF215" s="56">
        <f>SUM(AF216:AF218)</f>
        <v>0</v>
      </c>
      <c r="AG215" s="56"/>
      <c r="AH215" s="56"/>
      <c r="AI215" s="611"/>
      <c r="AJ215" s="56"/>
      <c r="AK215" s="56">
        <f>SUM(AK216:AK218)</f>
        <v>0</v>
      </c>
      <c r="AL215" s="56"/>
      <c r="AM215" s="56"/>
      <c r="AN215" s="611"/>
      <c r="AO215" s="56"/>
      <c r="AP215" s="56">
        <f>SUM(AP216:AP218)</f>
        <v>0</v>
      </c>
      <c r="AQ215" s="56"/>
      <c r="AR215" s="56"/>
      <c r="AS215" s="611"/>
      <c r="AT215" s="56"/>
      <c r="AU215" s="56">
        <f>SUM(AU216:AU218)</f>
        <v>0</v>
      </c>
      <c r="AV215" s="56"/>
      <c r="AW215" s="56"/>
      <c r="AX215" s="611"/>
      <c r="AY215" s="56"/>
      <c r="AZ215" s="56">
        <f>SUM(AZ216:AZ218)</f>
        <v>0</v>
      </c>
      <c r="BA215" s="56"/>
      <c r="BB215" s="56"/>
      <c r="BC215" s="611"/>
      <c r="BD215" s="56"/>
      <c r="BE215" s="56">
        <f>SUM(BE216:BE218)</f>
        <v>0</v>
      </c>
      <c r="BF215" s="56"/>
      <c r="BG215" s="56"/>
      <c r="BH215" s="611"/>
      <c r="BI215" s="56"/>
      <c r="BJ215" s="56">
        <f>SUM(BJ216:BJ218)</f>
        <v>0</v>
      </c>
      <c r="BK215" s="56"/>
      <c r="BL215" s="56"/>
      <c r="BM215" s="611"/>
      <c r="BN215" s="56"/>
      <c r="BO215" s="56">
        <f>SUM(BO216:BO218)</f>
        <v>0</v>
      </c>
      <c r="BP215" s="56"/>
      <c r="BQ215" s="56"/>
      <c r="BR215" s="611"/>
      <c r="BS215" s="56"/>
      <c r="BT215" s="56">
        <f>SUM(BT216:BT218)</f>
        <v>0</v>
      </c>
      <c r="BU215" s="56"/>
      <c r="BV215" s="56"/>
      <c r="BW215" s="611"/>
      <c r="BX215" s="56"/>
      <c r="BY215" s="56">
        <f>SUM(BY216:BY218)</f>
        <v>0</v>
      </c>
      <c r="BZ215" s="56"/>
      <c r="CA215" s="56"/>
      <c r="CB215" s="611"/>
      <c r="CC215" s="56"/>
      <c r="CD215" s="56">
        <f>SUM(CD216:CD218)</f>
        <v>0</v>
      </c>
      <c r="CE215" s="56"/>
      <c r="CF215" s="56"/>
      <c r="CG215" s="611"/>
      <c r="CH215" s="56"/>
      <c r="CI215" s="56">
        <f>SUM(CI216:CI218)</f>
        <v>0</v>
      </c>
      <c r="CJ215" s="56"/>
      <c r="CK215" s="56"/>
      <c r="CL215" s="611"/>
      <c r="CM215" s="56"/>
      <c r="CN215" s="56">
        <f>SUM(CN216:CN218)</f>
        <v>0</v>
      </c>
      <c r="CO215" s="56"/>
      <c r="CP215" s="56"/>
      <c r="CQ215" s="611"/>
      <c r="CR215" s="56"/>
      <c r="CS215" s="56">
        <f>SUM(CS216:CS218)</f>
        <v>0</v>
      </c>
      <c r="CT215" s="56"/>
      <c r="CU215" s="56"/>
      <c r="CV215" s="611"/>
      <c r="CW215" s="56"/>
      <c r="CX215" s="56">
        <f>SUM(CX216:CX218)</f>
        <v>0</v>
      </c>
      <c r="CY215" s="56"/>
      <c r="CZ215" s="56"/>
      <c r="DA215" s="611"/>
      <c r="DB215" s="56"/>
      <c r="DC215" s="56">
        <f>SUM(DC216:DC218)</f>
        <v>0</v>
      </c>
      <c r="DD215" s="56"/>
      <c r="DE215" s="56"/>
      <c r="DF215" s="611"/>
      <c r="DG215" s="56"/>
      <c r="DH215" s="56">
        <f>SUM(DH216:DH218)</f>
        <v>0</v>
      </c>
      <c r="DI215" s="56"/>
      <c r="DJ215" s="56"/>
      <c r="DK215" s="611"/>
      <c r="DL215" s="56"/>
      <c r="DM215" s="56">
        <f>SUM(DM216:DM218)</f>
        <v>0</v>
      </c>
      <c r="DN215" s="56"/>
      <c r="DO215" s="56"/>
      <c r="DP215" s="611"/>
      <c r="DQ215" s="56"/>
      <c r="DR215" s="56">
        <f>SUM(DR216:DR218)</f>
        <v>0</v>
      </c>
      <c r="DS215" s="56"/>
      <c r="DT215" s="56"/>
      <c r="DU215" s="611"/>
      <c r="DV215" s="56"/>
      <c r="DW215" s="56">
        <f>SUM(DW216:DW218)</f>
        <v>0</v>
      </c>
      <c r="DX215" s="56"/>
      <c r="DY215" s="56"/>
      <c r="DZ215" s="611"/>
      <c r="EA215" s="56"/>
      <c r="EB215" s="56">
        <f>SUM(EB216:EB218)</f>
        <v>0</v>
      </c>
      <c r="EC215" s="56"/>
      <c r="ED215" s="56"/>
      <c r="EE215" s="611"/>
      <c r="EF215" s="56"/>
      <c r="EG215" s="56">
        <f>SUM(EG216:EG218)</f>
        <v>0</v>
      </c>
      <c r="EH215" s="56"/>
      <c r="EI215" s="56"/>
      <c r="EJ215" s="611"/>
      <c r="EK215" s="56"/>
      <c r="EL215" s="56">
        <f>SUM(EL216:EL218)</f>
        <v>0</v>
      </c>
      <c r="EO215" s="144"/>
      <c r="EP215" s="42"/>
      <c r="EQ215" s="42"/>
    </row>
    <row r="216" spans="4:147" hidden="1" x14ac:dyDescent="0.3">
      <c r="D216" s="144" t="s">
        <v>335</v>
      </c>
      <c r="E216" s="494"/>
      <c r="F216" s="500"/>
      <c r="G216" s="609">
        <v>0</v>
      </c>
      <c r="H216" s="610"/>
      <c r="I216" s="56"/>
      <c r="J216" s="611"/>
      <c r="K216" s="612"/>
      <c r="L216" s="609">
        <v>0</v>
      </c>
      <c r="M216" s="610"/>
      <c r="N216" s="56"/>
      <c r="O216" s="611"/>
      <c r="P216" s="612"/>
      <c r="Q216" s="609">
        <v>0</v>
      </c>
      <c r="R216" s="610"/>
      <c r="S216" s="56"/>
      <c r="T216" s="611"/>
      <c r="U216" s="612"/>
      <c r="V216" s="609">
        <v>0</v>
      </c>
      <c r="W216" s="610"/>
      <c r="X216" s="56"/>
      <c r="Y216" s="611"/>
      <c r="Z216" s="612"/>
      <c r="AA216" s="609">
        <v>0</v>
      </c>
      <c r="AB216" s="610"/>
      <c r="AC216" s="56"/>
      <c r="AD216" s="611"/>
      <c r="AE216" s="612"/>
      <c r="AF216" s="609">
        <v>0</v>
      </c>
      <c r="AG216" s="610"/>
      <c r="AH216" s="56"/>
      <c r="AI216" s="611"/>
      <c r="AJ216" s="612"/>
      <c r="AK216" s="609">
        <v>0</v>
      </c>
      <c r="AL216" s="610"/>
      <c r="AM216" s="56"/>
      <c r="AN216" s="611"/>
      <c r="AO216" s="612"/>
      <c r="AP216" s="609">
        <v>0</v>
      </c>
      <c r="AQ216" s="610"/>
      <c r="AR216" s="56"/>
      <c r="AS216" s="611"/>
      <c r="AT216" s="612"/>
      <c r="AU216" s="609">
        <v>0</v>
      </c>
      <c r="AV216" s="610"/>
      <c r="AW216" s="56"/>
      <c r="AX216" s="611"/>
      <c r="AY216" s="612"/>
      <c r="AZ216" s="609">
        <v>0</v>
      </c>
      <c r="BA216" s="610"/>
      <c r="BB216" s="56"/>
      <c r="BC216" s="611"/>
      <c r="BD216" s="612"/>
      <c r="BE216" s="609">
        <v>0</v>
      </c>
      <c r="BF216" s="610"/>
      <c r="BG216" s="56"/>
      <c r="BH216" s="611"/>
      <c r="BI216" s="612"/>
      <c r="BJ216" s="609">
        <v>0</v>
      </c>
      <c r="BK216" s="610"/>
      <c r="BL216" s="56"/>
      <c r="BM216" s="611"/>
      <c r="BN216" s="612"/>
      <c r="BO216" s="609">
        <v>0</v>
      </c>
      <c r="BP216" s="610"/>
      <c r="BQ216" s="56"/>
      <c r="BR216" s="611"/>
      <c r="BS216" s="612"/>
      <c r="BT216" s="609">
        <f>SUM(L216:BO216)</f>
        <v>0</v>
      </c>
      <c r="BU216" s="610"/>
      <c r="BV216" s="56"/>
      <c r="BW216" s="611"/>
      <c r="BX216" s="612"/>
      <c r="BY216" s="609">
        <v>0</v>
      </c>
      <c r="BZ216" s="610"/>
      <c r="CA216" s="56"/>
      <c r="CB216" s="611"/>
      <c r="CC216" s="612"/>
      <c r="CD216" s="609">
        <v>0</v>
      </c>
      <c r="CE216" s="610"/>
      <c r="CF216" s="56"/>
      <c r="CG216" s="611"/>
      <c r="CH216" s="612"/>
      <c r="CI216" s="609">
        <v>0</v>
      </c>
      <c r="CJ216" s="610"/>
      <c r="CK216" s="56"/>
      <c r="CL216" s="611"/>
      <c r="CM216" s="612"/>
      <c r="CN216" s="609">
        <v>0</v>
      </c>
      <c r="CO216" s="610"/>
      <c r="CP216" s="56"/>
      <c r="CQ216" s="611"/>
      <c r="CR216" s="612"/>
      <c r="CS216" s="609">
        <v>0</v>
      </c>
      <c r="CT216" s="610"/>
      <c r="CU216" s="56"/>
      <c r="CV216" s="611"/>
      <c r="CW216" s="612"/>
      <c r="CX216" s="609">
        <v>0</v>
      </c>
      <c r="CY216" s="610"/>
      <c r="CZ216" s="56"/>
      <c r="DA216" s="611"/>
      <c r="DB216" s="612"/>
      <c r="DC216" s="609">
        <v>0</v>
      </c>
      <c r="DD216" s="610"/>
      <c r="DE216" s="56"/>
      <c r="DF216" s="611"/>
      <c r="DG216" s="612"/>
      <c r="DH216" s="609">
        <v>0</v>
      </c>
      <c r="DI216" s="610"/>
      <c r="DJ216" s="56"/>
      <c r="DK216" s="611"/>
      <c r="DL216" s="612"/>
      <c r="DM216" s="609">
        <v>0</v>
      </c>
      <c r="DN216" s="610"/>
      <c r="DO216" s="56"/>
      <c r="DP216" s="611"/>
      <c r="DQ216" s="612"/>
      <c r="DR216" s="609">
        <v>0</v>
      </c>
      <c r="DS216" s="610"/>
      <c r="DT216" s="56"/>
      <c r="DU216" s="611"/>
      <c r="DV216" s="612"/>
      <c r="DW216" s="609">
        <v>0</v>
      </c>
      <c r="DX216" s="610"/>
      <c r="DY216" s="56"/>
      <c r="DZ216" s="611"/>
      <c r="EA216" s="612"/>
      <c r="EB216" s="609">
        <v>0</v>
      </c>
      <c r="EC216" s="610"/>
      <c r="ED216" s="56"/>
      <c r="EE216" s="611"/>
      <c r="EF216" s="612"/>
      <c r="EG216" s="609">
        <v>0</v>
      </c>
      <c r="EH216" s="610"/>
      <c r="EI216" s="56"/>
      <c r="EJ216" s="611"/>
      <c r="EK216" s="612"/>
      <c r="EL216" s="609">
        <f>SUM(CD216:EG216)</f>
        <v>0</v>
      </c>
      <c r="EM216" s="501"/>
      <c r="EO216" s="144"/>
      <c r="EP216" s="42"/>
      <c r="EQ216" s="42"/>
    </row>
    <row r="217" spans="4:147" hidden="1" x14ac:dyDescent="0.3">
      <c r="D217" s="144" t="s">
        <v>408</v>
      </c>
      <c r="E217" s="494"/>
      <c r="F217" s="494"/>
      <c r="G217" s="56">
        <v>0</v>
      </c>
      <c r="H217" s="55"/>
      <c r="I217" s="56"/>
      <c r="J217" s="611"/>
      <c r="K217" s="611"/>
      <c r="L217" s="56">
        <v>0</v>
      </c>
      <c r="M217" s="55"/>
      <c r="N217" s="56"/>
      <c r="O217" s="611"/>
      <c r="P217" s="611"/>
      <c r="Q217" s="56">
        <v>0</v>
      </c>
      <c r="R217" s="55"/>
      <c r="S217" s="56"/>
      <c r="T217" s="611"/>
      <c r="U217" s="611"/>
      <c r="V217" s="56">
        <v>0</v>
      </c>
      <c r="W217" s="55"/>
      <c r="X217" s="56"/>
      <c r="Y217" s="611"/>
      <c r="Z217" s="611"/>
      <c r="AA217" s="56">
        <v>0</v>
      </c>
      <c r="AB217" s="55"/>
      <c r="AC217" s="56"/>
      <c r="AD217" s="611"/>
      <c r="AE217" s="611"/>
      <c r="AF217" s="56">
        <v>0</v>
      </c>
      <c r="AG217" s="55"/>
      <c r="AH217" s="56"/>
      <c r="AI217" s="611"/>
      <c r="AJ217" s="611"/>
      <c r="AK217" s="56">
        <v>0</v>
      </c>
      <c r="AL217" s="55"/>
      <c r="AM217" s="56"/>
      <c r="AN217" s="611"/>
      <c r="AO217" s="611"/>
      <c r="AP217" s="56">
        <v>0</v>
      </c>
      <c r="AQ217" s="55"/>
      <c r="AR217" s="56"/>
      <c r="AS217" s="611"/>
      <c r="AT217" s="611"/>
      <c r="AU217" s="56">
        <v>0</v>
      </c>
      <c r="AV217" s="55"/>
      <c r="AW217" s="56"/>
      <c r="AX217" s="611"/>
      <c r="AY217" s="611"/>
      <c r="AZ217" s="56">
        <v>0</v>
      </c>
      <c r="BA217" s="55"/>
      <c r="BB217" s="56"/>
      <c r="BC217" s="611"/>
      <c r="BD217" s="611"/>
      <c r="BE217" s="56">
        <v>0</v>
      </c>
      <c r="BF217" s="55"/>
      <c r="BG217" s="56"/>
      <c r="BH217" s="611"/>
      <c r="BI217" s="611"/>
      <c r="BJ217" s="56">
        <v>0</v>
      </c>
      <c r="BK217" s="55"/>
      <c r="BL217" s="56"/>
      <c r="BM217" s="611"/>
      <c r="BN217" s="611"/>
      <c r="BO217" s="56">
        <v>0</v>
      </c>
      <c r="BP217" s="55"/>
      <c r="BQ217" s="56"/>
      <c r="BR217" s="611"/>
      <c r="BS217" s="611"/>
      <c r="BT217" s="56">
        <f>SUM(L217:BO217)</f>
        <v>0</v>
      </c>
      <c r="BU217" s="55"/>
      <c r="BV217" s="56"/>
      <c r="BW217" s="611"/>
      <c r="BX217" s="611"/>
      <c r="BY217" s="56">
        <v>0</v>
      </c>
      <c r="BZ217" s="55"/>
      <c r="CA217" s="56"/>
      <c r="CB217" s="611"/>
      <c r="CC217" s="611"/>
      <c r="CD217" s="56">
        <v>0</v>
      </c>
      <c r="CE217" s="55"/>
      <c r="CF217" s="56"/>
      <c r="CG217" s="611"/>
      <c r="CH217" s="611"/>
      <c r="CI217" s="56">
        <v>0</v>
      </c>
      <c r="CJ217" s="55"/>
      <c r="CK217" s="56"/>
      <c r="CL217" s="611"/>
      <c r="CM217" s="611"/>
      <c r="CN217" s="56">
        <v>0</v>
      </c>
      <c r="CO217" s="55"/>
      <c r="CP217" s="56"/>
      <c r="CQ217" s="611"/>
      <c r="CR217" s="611"/>
      <c r="CS217" s="56">
        <v>0</v>
      </c>
      <c r="CT217" s="55"/>
      <c r="CU217" s="56"/>
      <c r="CV217" s="611"/>
      <c r="CW217" s="611"/>
      <c r="CX217" s="56">
        <v>0</v>
      </c>
      <c r="CY217" s="55"/>
      <c r="CZ217" s="56"/>
      <c r="DA217" s="611"/>
      <c r="DB217" s="611"/>
      <c r="DC217" s="56">
        <v>0</v>
      </c>
      <c r="DD217" s="55"/>
      <c r="DE217" s="56"/>
      <c r="DF217" s="611"/>
      <c r="DG217" s="611"/>
      <c r="DH217" s="56">
        <v>0</v>
      </c>
      <c r="DI217" s="55"/>
      <c r="DJ217" s="56"/>
      <c r="DK217" s="611"/>
      <c r="DL217" s="611"/>
      <c r="DM217" s="56">
        <v>0</v>
      </c>
      <c r="DN217" s="55"/>
      <c r="DO217" s="56"/>
      <c r="DP217" s="611"/>
      <c r="DQ217" s="611"/>
      <c r="DR217" s="56">
        <v>0</v>
      </c>
      <c r="DS217" s="55"/>
      <c r="DT217" s="56"/>
      <c r="DU217" s="611"/>
      <c r="DV217" s="611"/>
      <c r="DW217" s="56">
        <v>0</v>
      </c>
      <c r="DX217" s="55"/>
      <c r="DY217" s="56"/>
      <c r="DZ217" s="611"/>
      <c r="EA217" s="611"/>
      <c r="EB217" s="56">
        <v>0</v>
      </c>
      <c r="EC217" s="55"/>
      <c r="ED217" s="56"/>
      <c r="EE217" s="611"/>
      <c r="EF217" s="611"/>
      <c r="EG217" s="56">
        <v>0</v>
      </c>
      <c r="EH217" s="55"/>
      <c r="EI217" s="56"/>
      <c r="EJ217" s="611"/>
      <c r="EK217" s="611"/>
      <c r="EL217" s="56">
        <f>SUM(CD217:EG217)</f>
        <v>0</v>
      </c>
      <c r="EM217" s="506"/>
      <c r="EO217" s="144"/>
      <c r="EP217" s="42"/>
      <c r="EQ217" s="42"/>
    </row>
    <row r="218" spans="4:147" hidden="1" x14ac:dyDescent="0.3">
      <c r="D218" s="144" t="s">
        <v>409</v>
      </c>
      <c r="E218" s="494"/>
      <c r="F218" s="513"/>
      <c r="G218" s="117">
        <v>0</v>
      </c>
      <c r="H218" s="116"/>
      <c r="I218" s="56"/>
      <c r="J218" s="611"/>
      <c r="K218" s="620"/>
      <c r="L218" s="117">
        <v>0</v>
      </c>
      <c r="M218" s="116"/>
      <c r="N218" s="56"/>
      <c r="O218" s="611"/>
      <c r="P218" s="620"/>
      <c r="Q218" s="117">
        <v>0</v>
      </c>
      <c r="R218" s="116"/>
      <c r="S218" s="56"/>
      <c r="T218" s="611"/>
      <c r="U218" s="620"/>
      <c r="V218" s="117">
        <v>0</v>
      </c>
      <c r="W218" s="116"/>
      <c r="X218" s="56"/>
      <c r="Y218" s="611"/>
      <c r="Z218" s="620"/>
      <c r="AA218" s="117">
        <v>0</v>
      </c>
      <c r="AB218" s="116"/>
      <c r="AC218" s="56"/>
      <c r="AD218" s="611"/>
      <c r="AE218" s="620"/>
      <c r="AF218" s="117">
        <v>0</v>
      </c>
      <c r="AG218" s="116"/>
      <c r="AH218" s="56"/>
      <c r="AI218" s="611"/>
      <c r="AJ218" s="620"/>
      <c r="AK218" s="117">
        <v>0</v>
      </c>
      <c r="AL218" s="116"/>
      <c r="AM218" s="56"/>
      <c r="AN218" s="611"/>
      <c r="AO218" s="620"/>
      <c r="AP218" s="117">
        <v>0</v>
      </c>
      <c r="AQ218" s="116"/>
      <c r="AR218" s="56"/>
      <c r="AS218" s="611"/>
      <c r="AT218" s="620"/>
      <c r="AU218" s="117">
        <v>0</v>
      </c>
      <c r="AV218" s="116"/>
      <c r="AW218" s="56"/>
      <c r="AX218" s="611"/>
      <c r="AY218" s="620"/>
      <c r="AZ218" s="117">
        <v>0</v>
      </c>
      <c r="BA218" s="116"/>
      <c r="BB218" s="56"/>
      <c r="BC218" s="611"/>
      <c r="BD218" s="620"/>
      <c r="BE218" s="117">
        <v>0</v>
      </c>
      <c r="BF218" s="116"/>
      <c r="BG218" s="56"/>
      <c r="BH218" s="611"/>
      <c r="BI218" s="620"/>
      <c r="BJ218" s="117">
        <v>0</v>
      </c>
      <c r="BK218" s="116"/>
      <c r="BL218" s="56"/>
      <c r="BM218" s="611"/>
      <c r="BN218" s="620"/>
      <c r="BO218" s="117">
        <v>0</v>
      </c>
      <c r="BP218" s="116"/>
      <c r="BQ218" s="56"/>
      <c r="BR218" s="611"/>
      <c r="BS218" s="620"/>
      <c r="BT218" s="117">
        <f>SUM(L218:BO218)</f>
        <v>0</v>
      </c>
      <c r="BU218" s="116"/>
      <c r="BV218" s="56"/>
      <c r="BW218" s="611"/>
      <c r="BX218" s="620"/>
      <c r="BY218" s="117">
        <v>0</v>
      </c>
      <c r="BZ218" s="116"/>
      <c r="CA218" s="56"/>
      <c r="CB218" s="611"/>
      <c r="CC218" s="620"/>
      <c r="CD218" s="117">
        <v>0</v>
      </c>
      <c r="CE218" s="116"/>
      <c r="CF218" s="56"/>
      <c r="CG218" s="611"/>
      <c r="CH218" s="620"/>
      <c r="CI218" s="117">
        <v>0</v>
      </c>
      <c r="CJ218" s="116"/>
      <c r="CK218" s="56"/>
      <c r="CL218" s="611"/>
      <c r="CM218" s="620"/>
      <c r="CN218" s="117">
        <v>0</v>
      </c>
      <c r="CO218" s="116"/>
      <c r="CP218" s="56"/>
      <c r="CQ218" s="611"/>
      <c r="CR218" s="620"/>
      <c r="CS218" s="117">
        <v>0</v>
      </c>
      <c r="CT218" s="116"/>
      <c r="CU218" s="56"/>
      <c r="CV218" s="611"/>
      <c r="CW218" s="620"/>
      <c r="CX218" s="117">
        <v>0</v>
      </c>
      <c r="CY218" s="116"/>
      <c r="CZ218" s="56"/>
      <c r="DA218" s="611"/>
      <c r="DB218" s="620"/>
      <c r="DC218" s="117">
        <v>0</v>
      </c>
      <c r="DD218" s="116"/>
      <c r="DE218" s="56"/>
      <c r="DF218" s="611"/>
      <c r="DG218" s="620"/>
      <c r="DH218" s="117">
        <v>0</v>
      </c>
      <c r="DI218" s="116"/>
      <c r="DJ218" s="56"/>
      <c r="DK218" s="611"/>
      <c r="DL218" s="620"/>
      <c r="DM218" s="117">
        <v>0</v>
      </c>
      <c r="DN218" s="116"/>
      <c r="DO218" s="56"/>
      <c r="DP218" s="611"/>
      <c r="DQ218" s="620"/>
      <c r="DR218" s="117">
        <v>0</v>
      </c>
      <c r="DS218" s="116"/>
      <c r="DT218" s="56"/>
      <c r="DU218" s="611"/>
      <c r="DV218" s="620"/>
      <c r="DW218" s="117">
        <v>0</v>
      </c>
      <c r="DX218" s="116"/>
      <c r="DY218" s="56"/>
      <c r="DZ218" s="611"/>
      <c r="EA218" s="620"/>
      <c r="EB218" s="117">
        <v>0</v>
      </c>
      <c r="EC218" s="116"/>
      <c r="ED218" s="56"/>
      <c r="EE218" s="611"/>
      <c r="EF218" s="620"/>
      <c r="EG218" s="117">
        <v>0</v>
      </c>
      <c r="EH218" s="116"/>
      <c r="EI218" s="56"/>
      <c r="EJ218" s="611"/>
      <c r="EK218" s="620"/>
      <c r="EL218" s="117">
        <f>SUM(CD218:EG218)</f>
        <v>0</v>
      </c>
      <c r="EM218" s="515"/>
      <c r="EO218" s="144"/>
      <c r="EP218" s="42"/>
      <c r="EQ218" s="42"/>
    </row>
    <row r="219" spans="4:147" hidden="1" x14ac:dyDescent="0.3">
      <c r="D219" s="144"/>
      <c r="E219" s="494"/>
      <c r="G219" s="644"/>
      <c r="H219" s="644"/>
      <c r="I219" s="644"/>
      <c r="J219" s="645"/>
      <c r="K219" s="644"/>
      <c r="L219" s="644"/>
      <c r="M219" s="644"/>
      <c r="N219" s="644"/>
      <c r="O219" s="645"/>
      <c r="P219" s="644"/>
      <c r="Q219" s="644"/>
      <c r="R219" s="644"/>
      <c r="S219" s="644"/>
      <c r="T219" s="645"/>
      <c r="U219" s="644"/>
      <c r="V219" s="644"/>
      <c r="W219" s="644"/>
      <c r="X219" s="644"/>
      <c r="Y219" s="645"/>
      <c r="Z219" s="644"/>
      <c r="AA219" s="644"/>
      <c r="AB219" s="644"/>
      <c r="AC219" s="644"/>
      <c r="AD219" s="645"/>
      <c r="AE219" s="644"/>
      <c r="AF219" s="644"/>
      <c r="AG219" s="644"/>
      <c r="AH219" s="644"/>
      <c r="AI219" s="645"/>
      <c r="AJ219" s="644"/>
      <c r="AK219" s="644"/>
      <c r="AL219" s="644"/>
      <c r="AM219" s="644"/>
      <c r="AN219" s="645"/>
      <c r="AO219" s="644"/>
      <c r="AP219" s="644"/>
      <c r="AQ219" s="644"/>
      <c r="AR219" s="644"/>
      <c r="AS219" s="645"/>
      <c r="AT219" s="644"/>
      <c r="AU219" s="644"/>
      <c r="AV219" s="644"/>
      <c r="AW219" s="644"/>
      <c r="AX219" s="645"/>
      <c r="AY219" s="644"/>
      <c r="AZ219" s="644"/>
      <c r="BA219" s="644"/>
      <c r="BB219" s="644"/>
      <c r="BC219" s="645"/>
      <c r="BD219" s="644"/>
      <c r="BE219" s="644"/>
      <c r="BF219" s="644"/>
      <c r="BG219" s="644"/>
      <c r="BH219" s="645"/>
      <c r="BI219" s="644"/>
      <c r="BJ219" s="644"/>
      <c r="BK219" s="644"/>
      <c r="BL219" s="644"/>
      <c r="BM219" s="645"/>
      <c r="BN219" s="644"/>
      <c r="BO219" s="644"/>
      <c r="BP219" s="644"/>
      <c r="BQ219" s="644"/>
      <c r="BR219" s="645"/>
      <c r="BS219" s="644"/>
      <c r="BT219" s="56"/>
      <c r="BU219" s="56"/>
      <c r="BV219" s="56"/>
      <c r="BW219" s="611"/>
      <c r="BX219" s="56"/>
      <c r="BY219" s="644"/>
      <c r="BZ219" s="644"/>
      <c r="CA219" s="644"/>
      <c r="CB219" s="645"/>
      <c r="CC219" s="644"/>
      <c r="CD219" s="644"/>
      <c r="CE219" s="644"/>
      <c r="CF219" s="644"/>
      <c r="CG219" s="645"/>
      <c r="CH219" s="644"/>
      <c r="CI219" s="644"/>
      <c r="CJ219" s="644"/>
      <c r="CK219" s="644"/>
      <c r="CL219" s="645"/>
      <c r="CM219" s="644"/>
      <c r="CN219" s="644"/>
      <c r="CO219" s="644"/>
      <c r="CP219" s="644"/>
      <c r="CQ219" s="645"/>
      <c r="CR219" s="644"/>
      <c r="CS219" s="644"/>
      <c r="CT219" s="644"/>
      <c r="CU219" s="644"/>
      <c r="CV219" s="645"/>
      <c r="CW219" s="644"/>
      <c r="CX219" s="644"/>
      <c r="CY219" s="644"/>
      <c r="CZ219" s="644"/>
      <c r="DA219" s="645"/>
      <c r="DB219" s="644"/>
      <c r="DC219" s="644"/>
      <c r="DD219" s="644"/>
      <c r="DE219" s="644"/>
      <c r="DF219" s="645"/>
      <c r="DG219" s="644"/>
      <c r="DH219" s="644"/>
      <c r="DI219" s="644"/>
      <c r="DJ219" s="644"/>
      <c r="DK219" s="645"/>
      <c r="DL219" s="644"/>
      <c r="DM219" s="644"/>
      <c r="DN219" s="644"/>
      <c r="DO219" s="644"/>
      <c r="DP219" s="645"/>
      <c r="DQ219" s="644"/>
      <c r="DR219" s="644"/>
      <c r="DS219" s="644"/>
      <c r="DT219" s="644"/>
      <c r="DU219" s="645"/>
      <c r="DV219" s="644"/>
      <c r="DW219" s="644"/>
      <c r="DX219" s="644"/>
      <c r="DY219" s="644"/>
      <c r="DZ219" s="645"/>
      <c r="EA219" s="644"/>
      <c r="EB219" s="644"/>
      <c r="EC219" s="644"/>
      <c r="ED219" s="644"/>
      <c r="EE219" s="645"/>
      <c r="EF219" s="644"/>
      <c r="EG219" s="644"/>
      <c r="EH219" s="644"/>
      <c r="EI219" s="644"/>
      <c r="EJ219" s="645"/>
      <c r="EK219" s="644"/>
      <c r="EL219" s="56"/>
      <c r="EO219" s="144"/>
      <c r="EP219" s="42"/>
      <c r="EQ219" s="42"/>
    </row>
    <row r="220" spans="4:147" hidden="1" x14ac:dyDescent="0.3">
      <c r="D220" s="144" t="s">
        <v>415</v>
      </c>
      <c r="E220" s="494"/>
      <c r="G220" s="56">
        <f>SUM(G221:G223)</f>
        <v>0</v>
      </c>
      <c r="H220" s="56"/>
      <c r="I220" s="56"/>
      <c r="J220" s="611"/>
      <c r="K220" s="56"/>
      <c r="L220" s="56">
        <f>SUM(L221:L223)</f>
        <v>0</v>
      </c>
      <c r="M220" s="56"/>
      <c r="N220" s="56"/>
      <c r="O220" s="611"/>
      <c r="P220" s="56"/>
      <c r="Q220" s="56">
        <f>SUM(Q221:Q223)</f>
        <v>0</v>
      </c>
      <c r="R220" s="56"/>
      <c r="S220" s="56"/>
      <c r="T220" s="611"/>
      <c r="U220" s="56"/>
      <c r="V220" s="56">
        <f>SUM(V221:V223)</f>
        <v>0</v>
      </c>
      <c r="W220" s="56"/>
      <c r="X220" s="56"/>
      <c r="Y220" s="611"/>
      <c r="Z220" s="56"/>
      <c r="AA220" s="56">
        <f>SUM(AA221:AA223)</f>
        <v>0</v>
      </c>
      <c r="AB220" s="56"/>
      <c r="AC220" s="56"/>
      <c r="AD220" s="611"/>
      <c r="AE220" s="56"/>
      <c r="AF220" s="56">
        <f>SUM(AF221:AF223)</f>
        <v>0</v>
      </c>
      <c r="AG220" s="56"/>
      <c r="AH220" s="56"/>
      <c r="AI220" s="611"/>
      <c r="AJ220" s="56"/>
      <c r="AK220" s="56">
        <f>SUM(AK221:AK223)</f>
        <v>0</v>
      </c>
      <c r="AL220" s="56"/>
      <c r="AM220" s="56"/>
      <c r="AN220" s="611"/>
      <c r="AO220" s="56"/>
      <c r="AP220" s="56">
        <f>SUM(AP221:AP223)</f>
        <v>0</v>
      </c>
      <c r="AQ220" s="56"/>
      <c r="AR220" s="56"/>
      <c r="AS220" s="611"/>
      <c r="AT220" s="56"/>
      <c r="AU220" s="56">
        <f>SUM(AU221:AU223)</f>
        <v>0</v>
      </c>
      <c r="AV220" s="56"/>
      <c r="AW220" s="56"/>
      <c r="AX220" s="611"/>
      <c r="AY220" s="56"/>
      <c r="AZ220" s="56">
        <f>SUM(AZ221:AZ223)</f>
        <v>0</v>
      </c>
      <c r="BA220" s="56"/>
      <c r="BB220" s="56"/>
      <c r="BC220" s="611"/>
      <c r="BD220" s="56"/>
      <c r="BE220" s="56">
        <f>SUM(BE221:BE223)</f>
        <v>0</v>
      </c>
      <c r="BF220" s="56"/>
      <c r="BG220" s="56"/>
      <c r="BH220" s="611"/>
      <c r="BI220" s="56"/>
      <c r="BJ220" s="56">
        <f>SUM(BJ221:BJ223)</f>
        <v>0</v>
      </c>
      <c r="BK220" s="56"/>
      <c r="BL220" s="56"/>
      <c r="BM220" s="611"/>
      <c r="BN220" s="56"/>
      <c r="BO220" s="56">
        <f>SUM(BO221:BO223)</f>
        <v>0</v>
      </c>
      <c r="BP220" s="56"/>
      <c r="BQ220" s="56"/>
      <c r="BR220" s="611"/>
      <c r="BS220" s="56"/>
      <c r="BT220" s="56">
        <f>SUM(BT221:BT223)</f>
        <v>0</v>
      </c>
      <c r="BU220" s="56"/>
      <c r="BV220" s="56"/>
      <c r="BW220" s="611"/>
      <c r="BX220" s="56"/>
      <c r="BY220" s="56">
        <f>SUM(BY221:BY223)</f>
        <v>0</v>
      </c>
      <c r="BZ220" s="56"/>
      <c r="CA220" s="56"/>
      <c r="CB220" s="611"/>
      <c r="CC220" s="56"/>
      <c r="CD220" s="56">
        <f>SUM(CD221:CD223)</f>
        <v>0</v>
      </c>
      <c r="CE220" s="56"/>
      <c r="CF220" s="56"/>
      <c r="CG220" s="611"/>
      <c r="CH220" s="56"/>
      <c r="CI220" s="56">
        <f>SUM(CI221:CI223)</f>
        <v>0</v>
      </c>
      <c r="CJ220" s="56"/>
      <c r="CK220" s="56"/>
      <c r="CL220" s="611"/>
      <c r="CM220" s="56"/>
      <c r="CN220" s="56">
        <f>SUM(CN221:CN223)</f>
        <v>0</v>
      </c>
      <c r="CO220" s="56"/>
      <c r="CP220" s="56"/>
      <c r="CQ220" s="611"/>
      <c r="CR220" s="56"/>
      <c r="CS220" s="56">
        <f>SUM(CS221:CS223)</f>
        <v>0</v>
      </c>
      <c r="CT220" s="56"/>
      <c r="CU220" s="56"/>
      <c r="CV220" s="611"/>
      <c r="CW220" s="56"/>
      <c r="CX220" s="56">
        <f>SUM(CX221:CX223)</f>
        <v>0</v>
      </c>
      <c r="CY220" s="56"/>
      <c r="CZ220" s="56"/>
      <c r="DA220" s="611"/>
      <c r="DB220" s="56"/>
      <c r="DC220" s="56">
        <f>SUM(DC221:DC223)</f>
        <v>0</v>
      </c>
      <c r="DD220" s="56"/>
      <c r="DE220" s="56"/>
      <c r="DF220" s="611"/>
      <c r="DG220" s="56"/>
      <c r="DH220" s="56">
        <f>SUM(DH221:DH223)</f>
        <v>0</v>
      </c>
      <c r="DI220" s="56"/>
      <c r="DJ220" s="56"/>
      <c r="DK220" s="611"/>
      <c r="DL220" s="56"/>
      <c r="DM220" s="56">
        <f>SUM(DM221:DM223)</f>
        <v>0</v>
      </c>
      <c r="DN220" s="56"/>
      <c r="DO220" s="56"/>
      <c r="DP220" s="611"/>
      <c r="DQ220" s="56"/>
      <c r="DR220" s="56">
        <f>SUM(DR221:DR223)</f>
        <v>0</v>
      </c>
      <c r="DS220" s="56"/>
      <c r="DT220" s="56"/>
      <c r="DU220" s="611"/>
      <c r="DV220" s="56"/>
      <c r="DW220" s="56">
        <f>SUM(DW221:DW223)</f>
        <v>0</v>
      </c>
      <c r="DX220" s="56"/>
      <c r="DY220" s="56"/>
      <c r="DZ220" s="611"/>
      <c r="EA220" s="56"/>
      <c r="EB220" s="56">
        <f>SUM(EB221:EB223)</f>
        <v>0</v>
      </c>
      <c r="EC220" s="56"/>
      <c r="ED220" s="56"/>
      <c r="EE220" s="611"/>
      <c r="EF220" s="56"/>
      <c r="EG220" s="56">
        <f>SUM(EG221:EG223)</f>
        <v>0</v>
      </c>
      <c r="EH220" s="56"/>
      <c r="EI220" s="56"/>
      <c r="EJ220" s="611"/>
      <c r="EK220" s="56"/>
      <c r="EL220" s="56">
        <f>SUM(EL221:EL223)</f>
        <v>0</v>
      </c>
      <c r="EO220" s="144"/>
      <c r="EP220" s="42"/>
      <c r="EQ220" s="42"/>
    </row>
    <row r="221" spans="4:147" hidden="1" x14ac:dyDescent="0.3">
      <c r="D221" s="144" t="s">
        <v>335</v>
      </c>
      <c r="E221" s="494"/>
      <c r="F221" s="500"/>
      <c r="G221" s="609">
        <v>0</v>
      </c>
      <c r="H221" s="610"/>
      <c r="I221" s="56"/>
      <c r="J221" s="611"/>
      <c r="K221" s="612"/>
      <c r="L221" s="609">
        <v>0</v>
      </c>
      <c r="M221" s="610"/>
      <c r="N221" s="56"/>
      <c r="O221" s="611"/>
      <c r="P221" s="612"/>
      <c r="Q221" s="609">
        <v>0</v>
      </c>
      <c r="R221" s="610"/>
      <c r="S221" s="56"/>
      <c r="T221" s="611"/>
      <c r="U221" s="612"/>
      <c r="V221" s="609">
        <v>0</v>
      </c>
      <c r="W221" s="610"/>
      <c r="X221" s="56"/>
      <c r="Y221" s="611"/>
      <c r="Z221" s="612"/>
      <c r="AA221" s="609">
        <v>0</v>
      </c>
      <c r="AB221" s="610"/>
      <c r="AC221" s="56"/>
      <c r="AD221" s="611"/>
      <c r="AE221" s="612"/>
      <c r="AF221" s="609">
        <v>0</v>
      </c>
      <c r="AG221" s="610"/>
      <c r="AH221" s="56"/>
      <c r="AI221" s="611"/>
      <c r="AJ221" s="612"/>
      <c r="AK221" s="609">
        <v>0</v>
      </c>
      <c r="AL221" s="610"/>
      <c r="AM221" s="56"/>
      <c r="AN221" s="611"/>
      <c r="AO221" s="612"/>
      <c r="AP221" s="609">
        <v>0</v>
      </c>
      <c r="AQ221" s="610"/>
      <c r="AR221" s="56"/>
      <c r="AS221" s="611"/>
      <c r="AT221" s="612"/>
      <c r="AU221" s="609">
        <v>0</v>
      </c>
      <c r="AV221" s="610"/>
      <c r="AW221" s="56"/>
      <c r="AX221" s="611"/>
      <c r="AY221" s="612"/>
      <c r="AZ221" s="609">
        <v>0</v>
      </c>
      <c r="BA221" s="610"/>
      <c r="BB221" s="56"/>
      <c r="BC221" s="611"/>
      <c r="BD221" s="612"/>
      <c r="BE221" s="609">
        <v>0</v>
      </c>
      <c r="BF221" s="610"/>
      <c r="BG221" s="56"/>
      <c r="BH221" s="611"/>
      <c r="BI221" s="612"/>
      <c r="BJ221" s="609">
        <v>0</v>
      </c>
      <c r="BK221" s="610"/>
      <c r="BL221" s="56"/>
      <c r="BM221" s="611"/>
      <c r="BN221" s="612"/>
      <c r="BO221" s="609">
        <v>0</v>
      </c>
      <c r="BP221" s="610"/>
      <c r="BQ221" s="56"/>
      <c r="BR221" s="611"/>
      <c r="BS221" s="612"/>
      <c r="BT221" s="609">
        <f>SUM(L221:BO221)</f>
        <v>0</v>
      </c>
      <c r="BU221" s="610"/>
      <c r="BV221" s="56"/>
      <c r="BW221" s="611"/>
      <c r="BX221" s="612"/>
      <c r="BY221" s="609">
        <v>0</v>
      </c>
      <c r="BZ221" s="610"/>
      <c r="CA221" s="56"/>
      <c r="CB221" s="611"/>
      <c r="CC221" s="612"/>
      <c r="CD221" s="609">
        <v>0</v>
      </c>
      <c r="CE221" s="610"/>
      <c r="CF221" s="56"/>
      <c r="CG221" s="611"/>
      <c r="CH221" s="612"/>
      <c r="CI221" s="609">
        <v>0</v>
      </c>
      <c r="CJ221" s="610"/>
      <c r="CK221" s="56"/>
      <c r="CL221" s="611"/>
      <c r="CM221" s="612"/>
      <c r="CN221" s="609">
        <v>0</v>
      </c>
      <c r="CO221" s="610"/>
      <c r="CP221" s="56"/>
      <c r="CQ221" s="611"/>
      <c r="CR221" s="612"/>
      <c r="CS221" s="609">
        <v>0</v>
      </c>
      <c r="CT221" s="610"/>
      <c r="CU221" s="56"/>
      <c r="CV221" s="611"/>
      <c r="CW221" s="612"/>
      <c r="CX221" s="609">
        <v>0</v>
      </c>
      <c r="CY221" s="610"/>
      <c r="CZ221" s="56"/>
      <c r="DA221" s="611"/>
      <c r="DB221" s="612"/>
      <c r="DC221" s="609">
        <v>0</v>
      </c>
      <c r="DD221" s="610"/>
      <c r="DE221" s="56"/>
      <c r="DF221" s="611"/>
      <c r="DG221" s="612"/>
      <c r="DH221" s="609">
        <v>0</v>
      </c>
      <c r="DI221" s="610"/>
      <c r="DJ221" s="56"/>
      <c r="DK221" s="611"/>
      <c r="DL221" s="612"/>
      <c r="DM221" s="609">
        <v>0</v>
      </c>
      <c r="DN221" s="610"/>
      <c r="DO221" s="56"/>
      <c r="DP221" s="611"/>
      <c r="DQ221" s="612"/>
      <c r="DR221" s="609">
        <v>0</v>
      </c>
      <c r="DS221" s="610"/>
      <c r="DT221" s="56"/>
      <c r="DU221" s="611"/>
      <c r="DV221" s="612"/>
      <c r="DW221" s="609">
        <v>0</v>
      </c>
      <c r="DX221" s="610"/>
      <c r="DY221" s="56"/>
      <c r="DZ221" s="611"/>
      <c r="EA221" s="612"/>
      <c r="EB221" s="609">
        <v>0</v>
      </c>
      <c r="EC221" s="610"/>
      <c r="ED221" s="56"/>
      <c r="EE221" s="611"/>
      <c r="EF221" s="612"/>
      <c r="EG221" s="609">
        <v>0</v>
      </c>
      <c r="EH221" s="610"/>
      <c r="EI221" s="56"/>
      <c r="EJ221" s="611"/>
      <c r="EK221" s="612"/>
      <c r="EL221" s="609">
        <f>SUM(CD221:EG221)</f>
        <v>0</v>
      </c>
      <c r="EM221" s="501"/>
      <c r="EO221" s="144"/>
      <c r="EP221" s="42"/>
      <c r="EQ221" s="42"/>
    </row>
    <row r="222" spans="4:147" hidden="1" x14ac:dyDescent="0.3">
      <c r="D222" s="144" t="s">
        <v>408</v>
      </c>
      <c r="E222" s="494"/>
      <c r="F222" s="494"/>
      <c r="G222" s="56">
        <v>0</v>
      </c>
      <c r="H222" s="55"/>
      <c r="I222" s="56"/>
      <c r="J222" s="611"/>
      <c r="K222" s="611"/>
      <c r="L222" s="56">
        <v>0</v>
      </c>
      <c r="M222" s="55"/>
      <c r="N222" s="56"/>
      <c r="O222" s="611"/>
      <c r="P222" s="611"/>
      <c r="Q222" s="56">
        <v>0</v>
      </c>
      <c r="R222" s="55"/>
      <c r="S222" s="56"/>
      <c r="T222" s="611"/>
      <c r="U222" s="611"/>
      <c r="V222" s="56">
        <v>0</v>
      </c>
      <c r="W222" s="55"/>
      <c r="X222" s="56"/>
      <c r="Y222" s="611"/>
      <c r="Z222" s="611"/>
      <c r="AA222" s="56">
        <v>0</v>
      </c>
      <c r="AB222" s="55"/>
      <c r="AC222" s="56"/>
      <c r="AD222" s="611"/>
      <c r="AE222" s="611"/>
      <c r="AF222" s="56">
        <v>0</v>
      </c>
      <c r="AG222" s="55"/>
      <c r="AH222" s="56"/>
      <c r="AI222" s="611"/>
      <c r="AJ222" s="611"/>
      <c r="AK222" s="56">
        <v>0</v>
      </c>
      <c r="AL222" s="55"/>
      <c r="AM222" s="56"/>
      <c r="AN222" s="611"/>
      <c r="AO222" s="611"/>
      <c r="AP222" s="56">
        <v>0</v>
      </c>
      <c r="AQ222" s="55"/>
      <c r="AR222" s="56"/>
      <c r="AS222" s="611"/>
      <c r="AT222" s="611"/>
      <c r="AU222" s="56">
        <v>0</v>
      </c>
      <c r="AV222" s="55"/>
      <c r="AW222" s="56"/>
      <c r="AX222" s="611"/>
      <c r="AY222" s="611"/>
      <c r="AZ222" s="56">
        <v>0</v>
      </c>
      <c r="BA222" s="55"/>
      <c r="BB222" s="56"/>
      <c r="BC222" s="611"/>
      <c r="BD222" s="611"/>
      <c r="BE222" s="56">
        <v>0</v>
      </c>
      <c r="BF222" s="55"/>
      <c r="BG222" s="56"/>
      <c r="BH222" s="611"/>
      <c r="BI222" s="611"/>
      <c r="BJ222" s="56">
        <v>0</v>
      </c>
      <c r="BK222" s="55"/>
      <c r="BL222" s="56"/>
      <c r="BM222" s="611"/>
      <c r="BN222" s="611"/>
      <c r="BO222" s="56">
        <v>0</v>
      </c>
      <c r="BP222" s="55"/>
      <c r="BQ222" s="56"/>
      <c r="BR222" s="611"/>
      <c r="BS222" s="611"/>
      <c r="BT222" s="56">
        <f>SUM(L222:BO222)</f>
        <v>0</v>
      </c>
      <c r="BU222" s="55"/>
      <c r="BV222" s="56"/>
      <c r="BW222" s="611"/>
      <c r="BX222" s="611"/>
      <c r="BY222" s="56">
        <v>0</v>
      </c>
      <c r="BZ222" s="55"/>
      <c r="CA222" s="56"/>
      <c r="CB222" s="611"/>
      <c r="CC222" s="611"/>
      <c r="CD222" s="56">
        <v>0</v>
      </c>
      <c r="CE222" s="55"/>
      <c r="CF222" s="56"/>
      <c r="CG222" s="611"/>
      <c r="CH222" s="611"/>
      <c r="CI222" s="56">
        <v>0</v>
      </c>
      <c r="CJ222" s="55"/>
      <c r="CK222" s="56"/>
      <c r="CL222" s="611"/>
      <c r="CM222" s="611"/>
      <c r="CN222" s="56">
        <v>0</v>
      </c>
      <c r="CO222" s="55"/>
      <c r="CP222" s="56"/>
      <c r="CQ222" s="611"/>
      <c r="CR222" s="611"/>
      <c r="CS222" s="56">
        <v>0</v>
      </c>
      <c r="CT222" s="55"/>
      <c r="CU222" s="56"/>
      <c r="CV222" s="611"/>
      <c r="CW222" s="611"/>
      <c r="CX222" s="56">
        <v>0</v>
      </c>
      <c r="CY222" s="55"/>
      <c r="CZ222" s="56"/>
      <c r="DA222" s="611"/>
      <c r="DB222" s="611"/>
      <c r="DC222" s="56">
        <v>0</v>
      </c>
      <c r="DD222" s="55"/>
      <c r="DE222" s="56"/>
      <c r="DF222" s="611"/>
      <c r="DG222" s="611"/>
      <c r="DH222" s="56">
        <v>0</v>
      </c>
      <c r="DI222" s="55"/>
      <c r="DJ222" s="56"/>
      <c r="DK222" s="611"/>
      <c r="DL222" s="611"/>
      <c r="DM222" s="56">
        <v>0</v>
      </c>
      <c r="DN222" s="55"/>
      <c r="DO222" s="56"/>
      <c r="DP222" s="611"/>
      <c r="DQ222" s="611"/>
      <c r="DR222" s="56">
        <v>0</v>
      </c>
      <c r="DS222" s="55"/>
      <c r="DT222" s="56"/>
      <c r="DU222" s="611"/>
      <c r="DV222" s="611"/>
      <c r="DW222" s="56">
        <v>0</v>
      </c>
      <c r="DX222" s="55"/>
      <c r="DY222" s="56"/>
      <c r="DZ222" s="611"/>
      <c r="EA222" s="611"/>
      <c r="EB222" s="56">
        <v>0</v>
      </c>
      <c r="EC222" s="55"/>
      <c r="ED222" s="56"/>
      <c r="EE222" s="611"/>
      <c r="EF222" s="611"/>
      <c r="EG222" s="56">
        <v>0</v>
      </c>
      <c r="EH222" s="55"/>
      <c r="EI222" s="56"/>
      <c r="EJ222" s="611"/>
      <c r="EK222" s="611"/>
      <c r="EL222" s="56">
        <f>SUM(CD222:EG222)</f>
        <v>0</v>
      </c>
      <c r="EM222" s="506"/>
      <c r="EO222" s="144"/>
      <c r="EP222" s="42"/>
      <c r="EQ222" s="42"/>
    </row>
    <row r="223" spans="4:147" hidden="1" x14ac:dyDescent="0.3">
      <c r="D223" s="144" t="s">
        <v>409</v>
      </c>
      <c r="E223" s="494"/>
      <c r="F223" s="513"/>
      <c r="G223" s="117">
        <v>0</v>
      </c>
      <c r="H223" s="116"/>
      <c r="I223" s="56"/>
      <c r="J223" s="611"/>
      <c r="K223" s="620"/>
      <c r="L223" s="117">
        <v>0</v>
      </c>
      <c r="M223" s="116"/>
      <c r="N223" s="56"/>
      <c r="O223" s="611"/>
      <c r="P223" s="620"/>
      <c r="Q223" s="117">
        <v>0</v>
      </c>
      <c r="R223" s="116"/>
      <c r="S223" s="56"/>
      <c r="T223" s="611"/>
      <c r="U223" s="620"/>
      <c r="V223" s="117">
        <v>0</v>
      </c>
      <c r="W223" s="116"/>
      <c r="X223" s="56"/>
      <c r="Y223" s="611"/>
      <c r="Z223" s="620"/>
      <c r="AA223" s="117">
        <v>0</v>
      </c>
      <c r="AB223" s="116"/>
      <c r="AC223" s="56"/>
      <c r="AD223" s="611"/>
      <c r="AE223" s="620"/>
      <c r="AF223" s="117">
        <v>0</v>
      </c>
      <c r="AG223" s="116"/>
      <c r="AH223" s="56"/>
      <c r="AI223" s="611"/>
      <c r="AJ223" s="620"/>
      <c r="AK223" s="117">
        <v>0</v>
      </c>
      <c r="AL223" s="116"/>
      <c r="AM223" s="56"/>
      <c r="AN223" s="611"/>
      <c r="AO223" s="620"/>
      <c r="AP223" s="117">
        <v>0</v>
      </c>
      <c r="AQ223" s="116"/>
      <c r="AR223" s="56"/>
      <c r="AS223" s="611"/>
      <c r="AT223" s="620"/>
      <c r="AU223" s="117">
        <v>0</v>
      </c>
      <c r="AV223" s="116"/>
      <c r="AW223" s="56"/>
      <c r="AX223" s="611"/>
      <c r="AY223" s="620"/>
      <c r="AZ223" s="117">
        <v>0</v>
      </c>
      <c r="BA223" s="116"/>
      <c r="BB223" s="56"/>
      <c r="BC223" s="611"/>
      <c r="BD223" s="620"/>
      <c r="BE223" s="117">
        <v>0</v>
      </c>
      <c r="BF223" s="116"/>
      <c r="BG223" s="56"/>
      <c r="BH223" s="611"/>
      <c r="BI223" s="620"/>
      <c r="BJ223" s="117">
        <v>0</v>
      </c>
      <c r="BK223" s="116"/>
      <c r="BL223" s="56"/>
      <c r="BM223" s="611"/>
      <c r="BN223" s="620"/>
      <c r="BO223" s="117">
        <v>0</v>
      </c>
      <c r="BP223" s="116"/>
      <c r="BQ223" s="56"/>
      <c r="BR223" s="611"/>
      <c r="BS223" s="620"/>
      <c r="BT223" s="117">
        <f>SUM(L223:BO223)</f>
        <v>0</v>
      </c>
      <c r="BU223" s="116"/>
      <c r="BV223" s="56"/>
      <c r="BW223" s="611"/>
      <c r="BX223" s="620"/>
      <c r="BY223" s="117">
        <v>0</v>
      </c>
      <c r="BZ223" s="116"/>
      <c r="CA223" s="56"/>
      <c r="CB223" s="611"/>
      <c r="CC223" s="620"/>
      <c r="CD223" s="117">
        <v>0</v>
      </c>
      <c r="CE223" s="116"/>
      <c r="CF223" s="56"/>
      <c r="CG223" s="611"/>
      <c r="CH223" s="620"/>
      <c r="CI223" s="117">
        <v>0</v>
      </c>
      <c r="CJ223" s="116"/>
      <c r="CK223" s="56"/>
      <c r="CL223" s="611"/>
      <c r="CM223" s="620"/>
      <c r="CN223" s="117">
        <v>0</v>
      </c>
      <c r="CO223" s="116"/>
      <c r="CP223" s="56"/>
      <c r="CQ223" s="611"/>
      <c r="CR223" s="620"/>
      <c r="CS223" s="117">
        <v>0</v>
      </c>
      <c r="CT223" s="116"/>
      <c r="CU223" s="56"/>
      <c r="CV223" s="611"/>
      <c r="CW223" s="620"/>
      <c r="CX223" s="117">
        <v>0</v>
      </c>
      <c r="CY223" s="116"/>
      <c r="CZ223" s="56"/>
      <c r="DA223" s="611"/>
      <c r="DB223" s="620"/>
      <c r="DC223" s="117">
        <v>0</v>
      </c>
      <c r="DD223" s="116"/>
      <c r="DE223" s="56"/>
      <c r="DF223" s="611"/>
      <c r="DG223" s="620"/>
      <c r="DH223" s="117">
        <v>0</v>
      </c>
      <c r="DI223" s="116"/>
      <c r="DJ223" s="56"/>
      <c r="DK223" s="611"/>
      <c r="DL223" s="620"/>
      <c r="DM223" s="117">
        <v>0</v>
      </c>
      <c r="DN223" s="116"/>
      <c r="DO223" s="56"/>
      <c r="DP223" s="611"/>
      <c r="DQ223" s="620"/>
      <c r="DR223" s="117">
        <v>0</v>
      </c>
      <c r="DS223" s="116"/>
      <c r="DT223" s="56"/>
      <c r="DU223" s="611"/>
      <c r="DV223" s="620"/>
      <c r="DW223" s="117">
        <v>0</v>
      </c>
      <c r="DX223" s="116"/>
      <c r="DY223" s="56"/>
      <c r="DZ223" s="611"/>
      <c r="EA223" s="620"/>
      <c r="EB223" s="117">
        <v>0</v>
      </c>
      <c r="EC223" s="116"/>
      <c r="ED223" s="56"/>
      <c r="EE223" s="611"/>
      <c r="EF223" s="620"/>
      <c r="EG223" s="117">
        <v>0</v>
      </c>
      <c r="EH223" s="116"/>
      <c r="EI223" s="56"/>
      <c r="EJ223" s="611"/>
      <c r="EK223" s="620"/>
      <c r="EL223" s="117">
        <f>SUM(CD223:EG223)</f>
        <v>0</v>
      </c>
      <c r="EM223" s="515"/>
      <c r="EO223" s="144"/>
      <c r="EP223" s="42"/>
      <c r="EQ223" s="42"/>
    </row>
    <row r="224" spans="4:147" x14ac:dyDescent="0.3">
      <c r="D224" s="230"/>
      <c r="E224" s="627"/>
      <c r="F224" s="138"/>
      <c r="G224" s="656"/>
      <c r="H224" s="656"/>
      <c r="I224" s="656"/>
      <c r="J224" s="657"/>
      <c r="K224" s="656"/>
      <c r="L224" s="656"/>
      <c r="M224" s="656"/>
      <c r="N224" s="656"/>
      <c r="O224" s="657"/>
      <c r="P224" s="656"/>
      <c r="Q224" s="656"/>
      <c r="R224" s="656"/>
      <c r="S224" s="656"/>
      <c r="T224" s="657"/>
      <c r="U224" s="656"/>
      <c r="V224" s="656"/>
      <c r="W224" s="656"/>
      <c r="X224" s="656"/>
      <c r="Y224" s="657"/>
      <c r="Z224" s="656"/>
      <c r="AA224" s="656"/>
      <c r="AB224" s="656"/>
      <c r="AC224" s="656"/>
      <c r="AD224" s="657"/>
      <c r="AE224" s="656"/>
      <c r="AF224" s="656"/>
      <c r="AG224" s="656"/>
      <c r="AH224" s="656"/>
      <c r="AI224" s="657"/>
      <c r="AJ224" s="656"/>
      <c r="AK224" s="656"/>
      <c r="AL224" s="656"/>
      <c r="AM224" s="656"/>
      <c r="AN224" s="657"/>
      <c r="AO224" s="656"/>
      <c r="AP224" s="656"/>
      <c r="AQ224" s="656"/>
      <c r="AR224" s="656"/>
      <c r="AS224" s="657"/>
      <c r="AT224" s="656"/>
      <c r="AU224" s="656"/>
      <c r="AV224" s="656"/>
      <c r="AW224" s="656"/>
      <c r="AX224" s="657"/>
      <c r="AY224" s="656"/>
      <c r="AZ224" s="656"/>
      <c r="BA224" s="656"/>
      <c r="BB224" s="656"/>
      <c r="BC224" s="657"/>
      <c r="BD224" s="656"/>
      <c r="BE224" s="656"/>
      <c r="BF224" s="656"/>
      <c r="BG224" s="656"/>
      <c r="BH224" s="657"/>
      <c r="BI224" s="656"/>
      <c r="BJ224" s="656"/>
      <c r="BK224" s="656"/>
      <c r="BL224" s="656"/>
      <c r="BM224" s="657"/>
      <c r="BN224" s="656"/>
      <c r="BO224" s="656"/>
      <c r="BP224" s="656"/>
      <c r="BQ224" s="656"/>
      <c r="BR224" s="657"/>
      <c r="BS224" s="656"/>
      <c r="BT224" s="126"/>
      <c r="BU224" s="126"/>
      <c r="BV224" s="126"/>
      <c r="BW224" s="628"/>
      <c r="BX224" s="126"/>
      <c r="BY224" s="656"/>
      <c r="BZ224" s="656"/>
      <c r="CA224" s="656"/>
      <c r="CB224" s="657"/>
      <c r="CC224" s="656"/>
      <c r="CD224" s="656"/>
      <c r="CE224" s="656"/>
      <c r="CF224" s="656"/>
      <c r="CG224" s="657"/>
      <c r="CH224" s="656"/>
      <c r="CI224" s="656"/>
      <c r="CJ224" s="656"/>
      <c r="CK224" s="656"/>
      <c r="CL224" s="657"/>
      <c r="CM224" s="656"/>
      <c r="CN224" s="656"/>
      <c r="CO224" s="656"/>
      <c r="CP224" s="656"/>
      <c r="CQ224" s="657"/>
      <c r="CR224" s="656"/>
      <c r="CS224" s="656"/>
      <c r="CT224" s="656"/>
      <c r="CU224" s="656"/>
      <c r="CV224" s="657"/>
      <c r="CW224" s="656"/>
      <c r="CX224" s="656"/>
      <c r="CY224" s="656"/>
      <c r="CZ224" s="656"/>
      <c r="DA224" s="657"/>
      <c r="DB224" s="656"/>
      <c r="DC224" s="656"/>
      <c r="DD224" s="656"/>
      <c r="DE224" s="656"/>
      <c r="DF224" s="657"/>
      <c r="DG224" s="656"/>
      <c r="DH224" s="656"/>
      <c r="DI224" s="656"/>
      <c r="DJ224" s="656"/>
      <c r="DK224" s="657"/>
      <c r="DL224" s="656"/>
      <c r="DM224" s="656"/>
      <c r="DN224" s="656"/>
      <c r="DO224" s="656"/>
      <c r="DP224" s="657"/>
      <c r="DQ224" s="656"/>
      <c r="DR224" s="656"/>
      <c r="DS224" s="656"/>
      <c r="DT224" s="656"/>
      <c r="DU224" s="657"/>
      <c r="DV224" s="656"/>
      <c r="DW224" s="656"/>
      <c r="DX224" s="656"/>
      <c r="DY224" s="656"/>
      <c r="DZ224" s="657"/>
      <c r="EA224" s="656"/>
      <c r="EB224" s="656"/>
      <c r="EC224" s="656"/>
      <c r="ED224" s="656"/>
      <c r="EE224" s="657"/>
      <c r="EF224" s="656"/>
      <c r="EG224" s="656"/>
      <c r="EH224" s="656"/>
      <c r="EI224" s="656"/>
      <c r="EJ224" s="657"/>
      <c r="EK224" s="656"/>
      <c r="EL224" s="126"/>
      <c r="EM224" s="138"/>
      <c r="EN224" s="138"/>
      <c r="EO224" s="144"/>
      <c r="EP224" s="42"/>
      <c r="EQ224" s="42"/>
    </row>
    <row r="225" spans="7:142" x14ac:dyDescent="0.3">
      <c r="G225" s="644"/>
      <c r="H225" s="644"/>
      <c r="I225" s="644"/>
      <c r="J225" s="644"/>
      <c r="K225" s="644"/>
      <c r="L225" s="644"/>
      <c r="M225" s="644"/>
      <c r="N225" s="644"/>
      <c r="O225" s="644"/>
      <c r="P225" s="644"/>
      <c r="Q225" s="644"/>
      <c r="R225" s="644"/>
      <c r="S225" s="644"/>
      <c r="T225" s="644"/>
      <c r="U225" s="644"/>
      <c r="V225" s="644"/>
      <c r="W225" s="644"/>
      <c r="X225" s="644"/>
      <c r="Y225" s="644"/>
      <c r="Z225" s="644"/>
      <c r="AA225" s="644"/>
      <c r="AB225" s="644"/>
      <c r="AC225" s="644"/>
      <c r="AD225" s="658"/>
      <c r="AE225" s="658"/>
      <c r="AF225" s="658"/>
      <c r="AG225" s="658"/>
      <c r="AH225" s="658"/>
      <c r="AI225" s="658"/>
      <c r="AJ225" s="658"/>
      <c r="AK225" s="658"/>
      <c r="AL225" s="658"/>
      <c r="AM225" s="658"/>
      <c r="AN225" s="658"/>
      <c r="AO225" s="658"/>
      <c r="AP225" s="658"/>
      <c r="AQ225" s="658"/>
      <c r="AR225" s="658"/>
      <c r="AS225" s="658"/>
      <c r="AT225" s="658"/>
      <c r="AU225" s="658"/>
      <c r="AV225" s="658"/>
      <c r="AW225" s="658"/>
      <c r="AX225" s="658"/>
      <c r="AY225" s="658"/>
      <c r="AZ225" s="658"/>
      <c r="BA225" s="658"/>
      <c r="BB225" s="658"/>
      <c r="BC225" s="658"/>
      <c r="BD225" s="658"/>
      <c r="BE225" s="658"/>
      <c r="BF225" s="658"/>
      <c r="BG225" s="658"/>
      <c r="BH225" s="658"/>
      <c r="BI225" s="658"/>
      <c r="BJ225" s="658"/>
      <c r="BK225" s="658"/>
      <c r="BL225" s="658"/>
      <c r="BM225" s="658"/>
      <c r="BN225" s="658"/>
      <c r="BO225" s="658"/>
      <c r="BP225" s="658"/>
      <c r="BQ225" s="658"/>
      <c r="BR225" s="658"/>
      <c r="BS225" s="658"/>
      <c r="BT225" s="659"/>
      <c r="BU225" s="659"/>
      <c r="BV225" s="659"/>
      <c r="BW225" s="659"/>
      <c r="BX225" s="659"/>
      <c r="BY225" s="659"/>
      <c r="BZ225" s="659"/>
      <c r="CA225" s="659"/>
      <c r="CB225" s="659"/>
      <c r="CC225" s="659"/>
      <c r="CD225" s="658"/>
      <c r="CE225" s="658"/>
      <c r="CF225" s="658"/>
      <c r="CG225" s="658"/>
      <c r="CH225" s="658"/>
      <c r="CI225" s="658"/>
      <c r="CJ225" s="658"/>
      <c r="CK225" s="658"/>
      <c r="CL225" s="658"/>
      <c r="CM225" s="658"/>
      <c r="CN225" s="658"/>
      <c r="CO225" s="658"/>
      <c r="CP225" s="658"/>
      <c r="CQ225" s="658"/>
      <c r="CR225" s="658"/>
      <c r="CS225" s="658"/>
      <c r="CT225" s="658"/>
      <c r="CU225" s="658"/>
      <c r="CV225" s="658"/>
      <c r="CW225" s="644"/>
      <c r="CX225" s="644"/>
      <c r="CY225" s="644"/>
      <c r="CZ225" s="644"/>
      <c r="DA225" s="644"/>
      <c r="DB225" s="644"/>
      <c r="DC225" s="644"/>
      <c r="DD225" s="644"/>
      <c r="DE225" s="644"/>
      <c r="DF225" s="644"/>
      <c r="DG225" s="644"/>
      <c r="DH225" s="644"/>
      <c r="DI225" s="644"/>
      <c r="DJ225" s="644"/>
      <c r="DK225" s="644"/>
      <c r="DL225" s="644"/>
      <c r="DM225" s="644"/>
      <c r="DN225" s="644"/>
      <c r="DO225" s="644"/>
      <c r="DP225" s="644"/>
      <c r="DQ225" s="644"/>
      <c r="DR225" s="644"/>
      <c r="DS225" s="644"/>
      <c r="DT225" s="644"/>
      <c r="DU225" s="644"/>
      <c r="DV225" s="644"/>
      <c r="DW225" s="644"/>
      <c r="DX225" s="644"/>
      <c r="DY225" s="644"/>
      <c r="DZ225" s="644"/>
      <c r="EA225" s="644"/>
      <c r="EB225" s="644"/>
      <c r="EC225" s="644"/>
      <c r="ED225" s="644"/>
      <c r="EE225" s="644"/>
      <c r="EF225" s="644"/>
      <c r="EG225" s="644"/>
      <c r="EH225" s="644"/>
      <c r="EI225" s="644"/>
      <c r="EJ225" s="644"/>
      <c r="EK225" s="644"/>
      <c r="EL225" s="56"/>
    </row>
    <row r="226" spans="7:142" x14ac:dyDescent="0.3">
      <c r="G226" s="644"/>
      <c r="H226" s="644"/>
      <c r="I226" s="644"/>
      <c r="J226" s="644"/>
      <c r="K226" s="644"/>
      <c r="L226" s="644"/>
      <c r="M226" s="644"/>
      <c r="N226" s="644"/>
      <c r="O226" s="644"/>
      <c r="P226" s="644"/>
      <c r="Q226" s="644"/>
      <c r="R226" s="644"/>
      <c r="S226" s="644"/>
      <c r="T226" s="644"/>
      <c r="U226" s="644"/>
      <c r="V226" s="644"/>
      <c r="W226" s="644"/>
      <c r="X226" s="644"/>
      <c r="Y226" s="644"/>
      <c r="Z226" s="644"/>
      <c r="AA226" s="644"/>
      <c r="AB226" s="644"/>
      <c r="AC226" s="644"/>
      <c r="AD226" s="644"/>
      <c r="AE226" s="644"/>
      <c r="AF226" s="644"/>
      <c r="AG226" s="644"/>
      <c r="AH226" s="644"/>
      <c r="AI226" s="644"/>
      <c r="AJ226" s="644"/>
      <c r="AK226" s="644"/>
      <c r="AL226" s="644"/>
      <c r="AM226" s="644"/>
      <c r="AN226" s="644"/>
      <c r="AO226" s="644"/>
      <c r="AP226" s="644"/>
      <c r="AQ226" s="644"/>
      <c r="AR226" s="644"/>
      <c r="AS226" s="644"/>
      <c r="AT226" s="644"/>
      <c r="AU226" s="644"/>
      <c r="AV226" s="644"/>
      <c r="AW226" s="644"/>
      <c r="AX226" s="644"/>
      <c r="AY226" s="644"/>
      <c r="AZ226" s="644"/>
      <c r="BA226" s="644"/>
      <c r="BB226" s="644"/>
      <c r="BC226" s="644"/>
      <c r="BD226" s="644"/>
      <c r="BE226" s="644"/>
      <c r="BF226" s="644"/>
      <c r="BG226" s="644"/>
      <c r="BH226" s="644"/>
      <c r="BI226" s="644"/>
      <c r="BJ226" s="644"/>
      <c r="BK226" s="644"/>
      <c r="BL226" s="644"/>
      <c r="BM226" s="644"/>
      <c r="BN226" s="644"/>
      <c r="BO226" s="644"/>
      <c r="BP226" s="644"/>
      <c r="BQ226" s="644"/>
      <c r="BR226" s="644"/>
      <c r="BS226" s="644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644"/>
      <c r="CE226" s="644"/>
      <c r="CF226" s="644"/>
      <c r="CG226" s="644"/>
      <c r="CH226" s="644"/>
      <c r="CI226" s="644"/>
      <c r="CJ226" s="644"/>
      <c r="CK226" s="644"/>
      <c r="CL226" s="644"/>
      <c r="CM226" s="644"/>
      <c r="CN226" s="644"/>
      <c r="CO226" s="644"/>
      <c r="CP226" s="644"/>
      <c r="CQ226" s="644"/>
      <c r="CR226" s="644"/>
      <c r="CS226" s="644"/>
      <c r="CT226" s="644"/>
      <c r="CU226" s="644"/>
      <c r="CV226" s="644"/>
      <c r="CW226" s="644"/>
      <c r="CX226" s="644"/>
      <c r="CY226" s="644"/>
      <c r="CZ226" s="644"/>
      <c r="DA226" s="644"/>
      <c r="DB226" s="644"/>
      <c r="DC226" s="644"/>
      <c r="DD226" s="644"/>
      <c r="DE226" s="644"/>
      <c r="DF226" s="644"/>
      <c r="DG226" s="644"/>
      <c r="DH226" s="644"/>
      <c r="DI226" s="644"/>
      <c r="DJ226" s="644"/>
      <c r="DK226" s="644"/>
      <c r="DL226" s="644"/>
      <c r="DM226" s="644"/>
      <c r="DN226" s="644"/>
      <c r="DO226" s="644"/>
      <c r="DP226" s="644"/>
      <c r="DQ226" s="644"/>
      <c r="DR226" s="644"/>
      <c r="DS226" s="644"/>
      <c r="DT226" s="644"/>
      <c r="DU226" s="644"/>
      <c r="DV226" s="644"/>
      <c r="DW226" s="644"/>
      <c r="DX226" s="644"/>
      <c r="DY226" s="644"/>
      <c r="DZ226" s="644"/>
      <c r="EA226" s="644"/>
      <c r="EB226" s="644"/>
      <c r="EC226" s="644"/>
      <c r="ED226" s="644"/>
      <c r="EE226" s="644"/>
      <c r="EF226" s="644"/>
      <c r="EG226" s="644"/>
      <c r="EH226" s="644"/>
      <c r="EI226" s="644"/>
      <c r="EJ226" s="644"/>
      <c r="EK226" s="644"/>
      <c r="EL226" s="56"/>
    </row>
    <row r="227" spans="7:142" x14ac:dyDescent="0.3"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  <c r="V227" s="644"/>
      <c r="W227" s="644"/>
      <c r="X227" s="644"/>
      <c r="Y227" s="644"/>
      <c r="Z227" s="644"/>
      <c r="AA227" s="644"/>
      <c r="AB227" s="644"/>
      <c r="AC227" s="644"/>
      <c r="AD227" s="644"/>
      <c r="AE227" s="644"/>
      <c r="AF227" s="644"/>
      <c r="AG227" s="644"/>
      <c r="AH227" s="644"/>
      <c r="AI227" s="644"/>
      <c r="AJ227" s="644"/>
      <c r="AK227" s="644"/>
      <c r="AL227" s="644"/>
      <c r="AM227" s="644"/>
      <c r="AN227" s="644"/>
      <c r="AO227" s="644"/>
      <c r="AP227" s="644"/>
      <c r="AQ227" s="644"/>
      <c r="AR227" s="644"/>
      <c r="AS227" s="644"/>
      <c r="AT227" s="644"/>
      <c r="AU227" s="644"/>
      <c r="AV227" s="644"/>
      <c r="AW227" s="644"/>
      <c r="AX227" s="644"/>
      <c r="AY227" s="644"/>
      <c r="AZ227" s="644"/>
      <c r="BA227" s="644"/>
      <c r="BB227" s="644"/>
      <c r="BC227" s="644"/>
      <c r="BD227" s="644"/>
      <c r="BE227" s="644"/>
      <c r="BF227" s="644"/>
      <c r="BG227" s="644"/>
      <c r="BH227" s="644"/>
      <c r="BI227" s="644"/>
      <c r="BJ227" s="644"/>
      <c r="BK227" s="644"/>
      <c r="BL227" s="644"/>
      <c r="BM227" s="644"/>
      <c r="BN227" s="644"/>
      <c r="BO227" s="644"/>
      <c r="BP227" s="644"/>
      <c r="BQ227" s="644"/>
      <c r="BR227" s="644"/>
      <c r="BS227" s="644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644"/>
      <c r="CE227" s="644"/>
      <c r="CF227" s="644"/>
      <c r="CG227" s="644"/>
      <c r="CH227" s="644"/>
      <c r="CI227" s="644"/>
      <c r="CJ227" s="644"/>
      <c r="CK227" s="644"/>
      <c r="CL227" s="644"/>
      <c r="CM227" s="644"/>
      <c r="CN227" s="644"/>
      <c r="CO227" s="644"/>
      <c r="CP227" s="644"/>
      <c r="CQ227" s="644"/>
      <c r="CR227" s="644"/>
      <c r="CS227" s="644"/>
      <c r="CT227" s="644"/>
      <c r="CU227" s="644"/>
      <c r="CV227" s="644"/>
      <c r="CW227" s="644"/>
      <c r="CX227" s="644"/>
      <c r="CY227" s="644"/>
      <c r="CZ227" s="644"/>
      <c r="DA227" s="644"/>
      <c r="DB227" s="644"/>
      <c r="DC227" s="644"/>
      <c r="DD227" s="644"/>
      <c r="DE227" s="644"/>
      <c r="DF227" s="644"/>
      <c r="DG227" s="644"/>
      <c r="DH227" s="644"/>
      <c r="DI227" s="644"/>
      <c r="DJ227" s="644"/>
      <c r="DK227" s="644"/>
      <c r="DL227" s="644"/>
      <c r="DM227" s="644"/>
      <c r="DN227" s="644"/>
      <c r="DO227" s="644"/>
      <c r="DP227" s="644"/>
      <c r="DQ227" s="644"/>
      <c r="DR227" s="644"/>
      <c r="DS227" s="644"/>
      <c r="DT227" s="644"/>
      <c r="DU227" s="644"/>
      <c r="DV227" s="644"/>
      <c r="DW227" s="644"/>
      <c r="DX227" s="644"/>
      <c r="DY227" s="644"/>
      <c r="DZ227" s="644"/>
      <c r="EA227" s="644"/>
      <c r="EB227" s="644"/>
      <c r="EC227" s="644"/>
      <c r="ED227" s="644"/>
      <c r="EE227" s="644"/>
      <c r="EF227" s="644"/>
      <c r="EG227" s="644"/>
      <c r="EH227" s="644"/>
      <c r="EI227" s="644"/>
      <c r="EJ227" s="644"/>
      <c r="EK227" s="644"/>
      <c r="EL227" s="56"/>
    </row>
    <row r="229" spans="7:142" hidden="1" x14ac:dyDescent="0.3"/>
    <row r="230" spans="7:142" hidden="1" x14ac:dyDescent="0.3"/>
    <row r="231" spans="7:142" hidden="1" x14ac:dyDescent="0.3">
      <c r="L231" s="136">
        <f t="shared" ref="L231:BW235" si="23">L12-CD12</f>
        <v>-6167569</v>
      </c>
      <c r="M231" s="136">
        <f t="shared" si="23"/>
        <v>0</v>
      </c>
      <c r="N231" s="136">
        <f t="shared" si="23"/>
        <v>0</v>
      </c>
      <c r="O231" s="136">
        <f t="shared" si="23"/>
        <v>0</v>
      </c>
      <c r="P231" s="136">
        <f t="shared" si="23"/>
        <v>0</v>
      </c>
      <c r="Q231" s="136">
        <f t="shared" si="23"/>
        <v>3323416</v>
      </c>
      <c r="R231" s="136">
        <f t="shared" si="23"/>
        <v>0</v>
      </c>
      <c r="S231" s="136">
        <f t="shared" si="23"/>
        <v>0</v>
      </c>
      <c r="T231" s="136">
        <f t="shared" si="23"/>
        <v>0</v>
      </c>
      <c r="U231" s="136">
        <f t="shared" si="23"/>
        <v>0</v>
      </c>
      <c r="V231" s="136">
        <f t="shared" si="23"/>
        <v>-5565168</v>
      </c>
      <c r="W231" s="136">
        <f t="shared" si="23"/>
        <v>0</v>
      </c>
      <c r="X231" s="136">
        <f t="shared" si="23"/>
        <v>0</v>
      </c>
      <c r="Y231" s="136">
        <f t="shared" si="23"/>
        <v>0</v>
      </c>
      <c r="Z231" s="136">
        <f t="shared" si="23"/>
        <v>0</v>
      </c>
      <c r="AA231" s="136">
        <f t="shared" si="23"/>
        <v>-3240437</v>
      </c>
      <c r="AB231" s="136">
        <f t="shared" si="23"/>
        <v>0</v>
      </c>
      <c r="AC231" s="136">
        <f t="shared" si="23"/>
        <v>0</v>
      </c>
      <c r="AD231" s="136">
        <f t="shared" si="23"/>
        <v>0</v>
      </c>
      <c r="AE231" s="136">
        <f t="shared" si="23"/>
        <v>0</v>
      </c>
      <c r="AF231" s="136">
        <f t="shared" si="23"/>
        <v>-1114796</v>
      </c>
      <c r="AG231" s="136">
        <f t="shared" si="23"/>
        <v>0</v>
      </c>
      <c r="AH231" s="136">
        <f t="shared" si="23"/>
        <v>0</v>
      </c>
      <c r="AI231" s="136">
        <f t="shared" si="23"/>
        <v>0</v>
      </c>
      <c r="AJ231" s="136">
        <f t="shared" si="23"/>
        <v>0</v>
      </c>
      <c r="AK231" s="136">
        <f t="shared" si="23"/>
        <v>-1323277</v>
      </c>
      <c r="AL231" s="136">
        <f t="shared" si="23"/>
        <v>0</v>
      </c>
      <c r="AM231" s="136">
        <f t="shared" si="23"/>
        <v>0</v>
      </c>
      <c r="AN231" s="136">
        <f t="shared" si="23"/>
        <v>0</v>
      </c>
      <c r="AO231" s="136">
        <f t="shared" si="23"/>
        <v>0</v>
      </c>
      <c r="AP231" s="136">
        <f t="shared" si="23"/>
        <v>-4057783</v>
      </c>
      <c r="AQ231" s="136">
        <f t="shared" si="23"/>
        <v>0</v>
      </c>
      <c r="AR231" s="136">
        <f t="shared" si="23"/>
        <v>0</v>
      </c>
      <c r="AS231" s="136">
        <f t="shared" si="23"/>
        <v>0</v>
      </c>
      <c r="AT231" s="136">
        <f t="shared" si="23"/>
        <v>0</v>
      </c>
      <c r="AU231" s="136">
        <f t="shared" si="23"/>
        <v>-3657701</v>
      </c>
      <c r="AV231" s="136">
        <f t="shared" si="23"/>
        <v>0</v>
      </c>
      <c r="AW231" s="136">
        <f t="shared" si="23"/>
        <v>0</v>
      </c>
      <c r="AX231" s="136">
        <f t="shared" si="23"/>
        <v>0</v>
      </c>
      <c r="AY231" s="136">
        <f t="shared" si="23"/>
        <v>0</v>
      </c>
      <c r="AZ231" s="136">
        <f t="shared" si="23"/>
        <v>-3281899</v>
      </c>
      <c r="BA231" s="136">
        <f t="shared" si="23"/>
        <v>0</v>
      </c>
      <c r="BB231" s="136">
        <f t="shared" si="23"/>
        <v>0</v>
      </c>
      <c r="BC231" s="136">
        <f t="shared" si="23"/>
        <v>0</v>
      </c>
      <c r="BD231" s="136">
        <f t="shared" si="23"/>
        <v>0</v>
      </c>
      <c r="BE231" s="136">
        <f t="shared" si="23"/>
        <v>-59882847</v>
      </c>
      <c r="BF231" s="136">
        <f t="shared" si="23"/>
        <v>0</v>
      </c>
      <c r="BG231" s="136">
        <f t="shared" si="23"/>
        <v>0</v>
      </c>
      <c r="BH231" s="136">
        <f t="shared" si="23"/>
        <v>0</v>
      </c>
      <c r="BI231" s="136">
        <f t="shared" si="23"/>
        <v>0</v>
      </c>
      <c r="BJ231" s="136">
        <f t="shared" si="23"/>
        <v>-3707089</v>
      </c>
      <c r="BK231" s="136">
        <f t="shared" si="23"/>
        <v>0</v>
      </c>
      <c r="BL231" s="136">
        <f t="shared" si="23"/>
        <v>0</v>
      </c>
      <c r="BM231" s="136">
        <f t="shared" si="23"/>
        <v>0</v>
      </c>
      <c r="BN231" s="136">
        <f t="shared" si="23"/>
        <v>0</v>
      </c>
      <c r="BO231" s="136">
        <f t="shared" si="23"/>
        <v>-5261084</v>
      </c>
      <c r="BP231" s="136">
        <f t="shared" si="23"/>
        <v>0</v>
      </c>
      <c r="BQ231" s="136">
        <f t="shared" si="23"/>
        <v>0</v>
      </c>
      <c r="BR231" s="136">
        <f t="shared" si="23"/>
        <v>0</v>
      </c>
      <c r="BS231" s="136">
        <f t="shared" si="23"/>
        <v>0</v>
      </c>
      <c r="BT231" s="136">
        <f t="shared" si="23"/>
        <v>-84968061</v>
      </c>
      <c r="BU231" s="136">
        <f t="shared" si="23"/>
        <v>0</v>
      </c>
      <c r="BV231" s="136">
        <f t="shared" si="23"/>
        <v>0</v>
      </c>
      <c r="BW231" s="136">
        <f t="shared" si="23"/>
        <v>0</v>
      </c>
      <c r="BX231" s="136">
        <f t="shared" ref="BT231:BX238" si="24">BX12-EP12</f>
        <v>0</v>
      </c>
      <c r="BZ231" s="136">
        <f t="shared" ref="BZ231:CA238" si="25">BZ12-ER12</f>
        <v>0</v>
      </c>
      <c r="CA231" s="136">
        <f t="shared" si="25"/>
        <v>0</v>
      </c>
    </row>
    <row r="232" spans="7:142" hidden="1" x14ac:dyDescent="0.3">
      <c r="L232" s="136">
        <f t="shared" si="23"/>
        <v>345294</v>
      </c>
      <c r="M232" s="136">
        <f t="shared" si="23"/>
        <v>0</v>
      </c>
      <c r="N232" s="136">
        <f t="shared" si="23"/>
        <v>0</v>
      </c>
      <c r="O232" s="136">
        <f t="shared" si="23"/>
        <v>0</v>
      </c>
      <c r="P232" s="136">
        <f t="shared" si="23"/>
        <v>0</v>
      </c>
      <c r="Q232" s="136">
        <f t="shared" si="23"/>
        <v>20235</v>
      </c>
      <c r="R232" s="136">
        <f t="shared" si="23"/>
        <v>0</v>
      </c>
      <c r="S232" s="136">
        <f t="shared" si="23"/>
        <v>0</v>
      </c>
      <c r="T232" s="136">
        <f t="shared" si="23"/>
        <v>0</v>
      </c>
      <c r="U232" s="136">
        <f t="shared" si="23"/>
        <v>0</v>
      </c>
      <c r="V232" s="136">
        <f t="shared" si="23"/>
        <v>218746</v>
      </c>
      <c r="W232" s="136">
        <f t="shared" si="23"/>
        <v>0</v>
      </c>
      <c r="X232" s="136">
        <f t="shared" si="23"/>
        <v>0</v>
      </c>
      <c r="Y232" s="136">
        <f t="shared" si="23"/>
        <v>0</v>
      </c>
      <c r="Z232" s="136">
        <f t="shared" si="23"/>
        <v>0</v>
      </c>
      <c r="AA232" s="136">
        <f t="shared" si="23"/>
        <v>209595</v>
      </c>
      <c r="AB232" s="136">
        <f t="shared" si="23"/>
        <v>0</v>
      </c>
      <c r="AC232" s="136">
        <f t="shared" si="23"/>
        <v>0</v>
      </c>
      <c r="AD232" s="136">
        <f t="shared" si="23"/>
        <v>0</v>
      </c>
      <c r="AE232" s="136">
        <f t="shared" si="23"/>
        <v>0</v>
      </c>
      <c r="AF232" s="136">
        <f t="shared" si="23"/>
        <v>538838</v>
      </c>
      <c r="AG232" s="136">
        <f t="shared" si="23"/>
        <v>0</v>
      </c>
      <c r="AH232" s="136">
        <f t="shared" si="23"/>
        <v>0</v>
      </c>
      <c r="AI232" s="136">
        <f t="shared" si="23"/>
        <v>0</v>
      </c>
      <c r="AJ232" s="136">
        <f t="shared" si="23"/>
        <v>0</v>
      </c>
      <c r="AK232" s="136">
        <f t="shared" si="23"/>
        <v>322831</v>
      </c>
      <c r="AL232" s="136">
        <f t="shared" si="23"/>
        <v>0</v>
      </c>
      <c r="AM232" s="136">
        <f t="shared" si="23"/>
        <v>0</v>
      </c>
      <c r="AN232" s="136">
        <f t="shared" si="23"/>
        <v>0</v>
      </c>
      <c r="AO232" s="136">
        <f t="shared" si="23"/>
        <v>0</v>
      </c>
      <c r="AP232" s="136">
        <f t="shared" si="23"/>
        <v>225786</v>
      </c>
      <c r="AQ232" s="136">
        <f t="shared" si="23"/>
        <v>0</v>
      </c>
      <c r="AR232" s="136">
        <f t="shared" si="23"/>
        <v>0</v>
      </c>
      <c r="AS232" s="136">
        <f t="shared" si="23"/>
        <v>0</v>
      </c>
      <c r="AT232" s="136">
        <f t="shared" si="23"/>
        <v>0</v>
      </c>
      <c r="AU232" s="136">
        <f t="shared" si="23"/>
        <v>433462</v>
      </c>
      <c r="AV232" s="136">
        <f t="shared" si="23"/>
        <v>0</v>
      </c>
      <c r="AW232" s="136">
        <f t="shared" si="23"/>
        <v>0</v>
      </c>
      <c r="AX232" s="136">
        <f t="shared" si="23"/>
        <v>0</v>
      </c>
      <c r="AY232" s="136">
        <f t="shared" si="23"/>
        <v>0</v>
      </c>
      <c r="AZ232" s="136">
        <f t="shared" si="23"/>
        <v>52625</v>
      </c>
      <c r="BA232" s="136">
        <f t="shared" si="23"/>
        <v>0</v>
      </c>
      <c r="BB232" s="136">
        <f t="shared" si="23"/>
        <v>0</v>
      </c>
      <c r="BC232" s="136">
        <f t="shared" si="23"/>
        <v>0</v>
      </c>
      <c r="BD232" s="136">
        <f t="shared" si="23"/>
        <v>0</v>
      </c>
      <c r="BE232" s="136">
        <f t="shared" si="23"/>
        <v>-57587816</v>
      </c>
      <c r="BF232" s="136">
        <f t="shared" si="23"/>
        <v>0</v>
      </c>
      <c r="BG232" s="136">
        <f t="shared" si="23"/>
        <v>0</v>
      </c>
      <c r="BH232" s="136">
        <f t="shared" si="23"/>
        <v>0</v>
      </c>
      <c r="BI232" s="136">
        <f t="shared" si="23"/>
        <v>0</v>
      </c>
      <c r="BJ232" s="136">
        <f t="shared" si="23"/>
        <v>-409969</v>
      </c>
      <c r="BK232" s="136">
        <f t="shared" si="23"/>
        <v>0</v>
      </c>
      <c r="BL232" s="136">
        <f t="shared" si="23"/>
        <v>0</v>
      </c>
      <c r="BM232" s="136">
        <f t="shared" si="23"/>
        <v>0</v>
      </c>
      <c r="BN232" s="136">
        <f t="shared" si="23"/>
        <v>0</v>
      </c>
      <c r="BO232" s="136">
        <f t="shared" si="23"/>
        <v>-252762</v>
      </c>
      <c r="BP232" s="136">
        <f t="shared" si="23"/>
        <v>0</v>
      </c>
      <c r="BQ232" s="136">
        <f t="shared" si="23"/>
        <v>0</v>
      </c>
      <c r="BR232" s="136">
        <f t="shared" si="23"/>
        <v>0</v>
      </c>
      <c r="BS232" s="136">
        <f t="shared" si="23"/>
        <v>0</v>
      </c>
      <c r="BT232" s="136">
        <f t="shared" si="24"/>
        <v>-55220404</v>
      </c>
      <c r="BU232" s="136">
        <f t="shared" si="24"/>
        <v>0</v>
      </c>
      <c r="BV232" s="136">
        <f t="shared" si="24"/>
        <v>0</v>
      </c>
      <c r="BW232" s="136">
        <f t="shared" si="24"/>
        <v>0</v>
      </c>
      <c r="BX232" s="136">
        <f t="shared" si="24"/>
        <v>0</v>
      </c>
      <c r="BZ232" s="136">
        <f t="shared" si="25"/>
        <v>0</v>
      </c>
      <c r="CA232" s="136">
        <f t="shared" si="25"/>
        <v>0</v>
      </c>
    </row>
    <row r="233" spans="7:142" hidden="1" x14ac:dyDescent="0.3">
      <c r="L233" s="136">
        <f t="shared" si="23"/>
        <v>-7145000</v>
      </c>
      <c r="M233" s="136">
        <f t="shared" si="23"/>
        <v>0</v>
      </c>
      <c r="N233" s="136">
        <f t="shared" si="23"/>
        <v>0</v>
      </c>
      <c r="O233" s="136">
        <f t="shared" si="23"/>
        <v>0</v>
      </c>
      <c r="P233" s="136">
        <f t="shared" si="23"/>
        <v>0</v>
      </c>
      <c r="Q233" s="136">
        <f t="shared" si="23"/>
        <v>235000</v>
      </c>
      <c r="R233" s="136">
        <f t="shared" si="23"/>
        <v>0</v>
      </c>
      <c r="S233" s="136">
        <f t="shared" si="23"/>
        <v>0</v>
      </c>
      <c r="T233" s="136">
        <f t="shared" si="23"/>
        <v>0</v>
      </c>
      <c r="U233" s="136">
        <f t="shared" si="23"/>
        <v>0</v>
      </c>
      <c r="V233" s="136">
        <f t="shared" si="23"/>
        <v>-5735000</v>
      </c>
      <c r="W233" s="136">
        <f t="shared" si="23"/>
        <v>0</v>
      </c>
      <c r="X233" s="136">
        <f t="shared" si="23"/>
        <v>0</v>
      </c>
      <c r="Y233" s="136">
        <f t="shared" si="23"/>
        <v>0</v>
      </c>
      <c r="Z233" s="136">
        <f t="shared" si="23"/>
        <v>0</v>
      </c>
      <c r="AA233" s="136">
        <f t="shared" si="23"/>
        <v>-3165000</v>
      </c>
      <c r="AB233" s="136">
        <f t="shared" si="23"/>
        <v>0</v>
      </c>
      <c r="AC233" s="136">
        <f t="shared" si="23"/>
        <v>0</v>
      </c>
      <c r="AD233" s="136">
        <f t="shared" si="23"/>
        <v>0</v>
      </c>
      <c r="AE233" s="136">
        <f t="shared" si="23"/>
        <v>0</v>
      </c>
      <c r="AF233" s="136">
        <f t="shared" si="23"/>
        <v>-4370000</v>
      </c>
      <c r="AG233" s="136">
        <f t="shared" si="23"/>
        <v>0</v>
      </c>
      <c r="AH233" s="136">
        <f t="shared" si="23"/>
        <v>0</v>
      </c>
      <c r="AI233" s="136">
        <f t="shared" si="23"/>
        <v>0</v>
      </c>
      <c r="AJ233" s="136">
        <f t="shared" si="23"/>
        <v>0</v>
      </c>
      <c r="AK233" s="136">
        <f t="shared" si="23"/>
        <v>-2270000</v>
      </c>
      <c r="AL233" s="136">
        <f t="shared" si="23"/>
        <v>0</v>
      </c>
      <c r="AM233" s="136">
        <f t="shared" si="23"/>
        <v>0</v>
      </c>
      <c r="AN233" s="136">
        <f t="shared" si="23"/>
        <v>0</v>
      </c>
      <c r="AO233" s="136">
        <f t="shared" si="23"/>
        <v>0</v>
      </c>
      <c r="AP233" s="136">
        <f t="shared" si="23"/>
        <v>-4260000</v>
      </c>
      <c r="AQ233" s="136">
        <f t="shared" si="23"/>
        <v>0</v>
      </c>
      <c r="AR233" s="136">
        <f t="shared" si="23"/>
        <v>0</v>
      </c>
      <c r="AS233" s="136">
        <f t="shared" si="23"/>
        <v>0</v>
      </c>
      <c r="AT233" s="136">
        <f t="shared" si="23"/>
        <v>0</v>
      </c>
      <c r="AU233" s="136">
        <f t="shared" si="23"/>
        <v>-3475000</v>
      </c>
      <c r="AV233" s="136">
        <f t="shared" si="23"/>
        <v>0</v>
      </c>
      <c r="AW233" s="136">
        <f t="shared" si="23"/>
        <v>0</v>
      </c>
      <c r="AX233" s="136">
        <f t="shared" si="23"/>
        <v>0</v>
      </c>
      <c r="AY233" s="136">
        <f t="shared" si="23"/>
        <v>0</v>
      </c>
      <c r="AZ233" s="136">
        <f t="shared" si="23"/>
        <v>-3320000</v>
      </c>
      <c r="BA233" s="136">
        <f t="shared" si="23"/>
        <v>0</v>
      </c>
      <c r="BB233" s="136">
        <f t="shared" si="23"/>
        <v>0</v>
      </c>
      <c r="BC233" s="136">
        <f t="shared" si="23"/>
        <v>0</v>
      </c>
      <c r="BD233" s="136">
        <f t="shared" si="23"/>
        <v>0</v>
      </c>
      <c r="BE233" s="136">
        <f t="shared" si="23"/>
        <v>-2325000</v>
      </c>
      <c r="BF233" s="136">
        <f t="shared" si="23"/>
        <v>0</v>
      </c>
      <c r="BG233" s="136">
        <f t="shared" si="23"/>
        <v>0</v>
      </c>
      <c r="BH233" s="136">
        <f t="shared" si="23"/>
        <v>0</v>
      </c>
      <c r="BI233" s="136">
        <f t="shared" si="23"/>
        <v>0</v>
      </c>
      <c r="BJ233" s="136">
        <f t="shared" si="23"/>
        <v>-2615000</v>
      </c>
      <c r="BK233" s="136">
        <f t="shared" si="23"/>
        <v>0</v>
      </c>
      <c r="BL233" s="136">
        <f t="shared" si="23"/>
        <v>0</v>
      </c>
      <c r="BM233" s="136">
        <f t="shared" si="23"/>
        <v>0</v>
      </c>
      <c r="BN233" s="136">
        <f t="shared" si="23"/>
        <v>0</v>
      </c>
      <c r="BO233" s="136">
        <f t="shared" si="23"/>
        <v>-1885000</v>
      </c>
      <c r="BP233" s="136">
        <f t="shared" si="23"/>
        <v>0</v>
      </c>
      <c r="BQ233" s="136">
        <f t="shared" si="23"/>
        <v>0</v>
      </c>
      <c r="BR233" s="136">
        <f t="shared" si="23"/>
        <v>0</v>
      </c>
      <c r="BS233" s="136">
        <f t="shared" si="23"/>
        <v>0</v>
      </c>
      <c r="BT233" s="136">
        <f t="shared" si="24"/>
        <v>-35830000</v>
      </c>
      <c r="BU233" s="136">
        <f t="shared" si="24"/>
        <v>0</v>
      </c>
      <c r="BV233" s="136">
        <f t="shared" si="24"/>
        <v>0</v>
      </c>
      <c r="BW233" s="136">
        <f t="shared" si="24"/>
        <v>0</v>
      </c>
      <c r="BX233" s="136">
        <f t="shared" si="24"/>
        <v>0</v>
      </c>
      <c r="BZ233" s="136">
        <f t="shared" si="25"/>
        <v>0</v>
      </c>
      <c r="CA233" s="136">
        <f t="shared" si="25"/>
        <v>0</v>
      </c>
      <c r="EL233" s="56"/>
    </row>
    <row r="234" spans="7:142" hidden="1" x14ac:dyDescent="0.3">
      <c r="L234" s="136">
        <f t="shared" si="23"/>
        <v>632137</v>
      </c>
      <c r="M234" s="136">
        <f t="shared" si="23"/>
        <v>0</v>
      </c>
      <c r="N234" s="136">
        <f t="shared" si="23"/>
        <v>0</v>
      </c>
      <c r="O234" s="136">
        <f t="shared" si="23"/>
        <v>0</v>
      </c>
      <c r="P234" s="136">
        <f t="shared" si="23"/>
        <v>0</v>
      </c>
      <c r="Q234" s="136">
        <f t="shared" si="23"/>
        <v>3068181</v>
      </c>
      <c r="R234" s="136">
        <f t="shared" si="23"/>
        <v>0</v>
      </c>
      <c r="S234" s="136">
        <f t="shared" si="23"/>
        <v>0</v>
      </c>
      <c r="T234" s="136">
        <f t="shared" si="23"/>
        <v>0</v>
      </c>
      <c r="U234" s="136">
        <f t="shared" si="23"/>
        <v>0</v>
      </c>
      <c r="V234" s="136">
        <f t="shared" si="23"/>
        <v>-48914</v>
      </c>
      <c r="W234" s="136">
        <f t="shared" si="23"/>
        <v>0</v>
      </c>
      <c r="X234" s="136">
        <f t="shared" si="23"/>
        <v>0</v>
      </c>
      <c r="Y234" s="136">
        <f t="shared" si="23"/>
        <v>0</v>
      </c>
      <c r="Z234" s="136">
        <f t="shared" si="23"/>
        <v>0</v>
      </c>
      <c r="AA234" s="136">
        <f t="shared" si="23"/>
        <v>-285032</v>
      </c>
      <c r="AB234" s="136">
        <f t="shared" si="23"/>
        <v>0</v>
      </c>
      <c r="AC234" s="136">
        <f t="shared" si="23"/>
        <v>0</v>
      </c>
      <c r="AD234" s="136">
        <f t="shared" si="23"/>
        <v>0</v>
      </c>
      <c r="AE234" s="136">
        <f t="shared" si="23"/>
        <v>0</v>
      </c>
      <c r="AF234" s="136">
        <f t="shared" si="23"/>
        <v>2716366</v>
      </c>
      <c r="AG234" s="136">
        <f t="shared" si="23"/>
        <v>0</v>
      </c>
      <c r="AH234" s="136">
        <f t="shared" si="23"/>
        <v>0</v>
      </c>
      <c r="AI234" s="136">
        <f t="shared" si="23"/>
        <v>0</v>
      </c>
      <c r="AJ234" s="136">
        <f t="shared" si="23"/>
        <v>0</v>
      </c>
      <c r="AK234" s="136">
        <f t="shared" si="23"/>
        <v>623892</v>
      </c>
      <c r="AL234" s="136">
        <f t="shared" si="23"/>
        <v>0</v>
      </c>
      <c r="AM234" s="136">
        <f t="shared" si="23"/>
        <v>0</v>
      </c>
      <c r="AN234" s="136">
        <f t="shared" si="23"/>
        <v>0</v>
      </c>
      <c r="AO234" s="136">
        <f t="shared" si="23"/>
        <v>0</v>
      </c>
      <c r="AP234" s="136">
        <f t="shared" si="23"/>
        <v>-23569</v>
      </c>
      <c r="AQ234" s="136">
        <f t="shared" si="23"/>
        <v>0</v>
      </c>
      <c r="AR234" s="136">
        <f t="shared" si="23"/>
        <v>0</v>
      </c>
      <c r="AS234" s="136">
        <f t="shared" si="23"/>
        <v>0</v>
      </c>
      <c r="AT234" s="136">
        <f t="shared" si="23"/>
        <v>0</v>
      </c>
      <c r="AU234" s="136">
        <f t="shared" si="23"/>
        <v>-616163</v>
      </c>
      <c r="AV234" s="136">
        <f t="shared" si="23"/>
        <v>0</v>
      </c>
      <c r="AW234" s="136">
        <f t="shared" si="23"/>
        <v>0</v>
      </c>
      <c r="AX234" s="136">
        <f t="shared" si="23"/>
        <v>0</v>
      </c>
      <c r="AY234" s="136">
        <f t="shared" si="23"/>
        <v>0</v>
      </c>
      <c r="AZ234" s="136">
        <f t="shared" si="23"/>
        <v>-14524</v>
      </c>
      <c r="BA234" s="136">
        <f t="shared" si="23"/>
        <v>0</v>
      </c>
      <c r="BB234" s="136">
        <f t="shared" si="23"/>
        <v>0</v>
      </c>
      <c r="BC234" s="136">
        <f t="shared" si="23"/>
        <v>0</v>
      </c>
      <c r="BD234" s="136">
        <f t="shared" si="23"/>
        <v>0</v>
      </c>
      <c r="BE234" s="136">
        <f t="shared" si="23"/>
        <v>29969</v>
      </c>
      <c r="BF234" s="136">
        <f t="shared" si="23"/>
        <v>0</v>
      </c>
      <c r="BG234" s="136">
        <f t="shared" si="23"/>
        <v>0</v>
      </c>
      <c r="BH234" s="136">
        <f t="shared" si="23"/>
        <v>0</v>
      </c>
      <c r="BI234" s="136">
        <f t="shared" si="23"/>
        <v>0</v>
      </c>
      <c r="BJ234" s="136">
        <f t="shared" si="23"/>
        <v>-682120</v>
      </c>
      <c r="BK234" s="136">
        <f t="shared" si="23"/>
        <v>0</v>
      </c>
      <c r="BL234" s="136">
        <f t="shared" si="23"/>
        <v>0</v>
      </c>
      <c r="BM234" s="136">
        <f t="shared" si="23"/>
        <v>0</v>
      </c>
      <c r="BN234" s="136">
        <f t="shared" si="23"/>
        <v>0</v>
      </c>
      <c r="BO234" s="136">
        <f t="shared" si="23"/>
        <v>-3123322</v>
      </c>
      <c r="BP234" s="136">
        <f t="shared" si="23"/>
        <v>0</v>
      </c>
      <c r="BQ234" s="136">
        <f t="shared" si="23"/>
        <v>0</v>
      </c>
      <c r="BR234" s="136">
        <f t="shared" si="23"/>
        <v>0</v>
      </c>
      <c r="BS234" s="136">
        <f t="shared" si="23"/>
        <v>0</v>
      </c>
      <c r="BT234" s="136">
        <f t="shared" si="24"/>
        <v>6082343</v>
      </c>
      <c r="BU234" s="136">
        <f t="shared" si="24"/>
        <v>0</v>
      </c>
      <c r="BV234" s="136">
        <f t="shared" si="24"/>
        <v>0</v>
      </c>
      <c r="BW234" s="136">
        <f t="shared" si="24"/>
        <v>0</v>
      </c>
      <c r="BX234" s="136">
        <f t="shared" si="24"/>
        <v>0</v>
      </c>
      <c r="BZ234" s="136">
        <f t="shared" si="25"/>
        <v>0</v>
      </c>
      <c r="CA234" s="136">
        <f t="shared" si="25"/>
        <v>0</v>
      </c>
    </row>
    <row r="235" spans="7:142" hidden="1" x14ac:dyDescent="0.3">
      <c r="L235" s="136">
        <f t="shared" si="23"/>
        <v>0</v>
      </c>
      <c r="M235" s="136">
        <f t="shared" si="23"/>
        <v>0</v>
      </c>
      <c r="N235" s="136">
        <f t="shared" si="23"/>
        <v>0</v>
      </c>
      <c r="O235" s="136">
        <f t="shared" si="23"/>
        <v>0</v>
      </c>
      <c r="P235" s="136">
        <f t="shared" si="23"/>
        <v>0</v>
      </c>
      <c r="Q235" s="136">
        <f t="shared" si="23"/>
        <v>0</v>
      </c>
      <c r="R235" s="136">
        <f t="shared" si="23"/>
        <v>0</v>
      </c>
      <c r="S235" s="136">
        <f t="shared" si="23"/>
        <v>0</v>
      </c>
      <c r="T235" s="136">
        <f t="shared" si="23"/>
        <v>0</v>
      </c>
      <c r="U235" s="136">
        <f t="shared" si="23"/>
        <v>0</v>
      </c>
      <c r="V235" s="136">
        <f t="shared" si="23"/>
        <v>0</v>
      </c>
      <c r="W235" s="136">
        <f t="shared" ref="V235:BS238" si="26">W16-CO16</f>
        <v>0</v>
      </c>
      <c r="X235" s="136">
        <f t="shared" si="26"/>
        <v>0</v>
      </c>
      <c r="Y235" s="136">
        <f t="shared" si="26"/>
        <v>0</v>
      </c>
      <c r="Z235" s="136">
        <f t="shared" si="26"/>
        <v>0</v>
      </c>
      <c r="AA235" s="136">
        <f t="shared" si="26"/>
        <v>0</v>
      </c>
      <c r="AB235" s="136">
        <f t="shared" si="26"/>
        <v>0</v>
      </c>
      <c r="AC235" s="136">
        <f t="shared" si="26"/>
        <v>0</v>
      </c>
      <c r="AD235" s="136">
        <f t="shared" si="26"/>
        <v>0</v>
      </c>
      <c r="AE235" s="136">
        <f t="shared" si="26"/>
        <v>0</v>
      </c>
      <c r="AF235" s="136">
        <f t="shared" si="26"/>
        <v>0</v>
      </c>
      <c r="AG235" s="136">
        <f t="shared" si="26"/>
        <v>0</v>
      </c>
      <c r="AH235" s="136">
        <f t="shared" si="26"/>
        <v>0</v>
      </c>
      <c r="AI235" s="136">
        <f t="shared" si="26"/>
        <v>0</v>
      </c>
      <c r="AJ235" s="136">
        <f t="shared" si="26"/>
        <v>0</v>
      </c>
      <c r="AK235" s="136">
        <f t="shared" si="26"/>
        <v>0</v>
      </c>
      <c r="AL235" s="136">
        <f t="shared" si="26"/>
        <v>0</v>
      </c>
      <c r="AM235" s="136">
        <f t="shared" si="26"/>
        <v>0</v>
      </c>
      <c r="AN235" s="136">
        <f t="shared" si="26"/>
        <v>0</v>
      </c>
      <c r="AO235" s="136">
        <f t="shared" si="26"/>
        <v>0</v>
      </c>
      <c r="AP235" s="136">
        <f t="shared" si="26"/>
        <v>0</v>
      </c>
      <c r="AQ235" s="136">
        <f t="shared" si="26"/>
        <v>0</v>
      </c>
      <c r="AR235" s="136">
        <f t="shared" si="26"/>
        <v>0</v>
      </c>
      <c r="AS235" s="136">
        <f t="shared" si="26"/>
        <v>0</v>
      </c>
      <c r="AT235" s="136">
        <f t="shared" si="26"/>
        <v>0</v>
      </c>
      <c r="AU235" s="136">
        <f t="shared" si="26"/>
        <v>0</v>
      </c>
      <c r="AV235" s="136">
        <f t="shared" si="26"/>
        <v>0</v>
      </c>
      <c r="AW235" s="136">
        <f t="shared" si="26"/>
        <v>0</v>
      </c>
      <c r="AX235" s="136">
        <f t="shared" si="26"/>
        <v>0</v>
      </c>
      <c r="AY235" s="136">
        <f t="shared" si="26"/>
        <v>0</v>
      </c>
      <c r="AZ235" s="136">
        <f t="shared" si="26"/>
        <v>0</v>
      </c>
      <c r="BA235" s="136">
        <f t="shared" si="26"/>
        <v>0</v>
      </c>
      <c r="BB235" s="136">
        <f t="shared" si="26"/>
        <v>0</v>
      </c>
      <c r="BC235" s="136">
        <f t="shared" si="26"/>
        <v>0</v>
      </c>
      <c r="BD235" s="136">
        <f t="shared" si="26"/>
        <v>0</v>
      </c>
      <c r="BE235" s="136">
        <f t="shared" si="26"/>
        <v>0</v>
      </c>
      <c r="BF235" s="136">
        <f t="shared" si="26"/>
        <v>0</v>
      </c>
      <c r="BG235" s="136">
        <f t="shared" si="26"/>
        <v>0</v>
      </c>
      <c r="BH235" s="136">
        <f t="shared" si="26"/>
        <v>0</v>
      </c>
      <c r="BI235" s="136">
        <f t="shared" si="26"/>
        <v>0</v>
      </c>
      <c r="BJ235" s="136">
        <f t="shared" si="26"/>
        <v>0</v>
      </c>
      <c r="BK235" s="136">
        <f t="shared" si="26"/>
        <v>0</v>
      </c>
      <c r="BL235" s="136">
        <f t="shared" si="26"/>
        <v>0</v>
      </c>
      <c r="BM235" s="136">
        <f t="shared" si="26"/>
        <v>0</v>
      </c>
      <c r="BN235" s="136">
        <f t="shared" si="26"/>
        <v>0</v>
      </c>
      <c r="BO235" s="136">
        <f t="shared" si="26"/>
        <v>0</v>
      </c>
      <c r="BP235" s="136">
        <f t="shared" si="26"/>
        <v>0</v>
      </c>
      <c r="BQ235" s="136">
        <f t="shared" si="26"/>
        <v>0</v>
      </c>
      <c r="BR235" s="136">
        <f t="shared" si="26"/>
        <v>0</v>
      </c>
      <c r="BS235" s="136">
        <f t="shared" si="26"/>
        <v>0</v>
      </c>
      <c r="BT235" s="136">
        <f t="shared" si="24"/>
        <v>0</v>
      </c>
      <c r="BU235" s="136">
        <f t="shared" si="24"/>
        <v>0</v>
      </c>
      <c r="BV235" s="136">
        <f t="shared" si="24"/>
        <v>0</v>
      </c>
      <c r="BW235" s="136">
        <f t="shared" si="24"/>
        <v>0</v>
      </c>
      <c r="BX235" s="136">
        <f t="shared" si="24"/>
        <v>0</v>
      </c>
      <c r="BZ235" s="136">
        <f t="shared" si="25"/>
        <v>0</v>
      </c>
      <c r="CA235" s="136">
        <f t="shared" si="25"/>
        <v>0</v>
      </c>
    </row>
    <row r="236" spans="7:142" hidden="1" x14ac:dyDescent="0.3">
      <c r="L236" s="136">
        <f t="shared" ref="L236:U238" si="27">L17-CD17</f>
        <v>0</v>
      </c>
      <c r="M236" s="136">
        <f t="shared" si="27"/>
        <v>0</v>
      </c>
      <c r="N236" s="136">
        <f t="shared" si="27"/>
        <v>0</v>
      </c>
      <c r="O236" s="136">
        <f t="shared" si="27"/>
        <v>0</v>
      </c>
      <c r="P236" s="136">
        <f t="shared" si="27"/>
        <v>0</v>
      </c>
      <c r="Q236" s="136">
        <f t="shared" si="27"/>
        <v>0</v>
      </c>
      <c r="R236" s="136">
        <f t="shared" si="27"/>
        <v>0</v>
      </c>
      <c r="S236" s="136">
        <f t="shared" si="27"/>
        <v>0</v>
      </c>
      <c r="T236" s="136">
        <f t="shared" si="27"/>
        <v>0</v>
      </c>
      <c r="U236" s="136">
        <f t="shared" si="27"/>
        <v>0</v>
      </c>
      <c r="V236" s="136">
        <f t="shared" si="26"/>
        <v>0</v>
      </c>
      <c r="W236" s="136">
        <f t="shared" si="26"/>
        <v>0</v>
      </c>
      <c r="X236" s="136">
        <f t="shared" si="26"/>
        <v>0</v>
      </c>
      <c r="Y236" s="136">
        <f t="shared" si="26"/>
        <v>0</v>
      </c>
      <c r="Z236" s="136">
        <f t="shared" si="26"/>
        <v>0</v>
      </c>
      <c r="AA236" s="136">
        <f t="shared" si="26"/>
        <v>0</v>
      </c>
      <c r="AB236" s="136">
        <f t="shared" si="26"/>
        <v>0</v>
      </c>
      <c r="AC236" s="136">
        <f t="shared" si="26"/>
        <v>0</v>
      </c>
      <c r="AD236" s="136">
        <f t="shared" si="26"/>
        <v>0</v>
      </c>
      <c r="AE236" s="136">
        <f t="shared" si="26"/>
        <v>0</v>
      </c>
      <c r="AF236" s="136">
        <f t="shared" si="26"/>
        <v>0</v>
      </c>
      <c r="AG236" s="136">
        <f t="shared" si="26"/>
        <v>0</v>
      </c>
      <c r="AH236" s="136">
        <f t="shared" si="26"/>
        <v>0</v>
      </c>
      <c r="AI236" s="136">
        <f t="shared" si="26"/>
        <v>0</v>
      </c>
      <c r="AJ236" s="136">
        <f t="shared" si="26"/>
        <v>0</v>
      </c>
      <c r="AK236" s="136">
        <f t="shared" si="26"/>
        <v>0</v>
      </c>
      <c r="AL236" s="136">
        <f t="shared" si="26"/>
        <v>0</v>
      </c>
      <c r="AM236" s="136">
        <f t="shared" si="26"/>
        <v>0</v>
      </c>
      <c r="AN236" s="136">
        <f t="shared" si="26"/>
        <v>0</v>
      </c>
      <c r="AO236" s="136">
        <f t="shared" si="26"/>
        <v>0</v>
      </c>
      <c r="AP236" s="136">
        <f t="shared" si="26"/>
        <v>0</v>
      </c>
      <c r="AQ236" s="136">
        <f t="shared" si="26"/>
        <v>0</v>
      </c>
      <c r="AR236" s="136">
        <f t="shared" si="26"/>
        <v>0</v>
      </c>
      <c r="AS236" s="136">
        <f t="shared" si="26"/>
        <v>0</v>
      </c>
      <c r="AT236" s="136">
        <f t="shared" si="26"/>
        <v>0</v>
      </c>
      <c r="AU236" s="136">
        <f t="shared" si="26"/>
        <v>0</v>
      </c>
      <c r="AV236" s="136">
        <f t="shared" si="26"/>
        <v>0</v>
      </c>
      <c r="AW236" s="136">
        <f t="shared" si="26"/>
        <v>0</v>
      </c>
      <c r="AX236" s="136">
        <f t="shared" si="26"/>
        <v>0</v>
      </c>
      <c r="AY236" s="136">
        <f t="shared" si="26"/>
        <v>0</v>
      </c>
      <c r="AZ236" s="136">
        <f t="shared" si="26"/>
        <v>0</v>
      </c>
      <c r="BA236" s="136">
        <f t="shared" si="26"/>
        <v>0</v>
      </c>
      <c r="BB236" s="136">
        <f t="shared" si="26"/>
        <v>0</v>
      </c>
      <c r="BC236" s="136">
        <f t="shared" si="26"/>
        <v>0</v>
      </c>
      <c r="BD236" s="136">
        <f t="shared" si="26"/>
        <v>0</v>
      </c>
      <c r="BE236" s="136">
        <f t="shared" si="26"/>
        <v>0</v>
      </c>
      <c r="BF236" s="136">
        <f t="shared" si="26"/>
        <v>0</v>
      </c>
      <c r="BG236" s="136">
        <f t="shared" si="26"/>
        <v>0</v>
      </c>
      <c r="BH236" s="136">
        <f t="shared" si="26"/>
        <v>0</v>
      </c>
      <c r="BI236" s="136">
        <f t="shared" si="26"/>
        <v>0</v>
      </c>
      <c r="BJ236" s="136">
        <f t="shared" si="26"/>
        <v>0</v>
      </c>
      <c r="BK236" s="136">
        <f t="shared" si="26"/>
        <v>0</v>
      </c>
      <c r="BL236" s="136">
        <f t="shared" si="26"/>
        <v>0</v>
      </c>
      <c r="BM236" s="136">
        <f t="shared" si="26"/>
        <v>0</v>
      </c>
      <c r="BN236" s="136">
        <f t="shared" si="26"/>
        <v>0</v>
      </c>
      <c r="BO236" s="136">
        <f t="shared" si="26"/>
        <v>0</v>
      </c>
      <c r="BP236" s="136">
        <f t="shared" si="26"/>
        <v>0</v>
      </c>
      <c r="BQ236" s="136">
        <f t="shared" si="26"/>
        <v>0</v>
      </c>
      <c r="BR236" s="136">
        <f t="shared" si="26"/>
        <v>0</v>
      </c>
      <c r="BS236" s="136">
        <f t="shared" si="26"/>
        <v>0</v>
      </c>
      <c r="BT236" s="136">
        <f t="shared" si="24"/>
        <v>0</v>
      </c>
      <c r="BU236" s="136">
        <f t="shared" si="24"/>
        <v>0</v>
      </c>
      <c r="BV236" s="136">
        <f t="shared" si="24"/>
        <v>0</v>
      </c>
      <c r="BW236" s="136">
        <f t="shared" si="24"/>
        <v>0</v>
      </c>
      <c r="BX236" s="136">
        <f t="shared" si="24"/>
        <v>0</v>
      </c>
      <c r="BZ236" s="136">
        <f t="shared" si="25"/>
        <v>0</v>
      </c>
      <c r="CA236" s="136">
        <f t="shared" si="25"/>
        <v>0</v>
      </c>
    </row>
    <row r="237" spans="7:142" hidden="1" x14ac:dyDescent="0.3">
      <c r="L237" s="136">
        <f t="shared" si="27"/>
        <v>345294</v>
      </c>
      <c r="M237" s="136">
        <f t="shared" si="27"/>
        <v>0</v>
      </c>
      <c r="N237" s="136">
        <f t="shared" si="27"/>
        <v>0</v>
      </c>
      <c r="O237" s="136">
        <f t="shared" si="27"/>
        <v>0</v>
      </c>
      <c r="P237" s="136">
        <f t="shared" si="27"/>
        <v>0</v>
      </c>
      <c r="Q237" s="136">
        <f t="shared" si="27"/>
        <v>20235</v>
      </c>
      <c r="R237" s="136">
        <f t="shared" si="27"/>
        <v>0</v>
      </c>
      <c r="S237" s="136">
        <f t="shared" si="27"/>
        <v>0</v>
      </c>
      <c r="T237" s="136">
        <f t="shared" si="27"/>
        <v>0</v>
      </c>
      <c r="U237" s="136">
        <f t="shared" si="27"/>
        <v>0</v>
      </c>
      <c r="V237" s="136">
        <f t="shared" si="26"/>
        <v>218746</v>
      </c>
      <c r="W237" s="136">
        <f t="shared" si="26"/>
        <v>0</v>
      </c>
      <c r="X237" s="136">
        <f t="shared" si="26"/>
        <v>0</v>
      </c>
      <c r="Y237" s="136">
        <f t="shared" si="26"/>
        <v>0</v>
      </c>
      <c r="Z237" s="136">
        <f t="shared" si="26"/>
        <v>0</v>
      </c>
      <c r="AA237" s="136">
        <f t="shared" si="26"/>
        <v>209595</v>
      </c>
      <c r="AB237" s="136">
        <f t="shared" si="26"/>
        <v>0</v>
      </c>
      <c r="AC237" s="136">
        <f t="shared" si="26"/>
        <v>0</v>
      </c>
      <c r="AD237" s="136">
        <f t="shared" si="26"/>
        <v>0</v>
      </c>
      <c r="AE237" s="136">
        <f t="shared" si="26"/>
        <v>0</v>
      </c>
      <c r="AF237" s="136">
        <f t="shared" si="26"/>
        <v>538838</v>
      </c>
      <c r="AG237" s="136">
        <f t="shared" si="26"/>
        <v>0</v>
      </c>
      <c r="AH237" s="136">
        <f t="shared" si="26"/>
        <v>0</v>
      </c>
      <c r="AI237" s="136">
        <f t="shared" si="26"/>
        <v>0</v>
      </c>
      <c r="AJ237" s="136">
        <f t="shared" si="26"/>
        <v>0</v>
      </c>
      <c r="AK237" s="136">
        <f t="shared" si="26"/>
        <v>322831</v>
      </c>
      <c r="AL237" s="136">
        <f t="shared" si="26"/>
        <v>0</v>
      </c>
      <c r="AM237" s="136">
        <f t="shared" si="26"/>
        <v>0</v>
      </c>
      <c r="AN237" s="136">
        <f t="shared" si="26"/>
        <v>0</v>
      </c>
      <c r="AO237" s="136">
        <f t="shared" si="26"/>
        <v>0</v>
      </c>
      <c r="AP237" s="136">
        <f t="shared" si="26"/>
        <v>225786</v>
      </c>
      <c r="AQ237" s="136">
        <f t="shared" si="26"/>
        <v>0</v>
      </c>
      <c r="AR237" s="136">
        <f t="shared" si="26"/>
        <v>0</v>
      </c>
      <c r="AS237" s="136">
        <f t="shared" si="26"/>
        <v>0</v>
      </c>
      <c r="AT237" s="136">
        <f t="shared" si="26"/>
        <v>0</v>
      </c>
      <c r="AU237" s="136">
        <f t="shared" si="26"/>
        <v>433462</v>
      </c>
      <c r="AV237" s="136">
        <f t="shared" si="26"/>
        <v>0</v>
      </c>
      <c r="AW237" s="136">
        <f t="shared" si="26"/>
        <v>0</v>
      </c>
      <c r="AX237" s="136">
        <f t="shared" si="26"/>
        <v>0</v>
      </c>
      <c r="AY237" s="136">
        <f t="shared" si="26"/>
        <v>0</v>
      </c>
      <c r="AZ237" s="136">
        <f t="shared" si="26"/>
        <v>52625</v>
      </c>
      <c r="BA237" s="136">
        <f t="shared" si="26"/>
        <v>0</v>
      </c>
      <c r="BB237" s="136">
        <f t="shared" si="26"/>
        <v>0</v>
      </c>
      <c r="BC237" s="136">
        <f t="shared" si="26"/>
        <v>0</v>
      </c>
      <c r="BD237" s="136">
        <f t="shared" si="26"/>
        <v>0</v>
      </c>
      <c r="BE237" s="136">
        <f t="shared" si="26"/>
        <v>-57587816</v>
      </c>
      <c r="BF237" s="136">
        <f t="shared" si="26"/>
        <v>0</v>
      </c>
      <c r="BG237" s="136">
        <f t="shared" si="26"/>
        <v>0</v>
      </c>
      <c r="BH237" s="136">
        <f t="shared" si="26"/>
        <v>0</v>
      </c>
      <c r="BI237" s="136">
        <f t="shared" si="26"/>
        <v>0</v>
      </c>
      <c r="BJ237" s="136">
        <f t="shared" si="26"/>
        <v>-409969</v>
      </c>
      <c r="BK237" s="136">
        <f t="shared" si="26"/>
        <v>0</v>
      </c>
      <c r="BL237" s="136">
        <f t="shared" si="26"/>
        <v>0</v>
      </c>
      <c r="BM237" s="136">
        <f t="shared" si="26"/>
        <v>0</v>
      </c>
      <c r="BN237" s="136">
        <f t="shared" si="26"/>
        <v>0</v>
      </c>
      <c r="BO237" s="136">
        <f t="shared" si="26"/>
        <v>-252762</v>
      </c>
      <c r="BP237" s="136">
        <f t="shared" si="26"/>
        <v>0</v>
      </c>
      <c r="BQ237" s="136">
        <f t="shared" si="26"/>
        <v>0</v>
      </c>
      <c r="BR237" s="136">
        <f t="shared" si="26"/>
        <v>0</v>
      </c>
      <c r="BS237" s="136">
        <f t="shared" si="26"/>
        <v>0</v>
      </c>
      <c r="BT237" s="136">
        <f t="shared" si="24"/>
        <v>-55220404</v>
      </c>
      <c r="BU237" s="136">
        <f t="shared" si="24"/>
        <v>0</v>
      </c>
      <c r="BV237" s="136">
        <f t="shared" si="24"/>
        <v>0</v>
      </c>
      <c r="BW237" s="136">
        <f t="shared" si="24"/>
        <v>0</v>
      </c>
      <c r="BX237" s="136">
        <f t="shared" si="24"/>
        <v>0</v>
      </c>
      <c r="BZ237" s="136">
        <f t="shared" si="25"/>
        <v>0</v>
      </c>
      <c r="CA237" s="136">
        <f t="shared" si="25"/>
        <v>0</v>
      </c>
    </row>
    <row r="238" spans="7:142" hidden="1" x14ac:dyDescent="0.3">
      <c r="L238" s="136">
        <f t="shared" si="27"/>
        <v>0</v>
      </c>
      <c r="M238" s="136">
        <f t="shared" si="27"/>
        <v>0</v>
      </c>
      <c r="N238" s="136">
        <f t="shared" si="27"/>
        <v>0</v>
      </c>
      <c r="O238" s="136">
        <f t="shared" si="27"/>
        <v>0</v>
      </c>
      <c r="P238" s="136">
        <f t="shared" si="27"/>
        <v>0</v>
      </c>
      <c r="Q238" s="136">
        <f t="shared" si="27"/>
        <v>0</v>
      </c>
      <c r="R238" s="136">
        <f t="shared" si="27"/>
        <v>0</v>
      </c>
      <c r="S238" s="136">
        <f t="shared" si="27"/>
        <v>0</v>
      </c>
      <c r="T238" s="136">
        <f t="shared" si="27"/>
        <v>0</v>
      </c>
      <c r="U238" s="136">
        <f t="shared" si="27"/>
        <v>0</v>
      </c>
      <c r="V238" s="136">
        <f t="shared" si="26"/>
        <v>0</v>
      </c>
      <c r="W238" s="136">
        <f t="shared" si="26"/>
        <v>0</v>
      </c>
      <c r="X238" s="136">
        <f t="shared" si="26"/>
        <v>0</v>
      </c>
      <c r="Y238" s="136">
        <f t="shared" si="26"/>
        <v>0</v>
      </c>
      <c r="Z238" s="136">
        <f t="shared" si="26"/>
        <v>0</v>
      </c>
      <c r="AA238" s="136">
        <f t="shared" si="26"/>
        <v>0</v>
      </c>
      <c r="AB238" s="136">
        <f t="shared" si="26"/>
        <v>0</v>
      </c>
      <c r="AC238" s="136">
        <f t="shared" si="26"/>
        <v>0</v>
      </c>
      <c r="AD238" s="136">
        <f t="shared" si="26"/>
        <v>0</v>
      </c>
      <c r="AE238" s="136">
        <f t="shared" si="26"/>
        <v>0</v>
      </c>
      <c r="AF238" s="136">
        <f t="shared" si="26"/>
        <v>0</v>
      </c>
      <c r="AG238" s="136">
        <f t="shared" si="26"/>
        <v>0</v>
      </c>
      <c r="AH238" s="136">
        <f t="shared" si="26"/>
        <v>0</v>
      </c>
      <c r="AI238" s="136">
        <f t="shared" si="26"/>
        <v>0</v>
      </c>
      <c r="AJ238" s="136">
        <f t="shared" si="26"/>
        <v>0</v>
      </c>
      <c r="AK238" s="136">
        <f t="shared" si="26"/>
        <v>0</v>
      </c>
      <c r="AL238" s="136">
        <f t="shared" si="26"/>
        <v>0</v>
      </c>
      <c r="AM238" s="136">
        <f t="shared" si="26"/>
        <v>0</v>
      </c>
      <c r="AN238" s="136">
        <f t="shared" si="26"/>
        <v>0</v>
      </c>
      <c r="AO238" s="136">
        <f t="shared" si="26"/>
        <v>0</v>
      </c>
      <c r="AP238" s="136">
        <f t="shared" si="26"/>
        <v>0</v>
      </c>
      <c r="AQ238" s="136">
        <f t="shared" si="26"/>
        <v>0</v>
      </c>
      <c r="AR238" s="136">
        <f t="shared" si="26"/>
        <v>0</v>
      </c>
      <c r="AS238" s="136">
        <f t="shared" si="26"/>
        <v>0</v>
      </c>
      <c r="AT238" s="136">
        <f t="shared" si="26"/>
        <v>0</v>
      </c>
      <c r="AU238" s="136">
        <f t="shared" si="26"/>
        <v>0</v>
      </c>
      <c r="AV238" s="136">
        <f t="shared" si="26"/>
        <v>0</v>
      </c>
      <c r="AW238" s="136">
        <f t="shared" si="26"/>
        <v>0</v>
      </c>
      <c r="AX238" s="136">
        <f t="shared" si="26"/>
        <v>0</v>
      </c>
      <c r="AY238" s="136">
        <f t="shared" si="26"/>
        <v>0</v>
      </c>
      <c r="AZ238" s="136">
        <f t="shared" si="26"/>
        <v>0</v>
      </c>
      <c r="BA238" s="136">
        <f t="shared" si="26"/>
        <v>0</v>
      </c>
      <c r="BB238" s="136">
        <f t="shared" si="26"/>
        <v>0</v>
      </c>
      <c r="BC238" s="136">
        <f t="shared" si="26"/>
        <v>0</v>
      </c>
      <c r="BD238" s="136">
        <f t="shared" si="26"/>
        <v>0</v>
      </c>
      <c r="BE238" s="136">
        <f t="shared" si="26"/>
        <v>-57718349</v>
      </c>
      <c r="BF238" s="136">
        <f t="shared" si="26"/>
        <v>0</v>
      </c>
      <c r="BG238" s="136">
        <f t="shared" si="26"/>
        <v>0</v>
      </c>
      <c r="BH238" s="136">
        <f t="shared" si="26"/>
        <v>0</v>
      </c>
      <c r="BI238" s="136">
        <f t="shared" si="26"/>
        <v>0</v>
      </c>
      <c r="BJ238" s="136">
        <f t="shared" si="26"/>
        <v>0</v>
      </c>
      <c r="BK238" s="136">
        <f t="shared" si="26"/>
        <v>0</v>
      </c>
      <c r="BL238" s="136">
        <f t="shared" si="26"/>
        <v>0</v>
      </c>
      <c r="BM238" s="136">
        <f t="shared" si="26"/>
        <v>0</v>
      </c>
      <c r="BN238" s="136">
        <f t="shared" si="26"/>
        <v>0</v>
      </c>
      <c r="BO238" s="136">
        <f t="shared" si="26"/>
        <v>0</v>
      </c>
      <c r="BP238" s="136">
        <f t="shared" si="26"/>
        <v>0</v>
      </c>
      <c r="BQ238" s="136">
        <f t="shared" si="26"/>
        <v>0</v>
      </c>
      <c r="BR238" s="136">
        <f t="shared" si="26"/>
        <v>0</v>
      </c>
      <c r="BS238" s="136">
        <f t="shared" si="26"/>
        <v>0</v>
      </c>
      <c r="BT238" s="136">
        <f t="shared" si="24"/>
        <v>-57718349</v>
      </c>
      <c r="BU238" s="136">
        <f t="shared" si="24"/>
        <v>0</v>
      </c>
      <c r="BV238" s="136">
        <f t="shared" si="24"/>
        <v>0</v>
      </c>
      <c r="BW238" s="136">
        <f t="shared" si="24"/>
        <v>0</v>
      </c>
      <c r="BX238" s="136">
        <f t="shared" si="24"/>
        <v>0</v>
      </c>
      <c r="BZ238" s="136">
        <f t="shared" si="25"/>
        <v>0</v>
      </c>
      <c r="CA238" s="136">
        <f t="shared" si="25"/>
        <v>0</v>
      </c>
    </row>
    <row r="239" spans="7:142" hidden="1" x14ac:dyDescent="0.3">
      <c r="L239" s="136" t="e">
        <f>#REF!-#REF!</f>
        <v>#REF!</v>
      </c>
      <c r="M239" s="136" t="e">
        <f>#REF!-#REF!</f>
        <v>#REF!</v>
      </c>
      <c r="N239" s="136" t="e">
        <f>#REF!-#REF!</f>
        <v>#REF!</v>
      </c>
      <c r="O239" s="136" t="e">
        <f>#REF!-#REF!</f>
        <v>#REF!</v>
      </c>
      <c r="P239" s="136" t="e">
        <f>#REF!-#REF!</f>
        <v>#REF!</v>
      </c>
      <c r="Q239" s="136" t="e">
        <f>#REF!-#REF!</f>
        <v>#REF!</v>
      </c>
      <c r="R239" s="136" t="e">
        <f>#REF!-#REF!</f>
        <v>#REF!</v>
      </c>
      <c r="S239" s="136" t="e">
        <f>#REF!-#REF!</f>
        <v>#REF!</v>
      </c>
      <c r="T239" s="136" t="e">
        <f>#REF!-#REF!</f>
        <v>#REF!</v>
      </c>
      <c r="U239" s="136" t="e">
        <f>#REF!-#REF!</f>
        <v>#REF!</v>
      </c>
      <c r="V239" s="136" t="e">
        <f>#REF!-#REF!</f>
        <v>#REF!</v>
      </c>
      <c r="W239" s="136" t="e">
        <f>#REF!-#REF!</f>
        <v>#REF!</v>
      </c>
      <c r="X239" s="136" t="e">
        <f>#REF!-#REF!</f>
        <v>#REF!</v>
      </c>
      <c r="Y239" s="136" t="e">
        <f>#REF!-#REF!</f>
        <v>#REF!</v>
      </c>
      <c r="Z239" s="136" t="e">
        <f>#REF!-#REF!</f>
        <v>#REF!</v>
      </c>
      <c r="AA239" s="136" t="e">
        <f>#REF!-#REF!</f>
        <v>#REF!</v>
      </c>
      <c r="AB239" s="136" t="e">
        <f>#REF!-#REF!</f>
        <v>#REF!</v>
      </c>
      <c r="AC239" s="136" t="e">
        <f>#REF!-#REF!</f>
        <v>#REF!</v>
      </c>
      <c r="AD239" s="136" t="e">
        <f>#REF!-#REF!</f>
        <v>#REF!</v>
      </c>
      <c r="AE239" s="136" t="e">
        <f>#REF!-#REF!</f>
        <v>#REF!</v>
      </c>
      <c r="AF239" s="136" t="e">
        <f>#REF!-#REF!</f>
        <v>#REF!</v>
      </c>
      <c r="AG239" s="136" t="e">
        <f>#REF!-#REF!</f>
        <v>#REF!</v>
      </c>
      <c r="AH239" s="136" t="e">
        <f>#REF!-#REF!</f>
        <v>#REF!</v>
      </c>
      <c r="AI239" s="136" t="e">
        <f>#REF!-#REF!</f>
        <v>#REF!</v>
      </c>
      <c r="AJ239" s="136" t="e">
        <f>#REF!-#REF!</f>
        <v>#REF!</v>
      </c>
      <c r="AK239" s="136" t="e">
        <f>#REF!-#REF!</f>
        <v>#REF!</v>
      </c>
      <c r="AL239" s="136" t="e">
        <f>#REF!-#REF!</f>
        <v>#REF!</v>
      </c>
      <c r="AM239" s="136" t="e">
        <f>#REF!-#REF!</f>
        <v>#REF!</v>
      </c>
      <c r="AN239" s="136" t="e">
        <f>#REF!-#REF!</f>
        <v>#REF!</v>
      </c>
      <c r="AO239" s="136" t="e">
        <f>#REF!-#REF!</f>
        <v>#REF!</v>
      </c>
      <c r="AP239" s="136" t="e">
        <f>#REF!-#REF!</f>
        <v>#REF!</v>
      </c>
      <c r="AQ239" s="136" t="e">
        <f>#REF!-#REF!</f>
        <v>#REF!</v>
      </c>
      <c r="AR239" s="136" t="e">
        <f>#REF!-#REF!</f>
        <v>#REF!</v>
      </c>
      <c r="AS239" s="136" t="e">
        <f>#REF!-#REF!</f>
        <v>#REF!</v>
      </c>
      <c r="AT239" s="136" t="e">
        <f>#REF!-#REF!</f>
        <v>#REF!</v>
      </c>
      <c r="AU239" s="136" t="e">
        <f>#REF!-#REF!</f>
        <v>#REF!</v>
      </c>
      <c r="AV239" s="136" t="e">
        <f>#REF!-#REF!</f>
        <v>#REF!</v>
      </c>
      <c r="AW239" s="136" t="e">
        <f>#REF!-#REF!</f>
        <v>#REF!</v>
      </c>
      <c r="AX239" s="136" t="e">
        <f>#REF!-#REF!</f>
        <v>#REF!</v>
      </c>
      <c r="AY239" s="136" t="e">
        <f>#REF!-#REF!</f>
        <v>#REF!</v>
      </c>
      <c r="AZ239" s="136" t="e">
        <f>#REF!-#REF!</f>
        <v>#REF!</v>
      </c>
      <c r="BA239" s="136" t="e">
        <f>#REF!-#REF!</f>
        <v>#REF!</v>
      </c>
      <c r="BB239" s="136" t="e">
        <f>#REF!-#REF!</f>
        <v>#REF!</v>
      </c>
      <c r="BC239" s="136" t="e">
        <f>#REF!-#REF!</f>
        <v>#REF!</v>
      </c>
      <c r="BD239" s="136" t="e">
        <f>#REF!-#REF!</f>
        <v>#REF!</v>
      </c>
      <c r="BE239" s="136" t="e">
        <f>#REF!-#REF!</f>
        <v>#REF!</v>
      </c>
      <c r="BF239" s="136" t="e">
        <f>#REF!-#REF!</f>
        <v>#REF!</v>
      </c>
      <c r="BG239" s="136" t="e">
        <f>#REF!-#REF!</f>
        <v>#REF!</v>
      </c>
      <c r="BH239" s="136" t="e">
        <f>#REF!-#REF!</f>
        <v>#REF!</v>
      </c>
      <c r="BI239" s="136" t="e">
        <f>#REF!-#REF!</f>
        <v>#REF!</v>
      </c>
      <c r="BJ239" s="136" t="e">
        <f>#REF!-#REF!</f>
        <v>#REF!</v>
      </c>
      <c r="BK239" s="136" t="e">
        <f>#REF!-#REF!</f>
        <v>#REF!</v>
      </c>
      <c r="BL239" s="136" t="e">
        <f>#REF!-#REF!</f>
        <v>#REF!</v>
      </c>
      <c r="BM239" s="136" t="e">
        <f>#REF!-#REF!</f>
        <v>#REF!</v>
      </c>
      <c r="BN239" s="136" t="e">
        <f>#REF!-#REF!</f>
        <v>#REF!</v>
      </c>
      <c r="BO239" s="136" t="e">
        <f>#REF!-#REF!</f>
        <v>#REF!</v>
      </c>
      <c r="BP239" s="136" t="e">
        <f>#REF!-#REF!</f>
        <v>#REF!</v>
      </c>
      <c r="BQ239" s="136" t="e">
        <f>#REF!-#REF!</f>
        <v>#REF!</v>
      </c>
      <c r="BR239" s="136" t="e">
        <f>#REF!-#REF!</f>
        <v>#REF!</v>
      </c>
      <c r="BS239" s="136" t="e">
        <f>#REF!-#REF!</f>
        <v>#REF!</v>
      </c>
      <c r="BT239" s="136" t="e">
        <f>#REF!-#REF!</f>
        <v>#REF!</v>
      </c>
      <c r="BU239" s="136" t="e">
        <f>#REF!-#REF!</f>
        <v>#REF!</v>
      </c>
      <c r="BV239" s="136" t="e">
        <f>#REF!-#REF!</f>
        <v>#REF!</v>
      </c>
      <c r="BW239" s="136" t="e">
        <f>#REF!-#REF!</f>
        <v>#REF!</v>
      </c>
      <c r="BX239" s="136" t="e">
        <f>#REF!-#REF!</f>
        <v>#REF!</v>
      </c>
      <c r="BZ239" s="136" t="e">
        <f>#REF!-#REF!</f>
        <v>#REF!</v>
      </c>
      <c r="CA239" s="136" t="e">
        <f>#REF!-#REF!</f>
        <v>#REF!</v>
      </c>
    </row>
    <row r="240" spans="7:142" hidden="1" x14ac:dyDescent="0.3">
      <c r="L240" s="136" t="e">
        <f>#REF!-#REF!</f>
        <v>#REF!</v>
      </c>
      <c r="M240" s="136" t="e">
        <f>#REF!-#REF!</f>
        <v>#REF!</v>
      </c>
      <c r="N240" s="136" t="e">
        <f>#REF!-#REF!</f>
        <v>#REF!</v>
      </c>
      <c r="O240" s="136" t="e">
        <f>#REF!-#REF!</f>
        <v>#REF!</v>
      </c>
      <c r="P240" s="136" t="e">
        <f>#REF!-#REF!</f>
        <v>#REF!</v>
      </c>
      <c r="Q240" s="136" t="e">
        <f>#REF!-#REF!</f>
        <v>#REF!</v>
      </c>
      <c r="R240" s="136" t="e">
        <f>#REF!-#REF!</f>
        <v>#REF!</v>
      </c>
      <c r="S240" s="136" t="e">
        <f>#REF!-#REF!</f>
        <v>#REF!</v>
      </c>
      <c r="T240" s="136" t="e">
        <f>#REF!-#REF!</f>
        <v>#REF!</v>
      </c>
      <c r="U240" s="136" t="e">
        <f>#REF!-#REF!</f>
        <v>#REF!</v>
      </c>
      <c r="V240" s="136" t="e">
        <f>#REF!-#REF!</f>
        <v>#REF!</v>
      </c>
      <c r="W240" s="136" t="e">
        <f>#REF!-#REF!</f>
        <v>#REF!</v>
      </c>
      <c r="X240" s="136" t="e">
        <f>#REF!-#REF!</f>
        <v>#REF!</v>
      </c>
      <c r="Y240" s="136" t="e">
        <f>#REF!-#REF!</f>
        <v>#REF!</v>
      </c>
      <c r="Z240" s="136" t="e">
        <f>#REF!-#REF!</f>
        <v>#REF!</v>
      </c>
      <c r="AA240" s="136" t="e">
        <f>#REF!-#REF!</f>
        <v>#REF!</v>
      </c>
      <c r="AB240" s="136" t="e">
        <f>#REF!-#REF!</f>
        <v>#REF!</v>
      </c>
      <c r="AC240" s="136" t="e">
        <f>#REF!-#REF!</f>
        <v>#REF!</v>
      </c>
      <c r="AD240" s="136" t="e">
        <f>#REF!-#REF!</f>
        <v>#REF!</v>
      </c>
      <c r="AE240" s="136" t="e">
        <f>#REF!-#REF!</f>
        <v>#REF!</v>
      </c>
      <c r="AF240" s="136" t="e">
        <f>#REF!-#REF!</f>
        <v>#REF!</v>
      </c>
      <c r="AG240" s="136" t="e">
        <f>#REF!-#REF!</f>
        <v>#REF!</v>
      </c>
      <c r="AH240" s="136" t="e">
        <f>#REF!-#REF!</f>
        <v>#REF!</v>
      </c>
      <c r="AI240" s="136" t="e">
        <f>#REF!-#REF!</f>
        <v>#REF!</v>
      </c>
      <c r="AJ240" s="136" t="e">
        <f>#REF!-#REF!</f>
        <v>#REF!</v>
      </c>
      <c r="AK240" s="136" t="e">
        <f>#REF!-#REF!</f>
        <v>#REF!</v>
      </c>
      <c r="AL240" s="136" t="e">
        <f>#REF!-#REF!</f>
        <v>#REF!</v>
      </c>
      <c r="AM240" s="136" t="e">
        <f>#REF!-#REF!</f>
        <v>#REF!</v>
      </c>
      <c r="AN240" s="136" t="e">
        <f>#REF!-#REF!</f>
        <v>#REF!</v>
      </c>
      <c r="AO240" s="136" t="e">
        <f>#REF!-#REF!</f>
        <v>#REF!</v>
      </c>
      <c r="AP240" s="136" t="e">
        <f>#REF!-#REF!</f>
        <v>#REF!</v>
      </c>
      <c r="AQ240" s="136" t="e">
        <f>#REF!-#REF!</f>
        <v>#REF!</v>
      </c>
      <c r="AR240" s="136" t="e">
        <f>#REF!-#REF!</f>
        <v>#REF!</v>
      </c>
      <c r="AS240" s="136" t="e">
        <f>#REF!-#REF!</f>
        <v>#REF!</v>
      </c>
      <c r="AT240" s="136" t="e">
        <f>#REF!-#REF!</f>
        <v>#REF!</v>
      </c>
      <c r="AU240" s="136" t="e">
        <f>#REF!-#REF!</f>
        <v>#REF!</v>
      </c>
      <c r="AV240" s="136" t="e">
        <f>#REF!-#REF!</f>
        <v>#REF!</v>
      </c>
      <c r="AW240" s="136" t="e">
        <f>#REF!-#REF!</f>
        <v>#REF!</v>
      </c>
      <c r="AX240" s="136" t="e">
        <f>#REF!-#REF!</f>
        <v>#REF!</v>
      </c>
      <c r="AY240" s="136" t="e">
        <f>#REF!-#REF!</f>
        <v>#REF!</v>
      </c>
      <c r="AZ240" s="136" t="e">
        <f>#REF!-#REF!</f>
        <v>#REF!</v>
      </c>
      <c r="BA240" s="136" t="e">
        <f>#REF!-#REF!</f>
        <v>#REF!</v>
      </c>
      <c r="BB240" s="136" t="e">
        <f>#REF!-#REF!</f>
        <v>#REF!</v>
      </c>
      <c r="BC240" s="136" t="e">
        <f>#REF!-#REF!</f>
        <v>#REF!</v>
      </c>
      <c r="BD240" s="136" t="e">
        <f>#REF!-#REF!</f>
        <v>#REF!</v>
      </c>
      <c r="BE240" s="136" t="e">
        <f>#REF!-#REF!</f>
        <v>#REF!</v>
      </c>
      <c r="BF240" s="136" t="e">
        <f>#REF!-#REF!</f>
        <v>#REF!</v>
      </c>
      <c r="BG240" s="136" t="e">
        <f>#REF!-#REF!</f>
        <v>#REF!</v>
      </c>
      <c r="BH240" s="136" t="e">
        <f>#REF!-#REF!</f>
        <v>#REF!</v>
      </c>
      <c r="BI240" s="136" t="e">
        <f>#REF!-#REF!</f>
        <v>#REF!</v>
      </c>
      <c r="BJ240" s="136" t="e">
        <f>#REF!-#REF!</f>
        <v>#REF!</v>
      </c>
      <c r="BK240" s="136" t="e">
        <f>#REF!-#REF!</f>
        <v>#REF!</v>
      </c>
      <c r="BL240" s="136" t="e">
        <f>#REF!-#REF!</f>
        <v>#REF!</v>
      </c>
      <c r="BM240" s="136" t="e">
        <f>#REF!-#REF!</f>
        <v>#REF!</v>
      </c>
      <c r="BN240" s="136" t="e">
        <f>#REF!-#REF!</f>
        <v>#REF!</v>
      </c>
      <c r="BO240" s="136" t="e">
        <f>#REF!-#REF!</f>
        <v>#REF!</v>
      </c>
      <c r="BP240" s="136" t="e">
        <f>#REF!-#REF!</f>
        <v>#REF!</v>
      </c>
      <c r="BQ240" s="136" t="e">
        <f>#REF!-#REF!</f>
        <v>#REF!</v>
      </c>
      <c r="BR240" s="136" t="e">
        <f>#REF!-#REF!</f>
        <v>#REF!</v>
      </c>
      <c r="BS240" s="136" t="e">
        <f>#REF!-#REF!</f>
        <v>#REF!</v>
      </c>
      <c r="BT240" s="136" t="e">
        <f>#REF!-#REF!</f>
        <v>#REF!</v>
      </c>
      <c r="BU240" s="136" t="e">
        <f>#REF!-#REF!</f>
        <v>#REF!</v>
      </c>
      <c r="BV240" s="136" t="e">
        <f>#REF!-#REF!</f>
        <v>#REF!</v>
      </c>
      <c r="BW240" s="136" t="e">
        <f>#REF!-#REF!</f>
        <v>#REF!</v>
      </c>
      <c r="BX240" s="136" t="e">
        <f>#REF!-#REF!</f>
        <v>#REF!</v>
      </c>
      <c r="BZ240" s="136" t="e">
        <f>#REF!-#REF!</f>
        <v>#REF!</v>
      </c>
      <c r="CA240" s="136" t="e">
        <f>#REF!-#REF!</f>
        <v>#REF!</v>
      </c>
    </row>
    <row r="241" spans="12:79" hidden="1" x14ac:dyDescent="0.3">
      <c r="L241" s="136" t="e">
        <f>#REF!-#REF!</f>
        <v>#REF!</v>
      </c>
      <c r="M241" s="136" t="e">
        <f>#REF!-#REF!</f>
        <v>#REF!</v>
      </c>
      <c r="N241" s="136" t="e">
        <f>#REF!-#REF!</f>
        <v>#REF!</v>
      </c>
      <c r="O241" s="136" t="e">
        <f>#REF!-#REF!</f>
        <v>#REF!</v>
      </c>
      <c r="P241" s="136" t="e">
        <f>#REF!-#REF!</f>
        <v>#REF!</v>
      </c>
      <c r="Q241" s="136" t="e">
        <f>#REF!-#REF!</f>
        <v>#REF!</v>
      </c>
      <c r="R241" s="136" t="e">
        <f>#REF!-#REF!</f>
        <v>#REF!</v>
      </c>
      <c r="S241" s="136" t="e">
        <f>#REF!-#REF!</f>
        <v>#REF!</v>
      </c>
      <c r="T241" s="136" t="e">
        <f>#REF!-#REF!</f>
        <v>#REF!</v>
      </c>
      <c r="U241" s="136" t="e">
        <f>#REF!-#REF!</f>
        <v>#REF!</v>
      </c>
      <c r="V241" s="136" t="e">
        <f>#REF!-#REF!</f>
        <v>#REF!</v>
      </c>
      <c r="W241" s="136" t="e">
        <f>#REF!-#REF!</f>
        <v>#REF!</v>
      </c>
      <c r="X241" s="136" t="e">
        <f>#REF!-#REF!</f>
        <v>#REF!</v>
      </c>
      <c r="Y241" s="136" t="e">
        <f>#REF!-#REF!</f>
        <v>#REF!</v>
      </c>
      <c r="Z241" s="136" t="e">
        <f>#REF!-#REF!</f>
        <v>#REF!</v>
      </c>
      <c r="AA241" s="136" t="e">
        <f>#REF!-#REF!</f>
        <v>#REF!</v>
      </c>
      <c r="AB241" s="136" t="e">
        <f>#REF!-#REF!</f>
        <v>#REF!</v>
      </c>
      <c r="AC241" s="136" t="e">
        <f>#REF!-#REF!</f>
        <v>#REF!</v>
      </c>
      <c r="AD241" s="136" t="e">
        <f>#REF!-#REF!</f>
        <v>#REF!</v>
      </c>
      <c r="AE241" s="136" t="e">
        <f>#REF!-#REF!</f>
        <v>#REF!</v>
      </c>
      <c r="AF241" s="136" t="e">
        <f>#REF!-#REF!</f>
        <v>#REF!</v>
      </c>
      <c r="AG241" s="136" t="e">
        <f>#REF!-#REF!</f>
        <v>#REF!</v>
      </c>
      <c r="AH241" s="136" t="e">
        <f>#REF!-#REF!</f>
        <v>#REF!</v>
      </c>
      <c r="AI241" s="136" t="e">
        <f>#REF!-#REF!</f>
        <v>#REF!</v>
      </c>
      <c r="AJ241" s="136" t="e">
        <f>#REF!-#REF!</f>
        <v>#REF!</v>
      </c>
      <c r="AK241" s="136" t="e">
        <f>#REF!-#REF!</f>
        <v>#REF!</v>
      </c>
      <c r="AL241" s="136" t="e">
        <f>#REF!-#REF!</f>
        <v>#REF!</v>
      </c>
      <c r="AM241" s="136" t="e">
        <f>#REF!-#REF!</f>
        <v>#REF!</v>
      </c>
      <c r="AN241" s="136" t="e">
        <f>#REF!-#REF!</f>
        <v>#REF!</v>
      </c>
      <c r="AO241" s="136" t="e">
        <f>#REF!-#REF!</f>
        <v>#REF!</v>
      </c>
      <c r="AP241" s="136" t="e">
        <f>#REF!-#REF!</f>
        <v>#REF!</v>
      </c>
      <c r="AQ241" s="136" t="e">
        <f>#REF!-#REF!</f>
        <v>#REF!</v>
      </c>
      <c r="AR241" s="136" t="e">
        <f>#REF!-#REF!</f>
        <v>#REF!</v>
      </c>
      <c r="AS241" s="136" t="e">
        <f>#REF!-#REF!</f>
        <v>#REF!</v>
      </c>
      <c r="AT241" s="136" t="e">
        <f>#REF!-#REF!</f>
        <v>#REF!</v>
      </c>
      <c r="AU241" s="136" t="e">
        <f>#REF!-#REF!</f>
        <v>#REF!</v>
      </c>
      <c r="AV241" s="136" t="e">
        <f>#REF!-#REF!</f>
        <v>#REF!</v>
      </c>
      <c r="AW241" s="136" t="e">
        <f>#REF!-#REF!</f>
        <v>#REF!</v>
      </c>
      <c r="AX241" s="136" t="e">
        <f>#REF!-#REF!</f>
        <v>#REF!</v>
      </c>
      <c r="AY241" s="136" t="e">
        <f>#REF!-#REF!</f>
        <v>#REF!</v>
      </c>
      <c r="AZ241" s="136" t="e">
        <f>#REF!-#REF!</f>
        <v>#REF!</v>
      </c>
      <c r="BA241" s="136" t="e">
        <f>#REF!-#REF!</f>
        <v>#REF!</v>
      </c>
      <c r="BB241" s="136" t="e">
        <f>#REF!-#REF!</f>
        <v>#REF!</v>
      </c>
      <c r="BC241" s="136" t="e">
        <f>#REF!-#REF!</f>
        <v>#REF!</v>
      </c>
      <c r="BD241" s="136" t="e">
        <f>#REF!-#REF!</f>
        <v>#REF!</v>
      </c>
      <c r="BE241" s="136" t="e">
        <f>#REF!-#REF!</f>
        <v>#REF!</v>
      </c>
      <c r="BF241" s="136" t="e">
        <f>#REF!-#REF!</f>
        <v>#REF!</v>
      </c>
      <c r="BG241" s="136" t="e">
        <f>#REF!-#REF!</f>
        <v>#REF!</v>
      </c>
      <c r="BH241" s="136" t="e">
        <f>#REF!-#REF!</f>
        <v>#REF!</v>
      </c>
      <c r="BI241" s="136" t="e">
        <f>#REF!-#REF!</f>
        <v>#REF!</v>
      </c>
      <c r="BJ241" s="136" t="e">
        <f>#REF!-#REF!</f>
        <v>#REF!</v>
      </c>
      <c r="BK241" s="136" t="e">
        <f>#REF!-#REF!</f>
        <v>#REF!</v>
      </c>
      <c r="BL241" s="136" t="e">
        <f>#REF!-#REF!</f>
        <v>#REF!</v>
      </c>
      <c r="BM241" s="136" t="e">
        <f>#REF!-#REF!</f>
        <v>#REF!</v>
      </c>
      <c r="BN241" s="136" t="e">
        <f>#REF!-#REF!</f>
        <v>#REF!</v>
      </c>
      <c r="BO241" s="136" t="e">
        <f>#REF!-#REF!</f>
        <v>#REF!</v>
      </c>
      <c r="BP241" s="136" t="e">
        <f>#REF!-#REF!</f>
        <v>#REF!</v>
      </c>
      <c r="BQ241" s="136" t="e">
        <f>#REF!-#REF!</f>
        <v>#REF!</v>
      </c>
      <c r="BR241" s="136" t="e">
        <f>#REF!-#REF!</f>
        <v>#REF!</v>
      </c>
      <c r="BS241" s="136" t="e">
        <f>#REF!-#REF!</f>
        <v>#REF!</v>
      </c>
      <c r="BT241" s="136" t="e">
        <f>#REF!-#REF!</f>
        <v>#REF!</v>
      </c>
      <c r="BU241" s="136" t="e">
        <f>#REF!-#REF!</f>
        <v>#REF!</v>
      </c>
      <c r="BV241" s="136" t="e">
        <f>#REF!-#REF!</f>
        <v>#REF!</v>
      </c>
      <c r="BW241" s="136" t="e">
        <f>#REF!-#REF!</f>
        <v>#REF!</v>
      </c>
      <c r="BX241" s="136" t="e">
        <f>#REF!-#REF!</f>
        <v>#REF!</v>
      </c>
      <c r="BZ241" s="136" t="e">
        <f>#REF!-#REF!</f>
        <v>#REF!</v>
      </c>
      <c r="CA241" s="136" t="e">
        <f>#REF!-#REF!</f>
        <v>#REF!</v>
      </c>
    </row>
    <row r="242" spans="12:79" hidden="1" x14ac:dyDescent="0.3">
      <c r="L242" s="136" t="e">
        <f>#REF!-#REF!</f>
        <v>#REF!</v>
      </c>
      <c r="M242" s="136" t="e">
        <f>#REF!-#REF!</f>
        <v>#REF!</v>
      </c>
      <c r="N242" s="136" t="e">
        <f>#REF!-#REF!</f>
        <v>#REF!</v>
      </c>
      <c r="O242" s="136" t="e">
        <f>#REF!-#REF!</f>
        <v>#REF!</v>
      </c>
      <c r="P242" s="136" t="e">
        <f>#REF!-#REF!</f>
        <v>#REF!</v>
      </c>
      <c r="Q242" s="136" t="e">
        <f>#REF!-#REF!</f>
        <v>#REF!</v>
      </c>
      <c r="R242" s="136" t="e">
        <f>#REF!-#REF!</f>
        <v>#REF!</v>
      </c>
      <c r="S242" s="136" t="e">
        <f>#REF!-#REF!</f>
        <v>#REF!</v>
      </c>
      <c r="T242" s="136" t="e">
        <f>#REF!-#REF!</f>
        <v>#REF!</v>
      </c>
      <c r="U242" s="136" t="e">
        <f>#REF!-#REF!</f>
        <v>#REF!</v>
      </c>
      <c r="V242" s="136" t="e">
        <f>#REF!-#REF!</f>
        <v>#REF!</v>
      </c>
      <c r="W242" s="136" t="e">
        <f>#REF!-#REF!</f>
        <v>#REF!</v>
      </c>
      <c r="X242" s="136" t="e">
        <f>#REF!-#REF!</f>
        <v>#REF!</v>
      </c>
      <c r="Y242" s="136" t="e">
        <f>#REF!-#REF!</f>
        <v>#REF!</v>
      </c>
      <c r="Z242" s="136" t="e">
        <f>#REF!-#REF!</f>
        <v>#REF!</v>
      </c>
      <c r="AA242" s="136" t="e">
        <f>#REF!-#REF!</f>
        <v>#REF!</v>
      </c>
      <c r="AB242" s="136" t="e">
        <f>#REF!-#REF!</f>
        <v>#REF!</v>
      </c>
      <c r="AC242" s="136" t="e">
        <f>#REF!-#REF!</f>
        <v>#REF!</v>
      </c>
      <c r="AD242" s="136" t="e">
        <f>#REF!-#REF!</f>
        <v>#REF!</v>
      </c>
      <c r="AE242" s="136" t="e">
        <f>#REF!-#REF!</f>
        <v>#REF!</v>
      </c>
      <c r="AF242" s="136" t="e">
        <f>#REF!-#REF!</f>
        <v>#REF!</v>
      </c>
      <c r="AG242" s="136" t="e">
        <f>#REF!-#REF!</f>
        <v>#REF!</v>
      </c>
      <c r="AH242" s="136" t="e">
        <f>#REF!-#REF!</f>
        <v>#REF!</v>
      </c>
      <c r="AI242" s="136" t="e">
        <f>#REF!-#REF!</f>
        <v>#REF!</v>
      </c>
      <c r="AJ242" s="136" t="e">
        <f>#REF!-#REF!</f>
        <v>#REF!</v>
      </c>
      <c r="AK242" s="136" t="e">
        <f>#REF!-#REF!</f>
        <v>#REF!</v>
      </c>
      <c r="AL242" s="136" t="e">
        <f>#REF!-#REF!</f>
        <v>#REF!</v>
      </c>
      <c r="AM242" s="136" t="e">
        <f>#REF!-#REF!</f>
        <v>#REF!</v>
      </c>
      <c r="AN242" s="136" t="e">
        <f>#REF!-#REF!</f>
        <v>#REF!</v>
      </c>
      <c r="AO242" s="136" t="e">
        <f>#REF!-#REF!</f>
        <v>#REF!</v>
      </c>
      <c r="AP242" s="136" t="e">
        <f>#REF!-#REF!</f>
        <v>#REF!</v>
      </c>
      <c r="AQ242" s="136" t="e">
        <f>#REF!-#REF!</f>
        <v>#REF!</v>
      </c>
      <c r="AR242" s="136" t="e">
        <f>#REF!-#REF!</f>
        <v>#REF!</v>
      </c>
      <c r="AS242" s="136" t="e">
        <f>#REF!-#REF!</f>
        <v>#REF!</v>
      </c>
      <c r="AT242" s="136" t="e">
        <f>#REF!-#REF!</f>
        <v>#REF!</v>
      </c>
      <c r="AU242" s="136" t="e">
        <f>#REF!-#REF!</f>
        <v>#REF!</v>
      </c>
      <c r="AV242" s="136" t="e">
        <f>#REF!-#REF!</f>
        <v>#REF!</v>
      </c>
      <c r="AW242" s="136" t="e">
        <f>#REF!-#REF!</f>
        <v>#REF!</v>
      </c>
      <c r="AX242" s="136" t="e">
        <f>#REF!-#REF!</f>
        <v>#REF!</v>
      </c>
      <c r="AY242" s="136" t="e">
        <f>#REF!-#REF!</f>
        <v>#REF!</v>
      </c>
      <c r="AZ242" s="136" t="e">
        <f>#REF!-#REF!</f>
        <v>#REF!</v>
      </c>
      <c r="BA242" s="136" t="e">
        <f>#REF!-#REF!</f>
        <v>#REF!</v>
      </c>
      <c r="BB242" s="136" t="e">
        <f>#REF!-#REF!</f>
        <v>#REF!</v>
      </c>
      <c r="BC242" s="136" t="e">
        <f>#REF!-#REF!</f>
        <v>#REF!</v>
      </c>
      <c r="BD242" s="136" t="e">
        <f>#REF!-#REF!</f>
        <v>#REF!</v>
      </c>
      <c r="BE242" s="136" t="e">
        <f>#REF!-#REF!</f>
        <v>#REF!</v>
      </c>
      <c r="BF242" s="136" t="e">
        <f>#REF!-#REF!</f>
        <v>#REF!</v>
      </c>
      <c r="BG242" s="136" t="e">
        <f>#REF!-#REF!</f>
        <v>#REF!</v>
      </c>
      <c r="BH242" s="136" t="e">
        <f>#REF!-#REF!</f>
        <v>#REF!</v>
      </c>
      <c r="BI242" s="136" t="e">
        <f>#REF!-#REF!</f>
        <v>#REF!</v>
      </c>
      <c r="BJ242" s="136" t="e">
        <f>#REF!-#REF!</f>
        <v>#REF!</v>
      </c>
      <c r="BK242" s="136" t="e">
        <f>#REF!-#REF!</f>
        <v>#REF!</v>
      </c>
      <c r="BL242" s="136" t="e">
        <f>#REF!-#REF!</f>
        <v>#REF!</v>
      </c>
      <c r="BM242" s="136" t="e">
        <f>#REF!-#REF!</f>
        <v>#REF!</v>
      </c>
      <c r="BN242" s="136" t="e">
        <f>#REF!-#REF!</f>
        <v>#REF!</v>
      </c>
      <c r="BO242" s="136" t="e">
        <f>#REF!-#REF!</f>
        <v>#REF!</v>
      </c>
      <c r="BP242" s="136" t="e">
        <f>#REF!-#REF!</f>
        <v>#REF!</v>
      </c>
      <c r="BQ242" s="136" t="e">
        <f>#REF!-#REF!</f>
        <v>#REF!</v>
      </c>
      <c r="BR242" s="136" t="e">
        <f>#REF!-#REF!</f>
        <v>#REF!</v>
      </c>
      <c r="BS242" s="136" t="e">
        <f>#REF!-#REF!</f>
        <v>#REF!</v>
      </c>
      <c r="BT242" s="136" t="e">
        <f>#REF!-#REF!</f>
        <v>#REF!</v>
      </c>
      <c r="BU242" s="136" t="e">
        <f>#REF!-#REF!</f>
        <v>#REF!</v>
      </c>
      <c r="BV242" s="136" t="e">
        <f>#REF!-#REF!</f>
        <v>#REF!</v>
      </c>
      <c r="BW242" s="136" t="e">
        <f>#REF!-#REF!</f>
        <v>#REF!</v>
      </c>
      <c r="BX242" s="136" t="e">
        <f>#REF!-#REF!</f>
        <v>#REF!</v>
      </c>
      <c r="BZ242" s="136" t="e">
        <f>#REF!-#REF!</f>
        <v>#REF!</v>
      </c>
      <c r="CA242" s="136" t="e">
        <f>#REF!-#REF!</f>
        <v>#REF!</v>
      </c>
    </row>
    <row r="243" spans="12:79" hidden="1" x14ac:dyDescent="0.3">
      <c r="L243" s="136" t="e">
        <f>#REF!-#REF!</f>
        <v>#REF!</v>
      </c>
      <c r="M243" s="136" t="e">
        <f>#REF!-#REF!</f>
        <v>#REF!</v>
      </c>
      <c r="N243" s="136" t="e">
        <f>#REF!-#REF!</f>
        <v>#REF!</v>
      </c>
      <c r="O243" s="136" t="e">
        <f>#REF!-#REF!</f>
        <v>#REF!</v>
      </c>
      <c r="P243" s="136" t="e">
        <f>#REF!-#REF!</f>
        <v>#REF!</v>
      </c>
      <c r="Q243" s="136" t="e">
        <f>#REF!-#REF!</f>
        <v>#REF!</v>
      </c>
      <c r="R243" s="136" t="e">
        <f>#REF!-#REF!</f>
        <v>#REF!</v>
      </c>
      <c r="S243" s="136" t="e">
        <f>#REF!-#REF!</f>
        <v>#REF!</v>
      </c>
      <c r="T243" s="136" t="e">
        <f>#REF!-#REF!</f>
        <v>#REF!</v>
      </c>
      <c r="U243" s="136" t="e">
        <f>#REF!-#REF!</f>
        <v>#REF!</v>
      </c>
      <c r="V243" s="136" t="e">
        <f>#REF!-#REF!</f>
        <v>#REF!</v>
      </c>
      <c r="W243" s="136" t="e">
        <f>#REF!-#REF!</f>
        <v>#REF!</v>
      </c>
      <c r="X243" s="136" t="e">
        <f>#REF!-#REF!</f>
        <v>#REF!</v>
      </c>
      <c r="Y243" s="136" t="e">
        <f>#REF!-#REF!</f>
        <v>#REF!</v>
      </c>
      <c r="Z243" s="136" t="e">
        <f>#REF!-#REF!</f>
        <v>#REF!</v>
      </c>
      <c r="AA243" s="136" t="e">
        <f>#REF!-#REF!</f>
        <v>#REF!</v>
      </c>
      <c r="AB243" s="136" t="e">
        <f>#REF!-#REF!</f>
        <v>#REF!</v>
      </c>
      <c r="AC243" s="136" t="e">
        <f>#REF!-#REF!</f>
        <v>#REF!</v>
      </c>
      <c r="AD243" s="136" t="e">
        <f>#REF!-#REF!</f>
        <v>#REF!</v>
      </c>
      <c r="AE243" s="136" t="e">
        <f>#REF!-#REF!</f>
        <v>#REF!</v>
      </c>
      <c r="AF243" s="136" t="e">
        <f>#REF!-#REF!</f>
        <v>#REF!</v>
      </c>
      <c r="AG243" s="136" t="e">
        <f>#REF!-#REF!</f>
        <v>#REF!</v>
      </c>
      <c r="AH243" s="136" t="e">
        <f>#REF!-#REF!</f>
        <v>#REF!</v>
      </c>
      <c r="AI243" s="136" t="e">
        <f>#REF!-#REF!</f>
        <v>#REF!</v>
      </c>
      <c r="AJ243" s="136" t="e">
        <f>#REF!-#REF!</f>
        <v>#REF!</v>
      </c>
      <c r="AK243" s="136" t="e">
        <f>#REF!-#REF!</f>
        <v>#REF!</v>
      </c>
      <c r="AL243" s="136" t="e">
        <f>#REF!-#REF!</f>
        <v>#REF!</v>
      </c>
      <c r="AM243" s="136" t="e">
        <f>#REF!-#REF!</f>
        <v>#REF!</v>
      </c>
      <c r="AN243" s="136" t="e">
        <f>#REF!-#REF!</f>
        <v>#REF!</v>
      </c>
      <c r="AO243" s="136" t="e">
        <f>#REF!-#REF!</f>
        <v>#REF!</v>
      </c>
      <c r="AP243" s="136" t="e">
        <f>#REF!-#REF!</f>
        <v>#REF!</v>
      </c>
      <c r="AQ243" s="136" t="e">
        <f>#REF!-#REF!</f>
        <v>#REF!</v>
      </c>
      <c r="AR243" s="136" t="e">
        <f>#REF!-#REF!</f>
        <v>#REF!</v>
      </c>
      <c r="AS243" s="136" t="e">
        <f>#REF!-#REF!</f>
        <v>#REF!</v>
      </c>
      <c r="AT243" s="136" t="e">
        <f>#REF!-#REF!</f>
        <v>#REF!</v>
      </c>
      <c r="AU243" s="136" t="e">
        <f>#REF!-#REF!</f>
        <v>#REF!</v>
      </c>
      <c r="AV243" s="136" t="e">
        <f>#REF!-#REF!</f>
        <v>#REF!</v>
      </c>
      <c r="AW243" s="136" t="e">
        <f>#REF!-#REF!</f>
        <v>#REF!</v>
      </c>
      <c r="AX243" s="136" t="e">
        <f>#REF!-#REF!</f>
        <v>#REF!</v>
      </c>
      <c r="AY243" s="136" t="e">
        <f>#REF!-#REF!</f>
        <v>#REF!</v>
      </c>
      <c r="AZ243" s="136" t="e">
        <f>#REF!-#REF!</f>
        <v>#REF!</v>
      </c>
      <c r="BA243" s="136" t="e">
        <f>#REF!-#REF!</f>
        <v>#REF!</v>
      </c>
      <c r="BB243" s="136" t="e">
        <f>#REF!-#REF!</f>
        <v>#REF!</v>
      </c>
      <c r="BC243" s="136" t="e">
        <f>#REF!-#REF!</f>
        <v>#REF!</v>
      </c>
      <c r="BD243" s="136" t="e">
        <f>#REF!-#REF!</f>
        <v>#REF!</v>
      </c>
      <c r="BE243" s="136" t="e">
        <f>#REF!-#REF!</f>
        <v>#REF!</v>
      </c>
      <c r="BF243" s="136" t="e">
        <f>#REF!-#REF!</f>
        <v>#REF!</v>
      </c>
      <c r="BG243" s="136" t="e">
        <f>#REF!-#REF!</f>
        <v>#REF!</v>
      </c>
      <c r="BH243" s="136" t="e">
        <f>#REF!-#REF!</f>
        <v>#REF!</v>
      </c>
      <c r="BI243" s="136" t="e">
        <f>#REF!-#REF!</f>
        <v>#REF!</v>
      </c>
      <c r="BJ243" s="136" t="e">
        <f>#REF!-#REF!</f>
        <v>#REF!</v>
      </c>
      <c r="BK243" s="136" t="e">
        <f>#REF!-#REF!</f>
        <v>#REF!</v>
      </c>
      <c r="BL243" s="136" t="e">
        <f>#REF!-#REF!</f>
        <v>#REF!</v>
      </c>
      <c r="BM243" s="136" t="e">
        <f>#REF!-#REF!</f>
        <v>#REF!</v>
      </c>
      <c r="BN243" s="136" t="e">
        <f>#REF!-#REF!</f>
        <v>#REF!</v>
      </c>
      <c r="BO243" s="136" t="e">
        <f>#REF!-#REF!</f>
        <v>#REF!</v>
      </c>
      <c r="BP243" s="136" t="e">
        <f>#REF!-#REF!</f>
        <v>#REF!</v>
      </c>
      <c r="BQ243" s="136" t="e">
        <f>#REF!-#REF!</f>
        <v>#REF!</v>
      </c>
      <c r="BR243" s="136" t="e">
        <f>#REF!-#REF!</f>
        <v>#REF!</v>
      </c>
      <c r="BS243" s="136" t="e">
        <f>#REF!-#REF!</f>
        <v>#REF!</v>
      </c>
      <c r="BT243" s="136" t="e">
        <f>#REF!-#REF!</f>
        <v>#REF!</v>
      </c>
      <c r="BU243" s="136" t="e">
        <f>#REF!-#REF!</f>
        <v>#REF!</v>
      </c>
      <c r="BV243" s="136" t="e">
        <f>#REF!-#REF!</f>
        <v>#REF!</v>
      </c>
      <c r="BW243" s="136" t="e">
        <f>#REF!-#REF!</f>
        <v>#REF!</v>
      </c>
      <c r="BX243" s="136" t="e">
        <f>#REF!-#REF!</f>
        <v>#REF!</v>
      </c>
      <c r="BZ243" s="136" t="e">
        <f>#REF!-#REF!</f>
        <v>#REF!</v>
      </c>
      <c r="CA243" s="136" t="e">
        <f>#REF!-#REF!</f>
        <v>#REF!</v>
      </c>
    </row>
    <row r="244" spans="12:79" hidden="1" x14ac:dyDescent="0.3">
      <c r="L244" s="136">
        <f t="shared" ref="L244:BW246" si="28">L20-CD20</f>
        <v>0</v>
      </c>
      <c r="M244" s="136">
        <f t="shared" si="28"/>
        <v>0</v>
      </c>
      <c r="N244" s="136">
        <f t="shared" si="28"/>
        <v>0</v>
      </c>
      <c r="O244" s="136">
        <f t="shared" si="28"/>
        <v>0</v>
      </c>
      <c r="P244" s="136">
        <f t="shared" si="28"/>
        <v>0</v>
      </c>
      <c r="Q244" s="136">
        <f t="shared" si="28"/>
        <v>6</v>
      </c>
      <c r="R244" s="136">
        <f t="shared" si="28"/>
        <v>0</v>
      </c>
      <c r="S244" s="136">
        <f t="shared" si="28"/>
        <v>0</v>
      </c>
      <c r="T244" s="136">
        <f t="shared" si="28"/>
        <v>0</v>
      </c>
      <c r="U244" s="136">
        <f t="shared" si="28"/>
        <v>0</v>
      </c>
      <c r="V244" s="136">
        <f t="shared" si="28"/>
        <v>0</v>
      </c>
      <c r="W244" s="136">
        <f t="shared" si="28"/>
        <v>0</v>
      </c>
      <c r="X244" s="136">
        <f t="shared" si="28"/>
        <v>0</v>
      </c>
      <c r="Y244" s="136">
        <f t="shared" si="28"/>
        <v>0</v>
      </c>
      <c r="Z244" s="136">
        <f t="shared" si="28"/>
        <v>0</v>
      </c>
      <c r="AA244" s="136">
        <f t="shared" si="28"/>
        <v>0</v>
      </c>
      <c r="AB244" s="136">
        <f t="shared" si="28"/>
        <v>0</v>
      </c>
      <c r="AC244" s="136">
        <f t="shared" si="28"/>
        <v>0</v>
      </c>
      <c r="AD244" s="136">
        <f t="shared" si="28"/>
        <v>0</v>
      </c>
      <c r="AE244" s="136">
        <f t="shared" si="28"/>
        <v>0</v>
      </c>
      <c r="AF244" s="136">
        <f t="shared" si="28"/>
        <v>0</v>
      </c>
      <c r="AG244" s="136">
        <f t="shared" si="28"/>
        <v>0</v>
      </c>
      <c r="AH244" s="136">
        <f t="shared" si="28"/>
        <v>0</v>
      </c>
      <c r="AI244" s="136">
        <f t="shared" si="28"/>
        <v>0</v>
      </c>
      <c r="AJ244" s="136">
        <f t="shared" si="28"/>
        <v>0</v>
      </c>
      <c r="AK244" s="136">
        <f t="shared" si="28"/>
        <v>0</v>
      </c>
      <c r="AL244" s="136">
        <f t="shared" si="28"/>
        <v>0</v>
      </c>
      <c r="AM244" s="136">
        <f t="shared" si="28"/>
        <v>0</v>
      </c>
      <c r="AN244" s="136">
        <f t="shared" si="28"/>
        <v>0</v>
      </c>
      <c r="AO244" s="136">
        <f t="shared" si="28"/>
        <v>0</v>
      </c>
      <c r="AP244" s="136">
        <f t="shared" si="28"/>
        <v>0</v>
      </c>
      <c r="AQ244" s="136">
        <f t="shared" si="28"/>
        <v>0</v>
      </c>
      <c r="AR244" s="136">
        <f t="shared" si="28"/>
        <v>0</v>
      </c>
      <c r="AS244" s="136">
        <f t="shared" si="28"/>
        <v>0</v>
      </c>
      <c r="AT244" s="136">
        <f t="shared" si="28"/>
        <v>0</v>
      </c>
      <c r="AU244" s="136">
        <f t="shared" si="28"/>
        <v>1</v>
      </c>
      <c r="AV244" s="136">
        <f t="shared" si="28"/>
        <v>0</v>
      </c>
      <c r="AW244" s="136">
        <f t="shared" si="28"/>
        <v>0</v>
      </c>
      <c r="AX244" s="136">
        <f t="shared" si="28"/>
        <v>0</v>
      </c>
      <c r="AY244" s="136">
        <f t="shared" si="28"/>
        <v>0</v>
      </c>
      <c r="AZ244" s="136">
        <f t="shared" si="28"/>
        <v>0</v>
      </c>
      <c r="BA244" s="136">
        <f t="shared" si="28"/>
        <v>0</v>
      </c>
      <c r="BB244" s="136">
        <f t="shared" si="28"/>
        <v>0</v>
      </c>
      <c r="BC244" s="136">
        <f t="shared" si="28"/>
        <v>0</v>
      </c>
      <c r="BD244" s="136">
        <f t="shared" si="28"/>
        <v>0</v>
      </c>
      <c r="BE244" s="136">
        <f t="shared" si="28"/>
        <v>0</v>
      </c>
      <c r="BF244" s="136">
        <f t="shared" si="28"/>
        <v>0</v>
      </c>
      <c r="BG244" s="136">
        <f t="shared" si="28"/>
        <v>0</v>
      </c>
      <c r="BH244" s="136">
        <f t="shared" si="28"/>
        <v>0</v>
      </c>
      <c r="BI244" s="136">
        <f t="shared" si="28"/>
        <v>0</v>
      </c>
      <c r="BJ244" s="136">
        <f t="shared" si="28"/>
        <v>0</v>
      </c>
      <c r="BK244" s="136">
        <f t="shared" si="28"/>
        <v>0</v>
      </c>
      <c r="BL244" s="136">
        <f t="shared" si="28"/>
        <v>0</v>
      </c>
      <c r="BM244" s="136">
        <f t="shared" si="28"/>
        <v>0</v>
      </c>
      <c r="BN244" s="136">
        <f t="shared" si="28"/>
        <v>0</v>
      </c>
      <c r="BO244" s="136">
        <f t="shared" si="28"/>
        <v>0</v>
      </c>
      <c r="BP244" s="136">
        <f t="shared" si="28"/>
        <v>0</v>
      </c>
      <c r="BQ244" s="136">
        <f t="shared" si="28"/>
        <v>0</v>
      </c>
      <c r="BR244" s="136">
        <f t="shared" si="28"/>
        <v>0</v>
      </c>
      <c r="BS244" s="136">
        <f t="shared" si="28"/>
        <v>0</v>
      </c>
      <c r="BT244" s="136">
        <f t="shared" si="28"/>
        <v>7</v>
      </c>
      <c r="BU244" s="136">
        <f t="shared" si="28"/>
        <v>0</v>
      </c>
      <c r="BV244" s="136">
        <f t="shared" si="28"/>
        <v>0</v>
      </c>
      <c r="BW244" s="136">
        <f t="shared" si="28"/>
        <v>0</v>
      </c>
      <c r="BX244" s="136">
        <f t="shared" ref="BT244:BX246" si="29">BX20-EP20</f>
        <v>0</v>
      </c>
      <c r="BZ244" s="136">
        <f t="shared" ref="BZ244:CA246" si="30">BZ20-ER20</f>
        <v>0</v>
      </c>
      <c r="CA244" s="136">
        <f t="shared" si="30"/>
        <v>0</v>
      </c>
    </row>
    <row r="245" spans="12:79" hidden="1" x14ac:dyDescent="0.3">
      <c r="L245" s="136">
        <f t="shared" si="28"/>
        <v>345294</v>
      </c>
      <c r="M245" s="136">
        <f t="shared" si="28"/>
        <v>0</v>
      </c>
      <c r="N245" s="136">
        <f t="shared" si="28"/>
        <v>0</v>
      </c>
      <c r="O245" s="136">
        <f t="shared" si="28"/>
        <v>0</v>
      </c>
      <c r="P245" s="136">
        <f t="shared" si="28"/>
        <v>0</v>
      </c>
      <c r="Q245" s="136">
        <f t="shared" si="28"/>
        <v>20229</v>
      </c>
      <c r="R245" s="136">
        <f t="shared" si="28"/>
        <v>0</v>
      </c>
      <c r="S245" s="136">
        <f t="shared" si="28"/>
        <v>0</v>
      </c>
      <c r="T245" s="136">
        <f t="shared" si="28"/>
        <v>0</v>
      </c>
      <c r="U245" s="136">
        <f t="shared" si="28"/>
        <v>0</v>
      </c>
      <c r="V245" s="136">
        <f t="shared" si="28"/>
        <v>218746</v>
      </c>
      <c r="W245" s="136">
        <f t="shared" si="28"/>
        <v>0</v>
      </c>
      <c r="X245" s="136">
        <f t="shared" si="28"/>
        <v>0</v>
      </c>
      <c r="Y245" s="136">
        <f t="shared" si="28"/>
        <v>0</v>
      </c>
      <c r="Z245" s="136">
        <f t="shared" si="28"/>
        <v>0</v>
      </c>
      <c r="AA245" s="136">
        <f t="shared" si="28"/>
        <v>209595</v>
      </c>
      <c r="AB245" s="136">
        <f t="shared" si="28"/>
        <v>0</v>
      </c>
      <c r="AC245" s="136">
        <f t="shared" si="28"/>
        <v>0</v>
      </c>
      <c r="AD245" s="136">
        <f t="shared" si="28"/>
        <v>0</v>
      </c>
      <c r="AE245" s="136">
        <f t="shared" si="28"/>
        <v>0</v>
      </c>
      <c r="AF245" s="136">
        <f t="shared" si="28"/>
        <v>538838</v>
      </c>
      <c r="AG245" s="136">
        <f t="shared" si="28"/>
        <v>0</v>
      </c>
      <c r="AH245" s="136">
        <f t="shared" si="28"/>
        <v>0</v>
      </c>
      <c r="AI245" s="136">
        <f t="shared" si="28"/>
        <v>0</v>
      </c>
      <c r="AJ245" s="136">
        <f t="shared" si="28"/>
        <v>0</v>
      </c>
      <c r="AK245" s="136">
        <f t="shared" si="28"/>
        <v>322831</v>
      </c>
      <c r="AL245" s="136">
        <f t="shared" si="28"/>
        <v>0</v>
      </c>
      <c r="AM245" s="136">
        <f t="shared" si="28"/>
        <v>0</v>
      </c>
      <c r="AN245" s="136">
        <f t="shared" si="28"/>
        <v>0</v>
      </c>
      <c r="AO245" s="136">
        <f t="shared" si="28"/>
        <v>0</v>
      </c>
      <c r="AP245" s="136">
        <f t="shared" si="28"/>
        <v>225786</v>
      </c>
      <c r="AQ245" s="136">
        <f t="shared" si="28"/>
        <v>0</v>
      </c>
      <c r="AR245" s="136">
        <f t="shared" si="28"/>
        <v>0</v>
      </c>
      <c r="AS245" s="136">
        <f t="shared" si="28"/>
        <v>0</v>
      </c>
      <c r="AT245" s="136">
        <f t="shared" si="28"/>
        <v>0</v>
      </c>
      <c r="AU245" s="136">
        <f t="shared" si="28"/>
        <v>433461</v>
      </c>
      <c r="AV245" s="136">
        <f t="shared" si="28"/>
        <v>0</v>
      </c>
      <c r="AW245" s="136">
        <f t="shared" si="28"/>
        <v>0</v>
      </c>
      <c r="AX245" s="136">
        <f t="shared" si="28"/>
        <v>0</v>
      </c>
      <c r="AY245" s="136">
        <f t="shared" si="28"/>
        <v>0</v>
      </c>
      <c r="AZ245" s="136">
        <f t="shared" si="28"/>
        <v>52625</v>
      </c>
      <c r="BA245" s="136">
        <f t="shared" si="28"/>
        <v>0</v>
      </c>
      <c r="BB245" s="136">
        <f t="shared" si="28"/>
        <v>0</v>
      </c>
      <c r="BC245" s="136">
        <f t="shared" si="28"/>
        <v>0</v>
      </c>
      <c r="BD245" s="136">
        <f t="shared" si="28"/>
        <v>0</v>
      </c>
      <c r="BE245" s="136">
        <f t="shared" si="28"/>
        <v>130533</v>
      </c>
      <c r="BF245" s="136">
        <f t="shared" si="28"/>
        <v>0</v>
      </c>
      <c r="BG245" s="136">
        <f t="shared" si="28"/>
        <v>0</v>
      </c>
      <c r="BH245" s="136">
        <f t="shared" si="28"/>
        <v>0</v>
      </c>
      <c r="BI245" s="136">
        <f t="shared" si="28"/>
        <v>0</v>
      </c>
      <c r="BJ245" s="136">
        <f t="shared" si="28"/>
        <v>-409969</v>
      </c>
      <c r="BK245" s="136">
        <f t="shared" si="28"/>
        <v>0</v>
      </c>
      <c r="BL245" s="136">
        <f t="shared" si="28"/>
        <v>0</v>
      </c>
      <c r="BM245" s="136">
        <f t="shared" si="28"/>
        <v>0</v>
      </c>
      <c r="BN245" s="136">
        <f t="shared" si="28"/>
        <v>0</v>
      </c>
      <c r="BO245" s="136">
        <f t="shared" si="28"/>
        <v>-252762</v>
      </c>
      <c r="BP245" s="136">
        <f t="shared" si="28"/>
        <v>0</v>
      </c>
      <c r="BQ245" s="136">
        <f t="shared" si="28"/>
        <v>0</v>
      </c>
      <c r="BR245" s="136">
        <f t="shared" si="28"/>
        <v>0</v>
      </c>
      <c r="BS245" s="136">
        <f t="shared" si="28"/>
        <v>0</v>
      </c>
      <c r="BT245" s="136">
        <f t="shared" si="29"/>
        <v>2497938</v>
      </c>
      <c r="BU245" s="136">
        <f t="shared" si="29"/>
        <v>0</v>
      </c>
      <c r="BV245" s="136">
        <f t="shared" si="29"/>
        <v>0</v>
      </c>
      <c r="BW245" s="136">
        <f t="shared" si="29"/>
        <v>0</v>
      </c>
      <c r="BX245" s="136">
        <f t="shared" si="29"/>
        <v>0</v>
      </c>
      <c r="BZ245" s="136">
        <f t="shared" si="30"/>
        <v>0</v>
      </c>
      <c r="CA245" s="136">
        <f t="shared" si="30"/>
        <v>0</v>
      </c>
    </row>
    <row r="246" spans="12:79" hidden="1" x14ac:dyDescent="0.3">
      <c r="L246" s="136">
        <f t="shared" si="28"/>
        <v>0</v>
      </c>
      <c r="M246" s="136">
        <f t="shared" si="28"/>
        <v>0</v>
      </c>
      <c r="N246" s="136">
        <f t="shared" si="28"/>
        <v>0</v>
      </c>
      <c r="O246" s="136">
        <f t="shared" si="28"/>
        <v>0</v>
      </c>
      <c r="P246" s="136">
        <f t="shared" si="28"/>
        <v>0</v>
      </c>
      <c r="Q246" s="136">
        <f t="shared" si="28"/>
        <v>0</v>
      </c>
      <c r="R246" s="136">
        <f t="shared" si="28"/>
        <v>0</v>
      </c>
      <c r="S246" s="136">
        <f t="shared" si="28"/>
        <v>0</v>
      </c>
      <c r="T246" s="136">
        <f t="shared" si="28"/>
        <v>0</v>
      </c>
      <c r="U246" s="136">
        <f t="shared" si="28"/>
        <v>0</v>
      </c>
      <c r="V246" s="136">
        <f t="shared" si="28"/>
        <v>0</v>
      </c>
      <c r="W246" s="136">
        <f t="shared" si="28"/>
        <v>0</v>
      </c>
      <c r="X246" s="136">
        <f t="shared" si="28"/>
        <v>0</v>
      </c>
      <c r="Y246" s="136">
        <f t="shared" si="28"/>
        <v>0</v>
      </c>
      <c r="Z246" s="136">
        <f t="shared" si="28"/>
        <v>0</v>
      </c>
      <c r="AA246" s="136">
        <f t="shared" si="28"/>
        <v>0</v>
      </c>
      <c r="AB246" s="136">
        <f t="shared" si="28"/>
        <v>0</v>
      </c>
      <c r="AC246" s="136">
        <f t="shared" si="28"/>
        <v>0</v>
      </c>
      <c r="AD246" s="136">
        <f t="shared" si="28"/>
        <v>0</v>
      </c>
      <c r="AE246" s="136">
        <f t="shared" si="28"/>
        <v>0</v>
      </c>
      <c r="AF246" s="136">
        <f t="shared" si="28"/>
        <v>0</v>
      </c>
      <c r="AG246" s="136">
        <f t="shared" si="28"/>
        <v>0</v>
      </c>
      <c r="AH246" s="136">
        <f t="shared" si="28"/>
        <v>0</v>
      </c>
      <c r="AI246" s="136">
        <f t="shared" si="28"/>
        <v>0</v>
      </c>
      <c r="AJ246" s="136">
        <f t="shared" si="28"/>
        <v>0</v>
      </c>
      <c r="AK246" s="136">
        <f t="shared" si="28"/>
        <v>0</v>
      </c>
      <c r="AL246" s="136">
        <f t="shared" si="28"/>
        <v>0</v>
      </c>
      <c r="AM246" s="136">
        <f t="shared" si="28"/>
        <v>0</v>
      </c>
      <c r="AN246" s="136">
        <f t="shared" si="28"/>
        <v>0</v>
      </c>
      <c r="AO246" s="136">
        <f t="shared" si="28"/>
        <v>0</v>
      </c>
      <c r="AP246" s="136">
        <f t="shared" si="28"/>
        <v>0</v>
      </c>
      <c r="AQ246" s="136">
        <f t="shared" si="28"/>
        <v>0</v>
      </c>
      <c r="AR246" s="136">
        <f t="shared" si="28"/>
        <v>0</v>
      </c>
      <c r="AS246" s="136">
        <f t="shared" si="28"/>
        <v>0</v>
      </c>
      <c r="AT246" s="136">
        <f t="shared" si="28"/>
        <v>0</v>
      </c>
      <c r="AU246" s="136">
        <f t="shared" si="28"/>
        <v>0</v>
      </c>
      <c r="AV246" s="136">
        <f t="shared" si="28"/>
        <v>0</v>
      </c>
      <c r="AW246" s="136">
        <f t="shared" si="28"/>
        <v>0</v>
      </c>
      <c r="AX246" s="136">
        <f t="shared" si="28"/>
        <v>0</v>
      </c>
      <c r="AY246" s="136">
        <f t="shared" si="28"/>
        <v>0</v>
      </c>
      <c r="AZ246" s="136">
        <f t="shared" si="28"/>
        <v>0</v>
      </c>
      <c r="BA246" s="136">
        <f t="shared" si="28"/>
        <v>0</v>
      </c>
      <c r="BB246" s="136">
        <f t="shared" si="28"/>
        <v>0</v>
      </c>
      <c r="BC246" s="136">
        <f t="shared" si="28"/>
        <v>0</v>
      </c>
      <c r="BD246" s="136">
        <f t="shared" si="28"/>
        <v>0</v>
      </c>
      <c r="BE246" s="136">
        <f t="shared" si="28"/>
        <v>0</v>
      </c>
      <c r="BF246" s="136">
        <f t="shared" si="28"/>
        <v>0</v>
      </c>
      <c r="BG246" s="136">
        <f t="shared" si="28"/>
        <v>0</v>
      </c>
      <c r="BH246" s="136">
        <f t="shared" si="28"/>
        <v>0</v>
      </c>
      <c r="BI246" s="136">
        <f t="shared" si="28"/>
        <v>0</v>
      </c>
      <c r="BJ246" s="136">
        <f t="shared" si="28"/>
        <v>0</v>
      </c>
      <c r="BK246" s="136">
        <f t="shared" si="28"/>
        <v>0</v>
      </c>
      <c r="BL246" s="136">
        <f t="shared" si="28"/>
        <v>0</v>
      </c>
      <c r="BM246" s="136">
        <f t="shared" si="28"/>
        <v>0</v>
      </c>
      <c r="BN246" s="136">
        <f t="shared" si="28"/>
        <v>0</v>
      </c>
      <c r="BO246" s="136">
        <f t="shared" si="28"/>
        <v>0</v>
      </c>
      <c r="BP246" s="136">
        <f t="shared" si="28"/>
        <v>0</v>
      </c>
      <c r="BQ246" s="136">
        <f t="shared" si="28"/>
        <v>0</v>
      </c>
      <c r="BR246" s="136">
        <f t="shared" si="28"/>
        <v>0</v>
      </c>
      <c r="BS246" s="136">
        <f t="shared" si="28"/>
        <v>0</v>
      </c>
      <c r="BT246" s="136">
        <f t="shared" si="29"/>
        <v>0</v>
      </c>
      <c r="BU246" s="136">
        <f t="shared" si="29"/>
        <v>0</v>
      </c>
      <c r="BV246" s="136">
        <f t="shared" si="29"/>
        <v>0</v>
      </c>
      <c r="BW246" s="136">
        <f t="shared" si="29"/>
        <v>0</v>
      </c>
      <c r="BX246" s="136">
        <f t="shared" si="29"/>
        <v>0</v>
      </c>
      <c r="BZ246" s="136">
        <f t="shared" si="30"/>
        <v>0</v>
      </c>
      <c r="CA246" s="136">
        <f t="shared" si="30"/>
        <v>0</v>
      </c>
    </row>
    <row r="247" spans="12:79" hidden="1" x14ac:dyDescent="0.3">
      <c r="L247" s="136" t="e">
        <f>#REF!-#REF!</f>
        <v>#REF!</v>
      </c>
      <c r="M247" s="136" t="e">
        <f>#REF!-#REF!</f>
        <v>#REF!</v>
      </c>
      <c r="N247" s="136" t="e">
        <f>#REF!-#REF!</f>
        <v>#REF!</v>
      </c>
      <c r="O247" s="136" t="e">
        <f>#REF!-#REF!</f>
        <v>#REF!</v>
      </c>
      <c r="P247" s="136" t="e">
        <f>#REF!-#REF!</f>
        <v>#REF!</v>
      </c>
      <c r="Q247" s="136" t="e">
        <f>#REF!-#REF!</f>
        <v>#REF!</v>
      </c>
      <c r="R247" s="136" t="e">
        <f>#REF!-#REF!</f>
        <v>#REF!</v>
      </c>
      <c r="S247" s="136" t="e">
        <f>#REF!-#REF!</f>
        <v>#REF!</v>
      </c>
      <c r="T247" s="136" t="e">
        <f>#REF!-#REF!</f>
        <v>#REF!</v>
      </c>
      <c r="U247" s="136" t="e">
        <f>#REF!-#REF!</f>
        <v>#REF!</v>
      </c>
      <c r="V247" s="136" t="e">
        <f>#REF!-#REF!</f>
        <v>#REF!</v>
      </c>
      <c r="W247" s="136" t="e">
        <f>#REF!-#REF!</f>
        <v>#REF!</v>
      </c>
      <c r="X247" s="136" t="e">
        <f>#REF!-#REF!</f>
        <v>#REF!</v>
      </c>
      <c r="Y247" s="136" t="e">
        <f>#REF!-#REF!</f>
        <v>#REF!</v>
      </c>
      <c r="Z247" s="136" t="e">
        <f>#REF!-#REF!</f>
        <v>#REF!</v>
      </c>
      <c r="AA247" s="136" t="e">
        <f>#REF!-#REF!</f>
        <v>#REF!</v>
      </c>
      <c r="AB247" s="136" t="e">
        <f>#REF!-#REF!</f>
        <v>#REF!</v>
      </c>
      <c r="AC247" s="136" t="e">
        <f>#REF!-#REF!</f>
        <v>#REF!</v>
      </c>
      <c r="AD247" s="136" t="e">
        <f>#REF!-#REF!</f>
        <v>#REF!</v>
      </c>
      <c r="AE247" s="136" t="e">
        <f>#REF!-#REF!</f>
        <v>#REF!</v>
      </c>
      <c r="AF247" s="136" t="e">
        <f>#REF!-#REF!</f>
        <v>#REF!</v>
      </c>
      <c r="AG247" s="136" t="e">
        <f>#REF!-#REF!</f>
        <v>#REF!</v>
      </c>
      <c r="AH247" s="136" t="e">
        <f>#REF!-#REF!</f>
        <v>#REF!</v>
      </c>
      <c r="AI247" s="136" t="e">
        <f>#REF!-#REF!</f>
        <v>#REF!</v>
      </c>
      <c r="AJ247" s="136" t="e">
        <f>#REF!-#REF!</f>
        <v>#REF!</v>
      </c>
      <c r="AK247" s="136" t="e">
        <f>#REF!-#REF!</f>
        <v>#REF!</v>
      </c>
      <c r="AL247" s="136" t="e">
        <f>#REF!-#REF!</f>
        <v>#REF!</v>
      </c>
      <c r="AM247" s="136" t="e">
        <f>#REF!-#REF!</f>
        <v>#REF!</v>
      </c>
      <c r="AN247" s="136" t="e">
        <f>#REF!-#REF!</f>
        <v>#REF!</v>
      </c>
      <c r="AO247" s="136" t="e">
        <f>#REF!-#REF!</f>
        <v>#REF!</v>
      </c>
      <c r="AP247" s="136" t="e">
        <f>#REF!-#REF!</f>
        <v>#REF!</v>
      </c>
      <c r="AQ247" s="136" t="e">
        <f>#REF!-#REF!</f>
        <v>#REF!</v>
      </c>
      <c r="AR247" s="136" t="e">
        <f>#REF!-#REF!</f>
        <v>#REF!</v>
      </c>
      <c r="AS247" s="136" t="e">
        <f>#REF!-#REF!</f>
        <v>#REF!</v>
      </c>
      <c r="AT247" s="136" t="e">
        <f>#REF!-#REF!</f>
        <v>#REF!</v>
      </c>
      <c r="AU247" s="136" t="e">
        <f>#REF!-#REF!</f>
        <v>#REF!</v>
      </c>
      <c r="AV247" s="136" t="e">
        <f>#REF!-#REF!</f>
        <v>#REF!</v>
      </c>
      <c r="AW247" s="136" t="e">
        <f>#REF!-#REF!</f>
        <v>#REF!</v>
      </c>
      <c r="AX247" s="136" t="e">
        <f>#REF!-#REF!</f>
        <v>#REF!</v>
      </c>
      <c r="AY247" s="136" t="e">
        <f>#REF!-#REF!</f>
        <v>#REF!</v>
      </c>
      <c r="AZ247" s="136" t="e">
        <f>#REF!-#REF!</f>
        <v>#REF!</v>
      </c>
      <c r="BA247" s="136" t="e">
        <f>#REF!-#REF!</f>
        <v>#REF!</v>
      </c>
      <c r="BB247" s="136" t="e">
        <f>#REF!-#REF!</f>
        <v>#REF!</v>
      </c>
      <c r="BC247" s="136" t="e">
        <f>#REF!-#REF!</f>
        <v>#REF!</v>
      </c>
      <c r="BD247" s="136" t="e">
        <f>#REF!-#REF!</f>
        <v>#REF!</v>
      </c>
      <c r="BE247" s="136" t="e">
        <f>#REF!-#REF!</f>
        <v>#REF!</v>
      </c>
      <c r="BF247" s="136" t="e">
        <f>#REF!-#REF!</f>
        <v>#REF!</v>
      </c>
      <c r="BG247" s="136" t="e">
        <f>#REF!-#REF!</f>
        <v>#REF!</v>
      </c>
      <c r="BH247" s="136" t="e">
        <f>#REF!-#REF!</f>
        <v>#REF!</v>
      </c>
      <c r="BI247" s="136" t="e">
        <f>#REF!-#REF!</f>
        <v>#REF!</v>
      </c>
      <c r="BJ247" s="136" t="e">
        <f>#REF!-#REF!</f>
        <v>#REF!</v>
      </c>
      <c r="BK247" s="136" t="e">
        <f>#REF!-#REF!</f>
        <v>#REF!</v>
      </c>
      <c r="BL247" s="136" t="e">
        <f>#REF!-#REF!</f>
        <v>#REF!</v>
      </c>
      <c r="BM247" s="136" t="e">
        <f>#REF!-#REF!</f>
        <v>#REF!</v>
      </c>
      <c r="BN247" s="136" t="e">
        <f>#REF!-#REF!</f>
        <v>#REF!</v>
      </c>
      <c r="BO247" s="136" t="e">
        <f>#REF!-#REF!</f>
        <v>#REF!</v>
      </c>
      <c r="BP247" s="136" t="e">
        <f>#REF!-#REF!</f>
        <v>#REF!</v>
      </c>
      <c r="BQ247" s="136" t="e">
        <f>#REF!-#REF!</f>
        <v>#REF!</v>
      </c>
      <c r="BR247" s="136" t="e">
        <f>#REF!-#REF!</f>
        <v>#REF!</v>
      </c>
      <c r="BS247" s="136" t="e">
        <f>#REF!-#REF!</f>
        <v>#REF!</v>
      </c>
      <c r="BT247" s="136" t="e">
        <f>#REF!-#REF!</f>
        <v>#REF!</v>
      </c>
      <c r="BU247" s="136" t="e">
        <f>#REF!-#REF!</f>
        <v>#REF!</v>
      </c>
      <c r="BV247" s="136" t="e">
        <f>#REF!-#REF!</f>
        <v>#REF!</v>
      </c>
      <c r="BW247" s="136" t="e">
        <f>#REF!-#REF!</f>
        <v>#REF!</v>
      </c>
      <c r="BX247" s="136" t="e">
        <f>#REF!-#REF!</f>
        <v>#REF!</v>
      </c>
      <c r="BZ247" s="136" t="e">
        <f>#REF!-#REF!</f>
        <v>#REF!</v>
      </c>
      <c r="CA247" s="136" t="e">
        <f>#REF!-#REF!</f>
        <v>#REF!</v>
      </c>
    </row>
    <row r="248" spans="12:79" hidden="1" x14ac:dyDescent="0.3">
      <c r="L248" s="136">
        <f t="shared" ref="L248:BS250" si="31">L23-CD23</f>
        <v>0</v>
      </c>
      <c r="M248" s="136">
        <f t="shared" si="31"/>
        <v>0</v>
      </c>
      <c r="N248" s="136">
        <f t="shared" si="31"/>
        <v>0</v>
      </c>
      <c r="O248" s="136">
        <f t="shared" si="31"/>
        <v>0</v>
      </c>
      <c r="P248" s="136">
        <f t="shared" si="31"/>
        <v>0</v>
      </c>
      <c r="Q248" s="136">
        <f t="shared" si="31"/>
        <v>0</v>
      </c>
      <c r="R248" s="136">
        <f t="shared" si="31"/>
        <v>0</v>
      </c>
      <c r="S248" s="136">
        <f t="shared" si="31"/>
        <v>0</v>
      </c>
      <c r="T248" s="136">
        <f t="shared" si="31"/>
        <v>0</v>
      </c>
      <c r="U248" s="136">
        <f t="shared" si="31"/>
        <v>0</v>
      </c>
      <c r="V248" s="136">
        <f t="shared" si="31"/>
        <v>0</v>
      </c>
      <c r="W248" s="136">
        <f t="shared" si="31"/>
        <v>0</v>
      </c>
      <c r="X248" s="136">
        <f t="shared" si="31"/>
        <v>0</v>
      </c>
      <c r="Y248" s="136">
        <f t="shared" si="31"/>
        <v>0</v>
      </c>
      <c r="Z248" s="136">
        <f t="shared" si="31"/>
        <v>0</v>
      </c>
      <c r="AA248" s="136">
        <f t="shared" si="31"/>
        <v>0</v>
      </c>
      <c r="AB248" s="136">
        <f t="shared" si="31"/>
        <v>0</v>
      </c>
      <c r="AC248" s="136">
        <f t="shared" si="31"/>
        <v>0</v>
      </c>
      <c r="AD248" s="136">
        <f t="shared" si="31"/>
        <v>0</v>
      </c>
      <c r="AE248" s="136">
        <f t="shared" si="31"/>
        <v>0</v>
      </c>
      <c r="AF248" s="136">
        <f t="shared" si="31"/>
        <v>0</v>
      </c>
      <c r="AG248" s="136">
        <f t="shared" si="31"/>
        <v>0</v>
      </c>
      <c r="AH248" s="136">
        <f t="shared" si="31"/>
        <v>0</v>
      </c>
      <c r="AI248" s="136">
        <f t="shared" si="31"/>
        <v>0</v>
      </c>
      <c r="AJ248" s="136">
        <f t="shared" si="31"/>
        <v>0</v>
      </c>
      <c r="AK248" s="136">
        <f t="shared" si="31"/>
        <v>0</v>
      </c>
      <c r="AL248" s="136">
        <f t="shared" si="31"/>
        <v>0</v>
      </c>
      <c r="AM248" s="136">
        <f t="shared" si="31"/>
        <v>0</v>
      </c>
      <c r="AN248" s="136">
        <f t="shared" si="31"/>
        <v>0</v>
      </c>
      <c r="AO248" s="136">
        <f t="shared" si="31"/>
        <v>0</v>
      </c>
      <c r="AP248" s="136">
        <f t="shared" si="31"/>
        <v>0</v>
      </c>
      <c r="AQ248" s="136">
        <f t="shared" si="31"/>
        <v>0</v>
      </c>
      <c r="AR248" s="136">
        <f t="shared" si="31"/>
        <v>0</v>
      </c>
      <c r="AS248" s="136">
        <f t="shared" si="31"/>
        <v>0</v>
      </c>
      <c r="AT248" s="136">
        <f t="shared" si="31"/>
        <v>0</v>
      </c>
      <c r="AU248" s="136">
        <f t="shared" si="31"/>
        <v>0</v>
      </c>
      <c r="AV248" s="136">
        <f t="shared" si="31"/>
        <v>0</v>
      </c>
      <c r="AW248" s="136">
        <f t="shared" si="31"/>
        <v>0</v>
      </c>
      <c r="AX248" s="136">
        <f t="shared" si="31"/>
        <v>0</v>
      </c>
      <c r="AY248" s="136">
        <f t="shared" si="31"/>
        <v>0</v>
      </c>
      <c r="AZ248" s="136">
        <f t="shared" si="31"/>
        <v>0</v>
      </c>
      <c r="BA248" s="136">
        <f t="shared" si="31"/>
        <v>0</v>
      </c>
      <c r="BB248" s="136">
        <f t="shared" si="31"/>
        <v>0</v>
      </c>
      <c r="BC248" s="136">
        <f t="shared" si="31"/>
        <v>0</v>
      </c>
      <c r="BD248" s="136">
        <f t="shared" si="31"/>
        <v>0</v>
      </c>
      <c r="BE248" s="136">
        <f t="shared" si="31"/>
        <v>0</v>
      </c>
      <c r="BF248" s="136">
        <f t="shared" si="31"/>
        <v>0</v>
      </c>
      <c r="BG248" s="136">
        <f t="shared" si="31"/>
        <v>0</v>
      </c>
      <c r="BH248" s="136">
        <f t="shared" si="31"/>
        <v>0</v>
      </c>
      <c r="BI248" s="136">
        <f t="shared" si="31"/>
        <v>0</v>
      </c>
      <c r="BJ248" s="136">
        <f t="shared" si="31"/>
        <v>0</v>
      </c>
      <c r="BK248" s="136">
        <f t="shared" si="31"/>
        <v>0</v>
      </c>
      <c r="BL248" s="136">
        <f t="shared" si="31"/>
        <v>0</v>
      </c>
      <c r="BM248" s="136">
        <f t="shared" si="31"/>
        <v>0</v>
      </c>
      <c r="BN248" s="136">
        <f t="shared" si="31"/>
        <v>0</v>
      </c>
      <c r="BO248" s="136">
        <f t="shared" si="31"/>
        <v>0</v>
      </c>
      <c r="BP248" s="136">
        <f t="shared" si="31"/>
        <v>0</v>
      </c>
      <c r="BQ248" s="136">
        <f t="shared" si="31"/>
        <v>0</v>
      </c>
      <c r="BR248" s="136">
        <f t="shared" si="31"/>
        <v>0</v>
      </c>
      <c r="BS248" s="136">
        <f t="shared" si="31"/>
        <v>0</v>
      </c>
      <c r="BT248" s="136">
        <f>BT24-EL24</f>
        <v>-57718349</v>
      </c>
      <c r="BU248" s="136">
        <f t="shared" ref="BU248:BX250" si="32">BU23-EM23</f>
        <v>0</v>
      </c>
      <c r="BV248" s="136">
        <f t="shared" si="32"/>
        <v>0</v>
      </c>
      <c r="BW248" s="136">
        <f t="shared" si="32"/>
        <v>0</v>
      </c>
      <c r="BX248" s="136">
        <f t="shared" si="32"/>
        <v>0</v>
      </c>
      <c r="BZ248" s="136">
        <f t="shared" ref="BZ248:CA250" si="33">BZ23-ER23</f>
        <v>0</v>
      </c>
      <c r="CA248" s="136">
        <f t="shared" si="33"/>
        <v>0</v>
      </c>
    </row>
    <row r="249" spans="12:79" hidden="1" x14ac:dyDescent="0.3">
      <c r="L249" s="136">
        <f t="shared" si="31"/>
        <v>0</v>
      </c>
      <c r="M249" s="136">
        <f t="shared" si="31"/>
        <v>0</v>
      </c>
      <c r="N249" s="136">
        <f t="shared" si="31"/>
        <v>0</v>
      </c>
      <c r="O249" s="136">
        <f t="shared" si="31"/>
        <v>0</v>
      </c>
      <c r="P249" s="136">
        <f t="shared" si="31"/>
        <v>0</v>
      </c>
      <c r="Q249" s="136">
        <f t="shared" si="31"/>
        <v>0</v>
      </c>
      <c r="R249" s="136">
        <f t="shared" si="31"/>
        <v>0</v>
      </c>
      <c r="S249" s="136">
        <f t="shared" si="31"/>
        <v>0</v>
      </c>
      <c r="T249" s="136">
        <f t="shared" si="31"/>
        <v>0</v>
      </c>
      <c r="U249" s="136">
        <f t="shared" si="31"/>
        <v>0</v>
      </c>
      <c r="V249" s="136">
        <f t="shared" si="31"/>
        <v>0</v>
      </c>
      <c r="W249" s="136">
        <f t="shared" si="31"/>
        <v>0</v>
      </c>
      <c r="X249" s="136">
        <f t="shared" si="31"/>
        <v>0</v>
      </c>
      <c r="Y249" s="136">
        <f t="shared" si="31"/>
        <v>0</v>
      </c>
      <c r="Z249" s="136">
        <f t="shared" si="31"/>
        <v>0</v>
      </c>
      <c r="AA249" s="136">
        <f t="shared" si="31"/>
        <v>0</v>
      </c>
      <c r="AB249" s="136">
        <f t="shared" si="31"/>
        <v>0</v>
      </c>
      <c r="AC249" s="136">
        <f t="shared" si="31"/>
        <v>0</v>
      </c>
      <c r="AD249" s="136">
        <f t="shared" si="31"/>
        <v>0</v>
      </c>
      <c r="AE249" s="136">
        <f t="shared" si="31"/>
        <v>0</v>
      </c>
      <c r="AF249" s="136">
        <f t="shared" si="31"/>
        <v>0</v>
      </c>
      <c r="AG249" s="136">
        <f t="shared" si="31"/>
        <v>0</v>
      </c>
      <c r="AH249" s="136">
        <f t="shared" si="31"/>
        <v>0</v>
      </c>
      <c r="AI249" s="136">
        <f t="shared" si="31"/>
        <v>0</v>
      </c>
      <c r="AJ249" s="136">
        <f t="shared" si="31"/>
        <v>0</v>
      </c>
      <c r="AK249" s="136">
        <f t="shared" si="31"/>
        <v>0</v>
      </c>
      <c r="AL249" s="136">
        <f t="shared" si="31"/>
        <v>0</v>
      </c>
      <c r="AM249" s="136">
        <f t="shared" si="31"/>
        <v>0</v>
      </c>
      <c r="AN249" s="136">
        <f t="shared" si="31"/>
        <v>0</v>
      </c>
      <c r="AO249" s="136">
        <f t="shared" si="31"/>
        <v>0</v>
      </c>
      <c r="AP249" s="136">
        <f t="shared" si="31"/>
        <v>0</v>
      </c>
      <c r="AQ249" s="136">
        <f t="shared" si="31"/>
        <v>0</v>
      </c>
      <c r="AR249" s="136">
        <f t="shared" si="31"/>
        <v>0</v>
      </c>
      <c r="AS249" s="136">
        <f t="shared" si="31"/>
        <v>0</v>
      </c>
      <c r="AT249" s="136">
        <f t="shared" si="31"/>
        <v>0</v>
      </c>
      <c r="AU249" s="136">
        <f t="shared" si="31"/>
        <v>0</v>
      </c>
      <c r="AV249" s="136">
        <f t="shared" si="31"/>
        <v>0</v>
      </c>
      <c r="AW249" s="136">
        <f t="shared" si="31"/>
        <v>0</v>
      </c>
      <c r="AX249" s="136">
        <f t="shared" si="31"/>
        <v>0</v>
      </c>
      <c r="AY249" s="136">
        <f t="shared" si="31"/>
        <v>0</v>
      </c>
      <c r="AZ249" s="136">
        <f t="shared" si="31"/>
        <v>0</v>
      </c>
      <c r="BA249" s="136">
        <f t="shared" si="31"/>
        <v>0</v>
      </c>
      <c r="BB249" s="136">
        <f t="shared" si="31"/>
        <v>0</v>
      </c>
      <c r="BC249" s="136">
        <f t="shared" si="31"/>
        <v>0</v>
      </c>
      <c r="BD249" s="136">
        <f t="shared" si="31"/>
        <v>0</v>
      </c>
      <c r="BE249" s="136">
        <f t="shared" si="31"/>
        <v>-57718349</v>
      </c>
      <c r="BF249" s="136">
        <f t="shared" si="31"/>
        <v>0</v>
      </c>
      <c r="BG249" s="136">
        <f t="shared" si="31"/>
        <v>0</v>
      </c>
      <c r="BH249" s="136">
        <f t="shared" si="31"/>
        <v>0</v>
      </c>
      <c r="BI249" s="136">
        <f t="shared" si="31"/>
        <v>0</v>
      </c>
      <c r="BJ249" s="136">
        <f t="shared" si="31"/>
        <v>0</v>
      </c>
      <c r="BK249" s="136">
        <f t="shared" si="31"/>
        <v>0</v>
      </c>
      <c r="BL249" s="136">
        <f t="shared" si="31"/>
        <v>0</v>
      </c>
      <c r="BM249" s="136">
        <f t="shared" si="31"/>
        <v>0</v>
      </c>
      <c r="BN249" s="136">
        <f t="shared" si="31"/>
        <v>0</v>
      </c>
      <c r="BO249" s="136">
        <f t="shared" si="31"/>
        <v>0</v>
      </c>
      <c r="BP249" s="136">
        <f t="shared" si="31"/>
        <v>0</v>
      </c>
      <c r="BQ249" s="136">
        <f t="shared" si="31"/>
        <v>0</v>
      </c>
      <c r="BR249" s="136">
        <f t="shared" si="31"/>
        <v>0</v>
      </c>
      <c r="BS249" s="136">
        <f t="shared" si="31"/>
        <v>0</v>
      </c>
      <c r="BT249" s="136">
        <f>BT24-EL24</f>
        <v>-57718349</v>
      </c>
      <c r="BU249" s="136">
        <f t="shared" si="32"/>
        <v>0</v>
      </c>
      <c r="BV249" s="136">
        <f t="shared" si="32"/>
        <v>0</v>
      </c>
      <c r="BW249" s="136">
        <f t="shared" si="32"/>
        <v>0</v>
      </c>
      <c r="BX249" s="136">
        <f t="shared" si="32"/>
        <v>0</v>
      </c>
      <c r="BZ249" s="136">
        <f t="shared" si="33"/>
        <v>0</v>
      </c>
      <c r="CA249" s="136">
        <f t="shared" si="33"/>
        <v>0</v>
      </c>
    </row>
    <row r="250" spans="12:79" hidden="1" x14ac:dyDescent="0.3">
      <c r="L250" s="136">
        <f t="shared" si="31"/>
        <v>0</v>
      </c>
      <c r="M250" s="136">
        <f t="shared" si="31"/>
        <v>0</v>
      </c>
      <c r="N250" s="136">
        <f t="shared" si="31"/>
        <v>0</v>
      </c>
      <c r="O250" s="136">
        <f t="shared" si="31"/>
        <v>0</v>
      </c>
      <c r="P250" s="136">
        <f t="shared" si="31"/>
        <v>0</v>
      </c>
      <c r="Q250" s="136">
        <f t="shared" si="31"/>
        <v>0</v>
      </c>
      <c r="R250" s="136">
        <f t="shared" si="31"/>
        <v>0</v>
      </c>
      <c r="S250" s="136">
        <f t="shared" si="31"/>
        <v>0</v>
      </c>
      <c r="T250" s="136">
        <f t="shared" si="31"/>
        <v>0</v>
      </c>
      <c r="U250" s="136">
        <f t="shared" si="31"/>
        <v>0</v>
      </c>
      <c r="V250" s="136">
        <f t="shared" si="31"/>
        <v>0</v>
      </c>
      <c r="W250" s="136">
        <f t="shared" si="31"/>
        <v>0</v>
      </c>
      <c r="X250" s="136">
        <f t="shared" si="31"/>
        <v>0</v>
      </c>
      <c r="Y250" s="136">
        <f t="shared" si="31"/>
        <v>0</v>
      </c>
      <c r="Z250" s="136">
        <f t="shared" si="31"/>
        <v>0</v>
      </c>
      <c r="AA250" s="136">
        <f t="shared" si="31"/>
        <v>0</v>
      </c>
      <c r="AB250" s="136">
        <f t="shared" si="31"/>
        <v>0</v>
      </c>
      <c r="AC250" s="136">
        <f t="shared" si="31"/>
        <v>0</v>
      </c>
      <c r="AD250" s="136">
        <f t="shared" si="31"/>
        <v>0</v>
      </c>
      <c r="AE250" s="136">
        <f t="shared" si="31"/>
        <v>0</v>
      </c>
      <c r="AF250" s="136">
        <f t="shared" si="31"/>
        <v>0</v>
      </c>
      <c r="AG250" s="136">
        <f t="shared" si="31"/>
        <v>0</v>
      </c>
      <c r="AH250" s="136">
        <f t="shared" si="31"/>
        <v>0</v>
      </c>
      <c r="AI250" s="136">
        <f t="shared" si="31"/>
        <v>0</v>
      </c>
      <c r="AJ250" s="136">
        <f t="shared" si="31"/>
        <v>0</v>
      </c>
      <c r="AK250" s="136">
        <f t="shared" si="31"/>
        <v>0</v>
      </c>
      <c r="AL250" s="136">
        <f t="shared" si="31"/>
        <v>0</v>
      </c>
      <c r="AM250" s="136">
        <f t="shared" si="31"/>
        <v>0</v>
      </c>
      <c r="AN250" s="136">
        <f t="shared" si="31"/>
        <v>0</v>
      </c>
      <c r="AO250" s="136">
        <f t="shared" si="31"/>
        <v>0</v>
      </c>
      <c r="AP250" s="136">
        <f t="shared" si="31"/>
        <v>0</v>
      </c>
      <c r="AQ250" s="136">
        <f t="shared" si="31"/>
        <v>0</v>
      </c>
      <c r="AR250" s="136">
        <f t="shared" si="31"/>
        <v>0</v>
      </c>
      <c r="AS250" s="136">
        <f t="shared" si="31"/>
        <v>0</v>
      </c>
      <c r="AT250" s="136">
        <f t="shared" si="31"/>
        <v>0</v>
      </c>
      <c r="AU250" s="136">
        <f t="shared" si="31"/>
        <v>0</v>
      </c>
      <c r="AV250" s="136">
        <f t="shared" si="31"/>
        <v>0</v>
      </c>
      <c r="AW250" s="136">
        <f t="shared" si="31"/>
        <v>0</v>
      </c>
      <c r="AX250" s="136">
        <f t="shared" si="31"/>
        <v>0</v>
      </c>
      <c r="AY250" s="136">
        <f t="shared" si="31"/>
        <v>0</v>
      </c>
      <c r="AZ250" s="136">
        <f t="shared" si="31"/>
        <v>0</v>
      </c>
      <c r="BA250" s="136">
        <f t="shared" si="31"/>
        <v>0</v>
      </c>
      <c r="BB250" s="136">
        <f t="shared" si="31"/>
        <v>0</v>
      </c>
      <c r="BC250" s="136">
        <f t="shared" si="31"/>
        <v>0</v>
      </c>
      <c r="BD250" s="136">
        <f t="shared" si="31"/>
        <v>0</v>
      </c>
      <c r="BE250" s="136">
        <f t="shared" si="31"/>
        <v>-37521037</v>
      </c>
      <c r="BF250" s="136">
        <f t="shared" si="31"/>
        <v>0</v>
      </c>
      <c r="BG250" s="136">
        <f t="shared" si="31"/>
        <v>0</v>
      </c>
      <c r="BH250" s="136">
        <f t="shared" si="31"/>
        <v>0</v>
      </c>
      <c r="BI250" s="136">
        <f t="shared" si="31"/>
        <v>0</v>
      </c>
      <c r="BJ250" s="136">
        <f t="shared" si="31"/>
        <v>0</v>
      </c>
      <c r="BK250" s="136">
        <f t="shared" si="31"/>
        <v>0</v>
      </c>
      <c r="BL250" s="136">
        <f t="shared" si="31"/>
        <v>0</v>
      </c>
      <c r="BM250" s="136">
        <f t="shared" si="31"/>
        <v>0</v>
      </c>
      <c r="BN250" s="136">
        <f t="shared" si="31"/>
        <v>0</v>
      </c>
      <c r="BO250" s="136">
        <f t="shared" si="31"/>
        <v>0</v>
      </c>
      <c r="BP250" s="136">
        <f t="shared" si="31"/>
        <v>0</v>
      </c>
      <c r="BQ250" s="136">
        <f t="shared" si="31"/>
        <v>0</v>
      </c>
      <c r="BR250" s="136">
        <f t="shared" si="31"/>
        <v>0</v>
      </c>
      <c r="BS250" s="136">
        <f t="shared" si="31"/>
        <v>0</v>
      </c>
      <c r="BT250" s="136">
        <f>BT25-EL25</f>
        <v>-37521037</v>
      </c>
      <c r="BU250" s="136">
        <f t="shared" si="32"/>
        <v>0</v>
      </c>
      <c r="BV250" s="136">
        <f t="shared" si="32"/>
        <v>0</v>
      </c>
      <c r="BW250" s="136">
        <f t="shared" si="32"/>
        <v>0</v>
      </c>
      <c r="BX250" s="136">
        <f t="shared" si="32"/>
        <v>0</v>
      </c>
      <c r="BZ250" s="136">
        <f t="shared" si="33"/>
        <v>0</v>
      </c>
      <c r="CA250" s="136">
        <f t="shared" si="33"/>
        <v>0</v>
      </c>
    </row>
    <row r="251" spans="12:79" hidden="1" x14ac:dyDescent="0.3">
      <c r="L251" s="136" t="e">
        <f>#REF!-#REF!</f>
        <v>#REF!</v>
      </c>
      <c r="M251" s="136" t="e">
        <f>#REF!-#REF!</f>
        <v>#REF!</v>
      </c>
      <c r="N251" s="136" t="e">
        <f>#REF!-#REF!</f>
        <v>#REF!</v>
      </c>
      <c r="O251" s="136" t="e">
        <f>#REF!-#REF!</f>
        <v>#REF!</v>
      </c>
      <c r="P251" s="136" t="e">
        <f>#REF!-#REF!</f>
        <v>#REF!</v>
      </c>
      <c r="Q251" s="136" t="e">
        <f>#REF!-#REF!</f>
        <v>#REF!</v>
      </c>
      <c r="R251" s="136" t="e">
        <f>#REF!-#REF!</f>
        <v>#REF!</v>
      </c>
      <c r="S251" s="136" t="e">
        <f>#REF!-#REF!</f>
        <v>#REF!</v>
      </c>
      <c r="T251" s="136" t="e">
        <f>#REF!-#REF!</f>
        <v>#REF!</v>
      </c>
      <c r="U251" s="136" t="e">
        <f>#REF!-#REF!</f>
        <v>#REF!</v>
      </c>
      <c r="V251" s="136" t="e">
        <f>#REF!-#REF!</f>
        <v>#REF!</v>
      </c>
      <c r="W251" s="136" t="e">
        <f>#REF!-#REF!</f>
        <v>#REF!</v>
      </c>
      <c r="X251" s="136" t="e">
        <f>#REF!-#REF!</f>
        <v>#REF!</v>
      </c>
      <c r="Y251" s="136" t="e">
        <f>#REF!-#REF!</f>
        <v>#REF!</v>
      </c>
      <c r="Z251" s="136" t="e">
        <f>#REF!-#REF!</f>
        <v>#REF!</v>
      </c>
      <c r="AA251" s="136" t="e">
        <f>#REF!-#REF!</f>
        <v>#REF!</v>
      </c>
      <c r="AB251" s="136" t="e">
        <f>#REF!-#REF!</f>
        <v>#REF!</v>
      </c>
      <c r="AC251" s="136" t="e">
        <f>#REF!-#REF!</f>
        <v>#REF!</v>
      </c>
      <c r="AD251" s="136" t="e">
        <f>#REF!-#REF!</f>
        <v>#REF!</v>
      </c>
      <c r="AE251" s="136" t="e">
        <f>#REF!-#REF!</f>
        <v>#REF!</v>
      </c>
      <c r="AF251" s="136" t="e">
        <f>#REF!-#REF!</f>
        <v>#REF!</v>
      </c>
      <c r="AG251" s="136" t="e">
        <f>#REF!-#REF!</f>
        <v>#REF!</v>
      </c>
      <c r="AH251" s="136" t="e">
        <f>#REF!-#REF!</f>
        <v>#REF!</v>
      </c>
      <c r="AI251" s="136" t="e">
        <f>#REF!-#REF!</f>
        <v>#REF!</v>
      </c>
      <c r="AJ251" s="136" t="e">
        <f>#REF!-#REF!</f>
        <v>#REF!</v>
      </c>
      <c r="AK251" s="136" t="e">
        <f>#REF!-#REF!</f>
        <v>#REF!</v>
      </c>
      <c r="AL251" s="136" t="e">
        <f>#REF!-#REF!</f>
        <v>#REF!</v>
      </c>
      <c r="AM251" s="136" t="e">
        <f>#REF!-#REF!</f>
        <v>#REF!</v>
      </c>
      <c r="AN251" s="136" t="e">
        <f>#REF!-#REF!</f>
        <v>#REF!</v>
      </c>
      <c r="AO251" s="136" t="e">
        <f>#REF!-#REF!</f>
        <v>#REF!</v>
      </c>
      <c r="AP251" s="136" t="e">
        <f>#REF!-#REF!</f>
        <v>#REF!</v>
      </c>
      <c r="AQ251" s="136" t="e">
        <f>#REF!-#REF!</f>
        <v>#REF!</v>
      </c>
      <c r="AR251" s="136" t="e">
        <f>#REF!-#REF!</f>
        <v>#REF!</v>
      </c>
      <c r="AS251" s="136" t="e">
        <f>#REF!-#REF!</f>
        <v>#REF!</v>
      </c>
      <c r="AT251" s="136" t="e">
        <f>#REF!-#REF!</f>
        <v>#REF!</v>
      </c>
      <c r="AU251" s="136" t="e">
        <f>#REF!-#REF!</f>
        <v>#REF!</v>
      </c>
      <c r="AV251" s="136" t="e">
        <f>#REF!-#REF!</f>
        <v>#REF!</v>
      </c>
      <c r="AW251" s="136" t="e">
        <f>#REF!-#REF!</f>
        <v>#REF!</v>
      </c>
      <c r="AX251" s="136" t="e">
        <f>#REF!-#REF!</f>
        <v>#REF!</v>
      </c>
      <c r="AY251" s="136" t="e">
        <f>#REF!-#REF!</f>
        <v>#REF!</v>
      </c>
      <c r="AZ251" s="136" t="e">
        <f>#REF!-#REF!</f>
        <v>#REF!</v>
      </c>
      <c r="BA251" s="136" t="e">
        <f>#REF!-#REF!</f>
        <v>#REF!</v>
      </c>
      <c r="BB251" s="136" t="e">
        <f>#REF!-#REF!</f>
        <v>#REF!</v>
      </c>
      <c r="BC251" s="136" t="e">
        <f>#REF!-#REF!</f>
        <v>#REF!</v>
      </c>
      <c r="BD251" s="136" t="e">
        <f>#REF!-#REF!</f>
        <v>#REF!</v>
      </c>
      <c r="BE251" s="136" t="e">
        <f>#REF!-#REF!</f>
        <v>#REF!</v>
      </c>
      <c r="BF251" s="136" t="e">
        <f>#REF!-#REF!</f>
        <v>#REF!</v>
      </c>
      <c r="BG251" s="136" t="e">
        <f>#REF!-#REF!</f>
        <v>#REF!</v>
      </c>
      <c r="BH251" s="136" t="e">
        <f>#REF!-#REF!</f>
        <v>#REF!</v>
      </c>
      <c r="BI251" s="136" t="e">
        <f>#REF!-#REF!</f>
        <v>#REF!</v>
      </c>
      <c r="BJ251" s="136" t="e">
        <f>#REF!-#REF!</f>
        <v>#REF!</v>
      </c>
      <c r="BK251" s="136" t="e">
        <f>#REF!-#REF!</f>
        <v>#REF!</v>
      </c>
      <c r="BL251" s="136" t="e">
        <f>#REF!-#REF!</f>
        <v>#REF!</v>
      </c>
      <c r="BM251" s="136" t="e">
        <f>#REF!-#REF!</f>
        <v>#REF!</v>
      </c>
      <c r="BN251" s="136" t="e">
        <f>#REF!-#REF!</f>
        <v>#REF!</v>
      </c>
      <c r="BO251" s="136" t="e">
        <f>#REF!-#REF!</f>
        <v>#REF!</v>
      </c>
      <c r="BP251" s="136" t="e">
        <f>#REF!-#REF!</f>
        <v>#REF!</v>
      </c>
      <c r="BQ251" s="136" t="e">
        <f>#REF!-#REF!</f>
        <v>#REF!</v>
      </c>
      <c r="BR251" s="136" t="e">
        <f>#REF!-#REF!</f>
        <v>#REF!</v>
      </c>
      <c r="BS251" s="136" t="e">
        <f>#REF!-#REF!</f>
        <v>#REF!</v>
      </c>
      <c r="BT251" s="136" t="e">
        <f>#REF!-#REF!</f>
        <v>#REF!</v>
      </c>
      <c r="BU251" s="136" t="e">
        <f>#REF!-#REF!</f>
        <v>#REF!</v>
      </c>
      <c r="BV251" s="136" t="e">
        <f>#REF!-#REF!</f>
        <v>#REF!</v>
      </c>
      <c r="BW251" s="136" t="e">
        <f>#REF!-#REF!</f>
        <v>#REF!</v>
      </c>
      <c r="BX251" s="136" t="e">
        <f>#REF!-#REF!</f>
        <v>#REF!</v>
      </c>
      <c r="BZ251" s="136" t="e">
        <f>#REF!-#REF!</f>
        <v>#REF!</v>
      </c>
      <c r="CA251" s="136" t="e">
        <f>#REF!-#REF!</f>
        <v>#REF!</v>
      </c>
    </row>
    <row r="252" spans="12:79" hidden="1" x14ac:dyDescent="0.3">
      <c r="L252" s="136">
        <f t="shared" ref="L252:BW252" si="34">L26-CD26</f>
        <v>0</v>
      </c>
      <c r="M252" s="136">
        <f t="shared" si="34"/>
        <v>0</v>
      </c>
      <c r="N252" s="136">
        <f t="shared" si="34"/>
        <v>0</v>
      </c>
      <c r="O252" s="136">
        <f t="shared" si="34"/>
        <v>0</v>
      </c>
      <c r="P252" s="136">
        <f t="shared" si="34"/>
        <v>0</v>
      </c>
      <c r="Q252" s="136">
        <f t="shared" si="34"/>
        <v>0</v>
      </c>
      <c r="R252" s="136">
        <f t="shared" si="34"/>
        <v>0</v>
      </c>
      <c r="S252" s="136">
        <f t="shared" si="34"/>
        <v>0</v>
      </c>
      <c r="T252" s="136">
        <f t="shared" si="34"/>
        <v>0</v>
      </c>
      <c r="U252" s="136">
        <f t="shared" si="34"/>
        <v>0</v>
      </c>
      <c r="V252" s="136">
        <f t="shared" si="34"/>
        <v>0</v>
      </c>
      <c r="W252" s="136">
        <f t="shared" si="34"/>
        <v>0</v>
      </c>
      <c r="X252" s="136">
        <f t="shared" si="34"/>
        <v>0</v>
      </c>
      <c r="Y252" s="136">
        <f t="shared" si="34"/>
        <v>0</v>
      </c>
      <c r="Z252" s="136">
        <f t="shared" si="34"/>
        <v>0</v>
      </c>
      <c r="AA252" s="136">
        <f t="shared" si="34"/>
        <v>0</v>
      </c>
      <c r="AB252" s="136">
        <f t="shared" si="34"/>
        <v>0</v>
      </c>
      <c r="AC252" s="136">
        <f t="shared" si="34"/>
        <v>0</v>
      </c>
      <c r="AD252" s="136">
        <f t="shared" si="34"/>
        <v>0</v>
      </c>
      <c r="AE252" s="136">
        <f t="shared" si="34"/>
        <v>0</v>
      </c>
      <c r="AF252" s="136">
        <f t="shared" si="34"/>
        <v>0</v>
      </c>
      <c r="AG252" s="136">
        <f t="shared" si="34"/>
        <v>0</v>
      </c>
      <c r="AH252" s="136">
        <f t="shared" si="34"/>
        <v>0</v>
      </c>
      <c r="AI252" s="136">
        <f t="shared" si="34"/>
        <v>0</v>
      </c>
      <c r="AJ252" s="136">
        <f t="shared" si="34"/>
        <v>0</v>
      </c>
      <c r="AK252" s="136">
        <f t="shared" si="34"/>
        <v>0</v>
      </c>
      <c r="AL252" s="136">
        <f t="shared" si="34"/>
        <v>0</v>
      </c>
      <c r="AM252" s="136">
        <f t="shared" si="34"/>
        <v>0</v>
      </c>
      <c r="AN252" s="136">
        <f t="shared" si="34"/>
        <v>0</v>
      </c>
      <c r="AO252" s="136">
        <f t="shared" si="34"/>
        <v>0</v>
      </c>
      <c r="AP252" s="136">
        <f t="shared" si="34"/>
        <v>0</v>
      </c>
      <c r="AQ252" s="136">
        <f t="shared" si="34"/>
        <v>0</v>
      </c>
      <c r="AR252" s="136">
        <f t="shared" si="34"/>
        <v>0</v>
      </c>
      <c r="AS252" s="136">
        <f t="shared" si="34"/>
        <v>0</v>
      </c>
      <c r="AT252" s="136">
        <f t="shared" si="34"/>
        <v>0</v>
      </c>
      <c r="AU252" s="136">
        <f t="shared" si="34"/>
        <v>0</v>
      </c>
      <c r="AV252" s="136">
        <f t="shared" si="34"/>
        <v>0</v>
      </c>
      <c r="AW252" s="136">
        <f t="shared" si="34"/>
        <v>0</v>
      </c>
      <c r="AX252" s="136">
        <f t="shared" si="34"/>
        <v>0</v>
      </c>
      <c r="AY252" s="136">
        <f t="shared" si="34"/>
        <v>0</v>
      </c>
      <c r="AZ252" s="136">
        <f t="shared" si="34"/>
        <v>0</v>
      </c>
      <c r="BA252" s="136">
        <f t="shared" si="34"/>
        <v>0</v>
      </c>
      <c r="BB252" s="136">
        <f t="shared" si="34"/>
        <v>0</v>
      </c>
      <c r="BC252" s="136">
        <f t="shared" si="34"/>
        <v>0</v>
      </c>
      <c r="BD252" s="136">
        <f t="shared" si="34"/>
        <v>0</v>
      </c>
      <c r="BE252" s="136">
        <f t="shared" si="34"/>
        <v>-20197312</v>
      </c>
      <c r="BF252" s="136">
        <f t="shared" si="34"/>
        <v>0</v>
      </c>
      <c r="BG252" s="136">
        <f t="shared" si="34"/>
        <v>0</v>
      </c>
      <c r="BH252" s="136">
        <f t="shared" si="34"/>
        <v>0</v>
      </c>
      <c r="BI252" s="136">
        <f t="shared" si="34"/>
        <v>0</v>
      </c>
      <c r="BJ252" s="136">
        <f t="shared" si="34"/>
        <v>0</v>
      </c>
      <c r="BK252" s="136">
        <f t="shared" si="34"/>
        <v>0</v>
      </c>
      <c r="BL252" s="136">
        <f t="shared" si="34"/>
        <v>0</v>
      </c>
      <c r="BM252" s="136">
        <f t="shared" si="34"/>
        <v>0</v>
      </c>
      <c r="BN252" s="136">
        <f t="shared" si="34"/>
        <v>0</v>
      </c>
      <c r="BO252" s="136">
        <f t="shared" si="34"/>
        <v>0</v>
      </c>
      <c r="BP252" s="136">
        <f t="shared" si="34"/>
        <v>0</v>
      </c>
      <c r="BQ252" s="136">
        <f t="shared" si="34"/>
        <v>0</v>
      </c>
      <c r="BR252" s="136">
        <f t="shared" si="34"/>
        <v>0</v>
      </c>
      <c r="BS252" s="136">
        <f t="shared" si="34"/>
        <v>0</v>
      </c>
      <c r="BT252" s="136">
        <f t="shared" si="34"/>
        <v>-20197312</v>
      </c>
      <c r="BU252" s="136">
        <f t="shared" si="34"/>
        <v>0</v>
      </c>
      <c r="BV252" s="136">
        <f t="shared" si="34"/>
        <v>0</v>
      </c>
      <c r="BW252" s="136">
        <f t="shared" si="34"/>
        <v>0</v>
      </c>
      <c r="BX252" s="136">
        <f>BX26-EP26</f>
        <v>0</v>
      </c>
      <c r="BZ252" s="136">
        <f>BZ26-ER26</f>
        <v>0</v>
      </c>
      <c r="CA252" s="136">
        <f>CA26-ES26</f>
        <v>0</v>
      </c>
    </row>
    <row r="253" spans="12:79" hidden="1" x14ac:dyDescent="0.3">
      <c r="L253" s="136">
        <f t="shared" ref="L253:BW255" si="35">L31-CD31</f>
        <v>0</v>
      </c>
      <c r="M253" s="136">
        <f t="shared" si="35"/>
        <v>0</v>
      </c>
      <c r="N253" s="136">
        <f t="shared" si="35"/>
        <v>0</v>
      </c>
      <c r="O253" s="136">
        <f t="shared" si="35"/>
        <v>0</v>
      </c>
      <c r="P253" s="136">
        <f t="shared" si="35"/>
        <v>0</v>
      </c>
      <c r="Q253" s="136">
        <f t="shared" si="35"/>
        <v>0</v>
      </c>
      <c r="R253" s="136">
        <f t="shared" si="35"/>
        <v>0</v>
      </c>
      <c r="S253" s="136">
        <f t="shared" si="35"/>
        <v>0</v>
      </c>
      <c r="T253" s="136">
        <f t="shared" si="35"/>
        <v>0</v>
      </c>
      <c r="U253" s="136">
        <f t="shared" si="35"/>
        <v>0</v>
      </c>
      <c r="V253" s="136">
        <f t="shared" si="35"/>
        <v>0</v>
      </c>
      <c r="W253" s="136">
        <f t="shared" si="35"/>
        <v>0</v>
      </c>
      <c r="X253" s="136">
        <f t="shared" si="35"/>
        <v>0</v>
      </c>
      <c r="Y253" s="136">
        <f t="shared" si="35"/>
        <v>0</v>
      </c>
      <c r="Z253" s="136">
        <f t="shared" si="35"/>
        <v>0</v>
      </c>
      <c r="AA253" s="136">
        <f t="shared" si="35"/>
        <v>0</v>
      </c>
      <c r="AB253" s="136">
        <f t="shared" si="35"/>
        <v>0</v>
      </c>
      <c r="AC253" s="136">
        <f t="shared" si="35"/>
        <v>0</v>
      </c>
      <c r="AD253" s="136">
        <f t="shared" si="35"/>
        <v>0</v>
      </c>
      <c r="AE253" s="136">
        <f t="shared" si="35"/>
        <v>0</v>
      </c>
      <c r="AF253" s="136">
        <f t="shared" si="35"/>
        <v>0</v>
      </c>
      <c r="AG253" s="136">
        <f t="shared" si="35"/>
        <v>0</v>
      </c>
      <c r="AH253" s="136">
        <f t="shared" si="35"/>
        <v>0</v>
      </c>
      <c r="AI253" s="136">
        <f t="shared" si="35"/>
        <v>0</v>
      </c>
      <c r="AJ253" s="136">
        <f t="shared" si="35"/>
        <v>0</v>
      </c>
      <c r="AK253" s="136">
        <f t="shared" si="35"/>
        <v>0</v>
      </c>
      <c r="AL253" s="136">
        <f t="shared" si="35"/>
        <v>0</v>
      </c>
      <c r="AM253" s="136">
        <f t="shared" si="35"/>
        <v>0</v>
      </c>
      <c r="AN253" s="136">
        <f t="shared" si="35"/>
        <v>0</v>
      </c>
      <c r="AO253" s="136">
        <f t="shared" si="35"/>
        <v>0</v>
      </c>
      <c r="AP253" s="136">
        <f t="shared" si="35"/>
        <v>0</v>
      </c>
      <c r="AQ253" s="136">
        <f t="shared" si="35"/>
        <v>0</v>
      </c>
      <c r="AR253" s="136">
        <f t="shared" si="35"/>
        <v>0</v>
      </c>
      <c r="AS253" s="136">
        <f t="shared" si="35"/>
        <v>0</v>
      </c>
      <c r="AT253" s="136">
        <f t="shared" si="35"/>
        <v>0</v>
      </c>
      <c r="AU253" s="136">
        <f t="shared" si="35"/>
        <v>0</v>
      </c>
      <c r="AV253" s="136">
        <f t="shared" si="35"/>
        <v>0</v>
      </c>
      <c r="AW253" s="136">
        <f t="shared" si="35"/>
        <v>0</v>
      </c>
      <c r="AX253" s="136">
        <f t="shared" si="35"/>
        <v>0</v>
      </c>
      <c r="AY253" s="136">
        <f t="shared" si="35"/>
        <v>0</v>
      </c>
      <c r="AZ253" s="136">
        <f t="shared" si="35"/>
        <v>0</v>
      </c>
      <c r="BA253" s="136">
        <f t="shared" si="35"/>
        <v>0</v>
      </c>
      <c r="BB253" s="136">
        <f t="shared" si="35"/>
        <v>0</v>
      </c>
      <c r="BC253" s="136">
        <f t="shared" si="35"/>
        <v>0</v>
      </c>
      <c r="BD253" s="136">
        <f t="shared" si="35"/>
        <v>0</v>
      </c>
      <c r="BE253" s="136">
        <f t="shared" si="35"/>
        <v>0</v>
      </c>
      <c r="BF253" s="136">
        <f t="shared" si="35"/>
        <v>0</v>
      </c>
      <c r="BG253" s="136">
        <f t="shared" si="35"/>
        <v>0</v>
      </c>
      <c r="BH253" s="136">
        <f t="shared" si="35"/>
        <v>0</v>
      </c>
      <c r="BI253" s="136">
        <f t="shared" si="35"/>
        <v>0</v>
      </c>
      <c r="BJ253" s="136">
        <f t="shared" si="35"/>
        <v>0</v>
      </c>
      <c r="BK253" s="136">
        <f t="shared" si="35"/>
        <v>0</v>
      </c>
      <c r="BL253" s="136">
        <f t="shared" si="35"/>
        <v>0</v>
      </c>
      <c r="BM253" s="136">
        <f t="shared" si="35"/>
        <v>0</v>
      </c>
      <c r="BN253" s="136">
        <f t="shared" si="35"/>
        <v>0</v>
      </c>
      <c r="BO253" s="136">
        <f t="shared" si="35"/>
        <v>0</v>
      </c>
      <c r="BP253" s="136">
        <f t="shared" si="35"/>
        <v>0</v>
      </c>
      <c r="BQ253" s="136">
        <f t="shared" si="35"/>
        <v>0</v>
      </c>
      <c r="BR253" s="136">
        <f t="shared" si="35"/>
        <v>0</v>
      </c>
      <c r="BS253" s="136">
        <f t="shared" si="35"/>
        <v>0</v>
      </c>
      <c r="BT253" s="136">
        <f t="shared" si="35"/>
        <v>0</v>
      </c>
      <c r="BU253" s="136">
        <f t="shared" si="35"/>
        <v>0</v>
      </c>
      <c r="BV253" s="136">
        <f t="shared" si="35"/>
        <v>0</v>
      </c>
      <c r="BW253" s="136">
        <f t="shared" si="35"/>
        <v>0</v>
      </c>
      <c r="BX253" s="136">
        <f t="shared" ref="BT253:BX255" si="36">BX31-EP31</f>
        <v>0</v>
      </c>
      <c r="BZ253" s="136">
        <f t="shared" ref="BZ253:CA255" si="37">BZ31-ER31</f>
        <v>0</v>
      </c>
      <c r="CA253" s="136">
        <f t="shared" si="37"/>
        <v>0</v>
      </c>
    </row>
    <row r="254" spans="12:79" hidden="1" x14ac:dyDescent="0.3">
      <c r="L254" s="136">
        <f t="shared" si="35"/>
        <v>0</v>
      </c>
      <c r="M254" s="136">
        <f t="shared" si="35"/>
        <v>0</v>
      </c>
      <c r="N254" s="136">
        <f t="shared" si="35"/>
        <v>0</v>
      </c>
      <c r="O254" s="136">
        <f t="shared" si="35"/>
        <v>0</v>
      </c>
      <c r="P254" s="136">
        <f t="shared" si="35"/>
        <v>0</v>
      </c>
      <c r="Q254" s="136">
        <f t="shared" si="35"/>
        <v>0</v>
      </c>
      <c r="R254" s="136">
        <f t="shared" si="35"/>
        <v>0</v>
      </c>
      <c r="S254" s="136">
        <f t="shared" si="35"/>
        <v>0</v>
      </c>
      <c r="T254" s="136">
        <f t="shared" si="35"/>
        <v>0</v>
      </c>
      <c r="U254" s="136">
        <f t="shared" si="35"/>
        <v>0</v>
      </c>
      <c r="V254" s="136">
        <f t="shared" si="35"/>
        <v>0</v>
      </c>
      <c r="W254" s="136">
        <f t="shared" si="35"/>
        <v>0</v>
      </c>
      <c r="X254" s="136">
        <f t="shared" si="35"/>
        <v>0</v>
      </c>
      <c r="Y254" s="136">
        <f t="shared" si="35"/>
        <v>0</v>
      </c>
      <c r="Z254" s="136">
        <f t="shared" si="35"/>
        <v>0</v>
      </c>
      <c r="AA254" s="136">
        <f t="shared" si="35"/>
        <v>0</v>
      </c>
      <c r="AB254" s="136">
        <f t="shared" si="35"/>
        <v>0</v>
      </c>
      <c r="AC254" s="136">
        <f t="shared" si="35"/>
        <v>0</v>
      </c>
      <c r="AD254" s="136">
        <f t="shared" si="35"/>
        <v>0</v>
      </c>
      <c r="AE254" s="136">
        <f t="shared" si="35"/>
        <v>0</v>
      </c>
      <c r="AF254" s="136">
        <f t="shared" si="35"/>
        <v>0</v>
      </c>
      <c r="AG254" s="136">
        <f t="shared" si="35"/>
        <v>0</v>
      </c>
      <c r="AH254" s="136">
        <f t="shared" si="35"/>
        <v>0</v>
      </c>
      <c r="AI254" s="136">
        <f t="shared" si="35"/>
        <v>0</v>
      </c>
      <c r="AJ254" s="136">
        <f t="shared" si="35"/>
        <v>0</v>
      </c>
      <c r="AK254" s="136">
        <f t="shared" si="35"/>
        <v>0</v>
      </c>
      <c r="AL254" s="136">
        <f t="shared" si="35"/>
        <v>0</v>
      </c>
      <c r="AM254" s="136">
        <f t="shared" si="35"/>
        <v>0</v>
      </c>
      <c r="AN254" s="136">
        <f t="shared" si="35"/>
        <v>0</v>
      </c>
      <c r="AO254" s="136">
        <f t="shared" si="35"/>
        <v>0</v>
      </c>
      <c r="AP254" s="136">
        <f t="shared" si="35"/>
        <v>0</v>
      </c>
      <c r="AQ254" s="136">
        <f t="shared" si="35"/>
        <v>0</v>
      </c>
      <c r="AR254" s="136">
        <f t="shared" si="35"/>
        <v>0</v>
      </c>
      <c r="AS254" s="136">
        <f t="shared" si="35"/>
        <v>0</v>
      </c>
      <c r="AT254" s="136">
        <f t="shared" si="35"/>
        <v>0</v>
      </c>
      <c r="AU254" s="136">
        <f t="shared" si="35"/>
        <v>0</v>
      </c>
      <c r="AV254" s="136">
        <f t="shared" si="35"/>
        <v>0</v>
      </c>
      <c r="AW254" s="136">
        <f t="shared" si="35"/>
        <v>0</v>
      </c>
      <c r="AX254" s="136">
        <f t="shared" si="35"/>
        <v>0</v>
      </c>
      <c r="AY254" s="136">
        <f t="shared" si="35"/>
        <v>0</v>
      </c>
      <c r="AZ254" s="136">
        <f t="shared" si="35"/>
        <v>0</v>
      </c>
      <c r="BA254" s="136">
        <f t="shared" si="35"/>
        <v>0</v>
      </c>
      <c r="BB254" s="136">
        <f t="shared" si="35"/>
        <v>0</v>
      </c>
      <c r="BC254" s="136">
        <f t="shared" si="35"/>
        <v>0</v>
      </c>
      <c r="BD254" s="136">
        <f t="shared" si="35"/>
        <v>0</v>
      </c>
      <c r="BE254" s="136">
        <f t="shared" si="35"/>
        <v>0</v>
      </c>
      <c r="BF254" s="136">
        <f t="shared" si="35"/>
        <v>0</v>
      </c>
      <c r="BG254" s="136">
        <f t="shared" si="35"/>
        <v>0</v>
      </c>
      <c r="BH254" s="136">
        <f t="shared" si="35"/>
        <v>0</v>
      </c>
      <c r="BI254" s="136">
        <f t="shared" si="35"/>
        <v>0</v>
      </c>
      <c r="BJ254" s="136">
        <f t="shared" si="35"/>
        <v>0</v>
      </c>
      <c r="BK254" s="136">
        <f t="shared" si="35"/>
        <v>0</v>
      </c>
      <c r="BL254" s="136">
        <f t="shared" si="35"/>
        <v>0</v>
      </c>
      <c r="BM254" s="136">
        <f t="shared" si="35"/>
        <v>0</v>
      </c>
      <c r="BN254" s="136">
        <f t="shared" si="35"/>
        <v>0</v>
      </c>
      <c r="BO254" s="136">
        <f t="shared" si="35"/>
        <v>0</v>
      </c>
      <c r="BP254" s="136">
        <f t="shared" si="35"/>
        <v>0</v>
      </c>
      <c r="BQ254" s="136">
        <f t="shared" si="35"/>
        <v>0</v>
      </c>
      <c r="BR254" s="136">
        <f t="shared" si="35"/>
        <v>0</v>
      </c>
      <c r="BS254" s="136">
        <f t="shared" si="35"/>
        <v>0</v>
      </c>
      <c r="BT254" s="136">
        <f t="shared" si="36"/>
        <v>0</v>
      </c>
      <c r="BU254" s="136">
        <f t="shared" si="36"/>
        <v>0</v>
      </c>
      <c r="BV254" s="136">
        <f t="shared" si="36"/>
        <v>0</v>
      </c>
      <c r="BW254" s="136">
        <f t="shared" si="36"/>
        <v>0</v>
      </c>
      <c r="BX254" s="136">
        <f t="shared" si="36"/>
        <v>0</v>
      </c>
      <c r="BZ254" s="136">
        <f t="shared" si="37"/>
        <v>0</v>
      </c>
      <c r="CA254" s="136">
        <f t="shared" si="37"/>
        <v>0</v>
      </c>
    </row>
    <row r="255" spans="12:79" hidden="1" x14ac:dyDescent="0.3">
      <c r="L255" s="136">
        <f t="shared" si="35"/>
        <v>0</v>
      </c>
      <c r="M255" s="136">
        <f t="shared" si="35"/>
        <v>0</v>
      </c>
      <c r="N255" s="136">
        <f t="shared" si="35"/>
        <v>0</v>
      </c>
      <c r="O255" s="136">
        <f t="shared" si="35"/>
        <v>0</v>
      </c>
      <c r="P255" s="136">
        <f t="shared" si="35"/>
        <v>0</v>
      </c>
      <c r="Q255" s="136">
        <f t="shared" si="35"/>
        <v>0</v>
      </c>
      <c r="R255" s="136">
        <f t="shared" si="35"/>
        <v>0</v>
      </c>
      <c r="S255" s="136">
        <f t="shared" si="35"/>
        <v>0</v>
      </c>
      <c r="T255" s="136">
        <f t="shared" si="35"/>
        <v>0</v>
      </c>
      <c r="U255" s="136">
        <f t="shared" si="35"/>
        <v>0</v>
      </c>
      <c r="V255" s="136">
        <f t="shared" si="35"/>
        <v>0</v>
      </c>
      <c r="W255" s="136">
        <f t="shared" si="35"/>
        <v>0</v>
      </c>
      <c r="X255" s="136">
        <f t="shared" si="35"/>
        <v>0</v>
      </c>
      <c r="Y255" s="136">
        <f t="shared" si="35"/>
        <v>0</v>
      </c>
      <c r="Z255" s="136">
        <f t="shared" si="35"/>
        <v>0</v>
      </c>
      <c r="AA255" s="136">
        <f t="shared" si="35"/>
        <v>0</v>
      </c>
      <c r="AB255" s="136">
        <f t="shared" si="35"/>
        <v>0</v>
      </c>
      <c r="AC255" s="136">
        <f t="shared" si="35"/>
        <v>0</v>
      </c>
      <c r="AD255" s="136">
        <f t="shared" si="35"/>
        <v>0</v>
      </c>
      <c r="AE255" s="136">
        <f t="shared" si="35"/>
        <v>0</v>
      </c>
      <c r="AF255" s="136">
        <f t="shared" si="35"/>
        <v>0</v>
      </c>
      <c r="AG255" s="136">
        <f t="shared" si="35"/>
        <v>0</v>
      </c>
      <c r="AH255" s="136">
        <f t="shared" si="35"/>
        <v>0</v>
      </c>
      <c r="AI255" s="136">
        <f t="shared" si="35"/>
        <v>0</v>
      </c>
      <c r="AJ255" s="136">
        <f t="shared" si="35"/>
        <v>0</v>
      </c>
      <c r="AK255" s="136">
        <f t="shared" si="35"/>
        <v>0</v>
      </c>
      <c r="AL255" s="136">
        <f t="shared" si="35"/>
        <v>0</v>
      </c>
      <c r="AM255" s="136">
        <f t="shared" si="35"/>
        <v>0</v>
      </c>
      <c r="AN255" s="136">
        <f t="shared" si="35"/>
        <v>0</v>
      </c>
      <c r="AO255" s="136">
        <f t="shared" si="35"/>
        <v>0</v>
      </c>
      <c r="AP255" s="136">
        <f t="shared" si="35"/>
        <v>0</v>
      </c>
      <c r="AQ255" s="136">
        <f t="shared" si="35"/>
        <v>0</v>
      </c>
      <c r="AR255" s="136">
        <f t="shared" si="35"/>
        <v>0</v>
      </c>
      <c r="AS255" s="136">
        <f t="shared" si="35"/>
        <v>0</v>
      </c>
      <c r="AT255" s="136">
        <f t="shared" si="35"/>
        <v>0</v>
      </c>
      <c r="AU255" s="136">
        <f t="shared" si="35"/>
        <v>0</v>
      </c>
      <c r="AV255" s="136">
        <f t="shared" si="35"/>
        <v>0</v>
      </c>
      <c r="AW255" s="136">
        <f t="shared" si="35"/>
        <v>0</v>
      </c>
      <c r="AX255" s="136">
        <f t="shared" si="35"/>
        <v>0</v>
      </c>
      <c r="AY255" s="136">
        <f t="shared" si="35"/>
        <v>0</v>
      </c>
      <c r="AZ255" s="136">
        <f t="shared" si="35"/>
        <v>0</v>
      </c>
      <c r="BA255" s="136">
        <f t="shared" si="35"/>
        <v>0</v>
      </c>
      <c r="BB255" s="136">
        <f t="shared" si="35"/>
        <v>0</v>
      </c>
      <c r="BC255" s="136">
        <f t="shared" si="35"/>
        <v>0</v>
      </c>
      <c r="BD255" s="136">
        <f t="shared" si="35"/>
        <v>0</v>
      </c>
      <c r="BE255" s="136">
        <f t="shared" si="35"/>
        <v>0</v>
      </c>
      <c r="BF255" s="136">
        <f t="shared" si="35"/>
        <v>0</v>
      </c>
      <c r="BG255" s="136">
        <f t="shared" si="35"/>
        <v>0</v>
      </c>
      <c r="BH255" s="136">
        <f t="shared" si="35"/>
        <v>0</v>
      </c>
      <c r="BI255" s="136">
        <f t="shared" si="35"/>
        <v>0</v>
      </c>
      <c r="BJ255" s="136">
        <f t="shared" si="35"/>
        <v>0</v>
      </c>
      <c r="BK255" s="136">
        <f t="shared" si="35"/>
        <v>0</v>
      </c>
      <c r="BL255" s="136">
        <f t="shared" si="35"/>
        <v>0</v>
      </c>
      <c r="BM255" s="136">
        <f t="shared" si="35"/>
        <v>0</v>
      </c>
      <c r="BN255" s="136">
        <f t="shared" si="35"/>
        <v>0</v>
      </c>
      <c r="BO255" s="136">
        <f t="shared" si="35"/>
        <v>0</v>
      </c>
      <c r="BP255" s="136">
        <f t="shared" si="35"/>
        <v>0</v>
      </c>
      <c r="BQ255" s="136">
        <f t="shared" si="35"/>
        <v>0</v>
      </c>
      <c r="BR255" s="136">
        <f t="shared" si="35"/>
        <v>0</v>
      </c>
      <c r="BS255" s="136">
        <f t="shared" si="35"/>
        <v>0</v>
      </c>
      <c r="BT255" s="136">
        <f t="shared" si="36"/>
        <v>0</v>
      </c>
      <c r="BU255" s="136">
        <f t="shared" si="36"/>
        <v>0</v>
      </c>
      <c r="BV255" s="136">
        <f t="shared" si="36"/>
        <v>0</v>
      </c>
      <c r="BW255" s="136">
        <f t="shared" si="36"/>
        <v>0</v>
      </c>
      <c r="BX255" s="136">
        <f t="shared" si="36"/>
        <v>0</v>
      </c>
      <c r="BZ255" s="136">
        <f t="shared" si="37"/>
        <v>0</v>
      </c>
      <c r="CA255" s="136">
        <f t="shared" si="37"/>
        <v>0</v>
      </c>
    </row>
    <row r="256" spans="12:79" hidden="1" x14ac:dyDescent="0.3">
      <c r="L256" s="136" t="e">
        <f>#REF!-#REF!</f>
        <v>#REF!</v>
      </c>
      <c r="M256" s="136" t="e">
        <f>#REF!-#REF!</f>
        <v>#REF!</v>
      </c>
      <c r="N256" s="136" t="e">
        <f>#REF!-#REF!</f>
        <v>#REF!</v>
      </c>
      <c r="O256" s="136" t="e">
        <f>#REF!-#REF!</f>
        <v>#REF!</v>
      </c>
      <c r="P256" s="136" t="e">
        <f>#REF!-#REF!</f>
        <v>#REF!</v>
      </c>
      <c r="Q256" s="136" t="e">
        <f>#REF!-#REF!</f>
        <v>#REF!</v>
      </c>
      <c r="R256" s="136" t="e">
        <f>#REF!-#REF!</f>
        <v>#REF!</v>
      </c>
      <c r="S256" s="136" t="e">
        <f>#REF!-#REF!</f>
        <v>#REF!</v>
      </c>
      <c r="T256" s="136" t="e">
        <f>#REF!-#REF!</f>
        <v>#REF!</v>
      </c>
      <c r="U256" s="136" t="e">
        <f>#REF!-#REF!</f>
        <v>#REF!</v>
      </c>
      <c r="V256" s="136" t="e">
        <f>#REF!-#REF!</f>
        <v>#REF!</v>
      </c>
      <c r="W256" s="136" t="e">
        <f>#REF!-#REF!</f>
        <v>#REF!</v>
      </c>
      <c r="X256" s="136" t="e">
        <f>#REF!-#REF!</f>
        <v>#REF!</v>
      </c>
      <c r="Y256" s="136" t="e">
        <f>#REF!-#REF!</f>
        <v>#REF!</v>
      </c>
      <c r="Z256" s="136" t="e">
        <f>#REF!-#REF!</f>
        <v>#REF!</v>
      </c>
      <c r="AA256" s="136" t="e">
        <f>#REF!-#REF!</f>
        <v>#REF!</v>
      </c>
      <c r="AB256" s="136" t="e">
        <f>#REF!-#REF!</f>
        <v>#REF!</v>
      </c>
      <c r="AC256" s="136" t="e">
        <f>#REF!-#REF!</f>
        <v>#REF!</v>
      </c>
      <c r="AD256" s="136" t="e">
        <f>#REF!-#REF!</f>
        <v>#REF!</v>
      </c>
      <c r="AE256" s="136" t="e">
        <f>#REF!-#REF!</f>
        <v>#REF!</v>
      </c>
      <c r="AF256" s="136" t="e">
        <f>#REF!-#REF!</f>
        <v>#REF!</v>
      </c>
      <c r="AG256" s="136" t="e">
        <f>#REF!-#REF!</f>
        <v>#REF!</v>
      </c>
      <c r="AH256" s="136" t="e">
        <f>#REF!-#REF!</f>
        <v>#REF!</v>
      </c>
      <c r="AI256" s="136" t="e">
        <f>#REF!-#REF!</f>
        <v>#REF!</v>
      </c>
      <c r="AJ256" s="136" t="e">
        <f>#REF!-#REF!</f>
        <v>#REF!</v>
      </c>
      <c r="AK256" s="136" t="e">
        <f>#REF!-#REF!</f>
        <v>#REF!</v>
      </c>
      <c r="AL256" s="136" t="e">
        <f>#REF!-#REF!</f>
        <v>#REF!</v>
      </c>
      <c r="AM256" s="136" t="e">
        <f>#REF!-#REF!</f>
        <v>#REF!</v>
      </c>
      <c r="AN256" s="136" t="e">
        <f>#REF!-#REF!</f>
        <v>#REF!</v>
      </c>
      <c r="AO256" s="136" t="e">
        <f>#REF!-#REF!</f>
        <v>#REF!</v>
      </c>
      <c r="AP256" s="136" t="e">
        <f>#REF!-#REF!</f>
        <v>#REF!</v>
      </c>
      <c r="AQ256" s="136" t="e">
        <f>#REF!-#REF!</f>
        <v>#REF!</v>
      </c>
      <c r="AR256" s="136" t="e">
        <f>#REF!-#REF!</f>
        <v>#REF!</v>
      </c>
      <c r="AS256" s="136" t="e">
        <f>#REF!-#REF!</f>
        <v>#REF!</v>
      </c>
      <c r="AT256" s="136" t="e">
        <f>#REF!-#REF!</f>
        <v>#REF!</v>
      </c>
      <c r="AU256" s="136" t="e">
        <f>#REF!-#REF!</f>
        <v>#REF!</v>
      </c>
      <c r="AV256" s="136" t="e">
        <f>#REF!-#REF!</f>
        <v>#REF!</v>
      </c>
      <c r="AW256" s="136" t="e">
        <f>#REF!-#REF!</f>
        <v>#REF!</v>
      </c>
      <c r="AX256" s="136" t="e">
        <f>#REF!-#REF!</f>
        <v>#REF!</v>
      </c>
      <c r="AY256" s="136" t="e">
        <f>#REF!-#REF!</f>
        <v>#REF!</v>
      </c>
      <c r="AZ256" s="136" t="e">
        <f>#REF!-#REF!</f>
        <v>#REF!</v>
      </c>
      <c r="BA256" s="136" t="e">
        <f>#REF!-#REF!</f>
        <v>#REF!</v>
      </c>
      <c r="BB256" s="136" t="e">
        <f>#REF!-#REF!</f>
        <v>#REF!</v>
      </c>
      <c r="BC256" s="136" t="e">
        <f>#REF!-#REF!</f>
        <v>#REF!</v>
      </c>
      <c r="BD256" s="136" t="e">
        <f>#REF!-#REF!</f>
        <v>#REF!</v>
      </c>
      <c r="BE256" s="136" t="e">
        <f>#REF!-#REF!</f>
        <v>#REF!</v>
      </c>
      <c r="BF256" s="136" t="e">
        <f>#REF!-#REF!</f>
        <v>#REF!</v>
      </c>
      <c r="BG256" s="136" t="e">
        <f>#REF!-#REF!</f>
        <v>#REF!</v>
      </c>
      <c r="BH256" s="136" t="e">
        <f>#REF!-#REF!</f>
        <v>#REF!</v>
      </c>
      <c r="BI256" s="136" t="e">
        <f>#REF!-#REF!</f>
        <v>#REF!</v>
      </c>
      <c r="BJ256" s="136" t="e">
        <f>#REF!-#REF!</f>
        <v>#REF!</v>
      </c>
      <c r="BK256" s="136" t="e">
        <f>#REF!-#REF!</f>
        <v>#REF!</v>
      </c>
      <c r="BL256" s="136" t="e">
        <f>#REF!-#REF!</f>
        <v>#REF!</v>
      </c>
      <c r="BM256" s="136" t="e">
        <f>#REF!-#REF!</f>
        <v>#REF!</v>
      </c>
      <c r="BN256" s="136" t="e">
        <f>#REF!-#REF!</f>
        <v>#REF!</v>
      </c>
      <c r="BO256" s="136" t="e">
        <f>#REF!-#REF!</f>
        <v>#REF!</v>
      </c>
      <c r="BP256" s="136" t="e">
        <f>#REF!-#REF!</f>
        <v>#REF!</v>
      </c>
      <c r="BQ256" s="136" t="e">
        <f>#REF!-#REF!</f>
        <v>#REF!</v>
      </c>
      <c r="BR256" s="136" t="e">
        <f>#REF!-#REF!</f>
        <v>#REF!</v>
      </c>
      <c r="BS256" s="136" t="e">
        <f>#REF!-#REF!</f>
        <v>#REF!</v>
      </c>
      <c r="BT256" s="136" t="e">
        <f>#REF!-#REF!</f>
        <v>#REF!</v>
      </c>
      <c r="BU256" s="136" t="e">
        <f>#REF!-#REF!</f>
        <v>#REF!</v>
      </c>
      <c r="BV256" s="136" t="e">
        <f>#REF!-#REF!</f>
        <v>#REF!</v>
      </c>
      <c r="BW256" s="136" t="e">
        <f>#REF!-#REF!</f>
        <v>#REF!</v>
      </c>
      <c r="BX256" s="136" t="e">
        <f>#REF!-#REF!</f>
        <v>#REF!</v>
      </c>
      <c r="BZ256" s="136" t="e">
        <f>#REF!-#REF!</f>
        <v>#REF!</v>
      </c>
      <c r="CA256" s="136" t="e">
        <f>#REF!-#REF!</f>
        <v>#REF!</v>
      </c>
    </row>
    <row r="257" spans="12:79" hidden="1" x14ac:dyDescent="0.3">
      <c r="L257" s="136">
        <f t="shared" ref="L257:BW260" si="38">L34-CD34</f>
        <v>0</v>
      </c>
      <c r="M257" s="136">
        <f t="shared" si="38"/>
        <v>0</v>
      </c>
      <c r="N257" s="136">
        <f t="shared" si="38"/>
        <v>0</v>
      </c>
      <c r="O257" s="136">
        <f t="shared" si="38"/>
        <v>0</v>
      </c>
      <c r="P257" s="136">
        <f t="shared" si="38"/>
        <v>0</v>
      </c>
      <c r="Q257" s="136">
        <f t="shared" si="38"/>
        <v>0</v>
      </c>
      <c r="R257" s="136">
        <f t="shared" si="38"/>
        <v>0</v>
      </c>
      <c r="S257" s="136">
        <f t="shared" si="38"/>
        <v>0</v>
      </c>
      <c r="T257" s="136">
        <f t="shared" si="38"/>
        <v>0</v>
      </c>
      <c r="U257" s="136">
        <f t="shared" si="38"/>
        <v>0</v>
      </c>
      <c r="V257" s="136">
        <f t="shared" si="38"/>
        <v>0</v>
      </c>
      <c r="W257" s="136">
        <f t="shared" si="38"/>
        <v>0</v>
      </c>
      <c r="X257" s="136">
        <f t="shared" si="38"/>
        <v>0</v>
      </c>
      <c r="Y257" s="136">
        <f t="shared" si="38"/>
        <v>0</v>
      </c>
      <c r="Z257" s="136">
        <f t="shared" si="38"/>
        <v>0</v>
      </c>
      <c r="AA257" s="136">
        <f t="shared" si="38"/>
        <v>0</v>
      </c>
      <c r="AB257" s="136">
        <f t="shared" si="38"/>
        <v>0</v>
      </c>
      <c r="AC257" s="136">
        <f t="shared" si="38"/>
        <v>0</v>
      </c>
      <c r="AD257" s="136">
        <f t="shared" si="38"/>
        <v>0</v>
      </c>
      <c r="AE257" s="136">
        <f t="shared" si="38"/>
        <v>0</v>
      </c>
      <c r="AF257" s="136">
        <f t="shared" si="38"/>
        <v>0</v>
      </c>
      <c r="AG257" s="136">
        <f t="shared" si="38"/>
        <v>0</v>
      </c>
      <c r="AH257" s="136">
        <f t="shared" si="38"/>
        <v>0</v>
      </c>
      <c r="AI257" s="136">
        <f t="shared" si="38"/>
        <v>0</v>
      </c>
      <c r="AJ257" s="136">
        <f t="shared" si="38"/>
        <v>0</v>
      </c>
      <c r="AK257" s="136">
        <f t="shared" si="38"/>
        <v>0</v>
      </c>
      <c r="AL257" s="136">
        <f t="shared" si="38"/>
        <v>0</v>
      </c>
      <c r="AM257" s="136">
        <f t="shared" si="38"/>
        <v>0</v>
      </c>
      <c r="AN257" s="136">
        <f t="shared" si="38"/>
        <v>0</v>
      </c>
      <c r="AO257" s="136">
        <f t="shared" si="38"/>
        <v>0</v>
      </c>
      <c r="AP257" s="136">
        <f t="shared" si="38"/>
        <v>0</v>
      </c>
      <c r="AQ257" s="136">
        <f t="shared" si="38"/>
        <v>0</v>
      </c>
      <c r="AR257" s="136">
        <f t="shared" si="38"/>
        <v>0</v>
      </c>
      <c r="AS257" s="136">
        <f t="shared" si="38"/>
        <v>0</v>
      </c>
      <c r="AT257" s="136">
        <f t="shared" si="38"/>
        <v>0</v>
      </c>
      <c r="AU257" s="136">
        <f t="shared" si="38"/>
        <v>0</v>
      </c>
      <c r="AV257" s="136">
        <f t="shared" si="38"/>
        <v>0</v>
      </c>
      <c r="AW257" s="136">
        <f t="shared" si="38"/>
        <v>0</v>
      </c>
      <c r="AX257" s="136">
        <f t="shared" si="38"/>
        <v>0</v>
      </c>
      <c r="AY257" s="136">
        <f t="shared" si="38"/>
        <v>0</v>
      </c>
      <c r="AZ257" s="136">
        <f t="shared" si="38"/>
        <v>0</v>
      </c>
      <c r="BA257" s="136">
        <f t="shared" si="38"/>
        <v>0</v>
      </c>
      <c r="BB257" s="136">
        <f t="shared" si="38"/>
        <v>0</v>
      </c>
      <c r="BC257" s="136">
        <f t="shared" si="38"/>
        <v>0</v>
      </c>
      <c r="BD257" s="136">
        <f t="shared" si="38"/>
        <v>0</v>
      </c>
      <c r="BE257" s="136">
        <f t="shared" si="38"/>
        <v>0</v>
      </c>
      <c r="BF257" s="136">
        <f t="shared" si="38"/>
        <v>0</v>
      </c>
      <c r="BG257" s="136">
        <f t="shared" si="38"/>
        <v>0</v>
      </c>
      <c r="BH257" s="136">
        <f t="shared" si="38"/>
        <v>0</v>
      </c>
      <c r="BI257" s="136">
        <f t="shared" si="38"/>
        <v>0</v>
      </c>
      <c r="BJ257" s="136">
        <f t="shared" si="38"/>
        <v>0</v>
      </c>
      <c r="BK257" s="136">
        <f t="shared" si="38"/>
        <v>0</v>
      </c>
      <c r="BL257" s="136">
        <f t="shared" si="38"/>
        <v>0</v>
      </c>
      <c r="BM257" s="136">
        <f t="shared" si="38"/>
        <v>0</v>
      </c>
      <c r="BN257" s="136">
        <f t="shared" si="38"/>
        <v>0</v>
      </c>
      <c r="BO257" s="136">
        <f t="shared" si="38"/>
        <v>0</v>
      </c>
      <c r="BP257" s="136">
        <f t="shared" si="38"/>
        <v>0</v>
      </c>
      <c r="BQ257" s="136">
        <f t="shared" si="38"/>
        <v>0</v>
      </c>
      <c r="BR257" s="136">
        <f t="shared" si="38"/>
        <v>0</v>
      </c>
      <c r="BS257" s="136">
        <f t="shared" si="38"/>
        <v>0</v>
      </c>
      <c r="BT257" s="136">
        <f t="shared" si="38"/>
        <v>0</v>
      </c>
      <c r="BU257" s="136">
        <f t="shared" si="38"/>
        <v>0</v>
      </c>
      <c r="BV257" s="136">
        <f t="shared" si="38"/>
        <v>0</v>
      </c>
      <c r="BW257" s="136">
        <f t="shared" si="38"/>
        <v>0</v>
      </c>
      <c r="BX257" s="136">
        <f t="shared" ref="BT257:BX260" si="39">BX34-EP34</f>
        <v>0</v>
      </c>
      <c r="BZ257" s="136">
        <f t="shared" ref="BZ257:CA260" si="40">BZ34-ER34</f>
        <v>0</v>
      </c>
      <c r="CA257" s="136">
        <f t="shared" si="40"/>
        <v>0</v>
      </c>
    </row>
    <row r="258" spans="12:79" hidden="1" x14ac:dyDescent="0.3">
      <c r="L258" s="136">
        <f t="shared" si="38"/>
        <v>0</v>
      </c>
      <c r="M258" s="136">
        <f t="shared" si="38"/>
        <v>0</v>
      </c>
      <c r="N258" s="136">
        <f t="shared" si="38"/>
        <v>0</v>
      </c>
      <c r="O258" s="136">
        <f t="shared" si="38"/>
        <v>0</v>
      </c>
      <c r="P258" s="136">
        <f t="shared" si="38"/>
        <v>0</v>
      </c>
      <c r="Q258" s="136">
        <f t="shared" si="38"/>
        <v>0</v>
      </c>
      <c r="R258" s="136">
        <f t="shared" si="38"/>
        <v>0</v>
      </c>
      <c r="S258" s="136">
        <f t="shared" si="38"/>
        <v>0</v>
      </c>
      <c r="T258" s="136">
        <f t="shared" si="38"/>
        <v>0</v>
      </c>
      <c r="U258" s="136">
        <f t="shared" si="38"/>
        <v>0</v>
      </c>
      <c r="V258" s="136">
        <f t="shared" si="38"/>
        <v>0</v>
      </c>
      <c r="W258" s="136">
        <f t="shared" si="38"/>
        <v>0</v>
      </c>
      <c r="X258" s="136">
        <f t="shared" si="38"/>
        <v>0</v>
      </c>
      <c r="Y258" s="136">
        <f t="shared" si="38"/>
        <v>0</v>
      </c>
      <c r="Z258" s="136">
        <f t="shared" si="38"/>
        <v>0</v>
      </c>
      <c r="AA258" s="136">
        <f t="shared" si="38"/>
        <v>0</v>
      </c>
      <c r="AB258" s="136">
        <f t="shared" si="38"/>
        <v>0</v>
      </c>
      <c r="AC258" s="136">
        <f t="shared" si="38"/>
        <v>0</v>
      </c>
      <c r="AD258" s="136">
        <f t="shared" si="38"/>
        <v>0</v>
      </c>
      <c r="AE258" s="136">
        <f t="shared" si="38"/>
        <v>0</v>
      </c>
      <c r="AF258" s="136">
        <f t="shared" si="38"/>
        <v>0</v>
      </c>
      <c r="AG258" s="136">
        <f t="shared" si="38"/>
        <v>0</v>
      </c>
      <c r="AH258" s="136">
        <f t="shared" si="38"/>
        <v>0</v>
      </c>
      <c r="AI258" s="136">
        <f t="shared" si="38"/>
        <v>0</v>
      </c>
      <c r="AJ258" s="136">
        <f t="shared" si="38"/>
        <v>0</v>
      </c>
      <c r="AK258" s="136">
        <f t="shared" si="38"/>
        <v>0</v>
      </c>
      <c r="AL258" s="136">
        <f t="shared" si="38"/>
        <v>0</v>
      </c>
      <c r="AM258" s="136">
        <f t="shared" si="38"/>
        <v>0</v>
      </c>
      <c r="AN258" s="136">
        <f t="shared" si="38"/>
        <v>0</v>
      </c>
      <c r="AO258" s="136">
        <f t="shared" si="38"/>
        <v>0</v>
      </c>
      <c r="AP258" s="136">
        <f t="shared" si="38"/>
        <v>0</v>
      </c>
      <c r="AQ258" s="136">
        <f t="shared" si="38"/>
        <v>0</v>
      </c>
      <c r="AR258" s="136">
        <f t="shared" si="38"/>
        <v>0</v>
      </c>
      <c r="AS258" s="136">
        <f t="shared" si="38"/>
        <v>0</v>
      </c>
      <c r="AT258" s="136">
        <f t="shared" si="38"/>
        <v>0</v>
      </c>
      <c r="AU258" s="136">
        <f t="shared" si="38"/>
        <v>0</v>
      </c>
      <c r="AV258" s="136">
        <f t="shared" si="38"/>
        <v>0</v>
      </c>
      <c r="AW258" s="136">
        <f t="shared" si="38"/>
        <v>0</v>
      </c>
      <c r="AX258" s="136">
        <f t="shared" si="38"/>
        <v>0</v>
      </c>
      <c r="AY258" s="136">
        <f t="shared" si="38"/>
        <v>0</v>
      </c>
      <c r="AZ258" s="136">
        <f t="shared" si="38"/>
        <v>0</v>
      </c>
      <c r="BA258" s="136">
        <f t="shared" si="38"/>
        <v>0</v>
      </c>
      <c r="BB258" s="136">
        <f t="shared" si="38"/>
        <v>0</v>
      </c>
      <c r="BC258" s="136">
        <f t="shared" si="38"/>
        <v>0</v>
      </c>
      <c r="BD258" s="136">
        <f t="shared" si="38"/>
        <v>0</v>
      </c>
      <c r="BE258" s="136">
        <f t="shared" si="38"/>
        <v>0</v>
      </c>
      <c r="BF258" s="136">
        <f t="shared" si="38"/>
        <v>0</v>
      </c>
      <c r="BG258" s="136">
        <f t="shared" si="38"/>
        <v>0</v>
      </c>
      <c r="BH258" s="136">
        <f t="shared" si="38"/>
        <v>0</v>
      </c>
      <c r="BI258" s="136">
        <f t="shared" si="38"/>
        <v>0</v>
      </c>
      <c r="BJ258" s="136">
        <f t="shared" si="38"/>
        <v>0</v>
      </c>
      <c r="BK258" s="136">
        <f t="shared" si="38"/>
        <v>0</v>
      </c>
      <c r="BL258" s="136">
        <f t="shared" si="38"/>
        <v>0</v>
      </c>
      <c r="BM258" s="136">
        <f t="shared" si="38"/>
        <v>0</v>
      </c>
      <c r="BN258" s="136">
        <f t="shared" si="38"/>
        <v>0</v>
      </c>
      <c r="BO258" s="136">
        <f t="shared" si="38"/>
        <v>0</v>
      </c>
      <c r="BP258" s="136">
        <f t="shared" si="38"/>
        <v>0</v>
      </c>
      <c r="BQ258" s="136">
        <f t="shared" si="38"/>
        <v>0</v>
      </c>
      <c r="BR258" s="136">
        <f t="shared" si="38"/>
        <v>0</v>
      </c>
      <c r="BS258" s="136">
        <f t="shared" si="38"/>
        <v>0</v>
      </c>
      <c r="BT258" s="136">
        <f t="shared" si="39"/>
        <v>0</v>
      </c>
      <c r="BU258" s="136">
        <f t="shared" si="39"/>
        <v>0</v>
      </c>
      <c r="BV258" s="136">
        <f t="shared" si="39"/>
        <v>0</v>
      </c>
      <c r="BW258" s="136">
        <f t="shared" si="39"/>
        <v>0</v>
      </c>
      <c r="BX258" s="136">
        <f t="shared" si="39"/>
        <v>0</v>
      </c>
      <c r="BZ258" s="136">
        <f t="shared" si="40"/>
        <v>0</v>
      </c>
      <c r="CA258" s="136">
        <f t="shared" si="40"/>
        <v>0</v>
      </c>
    </row>
    <row r="259" spans="12:79" hidden="1" x14ac:dyDescent="0.3">
      <c r="L259" s="136">
        <f t="shared" si="38"/>
        <v>0</v>
      </c>
      <c r="M259" s="136">
        <f t="shared" si="38"/>
        <v>0</v>
      </c>
      <c r="N259" s="136">
        <f t="shared" si="38"/>
        <v>0</v>
      </c>
      <c r="O259" s="136">
        <f t="shared" si="38"/>
        <v>0</v>
      </c>
      <c r="P259" s="136">
        <f t="shared" si="38"/>
        <v>0</v>
      </c>
      <c r="Q259" s="136">
        <f t="shared" si="38"/>
        <v>0</v>
      </c>
      <c r="R259" s="136">
        <f t="shared" si="38"/>
        <v>0</v>
      </c>
      <c r="S259" s="136">
        <f t="shared" si="38"/>
        <v>0</v>
      </c>
      <c r="T259" s="136">
        <f t="shared" si="38"/>
        <v>0</v>
      </c>
      <c r="U259" s="136">
        <f t="shared" si="38"/>
        <v>0</v>
      </c>
      <c r="V259" s="136">
        <f t="shared" si="38"/>
        <v>0</v>
      </c>
      <c r="W259" s="136">
        <f t="shared" si="38"/>
        <v>0</v>
      </c>
      <c r="X259" s="136">
        <f t="shared" si="38"/>
        <v>0</v>
      </c>
      <c r="Y259" s="136">
        <f t="shared" si="38"/>
        <v>0</v>
      </c>
      <c r="Z259" s="136">
        <f t="shared" si="38"/>
        <v>0</v>
      </c>
      <c r="AA259" s="136">
        <f t="shared" si="38"/>
        <v>0</v>
      </c>
      <c r="AB259" s="136">
        <f t="shared" si="38"/>
        <v>0</v>
      </c>
      <c r="AC259" s="136">
        <f t="shared" si="38"/>
        <v>0</v>
      </c>
      <c r="AD259" s="136">
        <f t="shared" si="38"/>
        <v>0</v>
      </c>
      <c r="AE259" s="136">
        <f t="shared" si="38"/>
        <v>0</v>
      </c>
      <c r="AF259" s="136">
        <f t="shared" si="38"/>
        <v>0</v>
      </c>
      <c r="AG259" s="136">
        <f t="shared" si="38"/>
        <v>0</v>
      </c>
      <c r="AH259" s="136">
        <f t="shared" si="38"/>
        <v>0</v>
      </c>
      <c r="AI259" s="136">
        <f t="shared" si="38"/>
        <v>0</v>
      </c>
      <c r="AJ259" s="136">
        <f t="shared" si="38"/>
        <v>0</v>
      </c>
      <c r="AK259" s="136">
        <f t="shared" si="38"/>
        <v>0</v>
      </c>
      <c r="AL259" s="136">
        <f t="shared" si="38"/>
        <v>0</v>
      </c>
      <c r="AM259" s="136">
        <f t="shared" si="38"/>
        <v>0</v>
      </c>
      <c r="AN259" s="136">
        <f t="shared" si="38"/>
        <v>0</v>
      </c>
      <c r="AO259" s="136">
        <f t="shared" si="38"/>
        <v>0</v>
      </c>
      <c r="AP259" s="136">
        <f t="shared" si="38"/>
        <v>0</v>
      </c>
      <c r="AQ259" s="136">
        <f t="shared" si="38"/>
        <v>0</v>
      </c>
      <c r="AR259" s="136">
        <f t="shared" si="38"/>
        <v>0</v>
      </c>
      <c r="AS259" s="136">
        <f t="shared" si="38"/>
        <v>0</v>
      </c>
      <c r="AT259" s="136">
        <f t="shared" si="38"/>
        <v>0</v>
      </c>
      <c r="AU259" s="136">
        <f t="shared" si="38"/>
        <v>0</v>
      </c>
      <c r="AV259" s="136">
        <f t="shared" si="38"/>
        <v>0</v>
      </c>
      <c r="AW259" s="136">
        <f t="shared" si="38"/>
        <v>0</v>
      </c>
      <c r="AX259" s="136">
        <f t="shared" si="38"/>
        <v>0</v>
      </c>
      <c r="AY259" s="136">
        <f t="shared" si="38"/>
        <v>0</v>
      </c>
      <c r="AZ259" s="136">
        <f t="shared" si="38"/>
        <v>0</v>
      </c>
      <c r="BA259" s="136">
        <f t="shared" si="38"/>
        <v>0</v>
      </c>
      <c r="BB259" s="136">
        <f t="shared" si="38"/>
        <v>0</v>
      </c>
      <c r="BC259" s="136">
        <f t="shared" si="38"/>
        <v>0</v>
      </c>
      <c r="BD259" s="136">
        <f t="shared" si="38"/>
        <v>0</v>
      </c>
      <c r="BE259" s="136">
        <f t="shared" si="38"/>
        <v>0</v>
      </c>
      <c r="BF259" s="136">
        <f t="shared" si="38"/>
        <v>0</v>
      </c>
      <c r="BG259" s="136">
        <f t="shared" si="38"/>
        <v>0</v>
      </c>
      <c r="BH259" s="136">
        <f t="shared" si="38"/>
        <v>0</v>
      </c>
      <c r="BI259" s="136">
        <f t="shared" si="38"/>
        <v>0</v>
      </c>
      <c r="BJ259" s="136">
        <f t="shared" si="38"/>
        <v>0</v>
      </c>
      <c r="BK259" s="136">
        <f t="shared" si="38"/>
        <v>0</v>
      </c>
      <c r="BL259" s="136">
        <f t="shared" si="38"/>
        <v>0</v>
      </c>
      <c r="BM259" s="136">
        <f t="shared" si="38"/>
        <v>0</v>
      </c>
      <c r="BN259" s="136">
        <f t="shared" si="38"/>
        <v>0</v>
      </c>
      <c r="BO259" s="136">
        <f t="shared" si="38"/>
        <v>0</v>
      </c>
      <c r="BP259" s="136">
        <f t="shared" si="38"/>
        <v>0</v>
      </c>
      <c r="BQ259" s="136">
        <f t="shared" si="38"/>
        <v>0</v>
      </c>
      <c r="BR259" s="136">
        <f t="shared" si="38"/>
        <v>0</v>
      </c>
      <c r="BS259" s="136">
        <f t="shared" si="38"/>
        <v>0</v>
      </c>
      <c r="BT259" s="136">
        <f t="shared" si="39"/>
        <v>0</v>
      </c>
      <c r="BU259" s="136">
        <f t="shared" si="39"/>
        <v>0</v>
      </c>
      <c r="BV259" s="136">
        <f t="shared" si="39"/>
        <v>0</v>
      </c>
      <c r="BW259" s="136">
        <f t="shared" si="39"/>
        <v>0</v>
      </c>
      <c r="BX259" s="136">
        <f t="shared" si="39"/>
        <v>0</v>
      </c>
      <c r="BZ259" s="136">
        <f t="shared" si="40"/>
        <v>0</v>
      </c>
      <c r="CA259" s="136">
        <f t="shared" si="40"/>
        <v>0</v>
      </c>
    </row>
    <row r="260" spans="12:79" hidden="1" x14ac:dyDescent="0.3">
      <c r="L260" s="136">
        <f t="shared" si="38"/>
        <v>0</v>
      </c>
      <c r="M260" s="136">
        <f t="shared" si="38"/>
        <v>0</v>
      </c>
      <c r="N260" s="136">
        <f t="shared" si="38"/>
        <v>0</v>
      </c>
      <c r="O260" s="136">
        <f t="shared" si="38"/>
        <v>0</v>
      </c>
      <c r="P260" s="136">
        <f t="shared" si="38"/>
        <v>0</v>
      </c>
      <c r="Q260" s="136">
        <f t="shared" si="38"/>
        <v>0</v>
      </c>
      <c r="R260" s="136">
        <f t="shared" si="38"/>
        <v>0</v>
      </c>
      <c r="S260" s="136">
        <f t="shared" si="38"/>
        <v>0</v>
      </c>
      <c r="T260" s="136">
        <f t="shared" si="38"/>
        <v>0</v>
      </c>
      <c r="U260" s="136">
        <f t="shared" si="38"/>
        <v>0</v>
      </c>
      <c r="V260" s="136">
        <f t="shared" si="38"/>
        <v>0</v>
      </c>
      <c r="W260" s="136">
        <f t="shared" si="38"/>
        <v>0</v>
      </c>
      <c r="X260" s="136">
        <f t="shared" si="38"/>
        <v>0</v>
      </c>
      <c r="Y260" s="136">
        <f t="shared" si="38"/>
        <v>0</v>
      </c>
      <c r="Z260" s="136">
        <f t="shared" si="38"/>
        <v>0</v>
      </c>
      <c r="AA260" s="136">
        <f t="shared" si="38"/>
        <v>0</v>
      </c>
      <c r="AB260" s="136">
        <f t="shared" si="38"/>
        <v>0</v>
      </c>
      <c r="AC260" s="136">
        <f t="shared" si="38"/>
        <v>0</v>
      </c>
      <c r="AD260" s="136">
        <f t="shared" si="38"/>
        <v>0</v>
      </c>
      <c r="AE260" s="136">
        <f t="shared" si="38"/>
        <v>0</v>
      </c>
      <c r="AF260" s="136">
        <f t="shared" si="38"/>
        <v>0</v>
      </c>
      <c r="AG260" s="136">
        <f t="shared" si="38"/>
        <v>0</v>
      </c>
      <c r="AH260" s="136">
        <f t="shared" si="38"/>
        <v>0</v>
      </c>
      <c r="AI260" s="136">
        <f t="shared" si="38"/>
        <v>0</v>
      </c>
      <c r="AJ260" s="136">
        <f t="shared" si="38"/>
        <v>0</v>
      </c>
      <c r="AK260" s="136">
        <f t="shared" si="38"/>
        <v>0</v>
      </c>
      <c r="AL260" s="136">
        <f t="shared" si="38"/>
        <v>0</v>
      </c>
      <c r="AM260" s="136">
        <f t="shared" si="38"/>
        <v>0</v>
      </c>
      <c r="AN260" s="136">
        <f t="shared" si="38"/>
        <v>0</v>
      </c>
      <c r="AO260" s="136">
        <f t="shared" si="38"/>
        <v>0</v>
      </c>
      <c r="AP260" s="136">
        <f t="shared" si="38"/>
        <v>0</v>
      </c>
      <c r="AQ260" s="136">
        <f t="shared" si="38"/>
        <v>0</v>
      </c>
      <c r="AR260" s="136">
        <f t="shared" si="38"/>
        <v>0</v>
      </c>
      <c r="AS260" s="136">
        <f t="shared" si="38"/>
        <v>0</v>
      </c>
      <c r="AT260" s="136">
        <f t="shared" si="38"/>
        <v>0</v>
      </c>
      <c r="AU260" s="136">
        <f t="shared" si="38"/>
        <v>0</v>
      </c>
      <c r="AV260" s="136">
        <f t="shared" si="38"/>
        <v>0</v>
      </c>
      <c r="AW260" s="136">
        <f t="shared" si="38"/>
        <v>0</v>
      </c>
      <c r="AX260" s="136">
        <f t="shared" si="38"/>
        <v>0</v>
      </c>
      <c r="AY260" s="136">
        <f t="shared" si="38"/>
        <v>0</v>
      </c>
      <c r="AZ260" s="136">
        <f t="shared" si="38"/>
        <v>0</v>
      </c>
      <c r="BA260" s="136">
        <f t="shared" si="38"/>
        <v>0</v>
      </c>
      <c r="BB260" s="136">
        <f t="shared" si="38"/>
        <v>0</v>
      </c>
      <c r="BC260" s="136">
        <f t="shared" si="38"/>
        <v>0</v>
      </c>
      <c r="BD260" s="136">
        <f t="shared" si="38"/>
        <v>0</v>
      </c>
      <c r="BE260" s="136">
        <f t="shared" si="38"/>
        <v>0</v>
      </c>
      <c r="BF260" s="136">
        <f t="shared" si="38"/>
        <v>0</v>
      </c>
      <c r="BG260" s="136">
        <f t="shared" si="38"/>
        <v>0</v>
      </c>
      <c r="BH260" s="136">
        <f t="shared" si="38"/>
        <v>0</v>
      </c>
      <c r="BI260" s="136">
        <f t="shared" si="38"/>
        <v>0</v>
      </c>
      <c r="BJ260" s="136">
        <f t="shared" si="38"/>
        <v>0</v>
      </c>
      <c r="BK260" s="136">
        <f t="shared" si="38"/>
        <v>0</v>
      </c>
      <c r="BL260" s="136">
        <f t="shared" si="38"/>
        <v>0</v>
      </c>
      <c r="BM260" s="136">
        <f t="shared" si="38"/>
        <v>0</v>
      </c>
      <c r="BN260" s="136">
        <f t="shared" si="38"/>
        <v>0</v>
      </c>
      <c r="BO260" s="136">
        <f t="shared" si="38"/>
        <v>0</v>
      </c>
      <c r="BP260" s="136">
        <f t="shared" si="38"/>
        <v>0</v>
      </c>
      <c r="BQ260" s="136">
        <f t="shared" si="38"/>
        <v>0</v>
      </c>
      <c r="BR260" s="136">
        <f t="shared" si="38"/>
        <v>0</v>
      </c>
      <c r="BS260" s="136">
        <f t="shared" si="38"/>
        <v>0</v>
      </c>
      <c r="BT260" s="136">
        <f t="shared" si="39"/>
        <v>0</v>
      </c>
      <c r="BU260" s="136">
        <f t="shared" si="39"/>
        <v>0</v>
      </c>
      <c r="BV260" s="136">
        <f t="shared" si="39"/>
        <v>0</v>
      </c>
      <c r="BW260" s="136">
        <f t="shared" si="39"/>
        <v>0</v>
      </c>
      <c r="BX260" s="136">
        <f t="shared" si="39"/>
        <v>0</v>
      </c>
      <c r="BZ260" s="136">
        <f t="shared" si="40"/>
        <v>0</v>
      </c>
      <c r="CA260" s="136">
        <f t="shared" si="40"/>
        <v>0</v>
      </c>
    </row>
    <row r="261" spans="12:79" hidden="1" x14ac:dyDescent="0.3">
      <c r="L261" s="136" t="e">
        <f>#REF!-#REF!</f>
        <v>#REF!</v>
      </c>
      <c r="M261" s="136" t="e">
        <f>#REF!-#REF!</f>
        <v>#REF!</v>
      </c>
      <c r="N261" s="136" t="e">
        <f>#REF!-#REF!</f>
        <v>#REF!</v>
      </c>
      <c r="O261" s="136" t="e">
        <f>#REF!-#REF!</f>
        <v>#REF!</v>
      </c>
      <c r="P261" s="136" t="e">
        <f>#REF!-#REF!</f>
        <v>#REF!</v>
      </c>
      <c r="Q261" s="136" t="e">
        <f>#REF!-#REF!</f>
        <v>#REF!</v>
      </c>
      <c r="R261" s="136" t="e">
        <f>#REF!-#REF!</f>
        <v>#REF!</v>
      </c>
      <c r="S261" s="136" t="e">
        <f>#REF!-#REF!</f>
        <v>#REF!</v>
      </c>
      <c r="T261" s="136" t="e">
        <f>#REF!-#REF!</f>
        <v>#REF!</v>
      </c>
      <c r="U261" s="136" t="e">
        <f>#REF!-#REF!</f>
        <v>#REF!</v>
      </c>
      <c r="V261" s="136" t="e">
        <f>#REF!-#REF!</f>
        <v>#REF!</v>
      </c>
      <c r="W261" s="136" t="e">
        <f>#REF!-#REF!</f>
        <v>#REF!</v>
      </c>
      <c r="X261" s="136" t="e">
        <f>#REF!-#REF!</f>
        <v>#REF!</v>
      </c>
      <c r="Y261" s="136" t="e">
        <f>#REF!-#REF!</f>
        <v>#REF!</v>
      </c>
      <c r="Z261" s="136" t="e">
        <f>#REF!-#REF!</f>
        <v>#REF!</v>
      </c>
      <c r="AA261" s="136" t="e">
        <f>#REF!-#REF!</f>
        <v>#REF!</v>
      </c>
      <c r="AB261" s="136" t="e">
        <f>#REF!-#REF!</f>
        <v>#REF!</v>
      </c>
      <c r="AC261" s="136" t="e">
        <f>#REF!-#REF!</f>
        <v>#REF!</v>
      </c>
      <c r="AD261" s="136" t="e">
        <f>#REF!-#REF!</f>
        <v>#REF!</v>
      </c>
      <c r="AE261" s="136" t="e">
        <f>#REF!-#REF!</f>
        <v>#REF!</v>
      </c>
      <c r="AF261" s="136" t="e">
        <f>#REF!-#REF!</f>
        <v>#REF!</v>
      </c>
      <c r="AG261" s="136" t="e">
        <f>#REF!-#REF!</f>
        <v>#REF!</v>
      </c>
      <c r="AH261" s="136" t="e">
        <f>#REF!-#REF!</f>
        <v>#REF!</v>
      </c>
      <c r="AI261" s="136" t="e">
        <f>#REF!-#REF!</f>
        <v>#REF!</v>
      </c>
      <c r="AJ261" s="136" t="e">
        <f>#REF!-#REF!</f>
        <v>#REF!</v>
      </c>
      <c r="AK261" s="136" t="e">
        <f>#REF!-#REF!</f>
        <v>#REF!</v>
      </c>
      <c r="AL261" s="136" t="e">
        <f>#REF!-#REF!</f>
        <v>#REF!</v>
      </c>
      <c r="AM261" s="136" t="e">
        <f>#REF!-#REF!</f>
        <v>#REF!</v>
      </c>
      <c r="AN261" s="136" t="e">
        <f>#REF!-#REF!</f>
        <v>#REF!</v>
      </c>
      <c r="AO261" s="136" t="e">
        <f>#REF!-#REF!</f>
        <v>#REF!</v>
      </c>
      <c r="AP261" s="136" t="e">
        <f>#REF!-#REF!</f>
        <v>#REF!</v>
      </c>
      <c r="AQ261" s="136" t="e">
        <f>#REF!-#REF!</f>
        <v>#REF!</v>
      </c>
      <c r="AR261" s="136" t="e">
        <f>#REF!-#REF!</f>
        <v>#REF!</v>
      </c>
      <c r="AS261" s="136" t="e">
        <f>#REF!-#REF!</f>
        <v>#REF!</v>
      </c>
      <c r="AT261" s="136" t="e">
        <f>#REF!-#REF!</f>
        <v>#REF!</v>
      </c>
      <c r="AU261" s="136" t="e">
        <f>#REF!-#REF!</f>
        <v>#REF!</v>
      </c>
      <c r="AV261" s="136" t="e">
        <f>#REF!-#REF!</f>
        <v>#REF!</v>
      </c>
      <c r="AW261" s="136" t="e">
        <f>#REF!-#REF!</f>
        <v>#REF!</v>
      </c>
      <c r="AX261" s="136" t="e">
        <f>#REF!-#REF!</f>
        <v>#REF!</v>
      </c>
      <c r="AY261" s="136" t="e">
        <f>#REF!-#REF!</f>
        <v>#REF!</v>
      </c>
      <c r="AZ261" s="136" t="e">
        <f>#REF!-#REF!</f>
        <v>#REF!</v>
      </c>
      <c r="BA261" s="136" t="e">
        <f>#REF!-#REF!</f>
        <v>#REF!</v>
      </c>
      <c r="BB261" s="136" t="e">
        <f>#REF!-#REF!</f>
        <v>#REF!</v>
      </c>
      <c r="BC261" s="136" t="e">
        <f>#REF!-#REF!</f>
        <v>#REF!</v>
      </c>
      <c r="BD261" s="136" t="e">
        <f>#REF!-#REF!</f>
        <v>#REF!</v>
      </c>
      <c r="BE261" s="136" t="e">
        <f>#REF!-#REF!</f>
        <v>#REF!</v>
      </c>
      <c r="BF261" s="136" t="e">
        <f>#REF!-#REF!</f>
        <v>#REF!</v>
      </c>
      <c r="BG261" s="136" t="e">
        <f>#REF!-#REF!</f>
        <v>#REF!</v>
      </c>
      <c r="BH261" s="136" t="e">
        <f>#REF!-#REF!</f>
        <v>#REF!</v>
      </c>
      <c r="BI261" s="136" t="e">
        <f>#REF!-#REF!</f>
        <v>#REF!</v>
      </c>
      <c r="BJ261" s="136" t="e">
        <f>#REF!-#REF!</f>
        <v>#REF!</v>
      </c>
      <c r="BK261" s="136" t="e">
        <f>#REF!-#REF!</f>
        <v>#REF!</v>
      </c>
      <c r="BL261" s="136" t="e">
        <f>#REF!-#REF!</f>
        <v>#REF!</v>
      </c>
      <c r="BM261" s="136" t="e">
        <f>#REF!-#REF!</f>
        <v>#REF!</v>
      </c>
      <c r="BN261" s="136" t="e">
        <f>#REF!-#REF!</f>
        <v>#REF!</v>
      </c>
      <c r="BO261" s="136" t="e">
        <f>#REF!-#REF!</f>
        <v>#REF!</v>
      </c>
      <c r="BP261" s="136" t="e">
        <f>#REF!-#REF!</f>
        <v>#REF!</v>
      </c>
      <c r="BQ261" s="136" t="e">
        <f>#REF!-#REF!</f>
        <v>#REF!</v>
      </c>
      <c r="BR261" s="136" t="e">
        <f>#REF!-#REF!</f>
        <v>#REF!</v>
      </c>
      <c r="BS261" s="136" t="e">
        <f>#REF!-#REF!</f>
        <v>#REF!</v>
      </c>
      <c r="BT261" s="136" t="e">
        <f>#REF!-#REF!</f>
        <v>#REF!</v>
      </c>
      <c r="BU261" s="136" t="e">
        <f>#REF!-#REF!</f>
        <v>#REF!</v>
      </c>
      <c r="BV261" s="136" t="e">
        <f>#REF!-#REF!</f>
        <v>#REF!</v>
      </c>
      <c r="BW261" s="136" t="e">
        <f>#REF!-#REF!</f>
        <v>#REF!</v>
      </c>
      <c r="BX261" s="136" t="e">
        <f>#REF!-#REF!</f>
        <v>#REF!</v>
      </c>
      <c r="BZ261" s="136" t="e">
        <f>#REF!-#REF!</f>
        <v>#REF!</v>
      </c>
      <c r="CA261" s="136" t="e">
        <f>#REF!-#REF!</f>
        <v>#REF!</v>
      </c>
    </row>
    <row r="262" spans="12:79" hidden="1" x14ac:dyDescent="0.3">
      <c r="L262" s="136">
        <f t="shared" ref="L262:BW265" si="41">L38-CD38</f>
        <v>0</v>
      </c>
      <c r="M262" s="136">
        <f t="shared" si="41"/>
        <v>0</v>
      </c>
      <c r="N262" s="136">
        <f t="shared" si="41"/>
        <v>0</v>
      </c>
      <c r="O262" s="136">
        <f t="shared" si="41"/>
        <v>0</v>
      </c>
      <c r="P262" s="136">
        <f t="shared" si="41"/>
        <v>0</v>
      </c>
      <c r="Q262" s="136">
        <f t="shared" si="41"/>
        <v>0</v>
      </c>
      <c r="R262" s="136">
        <f t="shared" si="41"/>
        <v>0</v>
      </c>
      <c r="S262" s="136">
        <f t="shared" si="41"/>
        <v>0</v>
      </c>
      <c r="T262" s="136">
        <f t="shared" si="41"/>
        <v>0</v>
      </c>
      <c r="U262" s="136">
        <f t="shared" si="41"/>
        <v>0</v>
      </c>
      <c r="V262" s="136">
        <f t="shared" si="41"/>
        <v>0</v>
      </c>
      <c r="W262" s="136">
        <f t="shared" si="41"/>
        <v>0</v>
      </c>
      <c r="X262" s="136">
        <f t="shared" si="41"/>
        <v>0</v>
      </c>
      <c r="Y262" s="136">
        <f t="shared" si="41"/>
        <v>0</v>
      </c>
      <c r="Z262" s="136">
        <f t="shared" si="41"/>
        <v>0</v>
      </c>
      <c r="AA262" s="136">
        <f t="shared" si="41"/>
        <v>0</v>
      </c>
      <c r="AB262" s="136">
        <f t="shared" si="41"/>
        <v>0</v>
      </c>
      <c r="AC262" s="136">
        <f t="shared" si="41"/>
        <v>0</v>
      </c>
      <c r="AD262" s="136">
        <f t="shared" si="41"/>
        <v>0</v>
      </c>
      <c r="AE262" s="136">
        <f t="shared" si="41"/>
        <v>0</v>
      </c>
      <c r="AF262" s="136">
        <f t="shared" si="41"/>
        <v>0</v>
      </c>
      <c r="AG262" s="136">
        <f t="shared" si="41"/>
        <v>0</v>
      </c>
      <c r="AH262" s="136">
        <f t="shared" si="41"/>
        <v>0</v>
      </c>
      <c r="AI262" s="136">
        <f t="shared" si="41"/>
        <v>0</v>
      </c>
      <c r="AJ262" s="136">
        <f t="shared" si="41"/>
        <v>0</v>
      </c>
      <c r="AK262" s="136">
        <f t="shared" si="41"/>
        <v>0</v>
      </c>
      <c r="AL262" s="136">
        <f t="shared" si="41"/>
        <v>0</v>
      </c>
      <c r="AM262" s="136">
        <f t="shared" si="41"/>
        <v>0</v>
      </c>
      <c r="AN262" s="136">
        <f t="shared" si="41"/>
        <v>0</v>
      </c>
      <c r="AO262" s="136">
        <f t="shared" si="41"/>
        <v>0</v>
      </c>
      <c r="AP262" s="136">
        <f t="shared" si="41"/>
        <v>0</v>
      </c>
      <c r="AQ262" s="136">
        <f t="shared" si="41"/>
        <v>0</v>
      </c>
      <c r="AR262" s="136">
        <f t="shared" si="41"/>
        <v>0</v>
      </c>
      <c r="AS262" s="136">
        <f t="shared" si="41"/>
        <v>0</v>
      </c>
      <c r="AT262" s="136">
        <f t="shared" si="41"/>
        <v>0</v>
      </c>
      <c r="AU262" s="136">
        <f t="shared" si="41"/>
        <v>0</v>
      </c>
      <c r="AV262" s="136">
        <f t="shared" si="41"/>
        <v>0</v>
      </c>
      <c r="AW262" s="136">
        <f t="shared" si="41"/>
        <v>0</v>
      </c>
      <c r="AX262" s="136">
        <f t="shared" si="41"/>
        <v>0</v>
      </c>
      <c r="AY262" s="136">
        <f t="shared" si="41"/>
        <v>0</v>
      </c>
      <c r="AZ262" s="136">
        <f t="shared" si="41"/>
        <v>0</v>
      </c>
      <c r="BA262" s="136">
        <f t="shared" si="41"/>
        <v>0</v>
      </c>
      <c r="BB262" s="136">
        <f t="shared" si="41"/>
        <v>0</v>
      </c>
      <c r="BC262" s="136">
        <f t="shared" si="41"/>
        <v>0</v>
      </c>
      <c r="BD262" s="136">
        <f t="shared" si="41"/>
        <v>0</v>
      </c>
      <c r="BE262" s="136">
        <f t="shared" si="41"/>
        <v>0</v>
      </c>
      <c r="BF262" s="136">
        <f t="shared" si="41"/>
        <v>0</v>
      </c>
      <c r="BG262" s="136">
        <f t="shared" si="41"/>
        <v>0</v>
      </c>
      <c r="BH262" s="136">
        <f t="shared" si="41"/>
        <v>0</v>
      </c>
      <c r="BI262" s="136">
        <f t="shared" si="41"/>
        <v>0</v>
      </c>
      <c r="BJ262" s="136">
        <f t="shared" si="41"/>
        <v>0</v>
      </c>
      <c r="BK262" s="136">
        <f t="shared" si="41"/>
        <v>0</v>
      </c>
      <c r="BL262" s="136">
        <f t="shared" si="41"/>
        <v>0</v>
      </c>
      <c r="BM262" s="136">
        <f t="shared" si="41"/>
        <v>0</v>
      </c>
      <c r="BN262" s="136">
        <f t="shared" si="41"/>
        <v>0</v>
      </c>
      <c r="BO262" s="136">
        <f t="shared" si="41"/>
        <v>0</v>
      </c>
      <c r="BP262" s="136">
        <f t="shared" si="41"/>
        <v>0</v>
      </c>
      <c r="BQ262" s="136">
        <f t="shared" si="41"/>
        <v>0</v>
      </c>
      <c r="BR262" s="136">
        <f t="shared" si="41"/>
        <v>0</v>
      </c>
      <c r="BS262" s="136">
        <f t="shared" si="41"/>
        <v>0</v>
      </c>
      <c r="BT262" s="136">
        <f t="shared" si="41"/>
        <v>0</v>
      </c>
      <c r="BU262" s="136">
        <f t="shared" si="41"/>
        <v>0</v>
      </c>
      <c r="BV262" s="136">
        <f t="shared" si="41"/>
        <v>0</v>
      </c>
      <c r="BW262" s="136">
        <f t="shared" si="41"/>
        <v>0</v>
      </c>
      <c r="BX262" s="136">
        <f t="shared" ref="BT262:BX265" si="42">BX38-EP38</f>
        <v>0</v>
      </c>
      <c r="BZ262" s="136">
        <f t="shared" ref="BZ262:CA265" si="43">BZ38-ER38</f>
        <v>0</v>
      </c>
      <c r="CA262" s="136">
        <f t="shared" si="43"/>
        <v>0</v>
      </c>
    </row>
    <row r="263" spans="12:79" hidden="1" x14ac:dyDescent="0.3">
      <c r="L263" s="136">
        <f t="shared" si="41"/>
        <v>0</v>
      </c>
      <c r="M263" s="136">
        <f t="shared" si="41"/>
        <v>0</v>
      </c>
      <c r="N263" s="136">
        <f t="shared" si="41"/>
        <v>0</v>
      </c>
      <c r="O263" s="136">
        <f t="shared" si="41"/>
        <v>0</v>
      </c>
      <c r="P263" s="136">
        <f t="shared" si="41"/>
        <v>0</v>
      </c>
      <c r="Q263" s="136">
        <f t="shared" si="41"/>
        <v>0</v>
      </c>
      <c r="R263" s="136">
        <f t="shared" si="41"/>
        <v>0</v>
      </c>
      <c r="S263" s="136">
        <f t="shared" si="41"/>
        <v>0</v>
      </c>
      <c r="T263" s="136">
        <f t="shared" si="41"/>
        <v>0</v>
      </c>
      <c r="U263" s="136">
        <f t="shared" si="41"/>
        <v>0</v>
      </c>
      <c r="V263" s="136">
        <f t="shared" si="41"/>
        <v>0</v>
      </c>
      <c r="W263" s="136">
        <f t="shared" si="41"/>
        <v>0</v>
      </c>
      <c r="X263" s="136">
        <f t="shared" si="41"/>
        <v>0</v>
      </c>
      <c r="Y263" s="136">
        <f t="shared" si="41"/>
        <v>0</v>
      </c>
      <c r="Z263" s="136">
        <f t="shared" si="41"/>
        <v>0</v>
      </c>
      <c r="AA263" s="136">
        <f t="shared" si="41"/>
        <v>0</v>
      </c>
      <c r="AB263" s="136">
        <f t="shared" si="41"/>
        <v>0</v>
      </c>
      <c r="AC263" s="136">
        <f t="shared" si="41"/>
        <v>0</v>
      </c>
      <c r="AD263" s="136">
        <f t="shared" si="41"/>
        <v>0</v>
      </c>
      <c r="AE263" s="136">
        <f t="shared" si="41"/>
        <v>0</v>
      </c>
      <c r="AF263" s="136">
        <f t="shared" si="41"/>
        <v>0</v>
      </c>
      <c r="AG263" s="136">
        <f t="shared" si="41"/>
        <v>0</v>
      </c>
      <c r="AH263" s="136">
        <f t="shared" si="41"/>
        <v>0</v>
      </c>
      <c r="AI263" s="136">
        <f t="shared" si="41"/>
        <v>0</v>
      </c>
      <c r="AJ263" s="136">
        <f t="shared" si="41"/>
        <v>0</v>
      </c>
      <c r="AK263" s="136">
        <f t="shared" si="41"/>
        <v>0</v>
      </c>
      <c r="AL263" s="136">
        <f t="shared" si="41"/>
        <v>0</v>
      </c>
      <c r="AM263" s="136">
        <f t="shared" si="41"/>
        <v>0</v>
      </c>
      <c r="AN263" s="136">
        <f t="shared" si="41"/>
        <v>0</v>
      </c>
      <c r="AO263" s="136">
        <f t="shared" si="41"/>
        <v>0</v>
      </c>
      <c r="AP263" s="136">
        <f t="shared" si="41"/>
        <v>0</v>
      </c>
      <c r="AQ263" s="136">
        <f t="shared" si="41"/>
        <v>0</v>
      </c>
      <c r="AR263" s="136">
        <f t="shared" si="41"/>
        <v>0</v>
      </c>
      <c r="AS263" s="136">
        <f t="shared" si="41"/>
        <v>0</v>
      </c>
      <c r="AT263" s="136">
        <f t="shared" si="41"/>
        <v>0</v>
      </c>
      <c r="AU263" s="136">
        <f t="shared" si="41"/>
        <v>0</v>
      </c>
      <c r="AV263" s="136">
        <f t="shared" si="41"/>
        <v>0</v>
      </c>
      <c r="AW263" s="136">
        <f t="shared" si="41"/>
        <v>0</v>
      </c>
      <c r="AX263" s="136">
        <f t="shared" si="41"/>
        <v>0</v>
      </c>
      <c r="AY263" s="136">
        <f t="shared" si="41"/>
        <v>0</v>
      </c>
      <c r="AZ263" s="136">
        <f t="shared" si="41"/>
        <v>0</v>
      </c>
      <c r="BA263" s="136">
        <f t="shared" si="41"/>
        <v>0</v>
      </c>
      <c r="BB263" s="136">
        <f t="shared" si="41"/>
        <v>0</v>
      </c>
      <c r="BC263" s="136">
        <f t="shared" si="41"/>
        <v>0</v>
      </c>
      <c r="BD263" s="136">
        <f t="shared" si="41"/>
        <v>0</v>
      </c>
      <c r="BE263" s="136">
        <f t="shared" si="41"/>
        <v>0</v>
      </c>
      <c r="BF263" s="136">
        <f t="shared" si="41"/>
        <v>0</v>
      </c>
      <c r="BG263" s="136">
        <f t="shared" si="41"/>
        <v>0</v>
      </c>
      <c r="BH263" s="136">
        <f t="shared" si="41"/>
        <v>0</v>
      </c>
      <c r="BI263" s="136">
        <f t="shared" si="41"/>
        <v>0</v>
      </c>
      <c r="BJ263" s="136">
        <f t="shared" si="41"/>
        <v>0</v>
      </c>
      <c r="BK263" s="136">
        <f t="shared" si="41"/>
        <v>0</v>
      </c>
      <c r="BL263" s="136">
        <f t="shared" si="41"/>
        <v>0</v>
      </c>
      <c r="BM263" s="136">
        <f t="shared" si="41"/>
        <v>0</v>
      </c>
      <c r="BN263" s="136">
        <f t="shared" si="41"/>
        <v>0</v>
      </c>
      <c r="BO263" s="136">
        <f t="shared" si="41"/>
        <v>0</v>
      </c>
      <c r="BP263" s="136">
        <f t="shared" si="41"/>
        <v>0</v>
      </c>
      <c r="BQ263" s="136">
        <f t="shared" si="41"/>
        <v>0</v>
      </c>
      <c r="BR263" s="136">
        <f t="shared" si="41"/>
        <v>0</v>
      </c>
      <c r="BS263" s="136">
        <f t="shared" si="41"/>
        <v>0</v>
      </c>
      <c r="BT263" s="136">
        <f t="shared" si="42"/>
        <v>0</v>
      </c>
      <c r="BU263" s="136">
        <f t="shared" si="42"/>
        <v>0</v>
      </c>
      <c r="BV263" s="136">
        <f t="shared" si="42"/>
        <v>0</v>
      </c>
      <c r="BW263" s="136">
        <f t="shared" si="42"/>
        <v>0</v>
      </c>
      <c r="BX263" s="136">
        <f t="shared" si="42"/>
        <v>0</v>
      </c>
      <c r="BZ263" s="136">
        <f t="shared" si="43"/>
        <v>0</v>
      </c>
      <c r="CA263" s="136">
        <f t="shared" si="43"/>
        <v>0</v>
      </c>
    </row>
    <row r="264" spans="12:79" hidden="1" x14ac:dyDescent="0.3">
      <c r="L264" s="136">
        <f t="shared" si="41"/>
        <v>0</v>
      </c>
      <c r="M264" s="136">
        <f t="shared" si="41"/>
        <v>0</v>
      </c>
      <c r="N264" s="136">
        <f t="shared" si="41"/>
        <v>0</v>
      </c>
      <c r="O264" s="136">
        <f t="shared" si="41"/>
        <v>0</v>
      </c>
      <c r="P264" s="136">
        <f t="shared" si="41"/>
        <v>0</v>
      </c>
      <c r="Q264" s="136">
        <f t="shared" si="41"/>
        <v>0</v>
      </c>
      <c r="R264" s="136">
        <f t="shared" si="41"/>
        <v>0</v>
      </c>
      <c r="S264" s="136">
        <f t="shared" si="41"/>
        <v>0</v>
      </c>
      <c r="T264" s="136">
        <f t="shared" si="41"/>
        <v>0</v>
      </c>
      <c r="U264" s="136">
        <f t="shared" si="41"/>
        <v>0</v>
      </c>
      <c r="V264" s="136">
        <f t="shared" si="41"/>
        <v>0</v>
      </c>
      <c r="W264" s="136">
        <f t="shared" si="41"/>
        <v>0</v>
      </c>
      <c r="X264" s="136">
        <f t="shared" si="41"/>
        <v>0</v>
      </c>
      <c r="Y264" s="136">
        <f t="shared" si="41"/>
        <v>0</v>
      </c>
      <c r="Z264" s="136">
        <f t="shared" si="41"/>
        <v>0</v>
      </c>
      <c r="AA264" s="136">
        <f t="shared" si="41"/>
        <v>0</v>
      </c>
      <c r="AB264" s="136">
        <f t="shared" si="41"/>
        <v>0</v>
      </c>
      <c r="AC264" s="136">
        <f t="shared" si="41"/>
        <v>0</v>
      </c>
      <c r="AD264" s="136">
        <f t="shared" si="41"/>
        <v>0</v>
      </c>
      <c r="AE264" s="136">
        <f t="shared" si="41"/>
        <v>0</v>
      </c>
      <c r="AF264" s="136">
        <f t="shared" si="41"/>
        <v>0</v>
      </c>
      <c r="AG264" s="136">
        <f t="shared" si="41"/>
        <v>0</v>
      </c>
      <c r="AH264" s="136">
        <f t="shared" si="41"/>
        <v>0</v>
      </c>
      <c r="AI264" s="136">
        <f t="shared" si="41"/>
        <v>0</v>
      </c>
      <c r="AJ264" s="136">
        <f t="shared" si="41"/>
        <v>0</v>
      </c>
      <c r="AK264" s="136">
        <f t="shared" si="41"/>
        <v>0</v>
      </c>
      <c r="AL264" s="136">
        <f t="shared" si="41"/>
        <v>0</v>
      </c>
      <c r="AM264" s="136">
        <f t="shared" si="41"/>
        <v>0</v>
      </c>
      <c r="AN264" s="136">
        <f t="shared" si="41"/>
        <v>0</v>
      </c>
      <c r="AO264" s="136">
        <f t="shared" si="41"/>
        <v>0</v>
      </c>
      <c r="AP264" s="136">
        <f t="shared" si="41"/>
        <v>0</v>
      </c>
      <c r="AQ264" s="136">
        <f t="shared" si="41"/>
        <v>0</v>
      </c>
      <c r="AR264" s="136">
        <f t="shared" si="41"/>
        <v>0</v>
      </c>
      <c r="AS264" s="136">
        <f t="shared" si="41"/>
        <v>0</v>
      </c>
      <c r="AT264" s="136">
        <f t="shared" si="41"/>
        <v>0</v>
      </c>
      <c r="AU264" s="136">
        <f t="shared" si="41"/>
        <v>0</v>
      </c>
      <c r="AV264" s="136">
        <f t="shared" si="41"/>
        <v>0</v>
      </c>
      <c r="AW264" s="136">
        <f t="shared" si="41"/>
        <v>0</v>
      </c>
      <c r="AX264" s="136">
        <f t="shared" si="41"/>
        <v>0</v>
      </c>
      <c r="AY264" s="136">
        <f t="shared" si="41"/>
        <v>0</v>
      </c>
      <c r="AZ264" s="136">
        <f t="shared" si="41"/>
        <v>0</v>
      </c>
      <c r="BA264" s="136">
        <f t="shared" si="41"/>
        <v>0</v>
      </c>
      <c r="BB264" s="136">
        <f t="shared" si="41"/>
        <v>0</v>
      </c>
      <c r="BC264" s="136">
        <f t="shared" si="41"/>
        <v>0</v>
      </c>
      <c r="BD264" s="136">
        <f t="shared" si="41"/>
        <v>0</v>
      </c>
      <c r="BE264" s="136">
        <f t="shared" si="41"/>
        <v>0</v>
      </c>
      <c r="BF264" s="136">
        <f t="shared" si="41"/>
        <v>0</v>
      </c>
      <c r="BG264" s="136">
        <f t="shared" si="41"/>
        <v>0</v>
      </c>
      <c r="BH264" s="136">
        <f t="shared" si="41"/>
        <v>0</v>
      </c>
      <c r="BI264" s="136">
        <f t="shared" si="41"/>
        <v>0</v>
      </c>
      <c r="BJ264" s="136">
        <f t="shared" si="41"/>
        <v>0</v>
      </c>
      <c r="BK264" s="136">
        <f t="shared" si="41"/>
        <v>0</v>
      </c>
      <c r="BL264" s="136">
        <f t="shared" si="41"/>
        <v>0</v>
      </c>
      <c r="BM264" s="136">
        <f t="shared" si="41"/>
        <v>0</v>
      </c>
      <c r="BN264" s="136">
        <f t="shared" si="41"/>
        <v>0</v>
      </c>
      <c r="BO264" s="136">
        <f t="shared" si="41"/>
        <v>0</v>
      </c>
      <c r="BP264" s="136">
        <f t="shared" si="41"/>
        <v>0</v>
      </c>
      <c r="BQ264" s="136">
        <f t="shared" si="41"/>
        <v>0</v>
      </c>
      <c r="BR264" s="136">
        <f t="shared" si="41"/>
        <v>0</v>
      </c>
      <c r="BS264" s="136">
        <f t="shared" si="41"/>
        <v>0</v>
      </c>
      <c r="BT264" s="136">
        <f t="shared" si="42"/>
        <v>0</v>
      </c>
      <c r="BU264" s="136">
        <f t="shared" si="42"/>
        <v>0</v>
      </c>
      <c r="BV264" s="136">
        <f t="shared" si="42"/>
        <v>0</v>
      </c>
      <c r="BW264" s="136">
        <f t="shared" si="42"/>
        <v>0</v>
      </c>
      <c r="BX264" s="136">
        <f t="shared" si="42"/>
        <v>0</v>
      </c>
      <c r="BZ264" s="136">
        <f t="shared" si="43"/>
        <v>0</v>
      </c>
      <c r="CA264" s="136">
        <f t="shared" si="43"/>
        <v>0</v>
      </c>
    </row>
    <row r="265" spans="12:79" hidden="1" x14ac:dyDescent="0.3">
      <c r="L265" s="136">
        <f t="shared" si="41"/>
        <v>0</v>
      </c>
      <c r="M265" s="136">
        <f t="shared" si="41"/>
        <v>0</v>
      </c>
      <c r="N265" s="136">
        <f t="shared" si="41"/>
        <v>0</v>
      </c>
      <c r="O265" s="136">
        <f t="shared" si="41"/>
        <v>0</v>
      </c>
      <c r="P265" s="136">
        <f t="shared" si="41"/>
        <v>0</v>
      </c>
      <c r="Q265" s="136">
        <f t="shared" si="41"/>
        <v>0</v>
      </c>
      <c r="R265" s="136">
        <f t="shared" si="41"/>
        <v>0</v>
      </c>
      <c r="S265" s="136">
        <f t="shared" si="41"/>
        <v>0</v>
      </c>
      <c r="T265" s="136">
        <f t="shared" si="41"/>
        <v>0</v>
      </c>
      <c r="U265" s="136">
        <f t="shared" si="41"/>
        <v>0</v>
      </c>
      <c r="V265" s="136">
        <f t="shared" si="41"/>
        <v>0</v>
      </c>
      <c r="W265" s="136">
        <f t="shared" si="41"/>
        <v>0</v>
      </c>
      <c r="X265" s="136">
        <f t="shared" si="41"/>
        <v>0</v>
      </c>
      <c r="Y265" s="136">
        <f t="shared" si="41"/>
        <v>0</v>
      </c>
      <c r="Z265" s="136">
        <f t="shared" si="41"/>
        <v>0</v>
      </c>
      <c r="AA265" s="136">
        <f t="shared" si="41"/>
        <v>0</v>
      </c>
      <c r="AB265" s="136">
        <f t="shared" si="41"/>
        <v>0</v>
      </c>
      <c r="AC265" s="136">
        <f t="shared" si="41"/>
        <v>0</v>
      </c>
      <c r="AD265" s="136">
        <f t="shared" si="41"/>
        <v>0</v>
      </c>
      <c r="AE265" s="136">
        <f t="shared" si="41"/>
        <v>0</v>
      </c>
      <c r="AF265" s="136">
        <f t="shared" si="41"/>
        <v>0</v>
      </c>
      <c r="AG265" s="136">
        <f t="shared" si="41"/>
        <v>0</v>
      </c>
      <c r="AH265" s="136">
        <f t="shared" si="41"/>
        <v>0</v>
      </c>
      <c r="AI265" s="136">
        <f t="shared" si="41"/>
        <v>0</v>
      </c>
      <c r="AJ265" s="136">
        <f t="shared" si="41"/>
        <v>0</v>
      </c>
      <c r="AK265" s="136">
        <f t="shared" si="41"/>
        <v>0</v>
      </c>
      <c r="AL265" s="136">
        <f t="shared" si="41"/>
        <v>0</v>
      </c>
      <c r="AM265" s="136">
        <f t="shared" si="41"/>
        <v>0</v>
      </c>
      <c r="AN265" s="136">
        <f t="shared" si="41"/>
        <v>0</v>
      </c>
      <c r="AO265" s="136">
        <f t="shared" si="41"/>
        <v>0</v>
      </c>
      <c r="AP265" s="136">
        <f t="shared" si="41"/>
        <v>0</v>
      </c>
      <c r="AQ265" s="136">
        <f t="shared" si="41"/>
        <v>0</v>
      </c>
      <c r="AR265" s="136">
        <f t="shared" si="41"/>
        <v>0</v>
      </c>
      <c r="AS265" s="136">
        <f t="shared" si="41"/>
        <v>0</v>
      </c>
      <c r="AT265" s="136">
        <f t="shared" si="41"/>
        <v>0</v>
      </c>
      <c r="AU265" s="136">
        <f t="shared" si="41"/>
        <v>0</v>
      </c>
      <c r="AV265" s="136">
        <f t="shared" si="41"/>
        <v>0</v>
      </c>
      <c r="AW265" s="136">
        <f t="shared" si="41"/>
        <v>0</v>
      </c>
      <c r="AX265" s="136">
        <f t="shared" si="41"/>
        <v>0</v>
      </c>
      <c r="AY265" s="136">
        <f t="shared" si="41"/>
        <v>0</v>
      </c>
      <c r="AZ265" s="136">
        <f t="shared" si="41"/>
        <v>0</v>
      </c>
      <c r="BA265" s="136">
        <f t="shared" si="41"/>
        <v>0</v>
      </c>
      <c r="BB265" s="136">
        <f t="shared" si="41"/>
        <v>0</v>
      </c>
      <c r="BC265" s="136">
        <f t="shared" si="41"/>
        <v>0</v>
      </c>
      <c r="BD265" s="136">
        <f t="shared" si="41"/>
        <v>0</v>
      </c>
      <c r="BE265" s="136">
        <f t="shared" si="41"/>
        <v>0</v>
      </c>
      <c r="BF265" s="136">
        <f t="shared" si="41"/>
        <v>0</v>
      </c>
      <c r="BG265" s="136">
        <f t="shared" si="41"/>
        <v>0</v>
      </c>
      <c r="BH265" s="136">
        <f t="shared" si="41"/>
        <v>0</v>
      </c>
      <c r="BI265" s="136">
        <f t="shared" si="41"/>
        <v>0</v>
      </c>
      <c r="BJ265" s="136">
        <f t="shared" si="41"/>
        <v>0</v>
      </c>
      <c r="BK265" s="136">
        <f t="shared" si="41"/>
        <v>0</v>
      </c>
      <c r="BL265" s="136">
        <f t="shared" si="41"/>
        <v>0</v>
      </c>
      <c r="BM265" s="136">
        <f t="shared" si="41"/>
        <v>0</v>
      </c>
      <c r="BN265" s="136">
        <f t="shared" si="41"/>
        <v>0</v>
      </c>
      <c r="BO265" s="136">
        <f t="shared" si="41"/>
        <v>0</v>
      </c>
      <c r="BP265" s="136">
        <f t="shared" si="41"/>
        <v>0</v>
      </c>
      <c r="BQ265" s="136">
        <f t="shared" si="41"/>
        <v>0</v>
      </c>
      <c r="BR265" s="136">
        <f t="shared" si="41"/>
        <v>0</v>
      </c>
      <c r="BS265" s="136">
        <f t="shared" si="41"/>
        <v>0</v>
      </c>
      <c r="BT265" s="136">
        <f t="shared" si="42"/>
        <v>0</v>
      </c>
      <c r="BU265" s="136">
        <f t="shared" si="42"/>
        <v>0</v>
      </c>
      <c r="BV265" s="136">
        <f t="shared" si="42"/>
        <v>0</v>
      </c>
      <c r="BW265" s="136">
        <f t="shared" si="42"/>
        <v>0</v>
      </c>
      <c r="BX265" s="136">
        <f t="shared" si="42"/>
        <v>0</v>
      </c>
      <c r="BZ265" s="136">
        <f t="shared" si="43"/>
        <v>0</v>
      </c>
      <c r="CA265" s="136">
        <f t="shared" si="43"/>
        <v>0</v>
      </c>
    </row>
    <row r="266" spans="12:79" hidden="1" x14ac:dyDescent="0.3">
      <c r="L266" s="136" t="e">
        <f>#REF!-#REF!</f>
        <v>#REF!</v>
      </c>
      <c r="M266" s="136" t="e">
        <f>#REF!-#REF!</f>
        <v>#REF!</v>
      </c>
      <c r="N266" s="136" t="e">
        <f>#REF!-#REF!</f>
        <v>#REF!</v>
      </c>
      <c r="O266" s="136" t="e">
        <f>#REF!-#REF!</f>
        <v>#REF!</v>
      </c>
      <c r="P266" s="136" t="e">
        <f>#REF!-#REF!</f>
        <v>#REF!</v>
      </c>
      <c r="Q266" s="136" t="e">
        <f>#REF!-#REF!</f>
        <v>#REF!</v>
      </c>
      <c r="R266" s="136" t="e">
        <f>#REF!-#REF!</f>
        <v>#REF!</v>
      </c>
      <c r="S266" s="136" t="e">
        <f>#REF!-#REF!</f>
        <v>#REF!</v>
      </c>
      <c r="T266" s="136" t="e">
        <f>#REF!-#REF!</f>
        <v>#REF!</v>
      </c>
      <c r="U266" s="136" t="e">
        <f>#REF!-#REF!</f>
        <v>#REF!</v>
      </c>
      <c r="V266" s="136" t="e">
        <f>#REF!-#REF!</f>
        <v>#REF!</v>
      </c>
      <c r="W266" s="136" t="e">
        <f>#REF!-#REF!</f>
        <v>#REF!</v>
      </c>
      <c r="X266" s="136" t="e">
        <f>#REF!-#REF!</f>
        <v>#REF!</v>
      </c>
      <c r="Y266" s="136" t="e">
        <f>#REF!-#REF!</f>
        <v>#REF!</v>
      </c>
      <c r="Z266" s="136" t="e">
        <f>#REF!-#REF!</f>
        <v>#REF!</v>
      </c>
      <c r="AA266" s="136" t="e">
        <f>#REF!-#REF!</f>
        <v>#REF!</v>
      </c>
      <c r="AB266" s="136" t="e">
        <f>#REF!-#REF!</f>
        <v>#REF!</v>
      </c>
      <c r="AC266" s="136" t="e">
        <f>#REF!-#REF!</f>
        <v>#REF!</v>
      </c>
      <c r="AD266" s="136" t="e">
        <f>#REF!-#REF!</f>
        <v>#REF!</v>
      </c>
      <c r="AE266" s="136" t="e">
        <f>#REF!-#REF!</f>
        <v>#REF!</v>
      </c>
      <c r="AF266" s="136" t="e">
        <f>#REF!-#REF!</f>
        <v>#REF!</v>
      </c>
      <c r="AG266" s="136" t="e">
        <f>#REF!-#REF!</f>
        <v>#REF!</v>
      </c>
      <c r="AH266" s="136" t="e">
        <f>#REF!-#REF!</f>
        <v>#REF!</v>
      </c>
      <c r="AI266" s="136" t="e">
        <f>#REF!-#REF!</f>
        <v>#REF!</v>
      </c>
      <c r="AJ266" s="136" t="e">
        <f>#REF!-#REF!</f>
        <v>#REF!</v>
      </c>
      <c r="AK266" s="136" t="e">
        <f>#REF!-#REF!</f>
        <v>#REF!</v>
      </c>
      <c r="AL266" s="136" t="e">
        <f>#REF!-#REF!</f>
        <v>#REF!</v>
      </c>
      <c r="AM266" s="136" t="e">
        <f>#REF!-#REF!</f>
        <v>#REF!</v>
      </c>
      <c r="AN266" s="136" t="e">
        <f>#REF!-#REF!</f>
        <v>#REF!</v>
      </c>
      <c r="AO266" s="136" t="e">
        <f>#REF!-#REF!</f>
        <v>#REF!</v>
      </c>
      <c r="AP266" s="136" t="e">
        <f>#REF!-#REF!</f>
        <v>#REF!</v>
      </c>
      <c r="AQ266" s="136" t="e">
        <f>#REF!-#REF!</f>
        <v>#REF!</v>
      </c>
      <c r="AR266" s="136" t="e">
        <f>#REF!-#REF!</f>
        <v>#REF!</v>
      </c>
      <c r="AS266" s="136" t="e">
        <f>#REF!-#REF!</f>
        <v>#REF!</v>
      </c>
      <c r="AT266" s="136" t="e">
        <f>#REF!-#REF!</f>
        <v>#REF!</v>
      </c>
      <c r="AU266" s="136" t="e">
        <f>#REF!-#REF!</f>
        <v>#REF!</v>
      </c>
      <c r="AV266" s="136" t="e">
        <f>#REF!-#REF!</f>
        <v>#REF!</v>
      </c>
      <c r="AW266" s="136" t="e">
        <f>#REF!-#REF!</f>
        <v>#REF!</v>
      </c>
      <c r="AX266" s="136" t="e">
        <f>#REF!-#REF!</f>
        <v>#REF!</v>
      </c>
      <c r="AY266" s="136" t="e">
        <f>#REF!-#REF!</f>
        <v>#REF!</v>
      </c>
      <c r="AZ266" s="136" t="e">
        <f>#REF!-#REF!</f>
        <v>#REF!</v>
      </c>
      <c r="BA266" s="136" t="e">
        <f>#REF!-#REF!</f>
        <v>#REF!</v>
      </c>
      <c r="BB266" s="136" t="e">
        <f>#REF!-#REF!</f>
        <v>#REF!</v>
      </c>
      <c r="BC266" s="136" t="e">
        <f>#REF!-#REF!</f>
        <v>#REF!</v>
      </c>
      <c r="BD266" s="136" t="e">
        <f>#REF!-#REF!</f>
        <v>#REF!</v>
      </c>
      <c r="BE266" s="136" t="e">
        <f>#REF!-#REF!</f>
        <v>#REF!</v>
      </c>
      <c r="BF266" s="136" t="e">
        <f>#REF!-#REF!</f>
        <v>#REF!</v>
      </c>
      <c r="BG266" s="136" t="e">
        <f>#REF!-#REF!</f>
        <v>#REF!</v>
      </c>
      <c r="BH266" s="136" t="e">
        <f>#REF!-#REF!</f>
        <v>#REF!</v>
      </c>
      <c r="BI266" s="136" t="e">
        <f>#REF!-#REF!</f>
        <v>#REF!</v>
      </c>
      <c r="BJ266" s="136" t="e">
        <f>#REF!-#REF!</f>
        <v>#REF!</v>
      </c>
      <c r="BK266" s="136" t="e">
        <f>#REF!-#REF!</f>
        <v>#REF!</v>
      </c>
      <c r="BL266" s="136" t="e">
        <f>#REF!-#REF!</f>
        <v>#REF!</v>
      </c>
      <c r="BM266" s="136" t="e">
        <f>#REF!-#REF!</f>
        <v>#REF!</v>
      </c>
      <c r="BN266" s="136" t="e">
        <f>#REF!-#REF!</f>
        <v>#REF!</v>
      </c>
      <c r="BO266" s="136" t="e">
        <f>#REF!-#REF!</f>
        <v>#REF!</v>
      </c>
      <c r="BP266" s="136" t="e">
        <f>#REF!-#REF!</f>
        <v>#REF!</v>
      </c>
      <c r="BQ266" s="136" t="e">
        <f>#REF!-#REF!</f>
        <v>#REF!</v>
      </c>
      <c r="BR266" s="136" t="e">
        <f>#REF!-#REF!</f>
        <v>#REF!</v>
      </c>
      <c r="BS266" s="136" t="e">
        <f>#REF!-#REF!</f>
        <v>#REF!</v>
      </c>
      <c r="BT266" s="136" t="e">
        <f>#REF!-#REF!</f>
        <v>#REF!</v>
      </c>
      <c r="BU266" s="136" t="e">
        <f>#REF!-#REF!</f>
        <v>#REF!</v>
      </c>
      <c r="BV266" s="136" t="e">
        <f>#REF!-#REF!</f>
        <v>#REF!</v>
      </c>
      <c r="BW266" s="136" t="e">
        <f>#REF!-#REF!</f>
        <v>#REF!</v>
      </c>
      <c r="BX266" s="136" t="e">
        <f>#REF!-#REF!</f>
        <v>#REF!</v>
      </c>
      <c r="BZ266" s="136" t="e">
        <f>#REF!-#REF!</f>
        <v>#REF!</v>
      </c>
      <c r="CA266" s="136" t="e">
        <f>#REF!-#REF!</f>
        <v>#REF!</v>
      </c>
    </row>
    <row r="267" spans="12:79" hidden="1" x14ac:dyDescent="0.3">
      <c r="L267" s="136">
        <f t="shared" ref="L267:BW267" si="44">L42-CD42</f>
        <v>0</v>
      </c>
      <c r="M267" s="136">
        <f t="shared" si="44"/>
        <v>0</v>
      </c>
      <c r="N267" s="136">
        <f t="shared" si="44"/>
        <v>0</v>
      </c>
      <c r="O267" s="136">
        <f t="shared" si="44"/>
        <v>0</v>
      </c>
      <c r="P267" s="136">
        <f t="shared" si="44"/>
        <v>0</v>
      </c>
      <c r="Q267" s="136">
        <f t="shared" si="44"/>
        <v>0</v>
      </c>
      <c r="R267" s="136">
        <f t="shared" si="44"/>
        <v>0</v>
      </c>
      <c r="S267" s="136">
        <f t="shared" si="44"/>
        <v>0</v>
      </c>
      <c r="T267" s="136">
        <f t="shared" si="44"/>
        <v>0</v>
      </c>
      <c r="U267" s="136">
        <f t="shared" si="44"/>
        <v>0</v>
      </c>
      <c r="V267" s="136">
        <f t="shared" si="44"/>
        <v>0</v>
      </c>
      <c r="W267" s="136">
        <f t="shared" si="44"/>
        <v>0</v>
      </c>
      <c r="X267" s="136">
        <f t="shared" si="44"/>
        <v>0</v>
      </c>
      <c r="Y267" s="136">
        <f t="shared" si="44"/>
        <v>0</v>
      </c>
      <c r="Z267" s="136">
        <f t="shared" si="44"/>
        <v>0</v>
      </c>
      <c r="AA267" s="136">
        <f t="shared" si="44"/>
        <v>0</v>
      </c>
      <c r="AB267" s="136">
        <f t="shared" si="44"/>
        <v>0</v>
      </c>
      <c r="AC267" s="136">
        <f t="shared" si="44"/>
        <v>0</v>
      </c>
      <c r="AD267" s="136">
        <f t="shared" si="44"/>
        <v>0</v>
      </c>
      <c r="AE267" s="136">
        <f t="shared" si="44"/>
        <v>0</v>
      </c>
      <c r="AF267" s="136">
        <f t="shared" si="44"/>
        <v>0</v>
      </c>
      <c r="AG267" s="136">
        <f t="shared" si="44"/>
        <v>0</v>
      </c>
      <c r="AH267" s="136">
        <f t="shared" si="44"/>
        <v>0</v>
      </c>
      <c r="AI267" s="136">
        <f t="shared" si="44"/>
        <v>0</v>
      </c>
      <c r="AJ267" s="136">
        <f t="shared" si="44"/>
        <v>0</v>
      </c>
      <c r="AK267" s="136">
        <f t="shared" si="44"/>
        <v>0</v>
      </c>
      <c r="AL267" s="136">
        <f t="shared" si="44"/>
        <v>0</v>
      </c>
      <c r="AM267" s="136">
        <f t="shared" si="44"/>
        <v>0</v>
      </c>
      <c r="AN267" s="136">
        <f t="shared" si="44"/>
        <v>0</v>
      </c>
      <c r="AO267" s="136">
        <f t="shared" si="44"/>
        <v>0</v>
      </c>
      <c r="AP267" s="136">
        <f t="shared" si="44"/>
        <v>0</v>
      </c>
      <c r="AQ267" s="136">
        <f t="shared" si="44"/>
        <v>0</v>
      </c>
      <c r="AR267" s="136">
        <f t="shared" si="44"/>
        <v>0</v>
      </c>
      <c r="AS267" s="136">
        <f t="shared" si="44"/>
        <v>0</v>
      </c>
      <c r="AT267" s="136">
        <f t="shared" si="44"/>
        <v>0</v>
      </c>
      <c r="AU267" s="136">
        <f t="shared" si="44"/>
        <v>0</v>
      </c>
      <c r="AV267" s="136">
        <f t="shared" si="44"/>
        <v>0</v>
      </c>
      <c r="AW267" s="136">
        <f t="shared" si="44"/>
        <v>0</v>
      </c>
      <c r="AX267" s="136">
        <f t="shared" si="44"/>
        <v>0</v>
      </c>
      <c r="AY267" s="136">
        <f t="shared" si="44"/>
        <v>0</v>
      </c>
      <c r="AZ267" s="136">
        <f t="shared" si="44"/>
        <v>0</v>
      </c>
      <c r="BA267" s="136">
        <f t="shared" si="44"/>
        <v>0</v>
      </c>
      <c r="BB267" s="136">
        <f t="shared" si="44"/>
        <v>0</v>
      </c>
      <c r="BC267" s="136">
        <f t="shared" si="44"/>
        <v>0</v>
      </c>
      <c r="BD267" s="136">
        <f t="shared" si="44"/>
        <v>0</v>
      </c>
      <c r="BE267" s="136">
        <f t="shared" si="44"/>
        <v>0</v>
      </c>
      <c r="BF267" s="136">
        <f t="shared" si="44"/>
        <v>0</v>
      </c>
      <c r="BG267" s="136">
        <f t="shared" si="44"/>
        <v>0</v>
      </c>
      <c r="BH267" s="136">
        <f t="shared" si="44"/>
        <v>0</v>
      </c>
      <c r="BI267" s="136">
        <f t="shared" si="44"/>
        <v>0</v>
      </c>
      <c r="BJ267" s="136">
        <f t="shared" si="44"/>
        <v>0</v>
      </c>
      <c r="BK267" s="136">
        <f t="shared" si="44"/>
        <v>0</v>
      </c>
      <c r="BL267" s="136">
        <f t="shared" si="44"/>
        <v>0</v>
      </c>
      <c r="BM267" s="136">
        <f t="shared" si="44"/>
        <v>0</v>
      </c>
      <c r="BN267" s="136">
        <f t="shared" si="44"/>
        <v>0</v>
      </c>
      <c r="BO267" s="136">
        <f t="shared" si="44"/>
        <v>0</v>
      </c>
      <c r="BP267" s="136">
        <f t="shared" si="44"/>
        <v>0</v>
      </c>
      <c r="BQ267" s="136">
        <f t="shared" si="44"/>
        <v>0</v>
      </c>
      <c r="BR267" s="136">
        <f t="shared" si="44"/>
        <v>0</v>
      </c>
      <c r="BS267" s="136">
        <f t="shared" si="44"/>
        <v>0</v>
      </c>
      <c r="BT267" s="136">
        <f t="shared" si="44"/>
        <v>0</v>
      </c>
      <c r="BU267" s="136">
        <f t="shared" si="44"/>
        <v>0</v>
      </c>
      <c r="BV267" s="136">
        <f t="shared" si="44"/>
        <v>0</v>
      </c>
      <c r="BW267" s="136">
        <f t="shared" si="44"/>
        <v>0</v>
      </c>
      <c r="BX267" s="136">
        <f>BX42-EP42</f>
        <v>0</v>
      </c>
      <c r="BZ267" s="136">
        <f>BZ42-ER42</f>
        <v>0</v>
      </c>
      <c r="CA267" s="136">
        <f>CA42-ES42</f>
        <v>0</v>
      </c>
    </row>
    <row r="268" spans="12:79" hidden="1" x14ac:dyDescent="0.3">
      <c r="L268" s="136">
        <f t="shared" ref="L268:BW271" si="45">L96-CD96</f>
        <v>0</v>
      </c>
      <c r="M268" s="136">
        <f t="shared" si="45"/>
        <v>0</v>
      </c>
      <c r="N268" s="136">
        <f t="shared" si="45"/>
        <v>0</v>
      </c>
      <c r="O268" s="136">
        <f t="shared" si="45"/>
        <v>0</v>
      </c>
      <c r="P268" s="136">
        <f t="shared" si="45"/>
        <v>0</v>
      </c>
      <c r="Q268" s="136">
        <f t="shared" si="45"/>
        <v>0</v>
      </c>
      <c r="R268" s="136">
        <f t="shared" si="45"/>
        <v>0</v>
      </c>
      <c r="S268" s="136">
        <f t="shared" si="45"/>
        <v>0</v>
      </c>
      <c r="T268" s="136">
        <f t="shared" si="45"/>
        <v>0</v>
      </c>
      <c r="U268" s="136">
        <f t="shared" si="45"/>
        <v>0</v>
      </c>
      <c r="V268" s="136">
        <f t="shared" si="45"/>
        <v>0</v>
      </c>
      <c r="W268" s="136">
        <f t="shared" si="45"/>
        <v>0</v>
      </c>
      <c r="X268" s="136">
        <f t="shared" si="45"/>
        <v>0</v>
      </c>
      <c r="Y268" s="136">
        <f t="shared" si="45"/>
        <v>0</v>
      </c>
      <c r="Z268" s="136">
        <f t="shared" si="45"/>
        <v>0</v>
      </c>
      <c r="AA268" s="136">
        <f t="shared" si="45"/>
        <v>0</v>
      </c>
      <c r="AB268" s="136">
        <f t="shared" si="45"/>
        <v>0</v>
      </c>
      <c r="AC268" s="136">
        <f t="shared" si="45"/>
        <v>0</v>
      </c>
      <c r="AD268" s="136">
        <f t="shared" si="45"/>
        <v>0</v>
      </c>
      <c r="AE268" s="136">
        <f t="shared" si="45"/>
        <v>0</v>
      </c>
      <c r="AF268" s="136">
        <f t="shared" si="45"/>
        <v>0</v>
      </c>
      <c r="AG268" s="136">
        <f t="shared" si="45"/>
        <v>0</v>
      </c>
      <c r="AH268" s="136">
        <f t="shared" si="45"/>
        <v>0</v>
      </c>
      <c r="AI268" s="136">
        <f t="shared" si="45"/>
        <v>0</v>
      </c>
      <c r="AJ268" s="136">
        <f t="shared" si="45"/>
        <v>0</v>
      </c>
      <c r="AK268" s="136">
        <f t="shared" si="45"/>
        <v>0</v>
      </c>
      <c r="AL268" s="136">
        <f t="shared" si="45"/>
        <v>0</v>
      </c>
      <c r="AM268" s="136">
        <f t="shared" si="45"/>
        <v>0</v>
      </c>
      <c r="AN268" s="136">
        <f t="shared" si="45"/>
        <v>0</v>
      </c>
      <c r="AO268" s="136">
        <f t="shared" si="45"/>
        <v>0</v>
      </c>
      <c r="AP268" s="136">
        <f t="shared" si="45"/>
        <v>0</v>
      </c>
      <c r="AQ268" s="136">
        <f t="shared" si="45"/>
        <v>0</v>
      </c>
      <c r="AR268" s="136">
        <f t="shared" si="45"/>
        <v>0</v>
      </c>
      <c r="AS268" s="136">
        <f t="shared" si="45"/>
        <v>0</v>
      </c>
      <c r="AT268" s="136">
        <f t="shared" si="45"/>
        <v>0</v>
      </c>
      <c r="AU268" s="136">
        <f t="shared" si="45"/>
        <v>0</v>
      </c>
      <c r="AV268" s="136">
        <f t="shared" si="45"/>
        <v>0</v>
      </c>
      <c r="AW268" s="136">
        <f t="shared" si="45"/>
        <v>0</v>
      </c>
      <c r="AX268" s="136">
        <f t="shared" si="45"/>
        <v>0</v>
      </c>
      <c r="AY268" s="136">
        <f t="shared" si="45"/>
        <v>0</v>
      </c>
      <c r="AZ268" s="136">
        <f t="shared" si="45"/>
        <v>0</v>
      </c>
      <c r="BA268" s="136">
        <f t="shared" si="45"/>
        <v>0</v>
      </c>
      <c r="BB268" s="136">
        <f t="shared" si="45"/>
        <v>0</v>
      </c>
      <c r="BC268" s="136">
        <f t="shared" si="45"/>
        <v>0</v>
      </c>
      <c r="BD268" s="136">
        <f t="shared" si="45"/>
        <v>0</v>
      </c>
      <c r="BE268" s="136">
        <f t="shared" si="45"/>
        <v>0</v>
      </c>
      <c r="BF268" s="136">
        <f t="shared" si="45"/>
        <v>0</v>
      </c>
      <c r="BG268" s="136">
        <f t="shared" si="45"/>
        <v>0</v>
      </c>
      <c r="BH268" s="136">
        <f t="shared" si="45"/>
        <v>0</v>
      </c>
      <c r="BI268" s="136">
        <f t="shared" si="45"/>
        <v>0</v>
      </c>
      <c r="BJ268" s="136">
        <f t="shared" si="45"/>
        <v>0</v>
      </c>
      <c r="BK268" s="136">
        <f t="shared" si="45"/>
        <v>0</v>
      </c>
      <c r="BL268" s="136">
        <f t="shared" si="45"/>
        <v>0</v>
      </c>
      <c r="BM268" s="136">
        <f t="shared" si="45"/>
        <v>0</v>
      </c>
      <c r="BN268" s="136">
        <f t="shared" si="45"/>
        <v>0</v>
      </c>
      <c r="BO268" s="136">
        <f t="shared" si="45"/>
        <v>0</v>
      </c>
      <c r="BP268" s="136">
        <f t="shared" si="45"/>
        <v>0</v>
      </c>
      <c r="BQ268" s="136">
        <f t="shared" si="45"/>
        <v>0</v>
      </c>
      <c r="BR268" s="136">
        <f t="shared" si="45"/>
        <v>0</v>
      </c>
      <c r="BS268" s="136">
        <f t="shared" si="45"/>
        <v>0</v>
      </c>
      <c r="BT268" s="136">
        <f t="shared" si="45"/>
        <v>0</v>
      </c>
      <c r="BU268" s="136">
        <f t="shared" si="45"/>
        <v>0</v>
      </c>
      <c r="BV268" s="136">
        <f t="shared" si="45"/>
        <v>0</v>
      </c>
      <c r="BW268" s="136">
        <f t="shared" si="45"/>
        <v>0</v>
      </c>
      <c r="BX268" s="136">
        <f t="shared" ref="BX268:BX285" si="46">BX96-EP96</f>
        <v>0</v>
      </c>
      <c r="BZ268" s="136">
        <f t="shared" ref="BZ268:CA283" si="47">BZ96-ER96</f>
        <v>0</v>
      </c>
      <c r="CA268" s="136">
        <f t="shared" si="47"/>
        <v>0</v>
      </c>
    </row>
    <row r="269" spans="12:79" hidden="1" x14ac:dyDescent="0.3">
      <c r="L269" s="136">
        <f t="shared" si="45"/>
        <v>-7145000</v>
      </c>
      <c r="M269" s="136">
        <f t="shared" si="45"/>
        <v>0</v>
      </c>
      <c r="N269" s="136">
        <f t="shared" si="45"/>
        <v>0</v>
      </c>
      <c r="O269" s="136">
        <f t="shared" si="45"/>
        <v>0</v>
      </c>
      <c r="P269" s="136">
        <f t="shared" si="45"/>
        <v>0</v>
      </c>
      <c r="Q269" s="136">
        <f t="shared" si="45"/>
        <v>235000</v>
      </c>
      <c r="R269" s="136">
        <f t="shared" si="45"/>
        <v>0</v>
      </c>
      <c r="S269" s="136">
        <f t="shared" si="45"/>
        <v>0</v>
      </c>
      <c r="T269" s="136">
        <f t="shared" si="45"/>
        <v>0</v>
      </c>
      <c r="U269" s="136">
        <f t="shared" si="45"/>
        <v>0</v>
      </c>
      <c r="V269" s="136">
        <f t="shared" si="45"/>
        <v>-5735000</v>
      </c>
      <c r="W269" s="136">
        <f t="shared" si="45"/>
        <v>0</v>
      </c>
      <c r="X269" s="136">
        <f t="shared" si="45"/>
        <v>0</v>
      </c>
      <c r="Y269" s="136">
        <f t="shared" si="45"/>
        <v>0</v>
      </c>
      <c r="Z269" s="136">
        <f t="shared" si="45"/>
        <v>0</v>
      </c>
      <c r="AA269" s="136">
        <f t="shared" si="45"/>
        <v>-3165000</v>
      </c>
      <c r="AB269" s="136">
        <f t="shared" si="45"/>
        <v>0</v>
      </c>
      <c r="AC269" s="136">
        <f t="shared" si="45"/>
        <v>0</v>
      </c>
      <c r="AD269" s="136">
        <f t="shared" si="45"/>
        <v>0</v>
      </c>
      <c r="AE269" s="136">
        <f t="shared" si="45"/>
        <v>0</v>
      </c>
      <c r="AF269" s="136">
        <f t="shared" si="45"/>
        <v>-4370000</v>
      </c>
      <c r="AG269" s="136">
        <f t="shared" si="45"/>
        <v>0</v>
      </c>
      <c r="AH269" s="136">
        <f t="shared" si="45"/>
        <v>0</v>
      </c>
      <c r="AI269" s="136">
        <f t="shared" si="45"/>
        <v>0</v>
      </c>
      <c r="AJ269" s="136">
        <f t="shared" si="45"/>
        <v>0</v>
      </c>
      <c r="AK269" s="136">
        <f t="shared" si="45"/>
        <v>-2270000</v>
      </c>
      <c r="AL269" s="136">
        <f t="shared" si="45"/>
        <v>0</v>
      </c>
      <c r="AM269" s="136">
        <f t="shared" si="45"/>
        <v>0</v>
      </c>
      <c r="AN269" s="136">
        <f t="shared" si="45"/>
        <v>0</v>
      </c>
      <c r="AO269" s="136">
        <f t="shared" si="45"/>
        <v>0</v>
      </c>
      <c r="AP269" s="136">
        <f t="shared" si="45"/>
        <v>-4260000</v>
      </c>
      <c r="AQ269" s="136">
        <f t="shared" si="45"/>
        <v>0</v>
      </c>
      <c r="AR269" s="136">
        <f t="shared" si="45"/>
        <v>0</v>
      </c>
      <c r="AS269" s="136">
        <f t="shared" si="45"/>
        <v>0</v>
      </c>
      <c r="AT269" s="136">
        <f t="shared" si="45"/>
        <v>0</v>
      </c>
      <c r="AU269" s="136">
        <f t="shared" si="45"/>
        <v>-3475000</v>
      </c>
      <c r="AV269" s="136">
        <f t="shared" si="45"/>
        <v>0</v>
      </c>
      <c r="AW269" s="136">
        <f t="shared" si="45"/>
        <v>0</v>
      </c>
      <c r="AX269" s="136">
        <f t="shared" si="45"/>
        <v>0</v>
      </c>
      <c r="AY269" s="136">
        <f t="shared" si="45"/>
        <v>0</v>
      </c>
      <c r="AZ269" s="136">
        <f t="shared" si="45"/>
        <v>-3320000</v>
      </c>
      <c r="BA269" s="136">
        <f t="shared" si="45"/>
        <v>0</v>
      </c>
      <c r="BB269" s="136">
        <f t="shared" si="45"/>
        <v>0</v>
      </c>
      <c r="BC269" s="136">
        <f t="shared" si="45"/>
        <v>0</v>
      </c>
      <c r="BD269" s="136">
        <f t="shared" si="45"/>
        <v>0</v>
      </c>
      <c r="BE269" s="136">
        <f t="shared" si="45"/>
        <v>-2325000</v>
      </c>
      <c r="BF269" s="136">
        <f t="shared" si="45"/>
        <v>0</v>
      </c>
      <c r="BG269" s="136">
        <f t="shared" si="45"/>
        <v>0</v>
      </c>
      <c r="BH269" s="136">
        <f t="shared" si="45"/>
        <v>0</v>
      </c>
      <c r="BI269" s="136">
        <f t="shared" si="45"/>
        <v>0</v>
      </c>
      <c r="BJ269" s="136">
        <f t="shared" si="45"/>
        <v>-2615000</v>
      </c>
      <c r="BK269" s="136">
        <f t="shared" si="45"/>
        <v>0</v>
      </c>
      <c r="BL269" s="136">
        <f t="shared" si="45"/>
        <v>0</v>
      </c>
      <c r="BM269" s="136">
        <f t="shared" si="45"/>
        <v>0</v>
      </c>
      <c r="BN269" s="136">
        <f t="shared" si="45"/>
        <v>0</v>
      </c>
      <c r="BO269" s="136">
        <f t="shared" si="45"/>
        <v>-1885000</v>
      </c>
      <c r="BP269" s="136">
        <f t="shared" si="45"/>
        <v>0</v>
      </c>
      <c r="BQ269" s="136">
        <f t="shared" si="45"/>
        <v>0</v>
      </c>
      <c r="BR269" s="136">
        <f t="shared" si="45"/>
        <v>0</v>
      </c>
      <c r="BS269" s="136">
        <f t="shared" si="45"/>
        <v>0</v>
      </c>
      <c r="BT269" s="136">
        <f t="shared" si="45"/>
        <v>-35830000</v>
      </c>
      <c r="BU269" s="136">
        <f t="shared" si="45"/>
        <v>0</v>
      </c>
      <c r="BV269" s="136">
        <f t="shared" si="45"/>
        <v>0</v>
      </c>
      <c r="BW269" s="136">
        <f t="shared" si="45"/>
        <v>0</v>
      </c>
      <c r="BX269" s="136">
        <f t="shared" si="46"/>
        <v>0</v>
      </c>
      <c r="BZ269" s="136">
        <f t="shared" si="47"/>
        <v>0</v>
      </c>
      <c r="CA269" s="136">
        <f t="shared" si="47"/>
        <v>0</v>
      </c>
    </row>
    <row r="270" spans="12:79" hidden="1" x14ac:dyDescent="0.3">
      <c r="L270" s="136">
        <f t="shared" si="45"/>
        <v>-7145000</v>
      </c>
      <c r="M270" s="136">
        <f t="shared" si="45"/>
        <v>0</v>
      </c>
      <c r="N270" s="136">
        <f t="shared" si="45"/>
        <v>0</v>
      </c>
      <c r="O270" s="136">
        <f t="shared" si="45"/>
        <v>0</v>
      </c>
      <c r="P270" s="136">
        <f t="shared" si="45"/>
        <v>0</v>
      </c>
      <c r="Q270" s="136">
        <f t="shared" si="45"/>
        <v>235000</v>
      </c>
      <c r="R270" s="136">
        <f t="shared" si="45"/>
        <v>0</v>
      </c>
      <c r="S270" s="136">
        <f t="shared" si="45"/>
        <v>0</v>
      </c>
      <c r="T270" s="136">
        <f t="shared" si="45"/>
        <v>0</v>
      </c>
      <c r="U270" s="136">
        <f t="shared" si="45"/>
        <v>0</v>
      </c>
      <c r="V270" s="136">
        <f t="shared" si="45"/>
        <v>-5735000</v>
      </c>
      <c r="W270" s="136">
        <f t="shared" si="45"/>
        <v>0</v>
      </c>
      <c r="X270" s="136">
        <f t="shared" si="45"/>
        <v>0</v>
      </c>
      <c r="Y270" s="136">
        <f t="shared" si="45"/>
        <v>0</v>
      </c>
      <c r="Z270" s="136">
        <f t="shared" si="45"/>
        <v>0</v>
      </c>
      <c r="AA270" s="136">
        <f t="shared" si="45"/>
        <v>-3165000</v>
      </c>
      <c r="AB270" s="136">
        <f t="shared" si="45"/>
        <v>0</v>
      </c>
      <c r="AC270" s="136">
        <f t="shared" si="45"/>
        <v>0</v>
      </c>
      <c r="AD270" s="136">
        <f t="shared" si="45"/>
        <v>0</v>
      </c>
      <c r="AE270" s="136">
        <f t="shared" si="45"/>
        <v>0</v>
      </c>
      <c r="AF270" s="136">
        <f t="shared" si="45"/>
        <v>-4370000</v>
      </c>
      <c r="AG270" s="136">
        <f t="shared" si="45"/>
        <v>0</v>
      </c>
      <c r="AH270" s="136">
        <f t="shared" si="45"/>
        <v>0</v>
      </c>
      <c r="AI270" s="136">
        <f t="shared" si="45"/>
        <v>0</v>
      </c>
      <c r="AJ270" s="136">
        <f t="shared" si="45"/>
        <v>0</v>
      </c>
      <c r="AK270" s="136">
        <f t="shared" si="45"/>
        <v>-2270000</v>
      </c>
      <c r="AL270" s="136">
        <f t="shared" si="45"/>
        <v>0</v>
      </c>
      <c r="AM270" s="136">
        <f t="shared" si="45"/>
        <v>0</v>
      </c>
      <c r="AN270" s="136">
        <f t="shared" si="45"/>
        <v>0</v>
      </c>
      <c r="AO270" s="136">
        <f t="shared" si="45"/>
        <v>0</v>
      </c>
      <c r="AP270" s="136">
        <f t="shared" si="45"/>
        <v>-4260000</v>
      </c>
      <c r="AQ270" s="136">
        <f t="shared" si="45"/>
        <v>0</v>
      </c>
      <c r="AR270" s="136">
        <f t="shared" si="45"/>
        <v>0</v>
      </c>
      <c r="AS270" s="136">
        <f t="shared" si="45"/>
        <v>0</v>
      </c>
      <c r="AT270" s="136">
        <f t="shared" si="45"/>
        <v>0</v>
      </c>
      <c r="AU270" s="136">
        <f t="shared" si="45"/>
        <v>-3475000</v>
      </c>
      <c r="AV270" s="136">
        <f t="shared" si="45"/>
        <v>0</v>
      </c>
      <c r="AW270" s="136">
        <f t="shared" si="45"/>
        <v>0</v>
      </c>
      <c r="AX270" s="136">
        <f t="shared" si="45"/>
        <v>0</v>
      </c>
      <c r="AY270" s="136">
        <f t="shared" si="45"/>
        <v>0</v>
      </c>
      <c r="AZ270" s="136">
        <f t="shared" si="45"/>
        <v>-3320000</v>
      </c>
      <c r="BA270" s="136">
        <f t="shared" si="45"/>
        <v>0</v>
      </c>
      <c r="BB270" s="136">
        <f t="shared" si="45"/>
        <v>0</v>
      </c>
      <c r="BC270" s="136">
        <f t="shared" si="45"/>
        <v>0</v>
      </c>
      <c r="BD270" s="136">
        <f t="shared" si="45"/>
        <v>0</v>
      </c>
      <c r="BE270" s="136">
        <f t="shared" si="45"/>
        <v>-2325000</v>
      </c>
      <c r="BF270" s="136">
        <f t="shared" si="45"/>
        <v>0</v>
      </c>
      <c r="BG270" s="136">
        <f t="shared" si="45"/>
        <v>0</v>
      </c>
      <c r="BH270" s="136">
        <f t="shared" si="45"/>
        <v>0</v>
      </c>
      <c r="BI270" s="136">
        <f t="shared" si="45"/>
        <v>0</v>
      </c>
      <c r="BJ270" s="136">
        <f t="shared" si="45"/>
        <v>-2615000</v>
      </c>
      <c r="BK270" s="136">
        <f t="shared" si="45"/>
        <v>0</v>
      </c>
      <c r="BL270" s="136">
        <f t="shared" si="45"/>
        <v>0</v>
      </c>
      <c r="BM270" s="136">
        <f t="shared" si="45"/>
        <v>0</v>
      </c>
      <c r="BN270" s="136">
        <f t="shared" si="45"/>
        <v>0</v>
      </c>
      <c r="BO270" s="136">
        <f t="shared" si="45"/>
        <v>-1885000</v>
      </c>
      <c r="BP270" s="136">
        <f t="shared" si="45"/>
        <v>0</v>
      </c>
      <c r="BQ270" s="136">
        <f t="shared" si="45"/>
        <v>0</v>
      </c>
      <c r="BR270" s="136">
        <f t="shared" si="45"/>
        <v>0</v>
      </c>
      <c r="BS270" s="136">
        <f t="shared" si="45"/>
        <v>0</v>
      </c>
      <c r="BT270" s="136">
        <f t="shared" si="45"/>
        <v>-35830000</v>
      </c>
      <c r="BU270" s="136">
        <f t="shared" si="45"/>
        <v>0</v>
      </c>
      <c r="BV270" s="136">
        <f t="shared" si="45"/>
        <v>0</v>
      </c>
      <c r="BW270" s="136">
        <f t="shared" si="45"/>
        <v>0</v>
      </c>
      <c r="BX270" s="136">
        <f t="shared" si="46"/>
        <v>0</v>
      </c>
      <c r="BZ270" s="136">
        <f t="shared" si="47"/>
        <v>0</v>
      </c>
      <c r="CA270" s="136">
        <f t="shared" si="47"/>
        <v>0</v>
      </c>
    </row>
    <row r="271" spans="12:79" hidden="1" x14ac:dyDescent="0.3">
      <c r="L271" s="136">
        <f t="shared" si="45"/>
        <v>0</v>
      </c>
      <c r="M271" s="136">
        <f t="shared" si="45"/>
        <v>0</v>
      </c>
      <c r="N271" s="136">
        <f t="shared" si="45"/>
        <v>0</v>
      </c>
      <c r="O271" s="136">
        <f t="shared" si="45"/>
        <v>0</v>
      </c>
      <c r="P271" s="136">
        <f t="shared" si="45"/>
        <v>0</v>
      </c>
      <c r="Q271" s="136">
        <f t="shared" si="45"/>
        <v>0</v>
      </c>
      <c r="R271" s="136">
        <f t="shared" si="45"/>
        <v>0</v>
      </c>
      <c r="S271" s="136">
        <f t="shared" si="45"/>
        <v>0</v>
      </c>
      <c r="T271" s="136">
        <f t="shared" si="45"/>
        <v>0</v>
      </c>
      <c r="U271" s="136">
        <f t="shared" si="45"/>
        <v>0</v>
      </c>
      <c r="V271" s="136">
        <f t="shared" si="45"/>
        <v>0</v>
      </c>
      <c r="W271" s="136">
        <f t="shared" si="45"/>
        <v>0</v>
      </c>
      <c r="X271" s="136">
        <f t="shared" si="45"/>
        <v>0</v>
      </c>
      <c r="Y271" s="136">
        <f t="shared" si="45"/>
        <v>0</v>
      </c>
      <c r="Z271" s="136">
        <f t="shared" si="45"/>
        <v>0</v>
      </c>
      <c r="AA271" s="136">
        <f t="shared" si="45"/>
        <v>0</v>
      </c>
      <c r="AB271" s="136">
        <f t="shared" si="45"/>
        <v>0</v>
      </c>
      <c r="AC271" s="136">
        <f t="shared" si="45"/>
        <v>0</v>
      </c>
      <c r="AD271" s="136">
        <f t="shared" si="45"/>
        <v>0</v>
      </c>
      <c r="AE271" s="136">
        <f t="shared" si="45"/>
        <v>0</v>
      </c>
      <c r="AF271" s="136">
        <f t="shared" si="45"/>
        <v>0</v>
      </c>
      <c r="AG271" s="136">
        <f t="shared" si="45"/>
        <v>0</v>
      </c>
      <c r="AH271" s="136">
        <f t="shared" si="45"/>
        <v>0</v>
      </c>
      <c r="AI271" s="136">
        <f t="shared" si="45"/>
        <v>0</v>
      </c>
      <c r="AJ271" s="136">
        <f t="shared" si="45"/>
        <v>0</v>
      </c>
      <c r="AK271" s="136">
        <f t="shared" si="45"/>
        <v>0</v>
      </c>
      <c r="AL271" s="136">
        <f t="shared" si="45"/>
        <v>0</v>
      </c>
      <c r="AM271" s="136">
        <f t="shared" si="45"/>
        <v>0</v>
      </c>
      <c r="AN271" s="136">
        <f t="shared" si="45"/>
        <v>0</v>
      </c>
      <c r="AO271" s="136">
        <f t="shared" si="45"/>
        <v>0</v>
      </c>
      <c r="AP271" s="136">
        <f t="shared" si="45"/>
        <v>0</v>
      </c>
      <c r="AQ271" s="136">
        <f t="shared" si="45"/>
        <v>0</v>
      </c>
      <c r="AR271" s="136">
        <f t="shared" si="45"/>
        <v>0</v>
      </c>
      <c r="AS271" s="136">
        <f t="shared" si="45"/>
        <v>0</v>
      </c>
      <c r="AT271" s="136">
        <f t="shared" si="45"/>
        <v>0</v>
      </c>
      <c r="AU271" s="136">
        <f t="shared" si="45"/>
        <v>0</v>
      </c>
      <c r="AV271" s="136">
        <f t="shared" si="45"/>
        <v>0</v>
      </c>
      <c r="AW271" s="136">
        <f t="shared" si="45"/>
        <v>0</v>
      </c>
      <c r="AX271" s="136">
        <f t="shared" si="45"/>
        <v>0</v>
      </c>
      <c r="AY271" s="136">
        <f t="shared" si="45"/>
        <v>0</v>
      </c>
      <c r="AZ271" s="136">
        <f t="shared" si="45"/>
        <v>0</v>
      </c>
      <c r="BA271" s="136">
        <f t="shared" si="45"/>
        <v>0</v>
      </c>
      <c r="BB271" s="136">
        <f t="shared" si="45"/>
        <v>0</v>
      </c>
      <c r="BC271" s="136">
        <f t="shared" si="45"/>
        <v>0</v>
      </c>
      <c r="BD271" s="136">
        <f t="shared" si="45"/>
        <v>0</v>
      </c>
      <c r="BE271" s="136">
        <f t="shared" si="45"/>
        <v>0</v>
      </c>
      <c r="BF271" s="136">
        <f t="shared" si="45"/>
        <v>0</v>
      </c>
      <c r="BG271" s="136">
        <f t="shared" si="45"/>
        <v>0</v>
      </c>
      <c r="BH271" s="136">
        <f t="shared" si="45"/>
        <v>0</v>
      </c>
      <c r="BI271" s="136">
        <f t="shared" si="45"/>
        <v>0</v>
      </c>
      <c r="BJ271" s="136">
        <f t="shared" si="45"/>
        <v>0</v>
      </c>
      <c r="BK271" s="136">
        <f t="shared" si="45"/>
        <v>0</v>
      </c>
      <c r="BL271" s="136">
        <f t="shared" si="45"/>
        <v>0</v>
      </c>
      <c r="BM271" s="136">
        <f t="shared" si="45"/>
        <v>0</v>
      </c>
      <c r="BN271" s="136">
        <f t="shared" si="45"/>
        <v>0</v>
      </c>
      <c r="BO271" s="136">
        <f t="shared" si="45"/>
        <v>0</v>
      </c>
      <c r="BP271" s="136">
        <f t="shared" si="45"/>
        <v>0</v>
      </c>
      <c r="BQ271" s="136">
        <f t="shared" si="45"/>
        <v>0</v>
      </c>
      <c r="BR271" s="136">
        <f t="shared" si="45"/>
        <v>0</v>
      </c>
      <c r="BS271" s="136">
        <f t="shared" si="45"/>
        <v>0</v>
      </c>
      <c r="BT271" s="136">
        <f t="shared" si="45"/>
        <v>0</v>
      </c>
      <c r="BU271" s="136">
        <f t="shared" si="45"/>
        <v>0</v>
      </c>
      <c r="BV271" s="136">
        <f t="shared" si="45"/>
        <v>0</v>
      </c>
      <c r="BW271" s="136">
        <f t="shared" ref="BW271:BW285" si="48">BW99-EO99</f>
        <v>0</v>
      </c>
      <c r="BX271" s="136">
        <f t="shared" si="46"/>
        <v>0</v>
      </c>
      <c r="BZ271" s="136">
        <f t="shared" si="47"/>
        <v>0</v>
      </c>
      <c r="CA271" s="136">
        <f t="shared" si="47"/>
        <v>0</v>
      </c>
    </row>
    <row r="272" spans="12:79" hidden="1" x14ac:dyDescent="0.3">
      <c r="L272" s="136">
        <f t="shared" ref="L272:BV276" si="49">L100-CD100</f>
        <v>0</v>
      </c>
      <c r="M272" s="136">
        <f t="shared" si="49"/>
        <v>0</v>
      </c>
      <c r="N272" s="136">
        <f t="shared" si="49"/>
        <v>0</v>
      </c>
      <c r="O272" s="136">
        <f t="shared" si="49"/>
        <v>0</v>
      </c>
      <c r="P272" s="136">
        <f t="shared" si="49"/>
        <v>0</v>
      </c>
      <c r="Q272" s="136">
        <f t="shared" si="49"/>
        <v>0</v>
      </c>
      <c r="R272" s="136">
        <f t="shared" si="49"/>
        <v>0</v>
      </c>
      <c r="S272" s="136">
        <f t="shared" si="49"/>
        <v>0</v>
      </c>
      <c r="T272" s="136">
        <f t="shared" si="49"/>
        <v>0</v>
      </c>
      <c r="U272" s="136">
        <f t="shared" si="49"/>
        <v>0</v>
      </c>
      <c r="V272" s="136">
        <f t="shared" si="49"/>
        <v>0</v>
      </c>
      <c r="W272" s="136">
        <f t="shared" si="49"/>
        <v>0</v>
      </c>
      <c r="X272" s="136">
        <f t="shared" si="49"/>
        <v>0</v>
      </c>
      <c r="Y272" s="136">
        <f t="shared" si="49"/>
        <v>0</v>
      </c>
      <c r="Z272" s="136">
        <f t="shared" si="49"/>
        <v>0</v>
      </c>
      <c r="AA272" s="136">
        <f t="shared" si="49"/>
        <v>0</v>
      </c>
      <c r="AB272" s="136">
        <f t="shared" si="49"/>
        <v>0</v>
      </c>
      <c r="AC272" s="136">
        <f t="shared" si="49"/>
        <v>0</v>
      </c>
      <c r="AD272" s="136">
        <f t="shared" si="49"/>
        <v>0</v>
      </c>
      <c r="AE272" s="136">
        <f t="shared" si="49"/>
        <v>0</v>
      </c>
      <c r="AF272" s="136">
        <f t="shared" si="49"/>
        <v>0</v>
      </c>
      <c r="AG272" s="136">
        <f t="shared" si="49"/>
        <v>0</v>
      </c>
      <c r="AH272" s="136">
        <f t="shared" si="49"/>
        <v>0</v>
      </c>
      <c r="AI272" s="136">
        <f t="shared" si="49"/>
        <v>0</v>
      </c>
      <c r="AJ272" s="136">
        <f t="shared" si="49"/>
        <v>0</v>
      </c>
      <c r="AK272" s="136">
        <f t="shared" si="49"/>
        <v>0</v>
      </c>
      <c r="AL272" s="136">
        <f t="shared" si="49"/>
        <v>0</v>
      </c>
      <c r="AM272" s="136">
        <f t="shared" si="49"/>
        <v>0</v>
      </c>
      <c r="AN272" s="136">
        <f t="shared" si="49"/>
        <v>0</v>
      </c>
      <c r="AO272" s="136">
        <f t="shared" si="49"/>
        <v>0</v>
      </c>
      <c r="AP272" s="136">
        <f t="shared" si="49"/>
        <v>0</v>
      </c>
      <c r="AQ272" s="136">
        <f t="shared" si="49"/>
        <v>0</v>
      </c>
      <c r="AR272" s="136">
        <f t="shared" si="49"/>
        <v>0</v>
      </c>
      <c r="AS272" s="136">
        <f t="shared" si="49"/>
        <v>0</v>
      </c>
      <c r="AT272" s="136">
        <f t="shared" si="49"/>
        <v>0</v>
      </c>
      <c r="AU272" s="136">
        <f t="shared" si="49"/>
        <v>0</v>
      </c>
      <c r="AV272" s="136">
        <f t="shared" si="49"/>
        <v>0</v>
      </c>
      <c r="AW272" s="136">
        <f t="shared" si="49"/>
        <v>0</v>
      </c>
      <c r="AX272" s="136">
        <f t="shared" si="49"/>
        <v>0</v>
      </c>
      <c r="AY272" s="136">
        <f t="shared" si="49"/>
        <v>0</v>
      </c>
      <c r="AZ272" s="136">
        <f t="shared" si="49"/>
        <v>0</v>
      </c>
      <c r="BA272" s="136">
        <f t="shared" si="49"/>
        <v>0</v>
      </c>
      <c r="BB272" s="136">
        <f t="shared" si="49"/>
        <v>0</v>
      </c>
      <c r="BC272" s="136">
        <f t="shared" si="49"/>
        <v>0</v>
      </c>
      <c r="BD272" s="136">
        <f t="shared" si="49"/>
        <v>0</v>
      </c>
      <c r="BE272" s="136">
        <f t="shared" si="49"/>
        <v>0</v>
      </c>
      <c r="BF272" s="136">
        <f t="shared" si="49"/>
        <v>0</v>
      </c>
      <c r="BG272" s="136">
        <f t="shared" si="49"/>
        <v>0</v>
      </c>
      <c r="BH272" s="136">
        <f t="shared" si="49"/>
        <v>0</v>
      </c>
      <c r="BI272" s="136">
        <f t="shared" si="49"/>
        <v>0</v>
      </c>
      <c r="BJ272" s="136">
        <f t="shared" si="49"/>
        <v>0</v>
      </c>
      <c r="BK272" s="136">
        <f t="shared" si="49"/>
        <v>0</v>
      </c>
      <c r="BL272" s="136">
        <f t="shared" si="49"/>
        <v>0</v>
      </c>
      <c r="BM272" s="136">
        <f t="shared" si="49"/>
        <v>0</v>
      </c>
      <c r="BN272" s="136">
        <f t="shared" si="49"/>
        <v>0</v>
      </c>
      <c r="BO272" s="136">
        <f t="shared" si="49"/>
        <v>0</v>
      </c>
      <c r="BP272" s="136">
        <f t="shared" si="49"/>
        <v>0</v>
      </c>
      <c r="BQ272" s="136">
        <f t="shared" si="49"/>
        <v>0</v>
      </c>
      <c r="BR272" s="136">
        <f t="shared" si="49"/>
        <v>0</v>
      </c>
      <c r="BS272" s="136">
        <f t="shared" si="49"/>
        <v>0</v>
      </c>
      <c r="BT272" s="136">
        <f t="shared" si="49"/>
        <v>0</v>
      </c>
      <c r="BU272" s="136">
        <f t="shared" si="49"/>
        <v>0</v>
      </c>
      <c r="BV272" s="136">
        <f t="shared" si="49"/>
        <v>0</v>
      </c>
      <c r="BW272" s="136">
        <f t="shared" si="48"/>
        <v>0</v>
      </c>
      <c r="BX272" s="136">
        <f t="shared" si="46"/>
        <v>0</v>
      </c>
      <c r="BZ272" s="136">
        <f t="shared" si="47"/>
        <v>0</v>
      </c>
      <c r="CA272" s="136">
        <f t="shared" si="47"/>
        <v>0</v>
      </c>
    </row>
    <row r="273" spans="12:79" hidden="1" x14ac:dyDescent="0.3">
      <c r="L273" s="136">
        <f t="shared" si="49"/>
        <v>0</v>
      </c>
      <c r="M273" s="136">
        <f t="shared" si="49"/>
        <v>0</v>
      </c>
      <c r="N273" s="136">
        <f t="shared" si="49"/>
        <v>0</v>
      </c>
      <c r="O273" s="136">
        <f t="shared" si="49"/>
        <v>0</v>
      </c>
      <c r="P273" s="136">
        <f t="shared" si="49"/>
        <v>0</v>
      </c>
      <c r="Q273" s="136">
        <f t="shared" si="49"/>
        <v>0</v>
      </c>
      <c r="R273" s="136">
        <f t="shared" si="49"/>
        <v>0</v>
      </c>
      <c r="S273" s="136">
        <f t="shared" si="49"/>
        <v>0</v>
      </c>
      <c r="T273" s="136">
        <f t="shared" si="49"/>
        <v>0</v>
      </c>
      <c r="U273" s="136">
        <f t="shared" si="49"/>
        <v>0</v>
      </c>
      <c r="V273" s="136">
        <f t="shared" si="49"/>
        <v>0</v>
      </c>
      <c r="W273" s="136">
        <f t="shared" si="49"/>
        <v>0</v>
      </c>
      <c r="X273" s="136">
        <f t="shared" si="49"/>
        <v>0</v>
      </c>
      <c r="Y273" s="136">
        <f t="shared" si="49"/>
        <v>0</v>
      </c>
      <c r="Z273" s="136">
        <f t="shared" si="49"/>
        <v>0</v>
      </c>
      <c r="AA273" s="136">
        <f t="shared" si="49"/>
        <v>0</v>
      </c>
      <c r="AB273" s="136">
        <f t="shared" si="49"/>
        <v>0</v>
      </c>
      <c r="AC273" s="136">
        <f t="shared" si="49"/>
        <v>0</v>
      </c>
      <c r="AD273" s="136">
        <f t="shared" si="49"/>
        <v>0</v>
      </c>
      <c r="AE273" s="136">
        <f t="shared" si="49"/>
        <v>0</v>
      </c>
      <c r="AF273" s="136">
        <f t="shared" si="49"/>
        <v>0</v>
      </c>
      <c r="AG273" s="136">
        <f t="shared" si="49"/>
        <v>0</v>
      </c>
      <c r="AH273" s="136">
        <f t="shared" si="49"/>
        <v>0</v>
      </c>
      <c r="AI273" s="136">
        <f t="shared" si="49"/>
        <v>0</v>
      </c>
      <c r="AJ273" s="136">
        <f t="shared" si="49"/>
        <v>0</v>
      </c>
      <c r="AK273" s="136">
        <f t="shared" si="49"/>
        <v>0</v>
      </c>
      <c r="AL273" s="136">
        <f t="shared" si="49"/>
        <v>0</v>
      </c>
      <c r="AM273" s="136">
        <f t="shared" si="49"/>
        <v>0</v>
      </c>
      <c r="AN273" s="136">
        <f t="shared" si="49"/>
        <v>0</v>
      </c>
      <c r="AO273" s="136">
        <f t="shared" si="49"/>
        <v>0</v>
      </c>
      <c r="AP273" s="136">
        <f t="shared" si="49"/>
        <v>0</v>
      </c>
      <c r="AQ273" s="136">
        <f t="shared" si="49"/>
        <v>0</v>
      </c>
      <c r="AR273" s="136">
        <f t="shared" si="49"/>
        <v>0</v>
      </c>
      <c r="AS273" s="136">
        <f t="shared" si="49"/>
        <v>0</v>
      </c>
      <c r="AT273" s="136">
        <f t="shared" si="49"/>
        <v>0</v>
      </c>
      <c r="AU273" s="136">
        <f t="shared" si="49"/>
        <v>0</v>
      </c>
      <c r="AV273" s="136">
        <f t="shared" si="49"/>
        <v>0</v>
      </c>
      <c r="AW273" s="136">
        <f t="shared" si="49"/>
        <v>0</v>
      </c>
      <c r="AX273" s="136">
        <f t="shared" si="49"/>
        <v>0</v>
      </c>
      <c r="AY273" s="136">
        <f t="shared" si="49"/>
        <v>0</v>
      </c>
      <c r="AZ273" s="136">
        <f t="shared" si="49"/>
        <v>0</v>
      </c>
      <c r="BA273" s="136">
        <f t="shared" si="49"/>
        <v>0</v>
      </c>
      <c r="BB273" s="136">
        <f t="shared" si="49"/>
        <v>0</v>
      </c>
      <c r="BC273" s="136">
        <f t="shared" si="49"/>
        <v>0</v>
      </c>
      <c r="BD273" s="136">
        <f t="shared" si="49"/>
        <v>0</v>
      </c>
      <c r="BE273" s="136">
        <f t="shared" si="49"/>
        <v>0</v>
      </c>
      <c r="BF273" s="136">
        <f t="shared" si="49"/>
        <v>0</v>
      </c>
      <c r="BG273" s="136">
        <f t="shared" si="49"/>
        <v>0</v>
      </c>
      <c r="BH273" s="136">
        <f t="shared" si="49"/>
        <v>0</v>
      </c>
      <c r="BI273" s="136">
        <f t="shared" si="49"/>
        <v>0</v>
      </c>
      <c r="BJ273" s="136">
        <f t="shared" si="49"/>
        <v>0</v>
      </c>
      <c r="BK273" s="136">
        <f t="shared" si="49"/>
        <v>0</v>
      </c>
      <c r="BL273" s="136">
        <f t="shared" si="49"/>
        <v>0</v>
      </c>
      <c r="BM273" s="136">
        <f t="shared" si="49"/>
        <v>0</v>
      </c>
      <c r="BN273" s="136">
        <f t="shared" si="49"/>
        <v>0</v>
      </c>
      <c r="BO273" s="136">
        <f t="shared" si="49"/>
        <v>0</v>
      </c>
      <c r="BP273" s="136">
        <f t="shared" si="49"/>
        <v>0</v>
      </c>
      <c r="BQ273" s="136">
        <f t="shared" si="49"/>
        <v>0</v>
      </c>
      <c r="BR273" s="136">
        <f t="shared" si="49"/>
        <v>0</v>
      </c>
      <c r="BS273" s="136">
        <f t="shared" si="49"/>
        <v>0</v>
      </c>
      <c r="BT273" s="136">
        <f t="shared" si="49"/>
        <v>0</v>
      </c>
      <c r="BU273" s="136">
        <f t="shared" si="49"/>
        <v>0</v>
      </c>
      <c r="BV273" s="136">
        <f t="shared" si="49"/>
        <v>0</v>
      </c>
      <c r="BW273" s="136">
        <f t="shared" si="48"/>
        <v>0</v>
      </c>
      <c r="BX273" s="136">
        <f t="shared" si="46"/>
        <v>0</v>
      </c>
      <c r="BZ273" s="136">
        <f t="shared" si="47"/>
        <v>0</v>
      </c>
      <c r="CA273" s="136">
        <f t="shared" si="47"/>
        <v>0</v>
      </c>
    </row>
    <row r="274" spans="12:79" hidden="1" x14ac:dyDescent="0.3">
      <c r="L274" s="136">
        <f t="shared" si="49"/>
        <v>-7145000</v>
      </c>
      <c r="M274" s="136">
        <f t="shared" si="49"/>
        <v>0</v>
      </c>
      <c r="N274" s="136">
        <f t="shared" si="49"/>
        <v>0</v>
      </c>
      <c r="O274" s="136">
        <f t="shared" si="49"/>
        <v>0</v>
      </c>
      <c r="P274" s="136">
        <f t="shared" si="49"/>
        <v>0</v>
      </c>
      <c r="Q274" s="136">
        <f t="shared" si="49"/>
        <v>235000</v>
      </c>
      <c r="R274" s="136">
        <f t="shared" si="49"/>
        <v>0</v>
      </c>
      <c r="S274" s="136">
        <f t="shared" si="49"/>
        <v>0</v>
      </c>
      <c r="T274" s="136">
        <f t="shared" si="49"/>
        <v>0</v>
      </c>
      <c r="U274" s="136">
        <f t="shared" si="49"/>
        <v>0</v>
      </c>
      <c r="V274" s="136">
        <f t="shared" si="49"/>
        <v>-5735000</v>
      </c>
      <c r="W274" s="136">
        <f t="shared" si="49"/>
        <v>0</v>
      </c>
      <c r="X274" s="136">
        <f t="shared" si="49"/>
        <v>0</v>
      </c>
      <c r="Y274" s="136">
        <f t="shared" si="49"/>
        <v>0</v>
      </c>
      <c r="Z274" s="136">
        <f t="shared" si="49"/>
        <v>0</v>
      </c>
      <c r="AA274" s="136">
        <f t="shared" si="49"/>
        <v>-3165000</v>
      </c>
      <c r="AB274" s="136">
        <f t="shared" si="49"/>
        <v>0</v>
      </c>
      <c r="AC274" s="136">
        <f t="shared" si="49"/>
        <v>0</v>
      </c>
      <c r="AD274" s="136">
        <f t="shared" si="49"/>
        <v>0</v>
      </c>
      <c r="AE274" s="136">
        <f t="shared" si="49"/>
        <v>0</v>
      </c>
      <c r="AF274" s="136">
        <f t="shared" si="49"/>
        <v>-4370000</v>
      </c>
      <c r="AG274" s="136">
        <f t="shared" si="49"/>
        <v>0</v>
      </c>
      <c r="AH274" s="136">
        <f t="shared" si="49"/>
        <v>0</v>
      </c>
      <c r="AI274" s="136">
        <f t="shared" si="49"/>
        <v>0</v>
      </c>
      <c r="AJ274" s="136">
        <f t="shared" si="49"/>
        <v>0</v>
      </c>
      <c r="AK274" s="136">
        <f t="shared" si="49"/>
        <v>-2270000</v>
      </c>
      <c r="AL274" s="136">
        <f t="shared" si="49"/>
        <v>0</v>
      </c>
      <c r="AM274" s="136">
        <f t="shared" si="49"/>
        <v>0</v>
      </c>
      <c r="AN274" s="136">
        <f t="shared" si="49"/>
        <v>0</v>
      </c>
      <c r="AO274" s="136">
        <f t="shared" si="49"/>
        <v>0</v>
      </c>
      <c r="AP274" s="136">
        <f t="shared" si="49"/>
        <v>-4260000</v>
      </c>
      <c r="AQ274" s="136">
        <f t="shared" si="49"/>
        <v>0</v>
      </c>
      <c r="AR274" s="136">
        <f t="shared" si="49"/>
        <v>0</v>
      </c>
      <c r="AS274" s="136">
        <f t="shared" si="49"/>
        <v>0</v>
      </c>
      <c r="AT274" s="136">
        <f t="shared" si="49"/>
        <v>0</v>
      </c>
      <c r="AU274" s="136">
        <f t="shared" si="49"/>
        <v>-3475000</v>
      </c>
      <c r="AV274" s="136">
        <f t="shared" si="49"/>
        <v>0</v>
      </c>
      <c r="AW274" s="136">
        <f t="shared" si="49"/>
        <v>0</v>
      </c>
      <c r="AX274" s="136">
        <f t="shared" si="49"/>
        <v>0</v>
      </c>
      <c r="AY274" s="136">
        <f t="shared" si="49"/>
        <v>0</v>
      </c>
      <c r="AZ274" s="136">
        <f t="shared" si="49"/>
        <v>-3320000</v>
      </c>
      <c r="BA274" s="136">
        <f t="shared" si="49"/>
        <v>0</v>
      </c>
      <c r="BB274" s="136">
        <f t="shared" si="49"/>
        <v>0</v>
      </c>
      <c r="BC274" s="136">
        <f t="shared" si="49"/>
        <v>0</v>
      </c>
      <c r="BD274" s="136">
        <f t="shared" si="49"/>
        <v>0</v>
      </c>
      <c r="BE274" s="136">
        <f t="shared" si="49"/>
        <v>-2325000</v>
      </c>
      <c r="BF274" s="136">
        <f t="shared" si="49"/>
        <v>0</v>
      </c>
      <c r="BG274" s="136">
        <f t="shared" si="49"/>
        <v>0</v>
      </c>
      <c r="BH274" s="136">
        <f t="shared" si="49"/>
        <v>0</v>
      </c>
      <c r="BI274" s="136">
        <f t="shared" si="49"/>
        <v>0</v>
      </c>
      <c r="BJ274" s="136">
        <f t="shared" si="49"/>
        <v>-2615000</v>
      </c>
      <c r="BK274" s="136">
        <f t="shared" si="49"/>
        <v>0</v>
      </c>
      <c r="BL274" s="136">
        <f t="shared" si="49"/>
        <v>0</v>
      </c>
      <c r="BM274" s="136">
        <f t="shared" si="49"/>
        <v>0</v>
      </c>
      <c r="BN274" s="136">
        <f t="shared" si="49"/>
        <v>0</v>
      </c>
      <c r="BO274" s="136">
        <f t="shared" si="49"/>
        <v>-1885000</v>
      </c>
      <c r="BP274" s="136">
        <f t="shared" si="49"/>
        <v>0</v>
      </c>
      <c r="BQ274" s="136">
        <f t="shared" si="49"/>
        <v>0</v>
      </c>
      <c r="BR274" s="136">
        <f t="shared" si="49"/>
        <v>0</v>
      </c>
      <c r="BS274" s="136">
        <f t="shared" si="49"/>
        <v>0</v>
      </c>
      <c r="BT274" s="136">
        <f t="shared" si="49"/>
        <v>-35830000</v>
      </c>
      <c r="BU274" s="136">
        <f t="shared" si="49"/>
        <v>0</v>
      </c>
      <c r="BV274" s="136">
        <f t="shared" si="49"/>
        <v>0</v>
      </c>
      <c r="BW274" s="136">
        <f t="shared" si="48"/>
        <v>0</v>
      </c>
      <c r="BX274" s="136">
        <f t="shared" si="46"/>
        <v>0</v>
      </c>
      <c r="BZ274" s="136">
        <f t="shared" si="47"/>
        <v>0</v>
      </c>
      <c r="CA274" s="136">
        <f t="shared" si="47"/>
        <v>0</v>
      </c>
    </row>
    <row r="275" spans="12:79" hidden="1" x14ac:dyDescent="0.3">
      <c r="L275" s="136">
        <f t="shared" si="49"/>
        <v>-7145000</v>
      </c>
      <c r="M275" s="136">
        <f t="shared" si="49"/>
        <v>0</v>
      </c>
      <c r="N275" s="136">
        <f t="shared" si="49"/>
        <v>0</v>
      </c>
      <c r="O275" s="136">
        <f t="shared" si="49"/>
        <v>0</v>
      </c>
      <c r="P275" s="136">
        <f t="shared" si="49"/>
        <v>0</v>
      </c>
      <c r="Q275" s="136">
        <f t="shared" si="49"/>
        <v>235000</v>
      </c>
      <c r="R275" s="136">
        <f t="shared" si="49"/>
        <v>0</v>
      </c>
      <c r="S275" s="136">
        <f t="shared" si="49"/>
        <v>0</v>
      </c>
      <c r="T275" s="136">
        <f t="shared" si="49"/>
        <v>0</v>
      </c>
      <c r="U275" s="136">
        <f t="shared" si="49"/>
        <v>0</v>
      </c>
      <c r="V275" s="136">
        <f t="shared" si="49"/>
        <v>-5735000</v>
      </c>
      <c r="W275" s="136">
        <f t="shared" si="49"/>
        <v>0</v>
      </c>
      <c r="X275" s="136">
        <f t="shared" si="49"/>
        <v>0</v>
      </c>
      <c r="Y275" s="136">
        <f t="shared" si="49"/>
        <v>0</v>
      </c>
      <c r="Z275" s="136">
        <f t="shared" si="49"/>
        <v>0</v>
      </c>
      <c r="AA275" s="136">
        <f t="shared" si="49"/>
        <v>-3165000</v>
      </c>
      <c r="AB275" s="136">
        <f t="shared" si="49"/>
        <v>0</v>
      </c>
      <c r="AC275" s="136">
        <f t="shared" si="49"/>
        <v>0</v>
      </c>
      <c r="AD275" s="136">
        <f t="shared" si="49"/>
        <v>0</v>
      </c>
      <c r="AE275" s="136">
        <f t="shared" si="49"/>
        <v>0</v>
      </c>
      <c r="AF275" s="136">
        <f t="shared" si="49"/>
        <v>-4370000</v>
      </c>
      <c r="AG275" s="136">
        <f t="shared" si="49"/>
        <v>0</v>
      </c>
      <c r="AH275" s="136">
        <f t="shared" si="49"/>
        <v>0</v>
      </c>
      <c r="AI275" s="136">
        <f t="shared" si="49"/>
        <v>0</v>
      </c>
      <c r="AJ275" s="136">
        <f t="shared" si="49"/>
        <v>0</v>
      </c>
      <c r="AK275" s="136">
        <f t="shared" si="49"/>
        <v>-2270000</v>
      </c>
      <c r="AL275" s="136">
        <f t="shared" si="49"/>
        <v>0</v>
      </c>
      <c r="AM275" s="136">
        <f t="shared" si="49"/>
        <v>0</v>
      </c>
      <c r="AN275" s="136">
        <f t="shared" si="49"/>
        <v>0</v>
      </c>
      <c r="AO275" s="136">
        <f t="shared" si="49"/>
        <v>0</v>
      </c>
      <c r="AP275" s="136">
        <f t="shared" si="49"/>
        <v>-4260000</v>
      </c>
      <c r="AQ275" s="136">
        <f t="shared" si="49"/>
        <v>0</v>
      </c>
      <c r="AR275" s="136">
        <f t="shared" si="49"/>
        <v>0</v>
      </c>
      <c r="AS275" s="136">
        <f t="shared" si="49"/>
        <v>0</v>
      </c>
      <c r="AT275" s="136">
        <f t="shared" si="49"/>
        <v>0</v>
      </c>
      <c r="AU275" s="136">
        <f t="shared" si="49"/>
        <v>-3475000</v>
      </c>
      <c r="AV275" s="136">
        <f t="shared" si="49"/>
        <v>0</v>
      </c>
      <c r="AW275" s="136">
        <f t="shared" si="49"/>
        <v>0</v>
      </c>
      <c r="AX275" s="136">
        <f t="shared" si="49"/>
        <v>0</v>
      </c>
      <c r="AY275" s="136">
        <f t="shared" si="49"/>
        <v>0</v>
      </c>
      <c r="AZ275" s="136">
        <f t="shared" si="49"/>
        <v>-3320000</v>
      </c>
      <c r="BA275" s="136">
        <f t="shared" si="49"/>
        <v>0</v>
      </c>
      <c r="BB275" s="136">
        <f t="shared" si="49"/>
        <v>0</v>
      </c>
      <c r="BC275" s="136">
        <f t="shared" si="49"/>
        <v>0</v>
      </c>
      <c r="BD275" s="136">
        <f t="shared" si="49"/>
        <v>0</v>
      </c>
      <c r="BE275" s="136">
        <f t="shared" si="49"/>
        <v>-2325000</v>
      </c>
      <c r="BF275" s="136">
        <f t="shared" si="49"/>
        <v>0</v>
      </c>
      <c r="BG275" s="136">
        <f t="shared" si="49"/>
        <v>0</v>
      </c>
      <c r="BH275" s="136">
        <f t="shared" si="49"/>
        <v>0</v>
      </c>
      <c r="BI275" s="136">
        <f t="shared" si="49"/>
        <v>0</v>
      </c>
      <c r="BJ275" s="136">
        <f t="shared" si="49"/>
        <v>-2615000</v>
      </c>
      <c r="BK275" s="136">
        <f t="shared" si="49"/>
        <v>0</v>
      </c>
      <c r="BL275" s="136">
        <f t="shared" si="49"/>
        <v>0</v>
      </c>
      <c r="BM275" s="136">
        <f t="shared" si="49"/>
        <v>0</v>
      </c>
      <c r="BN275" s="136">
        <f t="shared" si="49"/>
        <v>0</v>
      </c>
      <c r="BO275" s="136">
        <f t="shared" si="49"/>
        <v>-1885000</v>
      </c>
      <c r="BP275" s="136">
        <f t="shared" si="49"/>
        <v>0</v>
      </c>
      <c r="BQ275" s="136">
        <f t="shared" si="49"/>
        <v>0</v>
      </c>
      <c r="BR275" s="136">
        <f t="shared" si="49"/>
        <v>0</v>
      </c>
      <c r="BS275" s="136">
        <f t="shared" si="49"/>
        <v>0</v>
      </c>
      <c r="BT275" s="136">
        <f t="shared" si="49"/>
        <v>-35830000</v>
      </c>
      <c r="BU275" s="136">
        <f t="shared" si="49"/>
        <v>0</v>
      </c>
      <c r="BV275" s="136">
        <f t="shared" si="49"/>
        <v>0</v>
      </c>
      <c r="BW275" s="136">
        <f t="shared" si="48"/>
        <v>0</v>
      </c>
      <c r="BX275" s="136">
        <f t="shared" si="46"/>
        <v>0</v>
      </c>
      <c r="BZ275" s="136">
        <f t="shared" si="47"/>
        <v>0</v>
      </c>
      <c r="CA275" s="136">
        <f t="shared" si="47"/>
        <v>0</v>
      </c>
    </row>
    <row r="276" spans="12:79" hidden="1" x14ac:dyDescent="0.3">
      <c r="L276" s="136">
        <f t="shared" si="49"/>
        <v>0</v>
      </c>
      <c r="M276" s="136">
        <f t="shared" si="49"/>
        <v>0</v>
      </c>
      <c r="N276" s="136">
        <f t="shared" si="49"/>
        <v>0</v>
      </c>
      <c r="O276" s="136">
        <f t="shared" ref="O276:BV280" si="50">O104-CG104</f>
        <v>0</v>
      </c>
      <c r="P276" s="136">
        <f t="shared" si="50"/>
        <v>0</v>
      </c>
      <c r="Q276" s="136">
        <f t="shared" si="50"/>
        <v>0</v>
      </c>
      <c r="R276" s="136">
        <f t="shared" si="50"/>
        <v>0</v>
      </c>
      <c r="S276" s="136">
        <f t="shared" si="50"/>
        <v>0</v>
      </c>
      <c r="T276" s="136">
        <f t="shared" si="50"/>
        <v>0</v>
      </c>
      <c r="U276" s="136">
        <f t="shared" si="50"/>
        <v>0</v>
      </c>
      <c r="V276" s="136">
        <f t="shared" si="50"/>
        <v>0</v>
      </c>
      <c r="W276" s="136">
        <f t="shared" si="50"/>
        <v>0</v>
      </c>
      <c r="X276" s="136">
        <f t="shared" si="50"/>
        <v>0</v>
      </c>
      <c r="Y276" s="136">
        <f t="shared" si="50"/>
        <v>0</v>
      </c>
      <c r="Z276" s="136">
        <f t="shared" si="50"/>
        <v>0</v>
      </c>
      <c r="AA276" s="136">
        <f t="shared" si="50"/>
        <v>0</v>
      </c>
      <c r="AB276" s="136">
        <f t="shared" si="50"/>
        <v>0</v>
      </c>
      <c r="AC276" s="136">
        <f t="shared" si="50"/>
        <v>0</v>
      </c>
      <c r="AD276" s="136">
        <f t="shared" si="50"/>
        <v>0</v>
      </c>
      <c r="AE276" s="136">
        <f t="shared" si="50"/>
        <v>0</v>
      </c>
      <c r="AF276" s="136">
        <f t="shared" si="50"/>
        <v>0</v>
      </c>
      <c r="AG276" s="136">
        <f t="shared" si="50"/>
        <v>0</v>
      </c>
      <c r="AH276" s="136">
        <f t="shared" si="50"/>
        <v>0</v>
      </c>
      <c r="AI276" s="136">
        <f t="shared" si="50"/>
        <v>0</v>
      </c>
      <c r="AJ276" s="136">
        <f t="shared" si="50"/>
        <v>0</v>
      </c>
      <c r="AK276" s="136">
        <f t="shared" si="50"/>
        <v>0</v>
      </c>
      <c r="AL276" s="136">
        <f t="shared" si="50"/>
        <v>0</v>
      </c>
      <c r="AM276" s="136">
        <f t="shared" si="50"/>
        <v>0</v>
      </c>
      <c r="AN276" s="136">
        <f t="shared" si="50"/>
        <v>0</v>
      </c>
      <c r="AO276" s="136">
        <f t="shared" si="50"/>
        <v>0</v>
      </c>
      <c r="AP276" s="136">
        <f t="shared" si="50"/>
        <v>0</v>
      </c>
      <c r="AQ276" s="136">
        <f t="shared" si="50"/>
        <v>0</v>
      </c>
      <c r="AR276" s="136">
        <f t="shared" si="50"/>
        <v>0</v>
      </c>
      <c r="AS276" s="136">
        <f t="shared" si="50"/>
        <v>0</v>
      </c>
      <c r="AT276" s="136">
        <f t="shared" si="50"/>
        <v>0</v>
      </c>
      <c r="AU276" s="136">
        <f t="shared" si="50"/>
        <v>0</v>
      </c>
      <c r="AV276" s="136">
        <f t="shared" si="50"/>
        <v>0</v>
      </c>
      <c r="AW276" s="136">
        <f t="shared" si="50"/>
        <v>0</v>
      </c>
      <c r="AX276" s="136">
        <f t="shared" si="50"/>
        <v>0</v>
      </c>
      <c r="AY276" s="136">
        <f t="shared" si="50"/>
        <v>0</v>
      </c>
      <c r="AZ276" s="136">
        <f t="shared" si="50"/>
        <v>0</v>
      </c>
      <c r="BA276" s="136">
        <f t="shared" si="50"/>
        <v>0</v>
      </c>
      <c r="BB276" s="136">
        <f t="shared" si="50"/>
        <v>0</v>
      </c>
      <c r="BC276" s="136">
        <f t="shared" si="50"/>
        <v>0</v>
      </c>
      <c r="BD276" s="136">
        <f t="shared" si="50"/>
        <v>0</v>
      </c>
      <c r="BE276" s="136">
        <f t="shared" si="50"/>
        <v>0</v>
      </c>
      <c r="BF276" s="136">
        <f t="shared" si="50"/>
        <v>0</v>
      </c>
      <c r="BG276" s="136">
        <f t="shared" si="50"/>
        <v>0</v>
      </c>
      <c r="BH276" s="136">
        <f t="shared" si="50"/>
        <v>0</v>
      </c>
      <c r="BI276" s="136">
        <f t="shared" si="50"/>
        <v>0</v>
      </c>
      <c r="BJ276" s="136">
        <f t="shared" si="50"/>
        <v>0</v>
      </c>
      <c r="BK276" s="136">
        <f t="shared" si="50"/>
        <v>0</v>
      </c>
      <c r="BL276" s="136">
        <f t="shared" si="50"/>
        <v>0</v>
      </c>
      <c r="BM276" s="136">
        <f t="shared" si="50"/>
        <v>0</v>
      </c>
      <c r="BN276" s="136">
        <f t="shared" si="50"/>
        <v>0</v>
      </c>
      <c r="BO276" s="136">
        <f t="shared" si="50"/>
        <v>0</v>
      </c>
      <c r="BP276" s="136">
        <f t="shared" si="50"/>
        <v>0</v>
      </c>
      <c r="BQ276" s="136">
        <f t="shared" si="50"/>
        <v>0</v>
      </c>
      <c r="BR276" s="136">
        <f t="shared" si="50"/>
        <v>0</v>
      </c>
      <c r="BS276" s="136">
        <f t="shared" si="50"/>
        <v>0</v>
      </c>
      <c r="BT276" s="136">
        <f t="shared" si="50"/>
        <v>0</v>
      </c>
      <c r="BU276" s="136">
        <f t="shared" si="50"/>
        <v>0</v>
      </c>
      <c r="BV276" s="136">
        <f t="shared" si="50"/>
        <v>0</v>
      </c>
      <c r="BW276" s="136">
        <f t="shared" si="48"/>
        <v>0</v>
      </c>
      <c r="BX276" s="136">
        <f t="shared" si="46"/>
        <v>0</v>
      </c>
      <c r="BZ276" s="136">
        <f t="shared" si="47"/>
        <v>0</v>
      </c>
      <c r="CA276" s="136">
        <f t="shared" si="47"/>
        <v>0</v>
      </c>
    </row>
    <row r="277" spans="12:79" hidden="1" x14ac:dyDescent="0.3">
      <c r="L277" s="136">
        <f t="shared" ref="L277:AA285" si="51">L105-CD105</f>
        <v>0</v>
      </c>
      <c r="M277" s="136">
        <f t="shared" si="51"/>
        <v>0</v>
      </c>
      <c r="N277" s="136">
        <f t="shared" si="51"/>
        <v>0</v>
      </c>
      <c r="O277" s="136">
        <f t="shared" si="50"/>
        <v>0</v>
      </c>
      <c r="P277" s="136">
        <f t="shared" si="50"/>
        <v>0</v>
      </c>
      <c r="Q277" s="136">
        <f t="shared" si="50"/>
        <v>0</v>
      </c>
      <c r="R277" s="136">
        <f t="shared" si="50"/>
        <v>0</v>
      </c>
      <c r="S277" s="136">
        <f t="shared" si="50"/>
        <v>0</v>
      </c>
      <c r="T277" s="136">
        <f t="shared" si="50"/>
        <v>0</v>
      </c>
      <c r="U277" s="136">
        <f t="shared" si="50"/>
        <v>0</v>
      </c>
      <c r="V277" s="136">
        <f t="shared" si="50"/>
        <v>0</v>
      </c>
      <c r="W277" s="136">
        <f t="shared" si="50"/>
        <v>0</v>
      </c>
      <c r="X277" s="136">
        <f t="shared" si="50"/>
        <v>0</v>
      </c>
      <c r="Y277" s="136">
        <f t="shared" si="50"/>
        <v>0</v>
      </c>
      <c r="Z277" s="136">
        <f t="shared" si="50"/>
        <v>0</v>
      </c>
      <c r="AA277" s="136">
        <f t="shared" si="50"/>
        <v>0</v>
      </c>
      <c r="AB277" s="136">
        <f t="shared" si="50"/>
        <v>0</v>
      </c>
      <c r="AC277" s="136">
        <f t="shared" si="50"/>
        <v>0</v>
      </c>
      <c r="AD277" s="136">
        <f t="shared" si="50"/>
        <v>0</v>
      </c>
      <c r="AE277" s="136">
        <f t="shared" si="50"/>
        <v>0</v>
      </c>
      <c r="AF277" s="136">
        <f t="shared" si="50"/>
        <v>0</v>
      </c>
      <c r="AG277" s="136">
        <f t="shared" si="50"/>
        <v>0</v>
      </c>
      <c r="AH277" s="136">
        <f t="shared" si="50"/>
        <v>0</v>
      </c>
      <c r="AI277" s="136">
        <f t="shared" si="50"/>
        <v>0</v>
      </c>
      <c r="AJ277" s="136">
        <f t="shared" si="50"/>
        <v>0</v>
      </c>
      <c r="AK277" s="136">
        <f t="shared" si="50"/>
        <v>0</v>
      </c>
      <c r="AL277" s="136">
        <f t="shared" si="50"/>
        <v>0</v>
      </c>
      <c r="AM277" s="136">
        <f t="shared" si="50"/>
        <v>0</v>
      </c>
      <c r="AN277" s="136">
        <f t="shared" si="50"/>
        <v>0</v>
      </c>
      <c r="AO277" s="136">
        <f t="shared" si="50"/>
        <v>0</v>
      </c>
      <c r="AP277" s="136">
        <f t="shared" si="50"/>
        <v>0</v>
      </c>
      <c r="AQ277" s="136">
        <f t="shared" si="50"/>
        <v>0</v>
      </c>
      <c r="AR277" s="136">
        <f t="shared" si="50"/>
        <v>0</v>
      </c>
      <c r="AS277" s="136">
        <f t="shared" si="50"/>
        <v>0</v>
      </c>
      <c r="AT277" s="136">
        <f t="shared" si="50"/>
        <v>0</v>
      </c>
      <c r="AU277" s="136">
        <f t="shared" si="50"/>
        <v>0</v>
      </c>
      <c r="AV277" s="136">
        <f t="shared" si="50"/>
        <v>0</v>
      </c>
      <c r="AW277" s="136">
        <f t="shared" si="50"/>
        <v>0</v>
      </c>
      <c r="AX277" s="136">
        <f t="shared" si="50"/>
        <v>0</v>
      </c>
      <c r="AY277" s="136">
        <f t="shared" si="50"/>
        <v>0</v>
      </c>
      <c r="AZ277" s="136">
        <f t="shared" si="50"/>
        <v>0</v>
      </c>
      <c r="BA277" s="136">
        <f t="shared" si="50"/>
        <v>0</v>
      </c>
      <c r="BB277" s="136">
        <f t="shared" si="50"/>
        <v>0</v>
      </c>
      <c r="BC277" s="136">
        <f t="shared" si="50"/>
        <v>0</v>
      </c>
      <c r="BD277" s="136">
        <f t="shared" si="50"/>
        <v>0</v>
      </c>
      <c r="BE277" s="136">
        <f t="shared" si="50"/>
        <v>0</v>
      </c>
      <c r="BF277" s="136">
        <f t="shared" si="50"/>
        <v>0</v>
      </c>
      <c r="BG277" s="136">
        <f t="shared" si="50"/>
        <v>0</v>
      </c>
      <c r="BH277" s="136">
        <f t="shared" si="50"/>
        <v>0</v>
      </c>
      <c r="BI277" s="136">
        <f t="shared" si="50"/>
        <v>0</v>
      </c>
      <c r="BJ277" s="136">
        <f t="shared" si="50"/>
        <v>0</v>
      </c>
      <c r="BK277" s="136">
        <f t="shared" si="50"/>
        <v>0</v>
      </c>
      <c r="BL277" s="136">
        <f t="shared" si="50"/>
        <v>0</v>
      </c>
      <c r="BM277" s="136">
        <f t="shared" si="50"/>
        <v>0</v>
      </c>
      <c r="BN277" s="136">
        <f t="shared" si="50"/>
        <v>0</v>
      </c>
      <c r="BO277" s="136">
        <f t="shared" si="50"/>
        <v>0</v>
      </c>
      <c r="BP277" s="136">
        <f t="shared" si="50"/>
        <v>0</v>
      </c>
      <c r="BQ277" s="136">
        <f t="shared" si="50"/>
        <v>0</v>
      </c>
      <c r="BR277" s="136">
        <f t="shared" si="50"/>
        <v>0</v>
      </c>
      <c r="BS277" s="136">
        <f t="shared" si="50"/>
        <v>0</v>
      </c>
      <c r="BT277" s="136">
        <f t="shared" si="50"/>
        <v>0</v>
      </c>
      <c r="BU277" s="136">
        <f t="shared" si="50"/>
        <v>0</v>
      </c>
      <c r="BV277" s="136">
        <f t="shared" si="50"/>
        <v>0</v>
      </c>
      <c r="BW277" s="136">
        <f t="shared" si="48"/>
        <v>0</v>
      </c>
      <c r="BX277" s="136">
        <f t="shared" si="46"/>
        <v>0</v>
      </c>
      <c r="BZ277" s="136">
        <f t="shared" si="47"/>
        <v>0</v>
      </c>
      <c r="CA277" s="136">
        <f t="shared" si="47"/>
        <v>0</v>
      </c>
    </row>
    <row r="278" spans="12:79" hidden="1" x14ac:dyDescent="0.3">
      <c r="L278" s="136">
        <f t="shared" si="51"/>
        <v>0</v>
      </c>
      <c r="M278" s="136">
        <f t="shared" si="51"/>
        <v>0</v>
      </c>
      <c r="N278" s="136">
        <f t="shared" si="51"/>
        <v>0</v>
      </c>
      <c r="O278" s="136">
        <f t="shared" si="50"/>
        <v>0</v>
      </c>
      <c r="P278" s="136">
        <f t="shared" si="50"/>
        <v>0</v>
      </c>
      <c r="Q278" s="136">
        <f t="shared" si="50"/>
        <v>0</v>
      </c>
      <c r="R278" s="136">
        <f t="shared" si="50"/>
        <v>0</v>
      </c>
      <c r="S278" s="136">
        <f t="shared" si="50"/>
        <v>0</v>
      </c>
      <c r="T278" s="136">
        <f t="shared" si="50"/>
        <v>0</v>
      </c>
      <c r="U278" s="136">
        <f t="shared" si="50"/>
        <v>0</v>
      </c>
      <c r="V278" s="136">
        <f t="shared" si="50"/>
        <v>0</v>
      </c>
      <c r="W278" s="136">
        <f t="shared" si="50"/>
        <v>0</v>
      </c>
      <c r="X278" s="136">
        <f t="shared" si="50"/>
        <v>0</v>
      </c>
      <c r="Y278" s="136">
        <f t="shared" si="50"/>
        <v>0</v>
      </c>
      <c r="Z278" s="136">
        <f t="shared" si="50"/>
        <v>0</v>
      </c>
      <c r="AA278" s="136">
        <f t="shared" si="50"/>
        <v>0</v>
      </c>
      <c r="AB278" s="136">
        <f t="shared" si="50"/>
        <v>0</v>
      </c>
      <c r="AC278" s="136">
        <f t="shared" si="50"/>
        <v>0</v>
      </c>
      <c r="AD278" s="136">
        <f t="shared" si="50"/>
        <v>0</v>
      </c>
      <c r="AE278" s="136">
        <f t="shared" si="50"/>
        <v>0</v>
      </c>
      <c r="AF278" s="136">
        <f t="shared" si="50"/>
        <v>0</v>
      </c>
      <c r="AG278" s="136">
        <f t="shared" si="50"/>
        <v>0</v>
      </c>
      <c r="AH278" s="136">
        <f t="shared" si="50"/>
        <v>0</v>
      </c>
      <c r="AI278" s="136">
        <f t="shared" si="50"/>
        <v>0</v>
      </c>
      <c r="AJ278" s="136">
        <f t="shared" si="50"/>
        <v>0</v>
      </c>
      <c r="AK278" s="136">
        <f t="shared" si="50"/>
        <v>0</v>
      </c>
      <c r="AL278" s="136">
        <f t="shared" si="50"/>
        <v>0</v>
      </c>
      <c r="AM278" s="136">
        <f t="shared" si="50"/>
        <v>0</v>
      </c>
      <c r="AN278" s="136">
        <f t="shared" si="50"/>
        <v>0</v>
      </c>
      <c r="AO278" s="136">
        <f t="shared" si="50"/>
        <v>0</v>
      </c>
      <c r="AP278" s="136">
        <f t="shared" si="50"/>
        <v>0</v>
      </c>
      <c r="AQ278" s="136">
        <f t="shared" si="50"/>
        <v>0</v>
      </c>
      <c r="AR278" s="136">
        <f t="shared" si="50"/>
        <v>0</v>
      </c>
      <c r="AS278" s="136">
        <f t="shared" si="50"/>
        <v>0</v>
      </c>
      <c r="AT278" s="136">
        <f t="shared" si="50"/>
        <v>0</v>
      </c>
      <c r="AU278" s="136">
        <f t="shared" si="50"/>
        <v>0</v>
      </c>
      <c r="AV278" s="136">
        <f t="shared" si="50"/>
        <v>0</v>
      </c>
      <c r="AW278" s="136">
        <f t="shared" si="50"/>
        <v>0</v>
      </c>
      <c r="AX278" s="136">
        <f t="shared" si="50"/>
        <v>0</v>
      </c>
      <c r="AY278" s="136">
        <f t="shared" si="50"/>
        <v>0</v>
      </c>
      <c r="AZ278" s="136">
        <f t="shared" si="50"/>
        <v>0</v>
      </c>
      <c r="BA278" s="136">
        <f t="shared" si="50"/>
        <v>0</v>
      </c>
      <c r="BB278" s="136">
        <f t="shared" si="50"/>
        <v>0</v>
      </c>
      <c r="BC278" s="136">
        <f t="shared" si="50"/>
        <v>0</v>
      </c>
      <c r="BD278" s="136">
        <f t="shared" si="50"/>
        <v>0</v>
      </c>
      <c r="BE278" s="136">
        <f t="shared" si="50"/>
        <v>0</v>
      </c>
      <c r="BF278" s="136">
        <f t="shared" si="50"/>
        <v>0</v>
      </c>
      <c r="BG278" s="136">
        <f t="shared" si="50"/>
        <v>0</v>
      </c>
      <c r="BH278" s="136">
        <f t="shared" si="50"/>
        <v>0</v>
      </c>
      <c r="BI278" s="136">
        <f t="shared" si="50"/>
        <v>0</v>
      </c>
      <c r="BJ278" s="136">
        <f t="shared" si="50"/>
        <v>0</v>
      </c>
      <c r="BK278" s="136">
        <f t="shared" si="50"/>
        <v>0</v>
      </c>
      <c r="BL278" s="136">
        <f t="shared" si="50"/>
        <v>0</v>
      </c>
      <c r="BM278" s="136">
        <f t="shared" si="50"/>
        <v>0</v>
      </c>
      <c r="BN278" s="136">
        <f t="shared" si="50"/>
        <v>0</v>
      </c>
      <c r="BO278" s="136">
        <f t="shared" si="50"/>
        <v>0</v>
      </c>
      <c r="BP278" s="136">
        <f t="shared" si="50"/>
        <v>0</v>
      </c>
      <c r="BQ278" s="136">
        <f t="shared" si="50"/>
        <v>0</v>
      </c>
      <c r="BR278" s="136">
        <f t="shared" si="50"/>
        <v>0</v>
      </c>
      <c r="BS278" s="136">
        <f t="shared" si="50"/>
        <v>0</v>
      </c>
      <c r="BT278" s="136">
        <f t="shared" si="50"/>
        <v>0</v>
      </c>
      <c r="BU278" s="136">
        <f t="shared" si="50"/>
        <v>0</v>
      </c>
      <c r="BV278" s="136">
        <f t="shared" si="50"/>
        <v>0</v>
      </c>
      <c r="BW278" s="136">
        <f t="shared" si="48"/>
        <v>0</v>
      </c>
      <c r="BX278" s="136">
        <f t="shared" si="46"/>
        <v>0</v>
      </c>
      <c r="BZ278" s="136">
        <f t="shared" si="47"/>
        <v>0</v>
      </c>
      <c r="CA278" s="136">
        <f t="shared" si="47"/>
        <v>0</v>
      </c>
    </row>
    <row r="279" spans="12:79" hidden="1" x14ac:dyDescent="0.3">
      <c r="L279" s="136">
        <f t="shared" si="51"/>
        <v>0</v>
      </c>
      <c r="M279" s="136">
        <f t="shared" si="51"/>
        <v>0</v>
      </c>
      <c r="N279" s="136">
        <f t="shared" si="51"/>
        <v>0</v>
      </c>
      <c r="O279" s="136">
        <f t="shared" si="50"/>
        <v>0</v>
      </c>
      <c r="P279" s="136">
        <f t="shared" si="50"/>
        <v>0</v>
      </c>
      <c r="Q279" s="136">
        <f t="shared" si="50"/>
        <v>0</v>
      </c>
      <c r="R279" s="136">
        <f t="shared" si="50"/>
        <v>0</v>
      </c>
      <c r="S279" s="136">
        <f t="shared" si="50"/>
        <v>0</v>
      </c>
      <c r="T279" s="136">
        <f t="shared" si="50"/>
        <v>0</v>
      </c>
      <c r="U279" s="136">
        <f t="shared" si="50"/>
        <v>0</v>
      </c>
      <c r="V279" s="136">
        <f t="shared" si="50"/>
        <v>0</v>
      </c>
      <c r="W279" s="136">
        <f t="shared" si="50"/>
        <v>0</v>
      </c>
      <c r="X279" s="136">
        <f t="shared" si="50"/>
        <v>0</v>
      </c>
      <c r="Y279" s="136">
        <f t="shared" si="50"/>
        <v>0</v>
      </c>
      <c r="Z279" s="136">
        <f t="shared" si="50"/>
        <v>0</v>
      </c>
      <c r="AA279" s="136">
        <f t="shared" si="50"/>
        <v>0</v>
      </c>
      <c r="AB279" s="136">
        <f t="shared" si="50"/>
        <v>0</v>
      </c>
      <c r="AC279" s="136">
        <f t="shared" si="50"/>
        <v>0</v>
      </c>
      <c r="AD279" s="136">
        <f t="shared" si="50"/>
        <v>0</v>
      </c>
      <c r="AE279" s="136">
        <f t="shared" si="50"/>
        <v>0</v>
      </c>
      <c r="AF279" s="136">
        <f t="shared" si="50"/>
        <v>0</v>
      </c>
      <c r="AG279" s="136">
        <f t="shared" si="50"/>
        <v>0</v>
      </c>
      <c r="AH279" s="136">
        <f t="shared" si="50"/>
        <v>0</v>
      </c>
      <c r="AI279" s="136">
        <f t="shared" si="50"/>
        <v>0</v>
      </c>
      <c r="AJ279" s="136">
        <f t="shared" si="50"/>
        <v>0</v>
      </c>
      <c r="AK279" s="136">
        <f t="shared" si="50"/>
        <v>0</v>
      </c>
      <c r="AL279" s="136">
        <f t="shared" si="50"/>
        <v>0</v>
      </c>
      <c r="AM279" s="136">
        <f t="shared" si="50"/>
        <v>0</v>
      </c>
      <c r="AN279" s="136">
        <f t="shared" si="50"/>
        <v>0</v>
      </c>
      <c r="AO279" s="136">
        <f t="shared" si="50"/>
        <v>0</v>
      </c>
      <c r="AP279" s="136">
        <f t="shared" si="50"/>
        <v>0</v>
      </c>
      <c r="AQ279" s="136">
        <f t="shared" si="50"/>
        <v>0</v>
      </c>
      <c r="AR279" s="136">
        <f t="shared" si="50"/>
        <v>0</v>
      </c>
      <c r="AS279" s="136">
        <f t="shared" si="50"/>
        <v>0</v>
      </c>
      <c r="AT279" s="136">
        <f t="shared" si="50"/>
        <v>0</v>
      </c>
      <c r="AU279" s="136">
        <f t="shared" si="50"/>
        <v>0</v>
      </c>
      <c r="AV279" s="136">
        <f t="shared" si="50"/>
        <v>0</v>
      </c>
      <c r="AW279" s="136">
        <f t="shared" si="50"/>
        <v>0</v>
      </c>
      <c r="AX279" s="136">
        <f t="shared" si="50"/>
        <v>0</v>
      </c>
      <c r="AY279" s="136">
        <f t="shared" si="50"/>
        <v>0</v>
      </c>
      <c r="AZ279" s="136">
        <f t="shared" si="50"/>
        <v>0</v>
      </c>
      <c r="BA279" s="136">
        <f t="shared" si="50"/>
        <v>0</v>
      </c>
      <c r="BB279" s="136">
        <f t="shared" si="50"/>
        <v>0</v>
      </c>
      <c r="BC279" s="136">
        <f t="shared" si="50"/>
        <v>0</v>
      </c>
      <c r="BD279" s="136">
        <f t="shared" si="50"/>
        <v>0</v>
      </c>
      <c r="BE279" s="136">
        <f t="shared" si="50"/>
        <v>0</v>
      </c>
      <c r="BF279" s="136">
        <f t="shared" si="50"/>
        <v>0</v>
      </c>
      <c r="BG279" s="136">
        <f t="shared" si="50"/>
        <v>0</v>
      </c>
      <c r="BH279" s="136">
        <f t="shared" si="50"/>
        <v>0</v>
      </c>
      <c r="BI279" s="136">
        <f t="shared" si="50"/>
        <v>0</v>
      </c>
      <c r="BJ279" s="136">
        <f t="shared" si="50"/>
        <v>0</v>
      </c>
      <c r="BK279" s="136">
        <f t="shared" si="50"/>
        <v>0</v>
      </c>
      <c r="BL279" s="136">
        <f t="shared" si="50"/>
        <v>0</v>
      </c>
      <c r="BM279" s="136">
        <f t="shared" si="50"/>
        <v>0</v>
      </c>
      <c r="BN279" s="136">
        <f t="shared" si="50"/>
        <v>0</v>
      </c>
      <c r="BO279" s="136">
        <f t="shared" si="50"/>
        <v>0</v>
      </c>
      <c r="BP279" s="136">
        <f t="shared" si="50"/>
        <v>0</v>
      </c>
      <c r="BQ279" s="136">
        <f t="shared" si="50"/>
        <v>0</v>
      </c>
      <c r="BR279" s="136">
        <f t="shared" si="50"/>
        <v>0</v>
      </c>
      <c r="BS279" s="136">
        <f t="shared" si="50"/>
        <v>0</v>
      </c>
      <c r="BT279" s="136">
        <f t="shared" si="50"/>
        <v>0</v>
      </c>
      <c r="BU279" s="136">
        <f t="shared" si="50"/>
        <v>0</v>
      </c>
      <c r="BV279" s="136">
        <f t="shared" si="50"/>
        <v>0</v>
      </c>
      <c r="BW279" s="136">
        <f t="shared" si="48"/>
        <v>0</v>
      </c>
      <c r="BX279" s="136">
        <f t="shared" si="46"/>
        <v>0</v>
      </c>
      <c r="BZ279" s="136">
        <f t="shared" si="47"/>
        <v>0</v>
      </c>
      <c r="CA279" s="136">
        <f t="shared" si="47"/>
        <v>0</v>
      </c>
    </row>
    <row r="280" spans="12:79" hidden="1" x14ac:dyDescent="0.3">
      <c r="L280" s="136">
        <f t="shared" si="51"/>
        <v>0</v>
      </c>
      <c r="M280" s="136">
        <f t="shared" si="51"/>
        <v>0</v>
      </c>
      <c r="N280" s="136">
        <f t="shared" si="51"/>
        <v>0</v>
      </c>
      <c r="O280" s="136">
        <f t="shared" si="50"/>
        <v>0</v>
      </c>
      <c r="P280" s="136">
        <f t="shared" si="50"/>
        <v>0</v>
      </c>
      <c r="Q280" s="136">
        <f t="shared" si="50"/>
        <v>0</v>
      </c>
      <c r="R280" s="136">
        <f t="shared" si="50"/>
        <v>0</v>
      </c>
      <c r="S280" s="136">
        <f t="shared" si="50"/>
        <v>0</v>
      </c>
      <c r="T280" s="136">
        <f t="shared" si="50"/>
        <v>0</v>
      </c>
      <c r="U280" s="136">
        <f t="shared" si="50"/>
        <v>0</v>
      </c>
      <c r="V280" s="136">
        <f t="shared" si="50"/>
        <v>0</v>
      </c>
      <c r="W280" s="136">
        <f t="shared" si="50"/>
        <v>0</v>
      </c>
      <c r="X280" s="136">
        <f t="shared" si="50"/>
        <v>0</v>
      </c>
      <c r="Y280" s="136">
        <f t="shared" si="50"/>
        <v>0</v>
      </c>
      <c r="Z280" s="136">
        <f t="shared" si="50"/>
        <v>0</v>
      </c>
      <c r="AA280" s="136">
        <f t="shared" si="50"/>
        <v>0</v>
      </c>
      <c r="AB280" s="136">
        <f t="shared" si="50"/>
        <v>0</v>
      </c>
      <c r="AC280" s="136">
        <f t="shared" si="50"/>
        <v>0</v>
      </c>
      <c r="AD280" s="136">
        <f t="shared" ref="AD280:BV285" si="52">AD108-CV108</f>
        <v>0</v>
      </c>
      <c r="AE280" s="136">
        <f t="shared" si="52"/>
        <v>0</v>
      </c>
      <c r="AF280" s="136">
        <f t="shared" si="52"/>
        <v>0</v>
      </c>
      <c r="AG280" s="136">
        <f t="shared" si="52"/>
        <v>0</v>
      </c>
      <c r="AH280" s="136">
        <f t="shared" si="52"/>
        <v>0</v>
      </c>
      <c r="AI280" s="136">
        <f t="shared" si="52"/>
        <v>0</v>
      </c>
      <c r="AJ280" s="136">
        <f t="shared" si="52"/>
        <v>0</v>
      </c>
      <c r="AK280" s="136">
        <f t="shared" si="52"/>
        <v>0</v>
      </c>
      <c r="AL280" s="136">
        <f t="shared" si="52"/>
        <v>0</v>
      </c>
      <c r="AM280" s="136">
        <f t="shared" si="52"/>
        <v>0</v>
      </c>
      <c r="AN280" s="136">
        <f t="shared" si="52"/>
        <v>0</v>
      </c>
      <c r="AO280" s="136">
        <f t="shared" si="52"/>
        <v>0</v>
      </c>
      <c r="AP280" s="136">
        <f t="shared" si="52"/>
        <v>0</v>
      </c>
      <c r="AQ280" s="136">
        <f t="shared" si="52"/>
        <v>0</v>
      </c>
      <c r="AR280" s="136">
        <f t="shared" si="52"/>
        <v>0</v>
      </c>
      <c r="AS280" s="136">
        <f t="shared" si="52"/>
        <v>0</v>
      </c>
      <c r="AT280" s="136">
        <f t="shared" si="52"/>
        <v>0</v>
      </c>
      <c r="AU280" s="136">
        <f t="shared" si="52"/>
        <v>0</v>
      </c>
      <c r="AV280" s="136">
        <f t="shared" si="52"/>
        <v>0</v>
      </c>
      <c r="AW280" s="136">
        <f t="shared" si="52"/>
        <v>0</v>
      </c>
      <c r="AX280" s="136">
        <f t="shared" si="52"/>
        <v>0</v>
      </c>
      <c r="AY280" s="136">
        <f t="shared" si="52"/>
        <v>0</v>
      </c>
      <c r="AZ280" s="136">
        <f t="shared" si="52"/>
        <v>0</v>
      </c>
      <c r="BA280" s="136">
        <f t="shared" si="52"/>
        <v>0</v>
      </c>
      <c r="BB280" s="136">
        <f t="shared" si="52"/>
        <v>0</v>
      </c>
      <c r="BC280" s="136">
        <f t="shared" si="52"/>
        <v>0</v>
      </c>
      <c r="BD280" s="136">
        <f t="shared" si="52"/>
        <v>0</v>
      </c>
      <c r="BE280" s="136">
        <f t="shared" si="52"/>
        <v>0</v>
      </c>
      <c r="BF280" s="136">
        <f t="shared" si="52"/>
        <v>0</v>
      </c>
      <c r="BG280" s="136">
        <f t="shared" si="52"/>
        <v>0</v>
      </c>
      <c r="BH280" s="136">
        <f t="shared" si="52"/>
        <v>0</v>
      </c>
      <c r="BI280" s="136">
        <f t="shared" si="52"/>
        <v>0</v>
      </c>
      <c r="BJ280" s="136">
        <f t="shared" si="52"/>
        <v>0</v>
      </c>
      <c r="BK280" s="136">
        <f t="shared" si="52"/>
        <v>0</v>
      </c>
      <c r="BL280" s="136">
        <f t="shared" si="52"/>
        <v>0</v>
      </c>
      <c r="BM280" s="136">
        <f t="shared" si="52"/>
        <v>0</v>
      </c>
      <c r="BN280" s="136">
        <f t="shared" si="52"/>
        <v>0</v>
      </c>
      <c r="BO280" s="136">
        <f t="shared" si="52"/>
        <v>0</v>
      </c>
      <c r="BP280" s="136">
        <f t="shared" si="52"/>
        <v>0</v>
      </c>
      <c r="BQ280" s="136">
        <f t="shared" si="52"/>
        <v>0</v>
      </c>
      <c r="BR280" s="136">
        <f t="shared" si="52"/>
        <v>0</v>
      </c>
      <c r="BS280" s="136">
        <f t="shared" si="52"/>
        <v>0</v>
      </c>
      <c r="BT280" s="136">
        <f t="shared" si="52"/>
        <v>0</v>
      </c>
      <c r="BU280" s="136">
        <f t="shared" si="52"/>
        <v>0</v>
      </c>
      <c r="BV280" s="136">
        <f t="shared" si="52"/>
        <v>0</v>
      </c>
      <c r="BW280" s="136">
        <f t="shared" si="48"/>
        <v>0</v>
      </c>
      <c r="BX280" s="136">
        <f t="shared" si="46"/>
        <v>0</v>
      </c>
      <c r="BZ280" s="136">
        <f t="shared" si="47"/>
        <v>0</v>
      </c>
      <c r="CA280" s="136">
        <f t="shared" si="47"/>
        <v>0</v>
      </c>
    </row>
    <row r="281" spans="12:79" hidden="1" x14ac:dyDescent="0.3">
      <c r="L281" s="136">
        <f t="shared" si="51"/>
        <v>0</v>
      </c>
      <c r="M281" s="136">
        <f t="shared" si="51"/>
        <v>0</v>
      </c>
      <c r="N281" s="136">
        <f t="shared" si="51"/>
        <v>0</v>
      </c>
      <c r="O281" s="136">
        <f t="shared" si="51"/>
        <v>0</v>
      </c>
      <c r="P281" s="136">
        <f t="shared" si="51"/>
        <v>0</v>
      </c>
      <c r="Q281" s="136">
        <f t="shared" si="51"/>
        <v>0</v>
      </c>
      <c r="R281" s="136">
        <f t="shared" si="51"/>
        <v>0</v>
      </c>
      <c r="S281" s="136">
        <f t="shared" si="51"/>
        <v>0</v>
      </c>
      <c r="T281" s="136">
        <f t="shared" si="51"/>
        <v>0</v>
      </c>
      <c r="U281" s="136">
        <f t="shared" si="51"/>
        <v>0</v>
      </c>
      <c r="V281" s="136">
        <f t="shared" si="51"/>
        <v>0</v>
      </c>
      <c r="W281" s="136">
        <f t="shared" si="51"/>
        <v>0</v>
      </c>
      <c r="X281" s="136">
        <f t="shared" si="51"/>
        <v>0</v>
      </c>
      <c r="Y281" s="136">
        <f t="shared" si="51"/>
        <v>0</v>
      </c>
      <c r="Z281" s="136">
        <f t="shared" si="51"/>
        <v>0</v>
      </c>
      <c r="AA281" s="136">
        <f t="shared" si="51"/>
        <v>0</v>
      </c>
      <c r="AB281" s="136">
        <f t="shared" ref="AB281:AC285" si="53">AB109-CT109</f>
        <v>0</v>
      </c>
      <c r="AC281" s="136">
        <f t="shared" si="53"/>
        <v>0</v>
      </c>
      <c r="AD281" s="136">
        <f t="shared" si="52"/>
        <v>0</v>
      </c>
      <c r="AE281" s="136">
        <f t="shared" si="52"/>
        <v>0</v>
      </c>
      <c r="AF281" s="136">
        <f t="shared" si="52"/>
        <v>0</v>
      </c>
      <c r="AG281" s="136">
        <f t="shared" si="52"/>
        <v>0</v>
      </c>
      <c r="AH281" s="136">
        <f t="shared" si="52"/>
        <v>0</v>
      </c>
      <c r="AI281" s="136">
        <f t="shared" si="52"/>
        <v>0</v>
      </c>
      <c r="AJ281" s="136">
        <f t="shared" si="52"/>
        <v>0</v>
      </c>
      <c r="AK281" s="136">
        <f t="shared" si="52"/>
        <v>0</v>
      </c>
      <c r="AL281" s="136">
        <f t="shared" si="52"/>
        <v>0</v>
      </c>
      <c r="AM281" s="136">
        <f t="shared" si="52"/>
        <v>0</v>
      </c>
      <c r="AN281" s="136">
        <f t="shared" si="52"/>
        <v>0</v>
      </c>
      <c r="AO281" s="136">
        <f t="shared" si="52"/>
        <v>0</v>
      </c>
      <c r="AP281" s="136">
        <f t="shared" si="52"/>
        <v>0</v>
      </c>
      <c r="AQ281" s="136">
        <f t="shared" si="52"/>
        <v>0</v>
      </c>
      <c r="AR281" s="136">
        <f t="shared" si="52"/>
        <v>0</v>
      </c>
      <c r="AS281" s="136">
        <f t="shared" si="52"/>
        <v>0</v>
      </c>
      <c r="AT281" s="136">
        <f t="shared" si="52"/>
        <v>0</v>
      </c>
      <c r="AU281" s="136">
        <f t="shared" si="52"/>
        <v>0</v>
      </c>
      <c r="AV281" s="136">
        <f t="shared" si="52"/>
        <v>0</v>
      </c>
      <c r="AW281" s="136">
        <f t="shared" si="52"/>
        <v>0</v>
      </c>
      <c r="AX281" s="136">
        <f t="shared" si="52"/>
        <v>0</v>
      </c>
      <c r="AY281" s="136">
        <f t="shared" si="52"/>
        <v>0</v>
      </c>
      <c r="AZ281" s="136">
        <f t="shared" si="52"/>
        <v>0</v>
      </c>
      <c r="BA281" s="136">
        <f t="shared" si="52"/>
        <v>0</v>
      </c>
      <c r="BB281" s="136">
        <f t="shared" si="52"/>
        <v>0</v>
      </c>
      <c r="BC281" s="136">
        <f t="shared" si="52"/>
        <v>0</v>
      </c>
      <c r="BD281" s="136">
        <f t="shared" si="52"/>
        <v>0</v>
      </c>
      <c r="BE281" s="136">
        <f t="shared" si="52"/>
        <v>0</v>
      </c>
      <c r="BF281" s="136">
        <f t="shared" si="52"/>
        <v>0</v>
      </c>
      <c r="BG281" s="136">
        <f t="shared" si="52"/>
        <v>0</v>
      </c>
      <c r="BH281" s="136">
        <f t="shared" si="52"/>
        <v>0</v>
      </c>
      <c r="BI281" s="136">
        <f t="shared" si="52"/>
        <v>0</v>
      </c>
      <c r="BJ281" s="136">
        <f t="shared" si="52"/>
        <v>0</v>
      </c>
      <c r="BK281" s="136">
        <f t="shared" si="52"/>
        <v>0</v>
      </c>
      <c r="BL281" s="136">
        <f t="shared" si="52"/>
        <v>0</v>
      </c>
      <c r="BM281" s="136">
        <f t="shared" si="52"/>
        <v>0</v>
      </c>
      <c r="BN281" s="136">
        <f t="shared" si="52"/>
        <v>0</v>
      </c>
      <c r="BO281" s="136">
        <f t="shared" si="52"/>
        <v>0</v>
      </c>
      <c r="BP281" s="136">
        <f t="shared" si="52"/>
        <v>0</v>
      </c>
      <c r="BQ281" s="136">
        <f t="shared" si="52"/>
        <v>0</v>
      </c>
      <c r="BR281" s="136">
        <f t="shared" si="52"/>
        <v>0</v>
      </c>
      <c r="BS281" s="136">
        <f t="shared" si="52"/>
        <v>0</v>
      </c>
      <c r="BT281" s="136">
        <f t="shared" si="52"/>
        <v>0</v>
      </c>
      <c r="BU281" s="136">
        <f t="shared" si="52"/>
        <v>0</v>
      </c>
      <c r="BV281" s="136">
        <f t="shared" si="52"/>
        <v>0</v>
      </c>
      <c r="BW281" s="136">
        <f t="shared" si="48"/>
        <v>0</v>
      </c>
      <c r="BX281" s="136">
        <f t="shared" si="46"/>
        <v>0</v>
      </c>
      <c r="BZ281" s="136">
        <f t="shared" si="47"/>
        <v>0</v>
      </c>
      <c r="CA281" s="136">
        <f t="shared" si="47"/>
        <v>0</v>
      </c>
    </row>
    <row r="282" spans="12:79" hidden="1" x14ac:dyDescent="0.3">
      <c r="L282" s="136">
        <f t="shared" si="51"/>
        <v>0</v>
      </c>
      <c r="M282" s="136">
        <f t="shared" si="51"/>
        <v>0</v>
      </c>
      <c r="N282" s="136">
        <f t="shared" si="51"/>
        <v>0</v>
      </c>
      <c r="O282" s="136">
        <f t="shared" si="51"/>
        <v>0</v>
      </c>
      <c r="P282" s="136">
        <f t="shared" si="51"/>
        <v>0</v>
      </c>
      <c r="Q282" s="136">
        <f t="shared" si="51"/>
        <v>0</v>
      </c>
      <c r="R282" s="136">
        <f t="shared" si="51"/>
        <v>0</v>
      </c>
      <c r="S282" s="136">
        <f t="shared" si="51"/>
        <v>0</v>
      </c>
      <c r="T282" s="136">
        <f t="shared" si="51"/>
        <v>0</v>
      </c>
      <c r="U282" s="136">
        <f t="shared" si="51"/>
        <v>0</v>
      </c>
      <c r="V282" s="136">
        <f t="shared" si="51"/>
        <v>0</v>
      </c>
      <c r="W282" s="136">
        <f t="shared" si="51"/>
        <v>0</v>
      </c>
      <c r="X282" s="136">
        <f t="shared" si="51"/>
        <v>0</v>
      </c>
      <c r="Y282" s="136">
        <f t="shared" si="51"/>
        <v>0</v>
      </c>
      <c r="Z282" s="136">
        <f t="shared" si="51"/>
        <v>0</v>
      </c>
      <c r="AA282" s="136">
        <f t="shared" si="51"/>
        <v>0</v>
      </c>
      <c r="AB282" s="136">
        <f t="shared" si="53"/>
        <v>0</v>
      </c>
      <c r="AC282" s="136">
        <f t="shared" si="53"/>
        <v>0</v>
      </c>
      <c r="AD282" s="136">
        <f t="shared" si="52"/>
        <v>0</v>
      </c>
      <c r="AE282" s="136">
        <f t="shared" si="52"/>
        <v>0</v>
      </c>
      <c r="AF282" s="136">
        <f t="shared" si="52"/>
        <v>0</v>
      </c>
      <c r="AG282" s="136">
        <f t="shared" si="52"/>
        <v>0</v>
      </c>
      <c r="AH282" s="136">
        <f t="shared" si="52"/>
        <v>0</v>
      </c>
      <c r="AI282" s="136">
        <f t="shared" si="52"/>
        <v>0</v>
      </c>
      <c r="AJ282" s="136">
        <f t="shared" si="52"/>
        <v>0</v>
      </c>
      <c r="AK282" s="136">
        <f t="shared" si="52"/>
        <v>0</v>
      </c>
      <c r="AL282" s="136">
        <f t="shared" si="52"/>
        <v>0</v>
      </c>
      <c r="AM282" s="136">
        <f t="shared" si="52"/>
        <v>0</v>
      </c>
      <c r="AN282" s="136">
        <f t="shared" si="52"/>
        <v>0</v>
      </c>
      <c r="AO282" s="136">
        <f t="shared" si="52"/>
        <v>0</v>
      </c>
      <c r="AP282" s="136">
        <f t="shared" si="52"/>
        <v>0</v>
      </c>
      <c r="AQ282" s="136">
        <f t="shared" si="52"/>
        <v>0</v>
      </c>
      <c r="AR282" s="136">
        <f t="shared" si="52"/>
        <v>0</v>
      </c>
      <c r="AS282" s="136">
        <f t="shared" si="52"/>
        <v>0</v>
      </c>
      <c r="AT282" s="136">
        <f t="shared" si="52"/>
        <v>0</v>
      </c>
      <c r="AU282" s="136">
        <f t="shared" si="52"/>
        <v>0</v>
      </c>
      <c r="AV282" s="136">
        <f t="shared" si="52"/>
        <v>0</v>
      </c>
      <c r="AW282" s="136">
        <f t="shared" si="52"/>
        <v>0</v>
      </c>
      <c r="AX282" s="136">
        <f t="shared" si="52"/>
        <v>0</v>
      </c>
      <c r="AY282" s="136">
        <f t="shared" si="52"/>
        <v>0</v>
      </c>
      <c r="AZ282" s="136">
        <f t="shared" si="52"/>
        <v>0</v>
      </c>
      <c r="BA282" s="136">
        <f t="shared" si="52"/>
        <v>0</v>
      </c>
      <c r="BB282" s="136">
        <f t="shared" si="52"/>
        <v>0</v>
      </c>
      <c r="BC282" s="136">
        <f t="shared" si="52"/>
        <v>0</v>
      </c>
      <c r="BD282" s="136">
        <f t="shared" si="52"/>
        <v>0</v>
      </c>
      <c r="BE282" s="136">
        <f t="shared" si="52"/>
        <v>0</v>
      </c>
      <c r="BF282" s="136">
        <f t="shared" si="52"/>
        <v>0</v>
      </c>
      <c r="BG282" s="136">
        <f t="shared" si="52"/>
        <v>0</v>
      </c>
      <c r="BH282" s="136">
        <f t="shared" si="52"/>
        <v>0</v>
      </c>
      <c r="BI282" s="136">
        <f t="shared" si="52"/>
        <v>0</v>
      </c>
      <c r="BJ282" s="136">
        <f t="shared" si="52"/>
        <v>0</v>
      </c>
      <c r="BK282" s="136">
        <f t="shared" si="52"/>
        <v>0</v>
      </c>
      <c r="BL282" s="136">
        <f t="shared" si="52"/>
        <v>0</v>
      </c>
      <c r="BM282" s="136">
        <f t="shared" si="52"/>
        <v>0</v>
      </c>
      <c r="BN282" s="136">
        <f t="shared" si="52"/>
        <v>0</v>
      </c>
      <c r="BO282" s="136">
        <f t="shared" si="52"/>
        <v>0</v>
      </c>
      <c r="BP282" s="136">
        <f t="shared" si="52"/>
        <v>0</v>
      </c>
      <c r="BQ282" s="136">
        <f t="shared" si="52"/>
        <v>0</v>
      </c>
      <c r="BR282" s="136">
        <f t="shared" si="52"/>
        <v>0</v>
      </c>
      <c r="BS282" s="136">
        <f t="shared" si="52"/>
        <v>0</v>
      </c>
      <c r="BT282" s="136">
        <f t="shared" si="52"/>
        <v>0</v>
      </c>
      <c r="BU282" s="136">
        <f t="shared" si="52"/>
        <v>0</v>
      </c>
      <c r="BV282" s="136">
        <f t="shared" si="52"/>
        <v>0</v>
      </c>
      <c r="BW282" s="136">
        <f t="shared" si="48"/>
        <v>0</v>
      </c>
      <c r="BX282" s="136">
        <f t="shared" si="46"/>
        <v>0</v>
      </c>
      <c r="BZ282" s="136">
        <f t="shared" si="47"/>
        <v>0</v>
      </c>
      <c r="CA282" s="136">
        <f t="shared" si="47"/>
        <v>0</v>
      </c>
    </row>
    <row r="283" spans="12:79" hidden="1" x14ac:dyDescent="0.3">
      <c r="L283" s="136">
        <f t="shared" si="51"/>
        <v>0</v>
      </c>
      <c r="M283" s="136">
        <f t="shared" si="51"/>
        <v>0</v>
      </c>
      <c r="N283" s="136">
        <f t="shared" si="51"/>
        <v>0</v>
      </c>
      <c r="O283" s="136">
        <f t="shared" si="51"/>
        <v>0</v>
      </c>
      <c r="P283" s="136">
        <f t="shared" si="51"/>
        <v>0</v>
      </c>
      <c r="Q283" s="136">
        <f t="shared" si="51"/>
        <v>0</v>
      </c>
      <c r="R283" s="136">
        <f t="shared" si="51"/>
        <v>0</v>
      </c>
      <c r="S283" s="136">
        <f t="shared" si="51"/>
        <v>0</v>
      </c>
      <c r="T283" s="136">
        <f t="shared" si="51"/>
        <v>0</v>
      </c>
      <c r="U283" s="136">
        <f t="shared" si="51"/>
        <v>0</v>
      </c>
      <c r="V283" s="136">
        <f t="shared" si="51"/>
        <v>0</v>
      </c>
      <c r="W283" s="136">
        <f t="shared" si="51"/>
        <v>0</v>
      </c>
      <c r="X283" s="136">
        <f t="shared" si="51"/>
        <v>0</v>
      </c>
      <c r="Y283" s="136">
        <f t="shared" si="51"/>
        <v>0</v>
      </c>
      <c r="Z283" s="136">
        <f t="shared" si="51"/>
        <v>0</v>
      </c>
      <c r="AA283" s="136">
        <f t="shared" si="51"/>
        <v>0</v>
      </c>
      <c r="AB283" s="136">
        <f t="shared" si="53"/>
        <v>0</v>
      </c>
      <c r="AC283" s="136">
        <f t="shared" si="53"/>
        <v>0</v>
      </c>
      <c r="AD283" s="136">
        <f t="shared" si="52"/>
        <v>0</v>
      </c>
      <c r="AE283" s="136">
        <f t="shared" si="52"/>
        <v>0</v>
      </c>
      <c r="AF283" s="136">
        <f t="shared" si="52"/>
        <v>0</v>
      </c>
      <c r="AG283" s="136">
        <f t="shared" si="52"/>
        <v>0</v>
      </c>
      <c r="AH283" s="136">
        <f t="shared" si="52"/>
        <v>0</v>
      </c>
      <c r="AI283" s="136">
        <f t="shared" si="52"/>
        <v>0</v>
      </c>
      <c r="AJ283" s="136">
        <f t="shared" si="52"/>
        <v>0</v>
      </c>
      <c r="AK283" s="136">
        <f t="shared" si="52"/>
        <v>0</v>
      </c>
      <c r="AL283" s="136">
        <f t="shared" si="52"/>
        <v>0</v>
      </c>
      <c r="AM283" s="136">
        <f t="shared" si="52"/>
        <v>0</v>
      </c>
      <c r="AN283" s="136">
        <f t="shared" si="52"/>
        <v>0</v>
      </c>
      <c r="AO283" s="136">
        <f t="shared" si="52"/>
        <v>0</v>
      </c>
      <c r="AP283" s="136">
        <f t="shared" si="52"/>
        <v>0</v>
      </c>
      <c r="AQ283" s="136">
        <f t="shared" si="52"/>
        <v>0</v>
      </c>
      <c r="AR283" s="136">
        <f t="shared" si="52"/>
        <v>0</v>
      </c>
      <c r="AS283" s="136">
        <f t="shared" si="52"/>
        <v>0</v>
      </c>
      <c r="AT283" s="136">
        <f t="shared" si="52"/>
        <v>0</v>
      </c>
      <c r="AU283" s="136">
        <f t="shared" si="52"/>
        <v>0</v>
      </c>
      <c r="AV283" s="136">
        <f t="shared" si="52"/>
        <v>0</v>
      </c>
      <c r="AW283" s="136">
        <f t="shared" si="52"/>
        <v>0</v>
      </c>
      <c r="AX283" s="136">
        <f t="shared" si="52"/>
        <v>0</v>
      </c>
      <c r="AY283" s="136">
        <f t="shared" si="52"/>
        <v>0</v>
      </c>
      <c r="AZ283" s="136">
        <f t="shared" si="52"/>
        <v>0</v>
      </c>
      <c r="BA283" s="136">
        <f t="shared" si="52"/>
        <v>0</v>
      </c>
      <c r="BB283" s="136">
        <f t="shared" si="52"/>
        <v>0</v>
      </c>
      <c r="BC283" s="136">
        <f t="shared" si="52"/>
        <v>0</v>
      </c>
      <c r="BD283" s="136">
        <f t="shared" si="52"/>
        <v>0</v>
      </c>
      <c r="BE283" s="136">
        <f t="shared" si="52"/>
        <v>0</v>
      </c>
      <c r="BF283" s="136">
        <f t="shared" si="52"/>
        <v>0</v>
      </c>
      <c r="BG283" s="136">
        <f t="shared" si="52"/>
        <v>0</v>
      </c>
      <c r="BH283" s="136">
        <f t="shared" si="52"/>
        <v>0</v>
      </c>
      <c r="BI283" s="136">
        <f t="shared" si="52"/>
        <v>0</v>
      </c>
      <c r="BJ283" s="136">
        <f t="shared" si="52"/>
        <v>0</v>
      </c>
      <c r="BK283" s="136">
        <f t="shared" si="52"/>
        <v>0</v>
      </c>
      <c r="BL283" s="136">
        <f t="shared" si="52"/>
        <v>0</v>
      </c>
      <c r="BM283" s="136">
        <f t="shared" si="52"/>
        <v>0</v>
      </c>
      <c r="BN283" s="136">
        <f t="shared" si="52"/>
        <v>0</v>
      </c>
      <c r="BO283" s="136">
        <f t="shared" si="52"/>
        <v>0</v>
      </c>
      <c r="BP283" s="136">
        <f t="shared" si="52"/>
        <v>0</v>
      </c>
      <c r="BQ283" s="136">
        <f t="shared" si="52"/>
        <v>0</v>
      </c>
      <c r="BR283" s="136">
        <f t="shared" si="52"/>
        <v>0</v>
      </c>
      <c r="BS283" s="136">
        <f t="shared" si="52"/>
        <v>0</v>
      </c>
      <c r="BT283" s="136">
        <f t="shared" si="52"/>
        <v>0</v>
      </c>
      <c r="BU283" s="136">
        <f t="shared" si="52"/>
        <v>0</v>
      </c>
      <c r="BV283" s="136">
        <f t="shared" si="52"/>
        <v>0</v>
      </c>
      <c r="BW283" s="136">
        <f t="shared" si="48"/>
        <v>0</v>
      </c>
      <c r="BX283" s="136">
        <f t="shared" si="46"/>
        <v>0</v>
      </c>
      <c r="BZ283" s="136">
        <f t="shared" si="47"/>
        <v>0</v>
      </c>
      <c r="CA283" s="136">
        <f t="shared" si="47"/>
        <v>0</v>
      </c>
    </row>
    <row r="284" spans="12:79" hidden="1" x14ac:dyDescent="0.3">
      <c r="L284" s="136">
        <f t="shared" si="51"/>
        <v>632137</v>
      </c>
      <c r="M284" s="136">
        <f t="shared" si="51"/>
        <v>0</v>
      </c>
      <c r="N284" s="136">
        <f t="shared" si="51"/>
        <v>0</v>
      </c>
      <c r="O284" s="136">
        <f t="shared" si="51"/>
        <v>0</v>
      </c>
      <c r="P284" s="136">
        <f t="shared" si="51"/>
        <v>0</v>
      </c>
      <c r="Q284" s="136">
        <f t="shared" si="51"/>
        <v>3068181</v>
      </c>
      <c r="R284" s="136">
        <f t="shared" si="51"/>
        <v>0</v>
      </c>
      <c r="S284" s="136">
        <f t="shared" si="51"/>
        <v>0</v>
      </c>
      <c r="T284" s="136">
        <f t="shared" si="51"/>
        <v>0</v>
      </c>
      <c r="U284" s="136">
        <f t="shared" si="51"/>
        <v>0</v>
      </c>
      <c r="V284" s="136">
        <f t="shared" si="51"/>
        <v>-48914</v>
      </c>
      <c r="W284" s="136">
        <f t="shared" si="51"/>
        <v>0</v>
      </c>
      <c r="X284" s="136">
        <f t="shared" si="51"/>
        <v>0</v>
      </c>
      <c r="Y284" s="136">
        <f t="shared" si="51"/>
        <v>0</v>
      </c>
      <c r="Z284" s="136">
        <f t="shared" si="51"/>
        <v>0</v>
      </c>
      <c r="AA284" s="136">
        <f t="shared" si="51"/>
        <v>-285032</v>
      </c>
      <c r="AB284" s="136">
        <f t="shared" si="53"/>
        <v>0</v>
      </c>
      <c r="AC284" s="136">
        <f t="shared" si="53"/>
        <v>0</v>
      </c>
      <c r="AD284" s="136">
        <f t="shared" si="52"/>
        <v>0</v>
      </c>
      <c r="AE284" s="136">
        <f t="shared" si="52"/>
        <v>0</v>
      </c>
      <c r="AF284" s="136">
        <f t="shared" si="52"/>
        <v>2716366</v>
      </c>
      <c r="AG284" s="136">
        <f t="shared" si="52"/>
        <v>0</v>
      </c>
      <c r="AH284" s="136">
        <f t="shared" si="52"/>
        <v>0</v>
      </c>
      <c r="AI284" s="136">
        <f t="shared" si="52"/>
        <v>0</v>
      </c>
      <c r="AJ284" s="136">
        <f t="shared" si="52"/>
        <v>0</v>
      </c>
      <c r="AK284" s="136">
        <f t="shared" si="52"/>
        <v>623892</v>
      </c>
      <c r="AL284" s="136">
        <f t="shared" si="52"/>
        <v>0</v>
      </c>
      <c r="AM284" s="136">
        <f t="shared" si="52"/>
        <v>0</v>
      </c>
      <c r="AN284" s="136">
        <f t="shared" si="52"/>
        <v>0</v>
      </c>
      <c r="AO284" s="136">
        <f t="shared" si="52"/>
        <v>0</v>
      </c>
      <c r="AP284" s="136">
        <f t="shared" si="52"/>
        <v>-23569</v>
      </c>
      <c r="AQ284" s="136">
        <f t="shared" si="52"/>
        <v>0</v>
      </c>
      <c r="AR284" s="136">
        <f t="shared" si="52"/>
        <v>0</v>
      </c>
      <c r="AS284" s="136">
        <f t="shared" si="52"/>
        <v>0</v>
      </c>
      <c r="AT284" s="136">
        <f t="shared" si="52"/>
        <v>0</v>
      </c>
      <c r="AU284" s="136">
        <f t="shared" si="52"/>
        <v>-616163</v>
      </c>
      <c r="AV284" s="136">
        <f t="shared" si="52"/>
        <v>0</v>
      </c>
      <c r="AW284" s="136">
        <f t="shared" si="52"/>
        <v>0</v>
      </c>
      <c r="AX284" s="136">
        <f t="shared" si="52"/>
        <v>0</v>
      </c>
      <c r="AY284" s="136">
        <f t="shared" si="52"/>
        <v>0</v>
      </c>
      <c r="AZ284" s="136">
        <f t="shared" si="52"/>
        <v>-14524</v>
      </c>
      <c r="BA284" s="136">
        <f t="shared" si="52"/>
        <v>0</v>
      </c>
      <c r="BB284" s="136">
        <f t="shared" si="52"/>
        <v>0</v>
      </c>
      <c r="BC284" s="136">
        <f t="shared" si="52"/>
        <v>0</v>
      </c>
      <c r="BD284" s="136">
        <f t="shared" si="52"/>
        <v>0</v>
      </c>
      <c r="BE284" s="136">
        <f t="shared" si="52"/>
        <v>29969</v>
      </c>
      <c r="BF284" s="136">
        <f t="shared" si="52"/>
        <v>0</v>
      </c>
      <c r="BG284" s="136">
        <f t="shared" si="52"/>
        <v>0</v>
      </c>
      <c r="BH284" s="136">
        <f t="shared" si="52"/>
        <v>0</v>
      </c>
      <c r="BI284" s="136">
        <f t="shared" si="52"/>
        <v>0</v>
      </c>
      <c r="BJ284" s="136">
        <f t="shared" si="52"/>
        <v>-682120</v>
      </c>
      <c r="BK284" s="136">
        <f t="shared" si="52"/>
        <v>0</v>
      </c>
      <c r="BL284" s="136">
        <f t="shared" si="52"/>
        <v>0</v>
      </c>
      <c r="BM284" s="136">
        <f t="shared" si="52"/>
        <v>0</v>
      </c>
      <c r="BN284" s="136">
        <f t="shared" si="52"/>
        <v>0</v>
      </c>
      <c r="BO284" s="136">
        <f t="shared" si="52"/>
        <v>-3123322</v>
      </c>
      <c r="BP284" s="136">
        <f t="shared" si="52"/>
        <v>0</v>
      </c>
      <c r="BQ284" s="136">
        <f t="shared" si="52"/>
        <v>0</v>
      </c>
      <c r="BR284" s="136">
        <f t="shared" si="52"/>
        <v>0</v>
      </c>
      <c r="BS284" s="136">
        <f t="shared" si="52"/>
        <v>0</v>
      </c>
      <c r="BT284" s="136">
        <f t="shared" si="52"/>
        <v>6082343</v>
      </c>
      <c r="BU284" s="136">
        <f t="shared" si="52"/>
        <v>0</v>
      </c>
      <c r="BV284" s="136">
        <f t="shared" si="52"/>
        <v>0</v>
      </c>
      <c r="BW284" s="136">
        <f t="shared" si="48"/>
        <v>0</v>
      </c>
      <c r="BX284" s="136">
        <f t="shared" si="46"/>
        <v>0</v>
      </c>
      <c r="BZ284" s="136">
        <f t="shared" ref="BZ284:CA285" si="54">BZ112-ER112</f>
        <v>0</v>
      </c>
      <c r="CA284" s="136">
        <f t="shared" si="54"/>
        <v>0</v>
      </c>
    </row>
    <row r="285" spans="12:79" hidden="1" x14ac:dyDescent="0.3">
      <c r="L285" s="136">
        <f t="shared" si="51"/>
        <v>632137</v>
      </c>
      <c r="M285" s="136">
        <f t="shared" si="51"/>
        <v>0</v>
      </c>
      <c r="N285" s="136">
        <f t="shared" si="51"/>
        <v>0</v>
      </c>
      <c r="O285" s="136">
        <f t="shared" si="51"/>
        <v>0</v>
      </c>
      <c r="P285" s="136">
        <f t="shared" si="51"/>
        <v>0</v>
      </c>
      <c r="Q285" s="136">
        <f t="shared" si="51"/>
        <v>3068181</v>
      </c>
      <c r="R285" s="136">
        <f t="shared" si="51"/>
        <v>0</v>
      </c>
      <c r="S285" s="136">
        <f t="shared" si="51"/>
        <v>0</v>
      </c>
      <c r="T285" s="136">
        <f t="shared" si="51"/>
        <v>0</v>
      </c>
      <c r="U285" s="136">
        <f t="shared" si="51"/>
        <v>0</v>
      </c>
      <c r="V285" s="136">
        <f t="shared" si="51"/>
        <v>-48914</v>
      </c>
      <c r="W285" s="136">
        <f t="shared" si="51"/>
        <v>0</v>
      </c>
      <c r="X285" s="136">
        <f t="shared" si="51"/>
        <v>0</v>
      </c>
      <c r="Y285" s="136">
        <f t="shared" si="51"/>
        <v>0</v>
      </c>
      <c r="Z285" s="136">
        <f t="shared" si="51"/>
        <v>0</v>
      </c>
      <c r="AA285" s="136">
        <f t="shared" si="51"/>
        <v>-285032</v>
      </c>
      <c r="AB285" s="136">
        <f t="shared" si="53"/>
        <v>0</v>
      </c>
      <c r="AC285" s="136">
        <f t="shared" si="53"/>
        <v>0</v>
      </c>
      <c r="AD285" s="136">
        <f t="shared" si="52"/>
        <v>0</v>
      </c>
      <c r="AE285" s="136">
        <f t="shared" si="52"/>
        <v>0</v>
      </c>
      <c r="AF285" s="136">
        <f t="shared" si="52"/>
        <v>2716366</v>
      </c>
      <c r="AG285" s="136">
        <f t="shared" si="52"/>
        <v>0</v>
      </c>
      <c r="AH285" s="136">
        <f t="shared" si="52"/>
        <v>0</v>
      </c>
      <c r="AI285" s="136">
        <f t="shared" si="52"/>
        <v>0</v>
      </c>
      <c r="AJ285" s="136">
        <f t="shared" si="52"/>
        <v>0</v>
      </c>
      <c r="AK285" s="136">
        <f t="shared" si="52"/>
        <v>623892</v>
      </c>
      <c r="AL285" s="136">
        <f t="shared" si="52"/>
        <v>0</v>
      </c>
      <c r="AM285" s="136">
        <f t="shared" si="52"/>
        <v>0</v>
      </c>
      <c r="AN285" s="136">
        <f t="shared" si="52"/>
        <v>0</v>
      </c>
      <c r="AO285" s="136">
        <f t="shared" si="52"/>
        <v>0</v>
      </c>
      <c r="AP285" s="136">
        <f t="shared" si="52"/>
        <v>-23569</v>
      </c>
      <c r="AQ285" s="136">
        <f t="shared" si="52"/>
        <v>0</v>
      </c>
      <c r="AR285" s="136">
        <f t="shared" si="52"/>
        <v>0</v>
      </c>
      <c r="AS285" s="136">
        <f t="shared" si="52"/>
        <v>0</v>
      </c>
      <c r="AT285" s="136">
        <f t="shared" si="52"/>
        <v>0</v>
      </c>
      <c r="AU285" s="136">
        <f t="shared" si="52"/>
        <v>-616163</v>
      </c>
      <c r="AV285" s="136">
        <f t="shared" si="52"/>
        <v>0</v>
      </c>
      <c r="AW285" s="136">
        <f t="shared" si="52"/>
        <v>0</v>
      </c>
      <c r="AX285" s="136">
        <f t="shared" si="52"/>
        <v>0</v>
      </c>
      <c r="AY285" s="136">
        <f t="shared" si="52"/>
        <v>0</v>
      </c>
      <c r="AZ285" s="136">
        <f t="shared" si="52"/>
        <v>-14524</v>
      </c>
      <c r="BA285" s="136">
        <f t="shared" si="52"/>
        <v>0</v>
      </c>
      <c r="BB285" s="136">
        <f t="shared" si="52"/>
        <v>0</v>
      </c>
      <c r="BC285" s="136">
        <f t="shared" si="52"/>
        <v>0</v>
      </c>
      <c r="BD285" s="136">
        <f t="shared" si="52"/>
        <v>0</v>
      </c>
      <c r="BE285" s="136">
        <f t="shared" si="52"/>
        <v>29969</v>
      </c>
      <c r="BF285" s="136">
        <f t="shared" si="52"/>
        <v>0</v>
      </c>
      <c r="BG285" s="136">
        <f t="shared" si="52"/>
        <v>0</v>
      </c>
      <c r="BH285" s="136">
        <f t="shared" ref="BH285:BV285" si="55">BH113-DZ113</f>
        <v>0</v>
      </c>
      <c r="BI285" s="136">
        <f t="shared" si="55"/>
        <v>0</v>
      </c>
      <c r="BJ285" s="136">
        <f t="shared" si="55"/>
        <v>-682120</v>
      </c>
      <c r="BK285" s="136">
        <f t="shared" si="55"/>
        <v>0</v>
      </c>
      <c r="BL285" s="136">
        <f t="shared" si="55"/>
        <v>0</v>
      </c>
      <c r="BM285" s="136">
        <f t="shared" si="55"/>
        <v>0</v>
      </c>
      <c r="BN285" s="136">
        <f t="shared" si="55"/>
        <v>0</v>
      </c>
      <c r="BO285" s="136">
        <f t="shared" si="55"/>
        <v>-3123322</v>
      </c>
      <c r="BP285" s="136">
        <f t="shared" si="55"/>
        <v>0</v>
      </c>
      <c r="BQ285" s="136">
        <f t="shared" si="55"/>
        <v>0</v>
      </c>
      <c r="BR285" s="136">
        <f t="shared" si="55"/>
        <v>0</v>
      </c>
      <c r="BS285" s="136">
        <f t="shared" si="55"/>
        <v>0</v>
      </c>
      <c r="BT285" s="136">
        <f t="shared" si="55"/>
        <v>6082343</v>
      </c>
      <c r="BU285" s="136">
        <f t="shared" si="55"/>
        <v>0</v>
      </c>
      <c r="BV285" s="136">
        <f t="shared" si="55"/>
        <v>0</v>
      </c>
      <c r="BW285" s="136">
        <f t="shared" si="48"/>
        <v>0</v>
      </c>
      <c r="BX285" s="136">
        <f t="shared" si="46"/>
        <v>0</v>
      </c>
      <c r="BZ285" s="136">
        <f t="shared" si="54"/>
        <v>0</v>
      </c>
      <c r="CA285" s="136">
        <f t="shared" si="54"/>
        <v>0</v>
      </c>
    </row>
    <row r="286" spans="12:79" hidden="1" x14ac:dyDescent="0.3">
      <c r="L286" s="136">
        <f t="shared" ref="L286:BW286" si="56">L115-CD115</f>
        <v>0</v>
      </c>
      <c r="M286" s="136">
        <f t="shared" si="56"/>
        <v>0</v>
      </c>
      <c r="N286" s="136">
        <f t="shared" si="56"/>
        <v>0</v>
      </c>
      <c r="O286" s="136">
        <f t="shared" si="56"/>
        <v>0</v>
      </c>
      <c r="P286" s="136">
        <f t="shared" si="56"/>
        <v>0</v>
      </c>
      <c r="Q286" s="136">
        <f t="shared" si="56"/>
        <v>0</v>
      </c>
      <c r="R286" s="136">
        <f t="shared" si="56"/>
        <v>0</v>
      </c>
      <c r="S286" s="136">
        <f t="shared" si="56"/>
        <v>0</v>
      </c>
      <c r="T286" s="136">
        <f t="shared" si="56"/>
        <v>0</v>
      </c>
      <c r="U286" s="136">
        <f t="shared" si="56"/>
        <v>0</v>
      </c>
      <c r="V286" s="136">
        <f t="shared" si="56"/>
        <v>0</v>
      </c>
      <c r="W286" s="136">
        <f t="shared" si="56"/>
        <v>0</v>
      </c>
      <c r="X286" s="136">
        <f t="shared" si="56"/>
        <v>0</v>
      </c>
      <c r="Y286" s="136">
        <f t="shared" si="56"/>
        <v>0</v>
      </c>
      <c r="Z286" s="136">
        <f t="shared" si="56"/>
        <v>0</v>
      </c>
      <c r="AA286" s="136">
        <f t="shared" si="56"/>
        <v>0</v>
      </c>
      <c r="AB286" s="136">
        <f t="shared" si="56"/>
        <v>0</v>
      </c>
      <c r="AC286" s="136">
        <f t="shared" si="56"/>
        <v>0</v>
      </c>
      <c r="AD286" s="136">
        <f t="shared" si="56"/>
        <v>0</v>
      </c>
      <c r="AE286" s="136">
        <f t="shared" si="56"/>
        <v>0</v>
      </c>
      <c r="AF286" s="136">
        <f t="shared" si="56"/>
        <v>0</v>
      </c>
      <c r="AG286" s="136">
        <f t="shared" si="56"/>
        <v>0</v>
      </c>
      <c r="AH286" s="136">
        <f t="shared" si="56"/>
        <v>0</v>
      </c>
      <c r="AI286" s="136">
        <f t="shared" si="56"/>
        <v>0</v>
      </c>
      <c r="AJ286" s="136">
        <f t="shared" si="56"/>
        <v>0</v>
      </c>
      <c r="AK286" s="136">
        <f t="shared" si="56"/>
        <v>0</v>
      </c>
      <c r="AL286" s="136">
        <f t="shared" si="56"/>
        <v>0</v>
      </c>
      <c r="AM286" s="136">
        <f t="shared" si="56"/>
        <v>0</v>
      </c>
      <c r="AN286" s="136">
        <f t="shared" si="56"/>
        <v>0</v>
      </c>
      <c r="AO286" s="136">
        <f t="shared" si="56"/>
        <v>0</v>
      </c>
      <c r="AP286" s="136">
        <f t="shared" si="56"/>
        <v>0</v>
      </c>
      <c r="AQ286" s="136">
        <f t="shared" si="56"/>
        <v>0</v>
      </c>
      <c r="AR286" s="136">
        <f t="shared" si="56"/>
        <v>0</v>
      </c>
      <c r="AS286" s="136">
        <f t="shared" si="56"/>
        <v>0</v>
      </c>
      <c r="AT286" s="136">
        <f t="shared" si="56"/>
        <v>0</v>
      </c>
      <c r="AU286" s="136">
        <f t="shared" si="56"/>
        <v>0</v>
      </c>
      <c r="AV286" s="136">
        <f t="shared" si="56"/>
        <v>0</v>
      </c>
      <c r="AW286" s="136">
        <f t="shared" si="56"/>
        <v>0</v>
      </c>
      <c r="AX286" s="136">
        <f t="shared" si="56"/>
        <v>0</v>
      </c>
      <c r="AY286" s="136">
        <f t="shared" si="56"/>
        <v>0</v>
      </c>
      <c r="AZ286" s="136">
        <f t="shared" si="56"/>
        <v>0</v>
      </c>
      <c r="BA286" s="136">
        <f t="shared" si="56"/>
        <v>0</v>
      </c>
      <c r="BB286" s="136">
        <f t="shared" si="56"/>
        <v>0</v>
      </c>
      <c r="BC286" s="136">
        <f t="shared" si="56"/>
        <v>0</v>
      </c>
      <c r="BD286" s="136">
        <f t="shared" si="56"/>
        <v>0</v>
      </c>
      <c r="BE286" s="136">
        <f t="shared" si="56"/>
        <v>0</v>
      </c>
      <c r="BF286" s="136">
        <f t="shared" si="56"/>
        <v>0</v>
      </c>
      <c r="BG286" s="136">
        <f t="shared" si="56"/>
        <v>0</v>
      </c>
      <c r="BH286" s="136">
        <f t="shared" si="56"/>
        <v>0</v>
      </c>
      <c r="BI286" s="136">
        <f t="shared" si="56"/>
        <v>0</v>
      </c>
      <c r="BJ286" s="136">
        <f t="shared" si="56"/>
        <v>0</v>
      </c>
      <c r="BK286" s="136">
        <f t="shared" si="56"/>
        <v>0</v>
      </c>
      <c r="BL286" s="136">
        <f t="shared" si="56"/>
        <v>0</v>
      </c>
      <c r="BM286" s="136">
        <f t="shared" si="56"/>
        <v>0</v>
      </c>
      <c r="BN286" s="136">
        <f t="shared" si="56"/>
        <v>0</v>
      </c>
      <c r="BO286" s="136">
        <f t="shared" si="56"/>
        <v>-42458</v>
      </c>
      <c r="BP286" s="136">
        <f t="shared" si="56"/>
        <v>0</v>
      </c>
      <c r="BQ286" s="136">
        <f t="shared" si="56"/>
        <v>0</v>
      </c>
      <c r="BR286" s="136">
        <f t="shared" si="56"/>
        <v>0</v>
      </c>
      <c r="BS286" s="136">
        <f t="shared" si="56"/>
        <v>0</v>
      </c>
      <c r="BT286" s="136">
        <f t="shared" si="56"/>
        <v>0</v>
      </c>
      <c r="BU286" s="136">
        <f t="shared" si="56"/>
        <v>0</v>
      </c>
      <c r="BV286" s="136">
        <f t="shared" si="56"/>
        <v>0</v>
      </c>
      <c r="BW286" s="136">
        <f t="shared" si="56"/>
        <v>0</v>
      </c>
      <c r="BX286" s="136">
        <f>BX115-EP115</f>
        <v>0</v>
      </c>
      <c r="BZ286" s="136">
        <f>BZ115-ER115</f>
        <v>0</v>
      </c>
      <c r="CA286" s="136">
        <f>CA115-ES115</f>
        <v>0</v>
      </c>
    </row>
    <row r="287" spans="12:79" hidden="1" x14ac:dyDescent="0.3">
      <c r="L287" s="136">
        <f t="shared" ref="L287:BW290" si="57">L133-CD133</f>
        <v>0</v>
      </c>
      <c r="M287" s="136">
        <f t="shared" si="57"/>
        <v>0</v>
      </c>
      <c r="N287" s="136">
        <f t="shared" si="57"/>
        <v>0</v>
      </c>
      <c r="O287" s="136">
        <f t="shared" si="57"/>
        <v>0</v>
      </c>
      <c r="P287" s="136">
        <f t="shared" si="57"/>
        <v>0</v>
      </c>
      <c r="Q287" s="136">
        <f t="shared" si="57"/>
        <v>0</v>
      </c>
      <c r="R287" s="136">
        <f t="shared" si="57"/>
        <v>0</v>
      </c>
      <c r="S287" s="136">
        <f t="shared" si="57"/>
        <v>0</v>
      </c>
      <c r="T287" s="136">
        <f t="shared" si="57"/>
        <v>0</v>
      </c>
      <c r="U287" s="136">
        <f t="shared" si="57"/>
        <v>0</v>
      </c>
      <c r="V287" s="136">
        <f t="shared" si="57"/>
        <v>0</v>
      </c>
      <c r="W287" s="136">
        <f t="shared" si="57"/>
        <v>0</v>
      </c>
      <c r="X287" s="136">
        <f t="shared" si="57"/>
        <v>0</v>
      </c>
      <c r="Y287" s="136">
        <f t="shared" si="57"/>
        <v>0</v>
      </c>
      <c r="Z287" s="136">
        <f t="shared" si="57"/>
        <v>0</v>
      </c>
      <c r="AA287" s="136">
        <f t="shared" si="57"/>
        <v>0</v>
      </c>
      <c r="AB287" s="136">
        <f t="shared" si="57"/>
        <v>0</v>
      </c>
      <c r="AC287" s="136">
        <f t="shared" si="57"/>
        <v>0</v>
      </c>
      <c r="AD287" s="136">
        <f t="shared" si="57"/>
        <v>0</v>
      </c>
      <c r="AE287" s="136">
        <f t="shared" si="57"/>
        <v>0</v>
      </c>
      <c r="AF287" s="136">
        <f t="shared" si="57"/>
        <v>0</v>
      </c>
      <c r="AG287" s="136">
        <f t="shared" si="57"/>
        <v>0</v>
      </c>
      <c r="AH287" s="136">
        <f t="shared" si="57"/>
        <v>0</v>
      </c>
      <c r="AI287" s="136">
        <f t="shared" si="57"/>
        <v>0</v>
      </c>
      <c r="AJ287" s="136">
        <f t="shared" si="57"/>
        <v>0</v>
      </c>
      <c r="AK287" s="136">
        <f t="shared" si="57"/>
        <v>0</v>
      </c>
      <c r="AL287" s="136">
        <f t="shared" si="57"/>
        <v>0</v>
      </c>
      <c r="AM287" s="136">
        <f t="shared" si="57"/>
        <v>0</v>
      </c>
      <c r="AN287" s="136">
        <f t="shared" si="57"/>
        <v>0</v>
      </c>
      <c r="AO287" s="136">
        <f t="shared" si="57"/>
        <v>0</v>
      </c>
      <c r="AP287" s="136">
        <f t="shared" si="57"/>
        <v>0</v>
      </c>
      <c r="AQ287" s="136">
        <f t="shared" si="57"/>
        <v>0</v>
      </c>
      <c r="AR287" s="136">
        <f t="shared" si="57"/>
        <v>0</v>
      </c>
      <c r="AS287" s="136">
        <f t="shared" si="57"/>
        <v>0</v>
      </c>
      <c r="AT287" s="136">
        <f t="shared" si="57"/>
        <v>0</v>
      </c>
      <c r="AU287" s="136">
        <f t="shared" si="57"/>
        <v>0</v>
      </c>
      <c r="AV287" s="136">
        <f t="shared" si="57"/>
        <v>0</v>
      </c>
      <c r="AW287" s="136">
        <f t="shared" si="57"/>
        <v>0</v>
      </c>
      <c r="AX287" s="136">
        <f t="shared" si="57"/>
        <v>0</v>
      </c>
      <c r="AY287" s="136">
        <f t="shared" si="57"/>
        <v>0</v>
      </c>
      <c r="AZ287" s="136">
        <f t="shared" si="57"/>
        <v>0</v>
      </c>
      <c r="BA287" s="136">
        <f t="shared" si="57"/>
        <v>0</v>
      </c>
      <c r="BB287" s="136">
        <f t="shared" si="57"/>
        <v>0</v>
      </c>
      <c r="BC287" s="136">
        <f t="shared" si="57"/>
        <v>0</v>
      </c>
      <c r="BD287" s="136">
        <f t="shared" si="57"/>
        <v>0</v>
      </c>
      <c r="BE287" s="136">
        <f t="shared" si="57"/>
        <v>0</v>
      </c>
      <c r="BF287" s="136">
        <f t="shared" si="57"/>
        <v>0</v>
      </c>
      <c r="BG287" s="136">
        <f t="shared" si="57"/>
        <v>0</v>
      </c>
      <c r="BH287" s="136">
        <f t="shared" si="57"/>
        <v>0</v>
      </c>
      <c r="BI287" s="136">
        <f t="shared" si="57"/>
        <v>0</v>
      </c>
      <c r="BJ287" s="136">
        <f t="shared" si="57"/>
        <v>0</v>
      </c>
      <c r="BK287" s="136">
        <f t="shared" si="57"/>
        <v>0</v>
      </c>
      <c r="BL287" s="136">
        <f t="shared" si="57"/>
        <v>0</v>
      </c>
      <c r="BM287" s="136">
        <f t="shared" si="57"/>
        <v>0</v>
      </c>
      <c r="BN287" s="136">
        <f t="shared" si="57"/>
        <v>0</v>
      </c>
      <c r="BO287" s="136">
        <f t="shared" si="57"/>
        <v>-90245</v>
      </c>
      <c r="BP287" s="136">
        <f t="shared" si="57"/>
        <v>0</v>
      </c>
      <c r="BQ287" s="136">
        <f t="shared" si="57"/>
        <v>0</v>
      </c>
      <c r="BR287" s="136">
        <f t="shared" si="57"/>
        <v>0</v>
      </c>
      <c r="BS287" s="136">
        <f t="shared" si="57"/>
        <v>0</v>
      </c>
      <c r="BT287" s="136">
        <f t="shared" si="57"/>
        <v>0</v>
      </c>
      <c r="BU287" s="136">
        <f t="shared" si="57"/>
        <v>0</v>
      </c>
      <c r="BV287" s="136">
        <f t="shared" si="57"/>
        <v>0</v>
      </c>
      <c r="BW287" s="136">
        <f t="shared" si="57"/>
        <v>0</v>
      </c>
      <c r="BX287" s="136">
        <f t="shared" ref="BX287:BX301" si="58">BX133-EP133</f>
        <v>0</v>
      </c>
      <c r="BZ287" s="136">
        <f t="shared" ref="BZ287:CA301" si="59">BZ133-ER133</f>
        <v>0</v>
      </c>
      <c r="CA287" s="136">
        <f t="shared" si="59"/>
        <v>0</v>
      </c>
    </row>
    <row r="288" spans="12:79" hidden="1" x14ac:dyDescent="0.3">
      <c r="L288" s="136">
        <f t="shared" si="57"/>
        <v>0</v>
      </c>
      <c r="M288" s="136">
        <f t="shared" si="57"/>
        <v>0</v>
      </c>
      <c r="N288" s="136">
        <f t="shared" si="57"/>
        <v>0</v>
      </c>
      <c r="O288" s="136">
        <f t="shared" si="57"/>
        <v>0</v>
      </c>
      <c r="P288" s="136">
        <f t="shared" si="57"/>
        <v>0</v>
      </c>
      <c r="Q288" s="136">
        <f t="shared" si="57"/>
        <v>0</v>
      </c>
      <c r="R288" s="136">
        <f t="shared" si="57"/>
        <v>0</v>
      </c>
      <c r="S288" s="136">
        <f t="shared" si="57"/>
        <v>0</v>
      </c>
      <c r="T288" s="136">
        <f t="shared" si="57"/>
        <v>0</v>
      </c>
      <c r="U288" s="136">
        <f t="shared" si="57"/>
        <v>0</v>
      </c>
      <c r="V288" s="136">
        <f t="shared" si="57"/>
        <v>0</v>
      </c>
      <c r="W288" s="136">
        <f t="shared" si="57"/>
        <v>0</v>
      </c>
      <c r="X288" s="136">
        <f t="shared" si="57"/>
        <v>0</v>
      </c>
      <c r="Y288" s="136">
        <f t="shared" si="57"/>
        <v>0</v>
      </c>
      <c r="Z288" s="136">
        <f t="shared" si="57"/>
        <v>0</v>
      </c>
      <c r="AA288" s="136">
        <f t="shared" si="57"/>
        <v>0</v>
      </c>
      <c r="AB288" s="136">
        <f t="shared" si="57"/>
        <v>0</v>
      </c>
      <c r="AC288" s="136">
        <f t="shared" si="57"/>
        <v>0</v>
      </c>
      <c r="AD288" s="136">
        <f t="shared" si="57"/>
        <v>0</v>
      </c>
      <c r="AE288" s="136">
        <f t="shared" si="57"/>
        <v>0</v>
      </c>
      <c r="AF288" s="136">
        <f t="shared" si="57"/>
        <v>0</v>
      </c>
      <c r="AG288" s="136">
        <f t="shared" si="57"/>
        <v>0</v>
      </c>
      <c r="AH288" s="136">
        <f t="shared" si="57"/>
        <v>0</v>
      </c>
      <c r="AI288" s="136">
        <f t="shared" si="57"/>
        <v>0</v>
      </c>
      <c r="AJ288" s="136">
        <f t="shared" si="57"/>
        <v>0</v>
      </c>
      <c r="AK288" s="136">
        <f t="shared" si="57"/>
        <v>0</v>
      </c>
      <c r="AL288" s="136">
        <f t="shared" si="57"/>
        <v>0</v>
      </c>
      <c r="AM288" s="136">
        <f t="shared" si="57"/>
        <v>0</v>
      </c>
      <c r="AN288" s="136">
        <f t="shared" si="57"/>
        <v>0</v>
      </c>
      <c r="AO288" s="136">
        <f t="shared" si="57"/>
        <v>0</v>
      </c>
      <c r="AP288" s="136">
        <f t="shared" si="57"/>
        <v>0</v>
      </c>
      <c r="AQ288" s="136">
        <f t="shared" si="57"/>
        <v>0</v>
      </c>
      <c r="AR288" s="136">
        <f t="shared" si="57"/>
        <v>0</v>
      </c>
      <c r="AS288" s="136">
        <f t="shared" si="57"/>
        <v>0</v>
      </c>
      <c r="AT288" s="136">
        <f t="shared" si="57"/>
        <v>0</v>
      </c>
      <c r="AU288" s="136">
        <f t="shared" si="57"/>
        <v>0</v>
      </c>
      <c r="AV288" s="136">
        <f t="shared" si="57"/>
        <v>0</v>
      </c>
      <c r="AW288" s="136">
        <f t="shared" si="57"/>
        <v>0</v>
      </c>
      <c r="AX288" s="136">
        <f t="shared" si="57"/>
        <v>0</v>
      </c>
      <c r="AY288" s="136">
        <f t="shared" si="57"/>
        <v>0</v>
      </c>
      <c r="AZ288" s="136">
        <f t="shared" si="57"/>
        <v>0</v>
      </c>
      <c r="BA288" s="136">
        <f t="shared" si="57"/>
        <v>0</v>
      </c>
      <c r="BB288" s="136">
        <f t="shared" si="57"/>
        <v>0</v>
      </c>
      <c r="BC288" s="136">
        <f t="shared" si="57"/>
        <v>0</v>
      </c>
      <c r="BD288" s="136">
        <f t="shared" si="57"/>
        <v>0</v>
      </c>
      <c r="BE288" s="136">
        <f t="shared" si="57"/>
        <v>0</v>
      </c>
      <c r="BF288" s="136">
        <f t="shared" si="57"/>
        <v>0</v>
      </c>
      <c r="BG288" s="136">
        <f t="shared" si="57"/>
        <v>0</v>
      </c>
      <c r="BH288" s="136">
        <f t="shared" si="57"/>
        <v>0</v>
      </c>
      <c r="BI288" s="136">
        <f t="shared" si="57"/>
        <v>0</v>
      </c>
      <c r="BJ288" s="136">
        <f t="shared" si="57"/>
        <v>0</v>
      </c>
      <c r="BK288" s="136">
        <f t="shared" si="57"/>
        <v>0</v>
      </c>
      <c r="BL288" s="136">
        <f t="shared" si="57"/>
        <v>0</v>
      </c>
      <c r="BM288" s="136">
        <f t="shared" si="57"/>
        <v>0</v>
      </c>
      <c r="BN288" s="136">
        <f t="shared" si="57"/>
        <v>0</v>
      </c>
      <c r="BO288" s="136">
        <f t="shared" si="57"/>
        <v>-90245</v>
      </c>
      <c r="BP288" s="136">
        <f t="shared" si="57"/>
        <v>0</v>
      </c>
      <c r="BQ288" s="136">
        <f t="shared" si="57"/>
        <v>0</v>
      </c>
      <c r="BR288" s="136">
        <f t="shared" si="57"/>
        <v>0</v>
      </c>
      <c r="BS288" s="136">
        <f t="shared" si="57"/>
        <v>0</v>
      </c>
      <c r="BT288" s="136">
        <f t="shared" si="57"/>
        <v>0</v>
      </c>
      <c r="BU288" s="136">
        <f t="shared" si="57"/>
        <v>0</v>
      </c>
      <c r="BV288" s="136">
        <f t="shared" si="57"/>
        <v>0</v>
      </c>
      <c r="BW288" s="136">
        <f t="shared" si="57"/>
        <v>0</v>
      </c>
      <c r="BX288" s="136">
        <f t="shared" si="58"/>
        <v>0</v>
      </c>
      <c r="BZ288" s="136">
        <f t="shared" si="59"/>
        <v>0</v>
      </c>
      <c r="CA288" s="136">
        <f t="shared" si="59"/>
        <v>0</v>
      </c>
    </row>
    <row r="289" spans="12:79" hidden="1" x14ac:dyDescent="0.3">
      <c r="L289" s="136">
        <f t="shared" si="57"/>
        <v>0</v>
      </c>
      <c r="M289" s="136">
        <f t="shared" si="57"/>
        <v>0</v>
      </c>
      <c r="N289" s="136">
        <f t="shared" si="57"/>
        <v>0</v>
      </c>
      <c r="O289" s="136">
        <f t="shared" si="57"/>
        <v>0</v>
      </c>
      <c r="P289" s="136">
        <f t="shared" si="57"/>
        <v>0</v>
      </c>
      <c r="Q289" s="136">
        <f t="shared" si="57"/>
        <v>0</v>
      </c>
      <c r="R289" s="136">
        <f t="shared" si="57"/>
        <v>0</v>
      </c>
      <c r="S289" s="136">
        <f t="shared" si="57"/>
        <v>0</v>
      </c>
      <c r="T289" s="136">
        <f t="shared" si="57"/>
        <v>0</v>
      </c>
      <c r="U289" s="136">
        <f t="shared" si="57"/>
        <v>0</v>
      </c>
      <c r="V289" s="136">
        <f t="shared" si="57"/>
        <v>0</v>
      </c>
      <c r="W289" s="136">
        <f t="shared" si="57"/>
        <v>0</v>
      </c>
      <c r="X289" s="136">
        <f t="shared" si="57"/>
        <v>0</v>
      </c>
      <c r="Y289" s="136">
        <f t="shared" si="57"/>
        <v>0</v>
      </c>
      <c r="Z289" s="136">
        <f t="shared" si="57"/>
        <v>0</v>
      </c>
      <c r="AA289" s="136">
        <f t="shared" si="57"/>
        <v>0</v>
      </c>
      <c r="AB289" s="136">
        <f t="shared" si="57"/>
        <v>0</v>
      </c>
      <c r="AC289" s="136">
        <f t="shared" si="57"/>
        <v>0</v>
      </c>
      <c r="AD289" s="136">
        <f t="shared" si="57"/>
        <v>0</v>
      </c>
      <c r="AE289" s="136">
        <f t="shared" si="57"/>
        <v>0</v>
      </c>
      <c r="AF289" s="136">
        <f t="shared" si="57"/>
        <v>0</v>
      </c>
      <c r="AG289" s="136">
        <f t="shared" si="57"/>
        <v>0</v>
      </c>
      <c r="AH289" s="136">
        <f t="shared" si="57"/>
        <v>0</v>
      </c>
      <c r="AI289" s="136">
        <f t="shared" si="57"/>
        <v>0</v>
      </c>
      <c r="AJ289" s="136">
        <f t="shared" si="57"/>
        <v>0</v>
      </c>
      <c r="AK289" s="136">
        <f t="shared" si="57"/>
        <v>0</v>
      </c>
      <c r="AL289" s="136">
        <f t="shared" si="57"/>
        <v>0</v>
      </c>
      <c r="AM289" s="136">
        <f t="shared" si="57"/>
        <v>0</v>
      </c>
      <c r="AN289" s="136">
        <f t="shared" si="57"/>
        <v>0</v>
      </c>
      <c r="AO289" s="136">
        <f t="shared" si="57"/>
        <v>0</v>
      </c>
      <c r="AP289" s="136">
        <f t="shared" si="57"/>
        <v>0</v>
      </c>
      <c r="AQ289" s="136">
        <f t="shared" si="57"/>
        <v>0</v>
      </c>
      <c r="AR289" s="136">
        <f t="shared" si="57"/>
        <v>0</v>
      </c>
      <c r="AS289" s="136">
        <f t="shared" si="57"/>
        <v>0</v>
      </c>
      <c r="AT289" s="136">
        <f t="shared" si="57"/>
        <v>0</v>
      </c>
      <c r="AU289" s="136">
        <f t="shared" si="57"/>
        <v>0</v>
      </c>
      <c r="AV289" s="136">
        <f t="shared" si="57"/>
        <v>0</v>
      </c>
      <c r="AW289" s="136">
        <f t="shared" si="57"/>
        <v>0</v>
      </c>
      <c r="AX289" s="136">
        <f t="shared" si="57"/>
        <v>0</v>
      </c>
      <c r="AY289" s="136">
        <f t="shared" si="57"/>
        <v>0</v>
      </c>
      <c r="AZ289" s="136">
        <f t="shared" si="57"/>
        <v>0</v>
      </c>
      <c r="BA289" s="136">
        <f t="shared" si="57"/>
        <v>0</v>
      </c>
      <c r="BB289" s="136">
        <f t="shared" si="57"/>
        <v>0</v>
      </c>
      <c r="BC289" s="136">
        <f t="shared" si="57"/>
        <v>0</v>
      </c>
      <c r="BD289" s="136">
        <f t="shared" si="57"/>
        <v>0</v>
      </c>
      <c r="BE289" s="136">
        <f t="shared" si="57"/>
        <v>0</v>
      </c>
      <c r="BF289" s="136">
        <f t="shared" si="57"/>
        <v>0</v>
      </c>
      <c r="BG289" s="136">
        <f t="shared" si="57"/>
        <v>0</v>
      </c>
      <c r="BH289" s="136">
        <f t="shared" si="57"/>
        <v>0</v>
      </c>
      <c r="BI289" s="136">
        <f t="shared" si="57"/>
        <v>0</v>
      </c>
      <c r="BJ289" s="136">
        <f t="shared" si="57"/>
        <v>0</v>
      </c>
      <c r="BK289" s="136">
        <f t="shared" si="57"/>
        <v>0</v>
      </c>
      <c r="BL289" s="136">
        <f t="shared" si="57"/>
        <v>0</v>
      </c>
      <c r="BM289" s="136">
        <f t="shared" si="57"/>
        <v>0</v>
      </c>
      <c r="BN289" s="136">
        <f t="shared" si="57"/>
        <v>0</v>
      </c>
      <c r="BO289" s="136">
        <f t="shared" si="57"/>
        <v>0</v>
      </c>
      <c r="BP289" s="136">
        <f t="shared" si="57"/>
        <v>0</v>
      </c>
      <c r="BQ289" s="136">
        <f t="shared" si="57"/>
        <v>0</v>
      </c>
      <c r="BR289" s="136">
        <f t="shared" si="57"/>
        <v>0</v>
      </c>
      <c r="BS289" s="136">
        <f t="shared" si="57"/>
        <v>0</v>
      </c>
      <c r="BT289" s="136">
        <f t="shared" si="57"/>
        <v>0</v>
      </c>
      <c r="BU289" s="136">
        <f t="shared" si="57"/>
        <v>0</v>
      </c>
      <c r="BV289" s="136">
        <f t="shared" si="57"/>
        <v>0</v>
      </c>
      <c r="BW289" s="136">
        <f t="shared" si="57"/>
        <v>0</v>
      </c>
      <c r="BX289" s="136">
        <f t="shared" si="58"/>
        <v>0</v>
      </c>
      <c r="BZ289" s="136">
        <f t="shared" si="59"/>
        <v>0</v>
      </c>
      <c r="CA289" s="136">
        <f t="shared" si="59"/>
        <v>0</v>
      </c>
    </row>
    <row r="290" spans="12:79" hidden="1" x14ac:dyDescent="0.3">
      <c r="L290" s="136">
        <f t="shared" si="57"/>
        <v>0</v>
      </c>
      <c r="M290" s="136">
        <f t="shared" si="57"/>
        <v>0</v>
      </c>
      <c r="N290" s="136">
        <f t="shared" si="57"/>
        <v>0</v>
      </c>
      <c r="O290" s="136">
        <f t="shared" si="57"/>
        <v>0</v>
      </c>
      <c r="P290" s="136">
        <f t="shared" si="57"/>
        <v>0</v>
      </c>
      <c r="Q290" s="136">
        <f t="shared" si="57"/>
        <v>0</v>
      </c>
      <c r="R290" s="136">
        <f t="shared" si="57"/>
        <v>0</v>
      </c>
      <c r="S290" s="136">
        <f t="shared" si="57"/>
        <v>0</v>
      </c>
      <c r="T290" s="136">
        <f t="shared" si="57"/>
        <v>0</v>
      </c>
      <c r="U290" s="136">
        <f t="shared" si="57"/>
        <v>0</v>
      </c>
      <c r="V290" s="136">
        <f t="shared" si="57"/>
        <v>0</v>
      </c>
      <c r="W290" s="136">
        <f t="shared" si="57"/>
        <v>0</v>
      </c>
      <c r="X290" s="136">
        <f t="shared" si="57"/>
        <v>0</v>
      </c>
      <c r="Y290" s="136">
        <f t="shared" si="57"/>
        <v>0</v>
      </c>
      <c r="Z290" s="136">
        <f t="shared" si="57"/>
        <v>0</v>
      </c>
      <c r="AA290" s="136">
        <f t="shared" si="57"/>
        <v>0</v>
      </c>
      <c r="AB290" s="136">
        <f t="shared" si="57"/>
        <v>0</v>
      </c>
      <c r="AC290" s="136">
        <f t="shared" si="57"/>
        <v>0</v>
      </c>
      <c r="AD290" s="136">
        <f t="shared" si="57"/>
        <v>0</v>
      </c>
      <c r="AE290" s="136">
        <f t="shared" si="57"/>
        <v>0</v>
      </c>
      <c r="AF290" s="136">
        <f t="shared" si="57"/>
        <v>0</v>
      </c>
      <c r="AG290" s="136">
        <f t="shared" si="57"/>
        <v>0</v>
      </c>
      <c r="AH290" s="136">
        <f t="shared" si="57"/>
        <v>0</v>
      </c>
      <c r="AI290" s="136">
        <f t="shared" si="57"/>
        <v>0</v>
      </c>
      <c r="AJ290" s="136">
        <f t="shared" si="57"/>
        <v>0</v>
      </c>
      <c r="AK290" s="136">
        <f t="shared" si="57"/>
        <v>0</v>
      </c>
      <c r="AL290" s="136">
        <f t="shared" si="57"/>
        <v>0</v>
      </c>
      <c r="AM290" s="136">
        <f t="shared" si="57"/>
        <v>0</v>
      </c>
      <c r="AN290" s="136">
        <f t="shared" si="57"/>
        <v>0</v>
      </c>
      <c r="AO290" s="136">
        <f t="shared" si="57"/>
        <v>0</v>
      </c>
      <c r="AP290" s="136">
        <f t="shared" si="57"/>
        <v>0</v>
      </c>
      <c r="AQ290" s="136">
        <f t="shared" si="57"/>
        <v>0</v>
      </c>
      <c r="AR290" s="136">
        <f t="shared" si="57"/>
        <v>0</v>
      </c>
      <c r="AS290" s="136">
        <f t="shared" si="57"/>
        <v>0</v>
      </c>
      <c r="AT290" s="136">
        <f t="shared" si="57"/>
        <v>0</v>
      </c>
      <c r="AU290" s="136">
        <f t="shared" si="57"/>
        <v>0</v>
      </c>
      <c r="AV290" s="136">
        <f t="shared" si="57"/>
        <v>0</v>
      </c>
      <c r="AW290" s="136">
        <f t="shared" si="57"/>
        <v>0</v>
      </c>
      <c r="AX290" s="136">
        <f t="shared" si="57"/>
        <v>0</v>
      </c>
      <c r="AY290" s="136">
        <f t="shared" si="57"/>
        <v>0</v>
      </c>
      <c r="AZ290" s="136">
        <f t="shared" si="57"/>
        <v>0</v>
      </c>
      <c r="BA290" s="136">
        <f t="shared" si="57"/>
        <v>0</v>
      </c>
      <c r="BB290" s="136">
        <f t="shared" si="57"/>
        <v>0</v>
      </c>
      <c r="BC290" s="136">
        <f t="shared" si="57"/>
        <v>0</v>
      </c>
      <c r="BD290" s="136">
        <f t="shared" si="57"/>
        <v>0</v>
      </c>
      <c r="BE290" s="136">
        <f t="shared" si="57"/>
        <v>0</v>
      </c>
      <c r="BF290" s="136">
        <f t="shared" si="57"/>
        <v>0</v>
      </c>
      <c r="BG290" s="136">
        <f t="shared" si="57"/>
        <v>0</v>
      </c>
      <c r="BH290" s="136">
        <f t="shared" si="57"/>
        <v>0</v>
      </c>
      <c r="BI290" s="136">
        <f t="shared" si="57"/>
        <v>0</v>
      </c>
      <c r="BJ290" s="136">
        <f t="shared" si="57"/>
        <v>0</v>
      </c>
      <c r="BK290" s="136">
        <f t="shared" si="57"/>
        <v>0</v>
      </c>
      <c r="BL290" s="136">
        <f t="shared" si="57"/>
        <v>0</v>
      </c>
      <c r="BM290" s="136">
        <f t="shared" si="57"/>
        <v>0</v>
      </c>
      <c r="BN290" s="136">
        <f t="shared" si="57"/>
        <v>0</v>
      </c>
      <c r="BO290" s="136">
        <f t="shared" si="57"/>
        <v>0</v>
      </c>
      <c r="BP290" s="136">
        <f t="shared" si="57"/>
        <v>0</v>
      </c>
      <c r="BQ290" s="136">
        <f t="shared" si="57"/>
        <v>0</v>
      </c>
      <c r="BR290" s="136">
        <f t="shared" si="57"/>
        <v>0</v>
      </c>
      <c r="BS290" s="136">
        <f t="shared" si="57"/>
        <v>0</v>
      </c>
      <c r="BT290" s="136">
        <f t="shared" si="57"/>
        <v>0</v>
      </c>
      <c r="BU290" s="136">
        <f t="shared" si="57"/>
        <v>0</v>
      </c>
      <c r="BV290" s="136">
        <f t="shared" si="57"/>
        <v>0</v>
      </c>
      <c r="BW290" s="136">
        <f t="shared" ref="BW290:BW301" si="60">BW136-EO136</f>
        <v>0</v>
      </c>
      <c r="BX290" s="136">
        <f t="shared" si="58"/>
        <v>0</v>
      </c>
      <c r="BZ290" s="136">
        <f t="shared" si="59"/>
        <v>0</v>
      </c>
      <c r="CA290" s="136">
        <f t="shared" si="59"/>
        <v>0</v>
      </c>
    </row>
    <row r="291" spans="12:79" hidden="1" x14ac:dyDescent="0.3">
      <c r="L291" s="136">
        <f t="shared" ref="L291:BV295" si="61">L137-CD137</f>
        <v>0</v>
      </c>
      <c r="M291" s="136">
        <f t="shared" si="61"/>
        <v>0</v>
      </c>
      <c r="N291" s="136">
        <f t="shared" si="61"/>
        <v>0</v>
      </c>
      <c r="O291" s="136">
        <f t="shared" si="61"/>
        <v>0</v>
      </c>
      <c r="P291" s="136">
        <f t="shared" si="61"/>
        <v>0</v>
      </c>
      <c r="Q291" s="136">
        <f t="shared" si="61"/>
        <v>0</v>
      </c>
      <c r="R291" s="136">
        <f t="shared" si="61"/>
        <v>0</v>
      </c>
      <c r="S291" s="136">
        <f t="shared" si="61"/>
        <v>0</v>
      </c>
      <c r="T291" s="136">
        <f t="shared" si="61"/>
        <v>0</v>
      </c>
      <c r="U291" s="136">
        <f t="shared" si="61"/>
        <v>0</v>
      </c>
      <c r="V291" s="136">
        <f t="shared" si="61"/>
        <v>0</v>
      </c>
      <c r="W291" s="136">
        <f t="shared" si="61"/>
        <v>0</v>
      </c>
      <c r="X291" s="136">
        <f t="shared" si="61"/>
        <v>0</v>
      </c>
      <c r="Y291" s="136">
        <f t="shared" si="61"/>
        <v>0</v>
      </c>
      <c r="Z291" s="136">
        <f t="shared" si="61"/>
        <v>0</v>
      </c>
      <c r="AA291" s="136">
        <f t="shared" si="61"/>
        <v>0</v>
      </c>
      <c r="AB291" s="136">
        <f t="shared" si="61"/>
        <v>0</v>
      </c>
      <c r="AC291" s="136">
        <f t="shared" si="61"/>
        <v>0</v>
      </c>
      <c r="AD291" s="136">
        <f t="shared" si="61"/>
        <v>0</v>
      </c>
      <c r="AE291" s="136">
        <f t="shared" si="61"/>
        <v>0</v>
      </c>
      <c r="AF291" s="136">
        <f t="shared" si="61"/>
        <v>0</v>
      </c>
      <c r="AG291" s="136">
        <f t="shared" si="61"/>
        <v>0</v>
      </c>
      <c r="AH291" s="136">
        <f t="shared" si="61"/>
        <v>0</v>
      </c>
      <c r="AI291" s="136">
        <f t="shared" si="61"/>
        <v>0</v>
      </c>
      <c r="AJ291" s="136">
        <f t="shared" si="61"/>
        <v>0</v>
      </c>
      <c r="AK291" s="136">
        <f t="shared" si="61"/>
        <v>0</v>
      </c>
      <c r="AL291" s="136">
        <f t="shared" si="61"/>
        <v>0</v>
      </c>
      <c r="AM291" s="136">
        <f t="shared" si="61"/>
        <v>0</v>
      </c>
      <c r="AN291" s="136">
        <f t="shared" si="61"/>
        <v>0</v>
      </c>
      <c r="AO291" s="136">
        <f t="shared" si="61"/>
        <v>0</v>
      </c>
      <c r="AP291" s="136">
        <f t="shared" si="61"/>
        <v>0</v>
      </c>
      <c r="AQ291" s="136">
        <f t="shared" si="61"/>
        <v>0</v>
      </c>
      <c r="AR291" s="136">
        <f t="shared" si="61"/>
        <v>0</v>
      </c>
      <c r="AS291" s="136">
        <f t="shared" si="61"/>
        <v>0</v>
      </c>
      <c r="AT291" s="136">
        <f t="shared" si="61"/>
        <v>0</v>
      </c>
      <c r="AU291" s="136">
        <f t="shared" si="61"/>
        <v>0</v>
      </c>
      <c r="AV291" s="136">
        <f t="shared" si="61"/>
        <v>0</v>
      </c>
      <c r="AW291" s="136">
        <f t="shared" si="61"/>
        <v>0</v>
      </c>
      <c r="AX291" s="136">
        <f t="shared" si="61"/>
        <v>0</v>
      </c>
      <c r="AY291" s="136">
        <f t="shared" si="61"/>
        <v>0</v>
      </c>
      <c r="AZ291" s="136">
        <f t="shared" si="61"/>
        <v>0</v>
      </c>
      <c r="BA291" s="136">
        <f t="shared" si="61"/>
        <v>0</v>
      </c>
      <c r="BB291" s="136">
        <f t="shared" si="61"/>
        <v>0</v>
      </c>
      <c r="BC291" s="136">
        <f t="shared" si="61"/>
        <v>0</v>
      </c>
      <c r="BD291" s="136">
        <f t="shared" si="61"/>
        <v>0</v>
      </c>
      <c r="BE291" s="136">
        <f t="shared" si="61"/>
        <v>0</v>
      </c>
      <c r="BF291" s="136">
        <f t="shared" si="61"/>
        <v>0</v>
      </c>
      <c r="BG291" s="136">
        <f t="shared" si="61"/>
        <v>0</v>
      </c>
      <c r="BH291" s="136">
        <f t="shared" si="61"/>
        <v>0</v>
      </c>
      <c r="BI291" s="136">
        <f t="shared" si="61"/>
        <v>0</v>
      </c>
      <c r="BJ291" s="136">
        <f t="shared" si="61"/>
        <v>0</v>
      </c>
      <c r="BK291" s="136">
        <f t="shared" si="61"/>
        <v>0</v>
      </c>
      <c r="BL291" s="136">
        <f t="shared" si="61"/>
        <v>0</v>
      </c>
      <c r="BM291" s="136">
        <f t="shared" si="61"/>
        <v>0</v>
      </c>
      <c r="BN291" s="136">
        <f t="shared" si="61"/>
        <v>0</v>
      </c>
      <c r="BO291" s="136">
        <f t="shared" si="61"/>
        <v>0</v>
      </c>
      <c r="BP291" s="136">
        <f t="shared" si="61"/>
        <v>0</v>
      </c>
      <c r="BQ291" s="136">
        <f t="shared" si="61"/>
        <v>0</v>
      </c>
      <c r="BR291" s="136">
        <f t="shared" si="61"/>
        <v>0</v>
      </c>
      <c r="BS291" s="136">
        <f t="shared" si="61"/>
        <v>0</v>
      </c>
      <c r="BT291" s="136">
        <f t="shared" si="61"/>
        <v>0</v>
      </c>
      <c r="BU291" s="136">
        <f t="shared" si="61"/>
        <v>0</v>
      </c>
      <c r="BV291" s="136">
        <f t="shared" si="61"/>
        <v>0</v>
      </c>
      <c r="BW291" s="136">
        <f t="shared" si="60"/>
        <v>0</v>
      </c>
      <c r="BX291" s="136">
        <f t="shared" si="58"/>
        <v>0</v>
      </c>
      <c r="BZ291" s="136">
        <f t="shared" si="59"/>
        <v>0</v>
      </c>
      <c r="CA291" s="136">
        <f t="shared" si="59"/>
        <v>0</v>
      </c>
    </row>
    <row r="292" spans="12:79" hidden="1" x14ac:dyDescent="0.3">
      <c r="L292" s="136">
        <f t="shared" si="61"/>
        <v>0</v>
      </c>
      <c r="M292" s="136">
        <f t="shared" si="61"/>
        <v>0</v>
      </c>
      <c r="N292" s="136">
        <f t="shared" si="61"/>
        <v>0</v>
      </c>
      <c r="O292" s="136">
        <f t="shared" si="61"/>
        <v>0</v>
      </c>
      <c r="P292" s="136">
        <f t="shared" si="61"/>
        <v>0</v>
      </c>
      <c r="Q292" s="136">
        <f t="shared" si="61"/>
        <v>0</v>
      </c>
      <c r="R292" s="136">
        <f t="shared" si="61"/>
        <v>0</v>
      </c>
      <c r="S292" s="136">
        <f t="shared" si="61"/>
        <v>0</v>
      </c>
      <c r="T292" s="136">
        <f t="shared" si="61"/>
        <v>0</v>
      </c>
      <c r="U292" s="136">
        <f t="shared" si="61"/>
        <v>0</v>
      </c>
      <c r="V292" s="136">
        <f t="shared" si="61"/>
        <v>0</v>
      </c>
      <c r="W292" s="136">
        <f t="shared" si="61"/>
        <v>0</v>
      </c>
      <c r="X292" s="136">
        <f t="shared" si="61"/>
        <v>0</v>
      </c>
      <c r="Y292" s="136">
        <f t="shared" si="61"/>
        <v>0</v>
      </c>
      <c r="Z292" s="136">
        <f t="shared" si="61"/>
        <v>0</v>
      </c>
      <c r="AA292" s="136">
        <f t="shared" si="61"/>
        <v>0</v>
      </c>
      <c r="AB292" s="136">
        <f t="shared" si="61"/>
        <v>0</v>
      </c>
      <c r="AC292" s="136">
        <f t="shared" si="61"/>
        <v>0</v>
      </c>
      <c r="AD292" s="136">
        <f t="shared" si="61"/>
        <v>0</v>
      </c>
      <c r="AE292" s="136">
        <f t="shared" si="61"/>
        <v>0</v>
      </c>
      <c r="AF292" s="136">
        <f t="shared" si="61"/>
        <v>0</v>
      </c>
      <c r="AG292" s="136">
        <f t="shared" si="61"/>
        <v>0</v>
      </c>
      <c r="AH292" s="136">
        <f t="shared" si="61"/>
        <v>0</v>
      </c>
      <c r="AI292" s="136">
        <f t="shared" si="61"/>
        <v>0</v>
      </c>
      <c r="AJ292" s="136">
        <f t="shared" si="61"/>
        <v>0</v>
      </c>
      <c r="AK292" s="136">
        <f t="shared" si="61"/>
        <v>0</v>
      </c>
      <c r="AL292" s="136">
        <f t="shared" si="61"/>
        <v>0</v>
      </c>
      <c r="AM292" s="136">
        <f t="shared" si="61"/>
        <v>0</v>
      </c>
      <c r="AN292" s="136">
        <f t="shared" si="61"/>
        <v>0</v>
      </c>
      <c r="AO292" s="136">
        <f t="shared" si="61"/>
        <v>0</v>
      </c>
      <c r="AP292" s="136">
        <f t="shared" si="61"/>
        <v>0</v>
      </c>
      <c r="AQ292" s="136">
        <f t="shared" si="61"/>
        <v>0</v>
      </c>
      <c r="AR292" s="136">
        <f t="shared" si="61"/>
        <v>0</v>
      </c>
      <c r="AS292" s="136">
        <f t="shared" si="61"/>
        <v>0</v>
      </c>
      <c r="AT292" s="136">
        <f t="shared" si="61"/>
        <v>0</v>
      </c>
      <c r="AU292" s="136">
        <f t="shared" si="61"/>
        <v>0</v>
      </c>
      <c r="AV292" s="136">
        <f t="shared" si="61"/>
        <v>0</v>
      </c>
      <c r="AW292" s="136">
        <f t="shared" si="61"/>
        <v>0</v>
      </c>
      <c r="AX292" s="136">
        <f t="shared" si="61"/>
        <v>0</v>
      </c>
      <c r="AY292" s="136">
        <f t="shared" si="61"/>
        <v>0</v>
      </c>
      <c r="AZ292" s="136">
        <f t="shared" si="61"/>
        <v>0</v>
      </c>
      <c r="BA292" s="136">
        <f t="shared" si="61"/>
        <v>0</v>
      </c>
      <c r="BB292" s="136">
        <f t="shared" si="61"/>
        <v>0</v>
      </c>
      <c r="BC292" s="136">
        <f t="shared" si="61"/>
        <v>0</v>
      </c>
      <c r="BD292" s="136">
        <f t="shared" si="61"/>
        <v>0</v>
      </c>
      <c r="BE292" s="136">
        <f t="shared" si="61"/>
        <v>0</v>
      </c>
      <c r="BF292" s="136">
        <f t="shared" si="61"/>
        <v>0</v>
      </c>
      <c r="BG292" s="136">
        <f t="shared" si="61"/>
        <v>0</v>
      </c>
      <c r="BH292" s="136">
        <f t="shared" si="61"/>
        <v>0</v>
      </c>
      <c r="BI292" s="136">
        <f t="shared" si="61"/>
        <v>0</v>
      </c>
      <c r="BJ292" s="136">
        <f t="shared" si="61"/>
        <v>0</v>
      </c>
      <c r="BK292" s="136">
        <f t="shared" si="61"/>
        <v>0</v>
      </c>
      <c r="BL292" s="136">
        <f t="shared" si="61"/>
        <v>0</v>
      </c>
      <c r="BM292" s="136">
        <f t="shared" si="61"/>
        <v>0</v>
      </c>
      <c r="BN292" s="136">
        <f t="shared" si="61"/>
        <v>0</v>
      </c>
      <c r="BO292" s="136">
        <f t="shared" si="61"/>
        <v>0</v>
      </c>
      <c r="BP292" s="136">
        <f t="shared" si="61"/>
        <v>0</v>
      </c>
      <c r="BQ292" s="136">
        <f t="shared" si="61"/>
        <v>0</v>
      </c>
      <c r="BR292" s="136">
        <f t="shared" si="61"/>
        <v>0</v>
      </c>
      <c r="BS292" s="136">
        <f t="shared" si="61"/>
        <v>0</v>
      </c>
      <c r="BT292" s="136">
        <f t="shared" si="61"/>
        <v>0</v>
      </c>
      <c r="BU292" s="136">
        <f t="shared" si="61"/>
        <v>0</v>
      </c>
      <c r="BV292" s="136">
        <f t="shared" si="61"/>
        <v>0</v>
      </c>
      <c r="BW292" s="136">
        <f t="shared" si="60"/>
        <v>0</v>
      </c>
      <c r="BX292" s="136">
        <f t="shared" si="58"/>
        <v>0</v>
      </c>
      <c r="BZ292" s="136">
        <f t="shared" si="59"/>
        <v>0</v>
      </c>
      <c r="CA292" s="136">
        <f t="shared" si="59"/>
        <v>0</v>
      </c>
    </row>
    <row r="293" spans="12:79" hidden="1" x14ac:dyDescent="0.3">
      <c r="L293" s="136">
        <f t="shared" si="61"/>
        <v>0</v>
      </c>
      <c r="M293" s="136">
        <f t="shared" si="61"/>
        <v>0</v>
      </c>
      <c r="N293" s="136">
        <f t="shared" si="61"/>
        <v>0</v>
      </c>
      <c r="O293" s="136">
        <f t="shared" si="61"/>
        <v>0</v>
      </c>
      <c r="P293" s="136">
        <f t="shared" si="61"/>
        <v>0</v>
      </c>
      <c r="Q293" s="136">
        <f t="shared" si="61"/>
        <v>0</v>
      </c>
      <c r="R293" s="136">
        <f t="shared" si="61"/>
        <v>0</v>
      </c>
      <c r="S293" s="136">
        <f t="shared" si="61"/>
        <v>0</v>
      </c>
      <c r="T293" s="136">
        <f t="shared" si="61"/>
        <v>0</v>
      </c>
      <c r="U293" s="136">
        <f t="shared" si="61"/>
        <v>0</v>
      </c>
      <c r="V293" s="136">
        <f t="shared" si="61"/>
        <v>0</v>
      </c>
      <c r="W293" s="136">
        <f t="shared" si="61"/>
        <v>0</v>
      </c>
      <c r="X293" s="136">
        <f t="shared" si="61"/>
        <v>0</v>
      </c>
      <c r="Y293" s="136">
        <f t="shared" si="61"/>
        <v>0</v>
      </c>
      <c r="Z293" s="136">
        <f t="shared" si="61"/>
        <v>0</v>
      </c>
      <c r="AA293" s="136">
        <f t="shared" si="61"/>
        <v>0</v>
      </c>
      <c r="AB293" s="136">
        <f t="shared" si="61"/>
        <v>0</v>
      </c>
      <c r="AC293" s="136">
        <f t="shared" si="61"/>
        <v>0</v>
      </c>
      <c r="AD293" s="136">
        <f t="shared" si="61"/>
        <v>0</v>
      </c>
      <c r="AE293" s="136">
        <f t="shared" si="61"/>
        <v>0</v>
      </c>
      <c r="AF293" s="136">
        <f t="shared" si="61"/>
        <v>0</v>
      </c>
      <c r="AG293" s="136">
        <f t="shared" si="61"/>
        <v>0</v>
      </c>
      <c r="AH293" s="136">
        <f t="shared" si="61"/>
        <v>0</v>
      </c>
      <c r="AI293" s="136">
        <f t="shared" si="61"/>
        <v>0</v>
      </c>
      <c r="AJ293" s="136">
        <f t="shared" si="61"/>
        <v>0</v>
      </c>
      <c r="AK293" s="136">
        <f t="shared" si="61"/>
        <v>0</v>
      </c>
      <c r="AL293" s="136">
        <f t="shared" si="61"/>
        <v>0</v>
      </c>
      <c r="AM293" s="136">
        <f t="shared" si="61"/>
        <v>0</v>
      </c>
      <c r="AN293" s="136">
        <f t="shared" si="61"/>
        <v>0</v>
      </c>
      <c r="AO293" s="136">
        <f t="shared" si="61"/>
        <v>0</v>
      </c>
      <c r="AP293" s="136">
        <f t="shared" si="61"/>
        <v>0</v>
      </c>
      <c r="AQ293" s="136">
        <f t="shared" si="61"/>
        <v>0</v>
      </c>
      <c r="AR293" s="136">
        <f t="shared" si="61"/>
        <v>0</v>
      </c>
      <c r="AS293" s="136">
        <f t="shared" si="61"/>
        <v>0</v>
      </c>
      <c r="AT293" s="136">
        <f t="shared" si="61"/>
        <v>0</v>
      </c>
      <c r="AU293" s="136">
        <f t="shared" si="61"/>
        <v>0</v>
      </c>
      <c r="AV293" s="136">
        <f t="shared" si="61"/>
        <v>0</v>
      </c>
      <c r="AW293" s="136">
        <f t="shared" si="61"/>
        <v>0</v>
      </c>
      <c r="AX293" s="136">
        <f t="shared" si="61"/>
        <v>0</v>
      </c>
      <c r="AY293" s="136">
        <f t="shared" si="61"/>
        <v>0</v>
      </c>
      <c r="AZ293" s="136">
        <f t="shared" si="61"/>
        <v>0</v>
      </c>
      <c r="BA293" s="136">
        <f t="shared" si="61"/>
        <v>0</v>
      </c>
      <c r="BB293" s="136">
        <f t="shared" si="61"/>
        <v>0</v>
      </c>
      <c r="BC293" s="136">
        <f t="shared" si="61"/>
        <v>0</v>
      </c>
      <c r="BD293" s="136">
        <f t="shared" si="61"/>
        <v>0</v>
      </c>
      <c r="BE293" s="136">
        <f t="shared" si="61"/>
        <v>0</v>
      </c>
      <c r="BF293" s="136">
        <f t="shared" si="61"/>
        <v>0</v>
      </c>
      <c r="BG293" s="136">
        <f t="shared" si="61"/>
        <v>0</v>
      </c>
      <c r="BH293" s="136">
        <f t="shared" si="61"/>
        <v>0</v>
      </c>
      <c r="BI293" s="136">
        <f t="shared" si="61"/>
        <v>0</v>
      </c>
      <c r="BJ293" s="136">
        <f t="shared" si="61"/>
        <v>0</v>
      </c>
      <c r="BK293" s="136">
        <f t="shared" si="61"/>
        <v>0</v>
      </c>
      <c r="BL293" s="136">
        <f t="shared" si="61"/>
        <v>0</v>
      </c>
      <c r="BM293" s="136">
        <f t="shared" si="61"/>
        <v>0</v>
      </c>
      <c r="BN293" s="136">
        <f t="shared" si="61"/>
        <v>0</v>
      </c>
      <c r="BO293" s="136">
        <f t="shared" si="61"/>
        <v>0</v>
      </c>
      <c r="BP293" s="136">
        <f t="shared" si="61"/>
        <v>0</v>
      </c>
      <c r="BQ293" s="136">
        <f t="shared" si="61"/>
        <v>0</v>
      </c>
      <c r="BR293" s="136">
        <f t="shared" si="61"/>
        <v>0</v>
      </c>
      <c r="BS293" s="136">
        <f t="shared" si="61"/>
        <v>0</v>
      </c>
      <c r="BT293" s="136">
        <f t="shared" si="61"/>
        <v>0</v>
      </c>
      <c r="BU293" s="136">
        <f t="shared" si="61"/>
        <v>0</v>
      </c>
      <c r="BV293" s="136">
        <f t="shared" si="61"/>
        <v>0</v>
      </c>
      <c r="BW293" s="136">
        <f t="shared" si="60"/>
        <v>0</v>
      </c>
      <c r="BX293" s="136">
        <f t="shared" si="58"/>
        <v>0</v>
      </c>
      <c r="BZ293" s="136">
        <f t="shared" si="59"/>
        <v>0</v>
      </c>
      <c r="CA293" s="136">
        <f t="shared" si="59"/>
        <v>0</v>
      </c>
    </row>
    <row r="294" spans="12:79" hidden="1" x14ac:dyDescent="0.3">
      <c r="L294" s="136">
        <f t="shared" si="61"/>
        <v>0</v>
      </c>
      <c r="M294" s="136">
        <f t="shared" si="61"/>
        <v>0</v>
      </c>
      <c r="N294" s="136">
        <f t="shared" si="61"/>
        <v>0</v>
      </c>
      <c r="O294" s="136">
        <f t="shared" si="61"/>
        <v>0</v>
      </c>
      <c r="P294" s="136">
        <f t="shared" si="61"/>
        <v>0</v>
      </c>
      <c r="Q294" s="136">
        <f t="shared" si="61"/>
        <v>0</v>
      </c>
      <c r="R294" s="136">
        <f t="shared" si="61"/>
        <v>0</v>
      </c>
      <c r="S294" s="136">
        <f t="shared" si="61"/>
        <v>0</v>
      </c>
      <c r="T294" s="136">
        <f t="shared" si="61"/>
        <v>0</v>
      </c>
      <c r="U294" s="136">
        <f t="shared" si="61"/>
        <v>0</v>
      </c>
      <c r="V294" s="136">
        <f t="shared" si="61"/>
        <v>0</v>
      </c>
      <c r="W294" s="136">
        <f t="shared" si="61"/>
        <v>0</v>
      </c>
      <c r="X294" s="136">
        <f t="shared" si="61"/>
        <v>0</v>
      </c>
      <c r="Y294" s="136">
        <f t="shared" si="61"/>
        <v>0</v>
      </c>
      <c r="Z294" s="136">
        <f t="shared" si="61"/>
        <v>0</v>
      </c>
      <c r="AA294" s="136">
        <f t="shared" si="61"/>
        <v>0</v>
      </c>
      <c r="AB294" s="136">
        <f t="shared" si="61"/>
        <v>0</v>
      </c>
      <c r="AC294" s="136">
        <f t="shared" si="61"/>
        <v>0</v>
      </c>
      <c r="AD294" s="136">
        <f t="shared" si="61"/>
        <v>0</v>
      </c>
      <c r="AE294" s="136">
        <f t="shared" si="61"/>
        <v>0</v>
      </c>
      <c r="AF294" s="136">
        <f t="shared" si="61"/>
        <v>0</v>
      </c>
      <c r="AG294" s="136">
        <f t="shared" si="61"/>
        <v>0</v>
      </c>
      <c r="AH294" s="136">
        <f t="shared" si="61"/>
        <v>0</v>
      </c>
      <c r="AI294" s="136">
        <f t="shared" si="61"/>
        <v>0</v>
      </c>
      <c r="AJ294" s="136">
        <f t="shared" si="61"/>
        <v>0</v>
      </c>
      <c r="AK294" s="136">
        <f t="shared" si="61"/>
        <v>0</v>
      </c>
      <c r="AL294" s="136">
        <f t="shared" si="61"/>
        <v>0</v>
      </c>
      <c r="AM294" s="136">
        <f t="shared" si="61"/>
        <v>0</v>
      </c>
      <c r="AN294" s="136">
        <f t="shared" si="61"/>
        <v>0</v>
      </c>
      <c r="AO294" s="136">
        <f t="shared" si="61"/>
        <v>0</v>
      </c>
      <c r="AP294" s="136">
        <f t="shared" si="61"/>
        <v>0</v>
      </c>
      <c r="AQ294" s="136">
        <f t="shared" si="61"/>
        <v>0</v>
      </c>
      <c r="AR294" s="136">
        <f t="shared" si="61"/>
        <v>0</v>
      </c>
      <c r="AS294" s="136">
        <f t="shared" si="61"/>
        <v>0</v>
      </c>
      <c r="AT294" s="136">
        <f t="shared" si="61"/>
        <v>0</v>
      </c>
      <c r="AU294" s="136">
        <f t="shared" si="61"/>
        <v>0</v>
      </c>
      <c r="AV294" s="136">
        <f t="shared" si="61"/>
        <v>0</v>
      </c>
      <c r="AW294" s="136">
        <f t="shared" si="61"/>
        <v>0</v>
      </c>
      <c r="AX294" s="136">
        <f t="shared" si="61"/>
        <v>0</v>
      </c>
      <c r="AY294" s="136">
        <f t="shared" si="61"/>
        <v>0</v>
      </c>
      <c r="AZ294" s="136">
        <f t="shared" si="61"/>
        <v>0</v>
      </c>
      <c r="BA294" s="136">
        <f t="shared" si="61"/>
        <v>0</v>
      </c>
      <c r="BB294" s="136">
        <f t="shared" si="61"/>
        <v>0</v>
      </c>
      <c r="BC294" s="136">
        <f t="shared" si="61"/>
        <v>0</v>
      </c>
      <c r="BD294" s="136">
        <f t="shared" si="61"/>
        <v>0</v>
      </c>
      <c r="BE294" s="136">
        <f t="shared" si="61"/>
        <v>0</v>
      </c>
      <c r="BF294" s="136">
        <f t="shared" si="61"/>
        <v>0</v>
      </c>
      <c r="BG294" s="136">
        <f t="shared" si="61"/>
        <v>0</v>
      </c>
      <c r="BH294" s="136">
        <f t="shared" si="61"/>
        <v>0</v>
      </c>
      <c r="BI294" s="136">
        <f t="shared" si="61"/>
        <v>0</v>
      </c>
      <c r="BJ294" s="136">
        <f t="shared" si="61"/>
        <v>0</v>
      </c>
      <c r="BK294" s="136">
        <f t="shared" si="61"/>
        <v>0</v>
      </c>
      <c r="BL294" s="136">
        <f t="shared" si="61"/>
        <v>0</v>
      </c>
      <c r="BM294" s="136">
        <f t="shared" si="61"/>
        <v>0</v>
      </c>
      <c r="BN294" s="136">
        <f t="shared" si="61"/>
        <v>0</v>
      </c>
      <c r="BO294" s="136">
        <f t="shared" si="61"/>
        <v>0</v>
      </c>
      <c r="BP294" s="136">
        <f t="shared" si="61"/>
        <v>0</v>
      </c>
      <c r="BQ294" s="136">
        <f t="shared" si="61"/>
        <v>0</v>
      </c>
      <c r="BR294" s="136">
        <f t="shared" si="61"/>
        <v>0</v>
      </c>
      <c r="BS294" s="136">
        <f t="shared" si="61"/>
        <v>0</v>
      </c>
      <c r="BT294" s="136">
        <f t="shared" si="61"/>
        <v>0</v>
      </c>
      <c r="BU294" s="136">
        <f t="shared" si="61"/>
        <v>0</v>
      </c>
      <c r="BV294" s="136">
        <f t="shared" si="61"/>
        <v>0</v>
      </c>
      <c r="BW294" s="136">
        <f t="shared" si="60"/>
        <v>0</v>
      </c>
      <c r="BX294" s="136">
        <f t="shared" si="58"/>
        <v>0</v>
      </c>
      <c r="BZ294" s="136">
        <f t="shared" si="59"/>
        <v>0</v>
      </c>
      <c r="CA294" s="136">
        <f t="shared" si="59"/>
        <v>0</v>
      </c>
    </row>
    <row r="295" spans="12:79" hidden="1" x14ac:dyDescent="0.3">
      <c r="L295" s="136">
        <f t="shared" si="61"/>
        <v>0</v>
      </c>
      <c r="M295" s="136">
        <f t="shared" si="61"/>
        <v>0</v>
      </c>
      <c r="N295" s="136">
        <f t="shared" si="61"/>
        <v>0</v>
      </c>
      <c r="O295" s="136">
        <f t="shared" ref="O295:BV299" si="62">O141-CG141</f>
        <v>0</v>
      </c>
      <c r="P295" s="136">
        <f t="shared" si="62"/>
        <v>0</v>
      </c>
      <c r="Q295" s="136">
        <f t="shared" si="62"/>
        <v>0</v>
      </c>
      <c r="R295" s="136">
        <f t="shared" si="62"/>
        <v>0</v>
      </c>
      <c r="S295" s="136">
        <f t="shared" si="62"/>
        <v>0</v>
      </c>
      <c r="T295" s="136">
        <f t="shared" si="62"/>
        <v>0</v>
      </c>
      <c r="U295" s="136">
        <f t="shared" si="62"/>
        <v>0</v>
      </c>
      <c r="V295" s="136">
        <f t="shared" si="62"/>
        <v>0</v>
      </c>
      <c r="W295" s="136">
        <f t="shared" si="62"/>
        <v>0</v>
      </c>
      <c r="X295" s="136">
        <f t="shared" si="62"/>
        <v>0</v>
      </c>
      <c r="Y295" s="136">
        <f t="shared" si="62"/>
        <v>0</v>
      </c>
      <c r="Z295" s="136">
        <f t="shared" si="62"/>
        <v>0</v>
      </c>
      <c r="AA295" s="136">
        <f t="shared" si="62"/>
        <v>0</v>
      </c>
      <c r="AB295" s="136">
        <f t="shared" si="62"/>
        <v>0</v>
      </c>
      <c r="AC295" s="136">
        <f t="shared" si="62"/>
        <v>0</v>
      </c>
      <c r="AD295" s="136">
        <f t="shared" si="62"/>
        <v>0</v>
      </c>
      <c r="AE295" s="136">
        <f t="shared" si="62"/>
        <v>0</v>
      </c>
      <c r="AF295" s="136">
        <f t="shared" si="62"/>
        <v>0</v>
      </c>
      <c r="AG295" s="136">
        <f t="shared" si="62"/>
        <v>0</v>
      </c>
      <c r="AH295" s="136">
        <f t="shared" si="62"/>
        <v>0</v>
      </c>
      <c r="AI295" s="136">
        <f t="shared" si="62"/>
        <v>0</v>
      </c>
      <c r="AJ295" s="136">
        <f t="shared" si="62"/>
        <v>0</v>
      </c>
      <c r="AK295" s="136">
        <f t="shared" si="62"/>
        <v>0</v>
      </c>
      <c r="AL295" s="136">
        <f t="shared" si="62"/>
        <v>0</v>
      </c>
      <c r="AM295" s="136">
        <f t="shared" si="62"/>
        <v>0</v>
      </c>
      <c r="AN295" s="136">
        <f t="shared" si="62"/>
        <v>0</v>
      </c>
      <c r="AO295" s="136">
        <f t="shared" si="62"/>
        <v>0</v>
      </c>
      <c r="AP295" s="136">
        <f t="shared" si="62"/>
        <v>0</v>
      </c>
      <c r="AQ295" s="136">
        <f t="shared" si="62"/>
        <v>0</v>
      </c>
      <c r="AR295" s="136">
        <f t="shared" si="62"/>
        <v>0</v>
      </c>
      <c r="AS295" s="136">
        <f t="shared" si="62"/>
        <v>0</v>
      </c>
      <c r="AT295" s="136">
        <f t="shared" si="62"/>
        <v>0</v>
      </c>
      <c r="AU295" s="136">
        <f t="shared" si="62"/>
        <v>0</v>
      </c>
      <c r="AV295" s="136">
        <f t="shared" si="62"/>
        <v>0</v>
      </c>
      <c r="AW295" s="136">
        <f t="shared" si="62"/>
        <v>0</v>
      </c>
      <c r="AX295" s="136">
        <f t="shared" si="62"/>
        <v>0</v>
      </c>
      <c r="AY295" s="136">
        <f t="shared" si="62"/>
        <v>0</v>
      </c>
      <c r="AZ295" s="136">
        <f t="shared" si="62"/>
        <v>0</v>
      </c>
      <c r="BA295" s="136">
        <f t="shared" si="62"/>
        <v>0</v>
      </c>
      <c r="BB295" s="136">
        <f t="shared" si="62"/>
        <v>0</v>
      </c>
      <c r="BC295" s="136">
        <f t="shared" si="62"/>
        <v>0</v>
      </c>
      <c r="BD295" s="136">
        <f t="shared" si="62"/>
        <v>0</v>
      </c>
      <c r="BE295" s="136">
        <f t="shared" si="62"/>
        <v>0</v>
      </c>
      <c r="BF295" s="136">
        <f t="shared" si="62"/>
        <v>0</v>
      </c>
      <c r="BG295" s="136">
        <f t="shared" si="62"/>
        <v>0</v>
      </c>
      <c r="BH295" s="136">
        <f t="shared" si="62"/>
        <v>0</v>
      </c>
      <c r="BI295" s="136">
        <f t="shared" si="62"/>
        <v>0</v>
      </c>
      <c r="BJ295" s="136">
        <f t="shared" si="62"/>
        <v>0</v>
      </c>
      <c r="BK295" s="136">
        <f t="shared" si="62"/>
        <v>0</v>
      </c>
      <c r="BL295" s="136">
        <f t="shared" si="62"/>
        <v>0</v>
      </c>
      <c r="BM295" s="136">
        <f t="shared" si="62"/>
        <v>0</v>
      </c>
      <c r="BN295" s="136">
        <f t="shared" si="62"/>
        <v>0</v>
      </c>
      <c r="BO295" s="136">
        <f t="shared" si="62"/>
        <v>0</v>
      </c>
      <c r="BP295" s="136">
        <f t="shared" si="62"/>
        <v>0</v>
      </c>
      <c r="BQ295" s="136">
        <f t="shared" si="62"/>
        <v>0</v>
      </c>
      <c r="BR295" s="136">
        <f t="shared" si="62"/>
        <v>0</v>
      </c>
      <c r="BS295" s="136">
        <f t="shared" si="62"/>
        <v>0</v>
      </c>
      <c r="BT295" s="136">
        <f t="shared" si="62"/>
        <v>0</v>
      </c>
      <c r="BU295" s="136">
        <f t="shared" si="62"/>
        <v>0</v>
      </c>
      <c r="BV295" s="136">
        <f t="shared" si="62"/>
        <v>0</v>
      </c>
      <c r="BW295" s="136">
        <f t="shared" si="60"/>
        <v>0</v>
      </c>
      <c r="BX295" s="136">
        <f t="shared" si="58"/>
        <v>0</v>
      </c>
      <c r="BZ295" s="136">
        <f t="shared" si="59"/>
        <v>0</v>
      </c>
      <c r="CA295" s="136">
        <f t="shared" si="59"/>
        <v>0</v>
      </c>
    </row>
    <row r="296" spans="12:79" hidden="1" x14ac:dyDescent="0.3">
      <c r="L296" s="136">
        <f t="shared" ref="L296:AA301" si="63">L142-CD142</f>
        <v>0</v>
      </c>
      <c r="M296" s="136">
        <f t="shared" si="63"/>
        <v>0</v>
      </c>
      <c r="N296" s="136">
        <f t="shared" si="63"/>
        <v>0</v>
      </c>
      <c r="O296" s="136">
        <f t="shared" si="62"/>
        <v>0</v>
      </c>
      <c r="P296" s="136">
        <f t="shared" si="62"/>
        <v>0</v>
      </c>
      <c r="Q296" s="136">
        <f t="shared" si="62"/>
        <v>0</v>
      </c>
      <c r="R296" s="136">
        <f t="shared" si="62"/>
        <v>0</v>
      </c>
      <c r="S296" s="136">
        <f t="shared" si="62"/>
        <v>0</v>
      </c>
      <c r="T296" s="136">
        <f t="shared" si="62"/>
        <v>0</v>
      </c>
      <c r="U296" s="136">
        <f t="shared" si="62"/>
        <v>0</v>
      </c>
      <c r="V296" s="136">
        <f t="shared" si="62"/>
        <v>0</v>
      </c>
      <c r="W296" s="136">
        <f t="shared" si="62"/>
        <v>0</v>
      </c>
      <c r="X296" s="136">
        <f t="shared" si="62"/>
        <v>0</v>
      </c>
      <c r="Y296" s="136">
        <f t="shared" si="62"/>
        <v>0</v>
      </c>
      <c r="Z296" s="136">
        <f t="shared" si="62"/>
        <v>0</v>
      </c>
      <c r="AA296" s="136">
        <f t="shared" si="62"/>
        <v>0</v>
      </c>
      <c r="AB296" s="136">
        <f t="shared" si="62"/>
        <v>0</v>
      </c>
      <c r="AC296" s="136">
        <f t="shared" si="62"/>
        <v>0</v>
      </c>
      <c r="AD296" s="136">
        <f t="shared" si="62"/>
        <v>0</v>
      </c>
      <c r="AE296" s="136">
        <f t="shared" si="62"/>
        <v>0</v>
      </c>
      <c r="AF296" s="136">
        <f t="shared" si="62"/>
        <v>0</v>
      </c>
      <c r="AG296" s="136">
        <f t="shared" si="62"/>
        <v>0</v>
      </c>
      <c r="AH296" s="136">
        <f t="shared" si="62"/>
        <v>0</v>
      </c>
      <c r="AI296" s="136">
        <f t="shared" si="62"/>
        <v>0</v>
      </c>
      <c r="AJ296" s="136">
        <f t="shared" si="62"/>
        <v>0</v>
      </c>
      <c r="AK296" s="136">
        <f t="shared" si="62"/>
        <v>0</v>
      </c>
      <c r="AL296" s="136">
        <f t="shared" si="62"/>
        <v>0</v>
      </c>
      <c r="AM296" s="136">
        <f t="shared" si="62"/>
        <v>0</v>
      </c>
      <c r="AN296" s="136">
        <f t="shared" si="62"/>
        <v>0</v>
      </c>
      <c r="AO296" s="136">
        <f t="shared" si="62"/>
        <v>0</v>
      </c>
      <c r="AP296" s="136">
        <f t="shared" si="62"/>
        <v>0</v>
      </c>
      <c r="AQ296" s="136">
        <f t="shared" si="62"/>
        <v>0</v>
      </c>
      <c r="AR296" s="136">
        <f t="shared" si="62"/>
        <v>0</v>
      </c>
      <c r="AS296" s="136">
        <f t="shared" si="62"/>
        <v>0</v>
      </c>
      <c r="AT296" s="136">
        <f t="shared" si="62"/>
        <v>0</v>
      </c>
      <c r="AU296" s="136">
        <f t="shared" si="62"/>
        <v>0</v>
      </c>
      <c r="AV296" s="136">
        <f t="shared" si="62"/>
        <v>0</v>
      </c>
      <c r="AW296" s="136">
        <f t="shared" si="62"/>
        <v>0</v>
      </c>
      <c r="AX296" s="136">
        <f t="shared" si="62"/>
        <v>0</v>
      </c>
      <c r="AY296" s="136">
        <f t="shared" si="62"/>
        <v>0</v>
      </c>
      <c r="AZ296" s="136">
        <f t="shared" si="62"/>
        <v>0</v>
      </c>
      <c r="BA296" s="136">
        <f t="shared" si="62"/>
        <v>0</v>
      </c>
      <c r="BB296" s="136">
        <f t="shared" si="62"/>
        <v>0</v>
      </c>
      <c r="BC296" s="136">
        <f t="shared" si="62"/>
        <v>0</v>
      </c>
      <c r="BD296" s="136">
        <f t="shared" si="62"/>
        <v>0</v>
      </c>
      <c r="BE296" s="136">
        <f t="shared" si="62"/>
        <v>0</v>
      </c>
      <c r="BF296" s="136">
        <f t="shared" si="62"/>
        <v>0</v>
      </c>
      <c r="BG296" s="136">
        <f t="shared" si="62"/>
        <v>0</v>
      </c>
      <c r="BH296" s="136">
        <f t="shared" si="62"/>
        <v>0</v>
      </c>
      <c r="BI296" s="136">
        <f t="shared" si="62"/>
        <v>0</v>
      </c>
      <c r="BJ296" s="136">
        <f t="shared" si="62"/>
        <v>0</v>
      </c>
      <c r="BK296" s="136">
        <f t="shared" si="62"/>
        <v>0</v>
      </c>
      <c r="BL296" s="136">
        <f t="shared" si="62"/>
        <v>0</v>
      </c>
      <c r="BM296" s="136">
        <f t="shared" si="62"/>
        <v>0</v>
      </c>
      <c r="BN296" s="136">
        <f t="shared" si="62"/>
        <v>0</v>
      </c>
      <c r="BO296" s="136">
        <f t="shared" si="62"/>
        <v>0</v>
      </c>
      <c r="BP296" s="136">
        <f t="shared" si="62"/>
        <v>0</v>
      </c>
      <c r="BQ296" s="136">
        <f t="shared" si="62"/>
        <v>0</v>
      </c>
      <c r="BR296" s="136">
        <f t="shared" si="62"/>
        <v>0</v>
      </c>
      <c r="BS296" s="136">
        <f t="shared" si="62"/>
        <v>0</v>
      </c>
      <c r="BT296" s="136">
        <f t="shared" si="62"/>
        <v>0</v>
      </c>
      <c r="BU296" s="136">
        <f t="shared" si="62"/>
        <v>0</v>
      </c>
      <c r="BV296" s="136">
        <f t="shared" si="62"/>
        <v>0</v>
      </c>
      <c r="BW296" s="136">
        <f t="shared" si="60"/>
        <v>0</v>
      </c>
      <c r="BX296" s="136">
        <f t="shared" si="58"/>
        <v>0</v>
      </c>
      <c r="BZ296" s="136">
        <f t="shared" si="59"/>
        <v>0</v>
      </c>
      <c r="CA296" s="136">
        <f t="shared" si="59"/>
        <v>0</v>
      </c>
    </row>
    <row r="297" spans="12:79" hidden="1" x14ac:dyDescent="0.3">
      <c r="L297" s="136">
        <f t="shared" si="63"/>
        <v>0</v>
      </c>
      <c r="M297" s="136">
        <f t="shared" si="63"/>
        <v>0</v>
      </c>
      <c r="N297" s="136">
        <f t="shared" si="63"/>
        <v>0</v>
      </c>
      <c r="O297" s="136">
        <f t="shared" si="62"/>
        <v>0</v>
      </c>
      <c r="P297" s="136">
        <f t="shared" si="62"/>
        <v>0</v>
      </c>
      <c r="Q297" s="136">
        <f t="shared" si="62"/>
        <v>0</v>
      </c>
      <c r="R297" s="136">
        <f t="shared" si="62"/>
        <v>0</v>
      </c>
      <c r="S297" s="136">
        <f t="shared" si="62"/>
        <v>0</v>
      </c>
      <c r="T297" s="136">
        <f t="shared" si="62"/>
        <v>0</v>
      </c>
      <c r="U297" s="136">
        <f t="shared" si="62"/>
        <v>0</v>
      </c>
      <c r="V297" s="136">
        <f t="shared" si="62"/>
        <v>0</v>
      </c>
      <c r="W297" s="136">
        <f t="shared" si="62"/>
        <v>0</v>
      </c>
      <c r="X297" s="136">
        <f t="shared" si="62"/>
        <v>0</v>
      </c>
      <c r="Y297" s="136">
        <f t="shared" si="62"/>
        <v>0</v>
      </c>
      <c r="Z297" s="136">
        <f t="shared" si="62"/>
        <v>0</v>
      </c>
      <c r="AA297" s="136">
        <f t="shared" si="62"/>
        <v>0</v>
      </c>
      <c r="AB297" s="136">
        <f t="shared" si="62"/>
        <v>0</v>
      </c>
      <c r="AC297" s="136">
        <f t="shared" si="62"/>
        <v>0</v>
      </c>
      <c r="AD297" s="136">
        <f t="shared" si="62"/>
        <v>0</v>
      </c>
      <c r="AE297" s="136">
        <f t="shared" si="62"/>
        <v>0</v>
      </c>
      <c r="AF297" s="136">
        <f t="shared" si="62"/>
        <v>0</v>
      </c>
      <c r="AG297" s="136">
        <f t="shared" si="62"/>
        <v>0</v>
      </c>
      <c r="AH297" s="136">
        <f t="shared" si="62"/>
        <v>0</v>
      </c>
      <c r="AI297" s="136">
        <f t="shared" si="62"/>
        <v>0</v>
      </c>
      <c r="AJ297" s="136">
        <f t="shared" si="62"/>
        <v>0</v>
      </c>
      <c r="AK297" s="136">
        <f t="shared" si="62"/>
        <v>0</v>
      </c>
      <c r="AL297" s="136">
        <f t="shared" si="62"/>
        <v>0</v>
      </c>
      <c r="AM297" s="136">
        <f t="shared" si="62"/>
        <v>0</v>
      </c>
      <c r="AN297" s="136">
        <f t="shared" si="62"/>
        <v>0</v>
      </c>
      <c r="AO297" s="136">
        <f t="shared" si="62"/>
        <v>0</v>
      </c>
      <c r="AP297" s="136">
        <f t="shared" si="62"/>
        <v>0</v>
      </c>
      <c r="AQ297" s="136">
        <f t="shared" si="62"/>
        <v>0</v>
      </c>
      <c r="AR297" s="136">
        <f t="shared" si="62"/>
        <v>0</v>
      </c>
      <c r="AS297" s="136">
        <f t="shared" si="62"/>
        <v>0</v>
      </c>
      <c r="AT297" s="136">
        <f t="shared" si="62"/>
        <v>0</v>
      </c>
      <c r="AU297" s="136">
        <f t="shared" si="62"/>
        <v>0</v>
      </c>
      <c r="AV297" s="136">
        <f t="shared" si="62"/>
        <v>0</v>
      </c>
      <c r="AW297" s="136">
        <f t="shared" si="62"/>
        <v>0</v>
      </c>
      <c r="AX297" s="136">
        <f t="shared" si="62"/>
        <v>0</v>
      </c>
      <c r="AY297" s="136">
        <f t="shared" si="62"/>
        <v>0</v>
      </c>
      <c r="AZ297" s="136">
        <f t="shared" si="62"/>
        <v>0</v>
      </c>
      <c r="BA297" s="136">
        <f t="shared" si="62"/>
        <v>0</v>
      </c>
      <c r="BB297" s="136">
        <f t="shared" si="62"/>
        <v>0</v>
      </c>
      <c r="BC297" s="136">
        <f t="shared" si="62"/>
        <v>0</v>
      </c>
      <c r="BD297" s="136">
        <f t="shared" si="62"/>
        <v>0</v>
      </c>
      <c r="BE297" s="136">
        <f t="shared" si="62"/>
        <v>0</v>
      </c>
      <c r="BF297" s="136">
        <f t="shared" si="62"/>
        <v>0</v>
      </c>
      <c r="BG297" s="136">
        <f t="shared" si="62"/>
        <v>0</v>
      </c>
      <c r="BH297" s="136">
        <f t="shared" si="62"/>
        <v>0</v>
      </c>
      <c r="BI297" s="136">
        <f t="shared" si="62"/>
        <v>0</v>
      </c>
      <c r="BJ297" s="136">
        <f t="shared" si="62"/>
        <v>0</v>
      </c>
      <c r="BK297" s="136">
        <f t="shared" si="62"/>
        <v>0</v>
      </c>
      <c r="BL297" s="136">
        <f t="shared" si="62"/>
        <v>0</v>
      </c>
      <c r="BM297" s="136">
        <f t="shared" si="62"/>
        <v>0</v>
      </c>
      <c r="BN297" s="136">
        <f t="shared" si="62"/>
        <v>0</v>
      </c>
      <c r="BO297" s="136">
        <f t="shared" si="62"/>
        <v>0</v>
      </c>
      <c r="BP297" s="136">
        <f t="shared" si="62"/>
        <v>0</v>
      </c>
      <c r="BQ297" s="136">
        <f t="shared" si="62"/>
        <v>0</v>
      </c>
      <c r="BR297" s="136">
        <f t="shared" si="62"/>
        <v>0</v>
      </c>
      <c r="BS297" s="136">
        <f t="shared" si="62"/>
        <v>0</v>
      </c>
      <c r="BT297" s="136">
        <f t="shared" si="62"/>
        <v>0</v>
      </c>
      <c r="BU297" s="136">
        <f t="shared" si="62"/>
        <v>0</v>
      </c>
      <c r="BV297" s="136">
        <f t="shared" si="62"/>
        <v>0</v>
      </c>
      <c r="BW297" s="136">
        <f t="shared" si="60"/>
        <v>0</v>
      </c>
      <c r="BX297" s="136">
        <f t="shared" si="58"/>
        <v>0</v>
      </c>
      <c r="BZ297" s="136">
        <f t="shared" si="59"/>
        <v>0</v>
      </c>
      <c r="CA297" s="136">
        <f t="shared" si="59"/>
        <v>0</v>
      </c>
    </row>
    <row r="298" spans="12:79" hidden="1" x14ac:dyDescent="0.3">
      <c r="L298" s="136">
        <f t="shared" si="63"/>
        <v>0</v>
      </c>
      <c r="M298" s="136">
        <f t="shared" si="63"/>
        <v>0</v>
      </c>
      <c r="N298" s="136">
        <f t="shared" si="63"/>
        <v>0</v>
      </c>
      <c r="O298" s="136">
        <f t="shared" si="62"/>
        <v>0</v>
      </c>
      <c r="P298" s="136">
        <f t="shared" si="62"/>
        <v>0</v>
      </c>
      <c r="Q298" s="136">
        <f t="shared" si="62"/>
        <v>0</v>
      </c>
      <c r="R298" s="136">
        <f t="shared" si="62"/>
        <v>0</v>
      </c>
      <c r="S298" s="136">
        <f t="shared" si="62"/>
        <v>0</v>
      </c>
      <c r="T298" s="136">
        <f t="shared" si="62"/>
        <v>0</v>
      </c>
      <c r="U298" s="136">
        <f t="shared" si="62"/>
        <v>0</v>
      </c>
      <c r="V298" s="136">
        <f t="shared" si="62"/>
        <v>0</v>
      </c>
      <c r="W298" s="136">
        <f t="shared" si="62"/>
        <v>0</v>
      </c>
      <c r="X298" s="136">
        <f t="shared" si="62"/>
        <v>0</v>
      </c>
      <c r="Y298" s="136">
        <f t="shared" si="62"/>
        <v>0</v>
      </c>
      <c r="Z298" s="136">
        <f t="shared" si="62"/>
        <v>0</v>
      </c>
      <c r="AA298" s="136">
        <f t="shared" si="62"/>
        <v>0</v>
      </c>
      <c r="AB298" s="136">
        <f t="shared" si="62"/>
        <v>0</v>
      </c>
      <c r="AC298" s="136">
        <f t="shared" si="62"/>
        <v>0</v>
      </c>
      <c r="AD298" s="136">
        <f t="shared" si="62"/>
        <v>0</v>
      </c>
      <c r="AE298" s="136">
        <f t="shared" si="62"/>
        <v>0</v>
      </c>
      <c r="AF298" s="136">
        <f t="shared" si="62"/>
        <v>0</v>
      </c>
      <c r="AG298" s="136">
        <f t="shared" si="62"/>
        <v>0</v>
      </c>
      <c r="AH298" s="136">
        <f t="shared" si="62"/>
        <v>0</v>
      </c>
      <c r="AI298" s="136">
        <f t="shared" si="62"/>
        <v>0</v>
      </c>
      <c r="AJ298" s="136">
        <f t="shared" si="62"/>
        <v>0</v>
      </c>
      <c r="AK298" s="136">
        <f t="shared" si="62"/>
        <v>0</v>
      </c>
      <c r="AL298" s="136">
        <f t="shared" si="62"/>
        <v>0</v>
      </c>
      <c r="AM298" s="136">
        <f t="shared" si="62"/>
        <v>0</v>
      </c>
      <c r="AN298" s="136">
        <f t="shared" si="62"/>
        <v>0</v>
      </c>
      <c r="AO298" s="136">
        <f t="shared" si="62"/>
        <v>0</v>
      </c>
      <c r="AP298" s="136">
        <f t="shared" si="62"/>
        <v>0</v>
      </c>
      <c r="AQ298" s="136">
        <f t="shared" si="62"/>
        <v>0</v>
      </c>
      <c r="AR298" s="136">
        <f t="shared" si="62"/>
        <v>0</v>
      </c>
      <c r="AS298" s="136">
        <f t="shared" si="62"/>
        <v>0</v>
      </c>
      <c r="AT298" s="136">
        <f t="shared" si="62"/>
        <v>0</v>
      </c>
      <c r="AU298" s="136">
        <f t="shared" si="62"/>
        <v>0</v>
      </c>
      <c r="AV298" s="136">
        <f t="shared" si="62"/>
        <v>0</v>
      </c>
      <c r="AW298" s="136">
        <f t="shared" si="62"/>
        <v>0</v>
      </c>
      <c r="AX298" s="136">
        <f t="shared" si="62"/>
        <v>0</v>
      </c>
      <c r="AY298" s="136">
        <f t="shared" si="62"/>
        <v>0</v>
      </c>
      <c r="AZ298" s="136">
        <f t="shared" si="62"/>
        <v>0</v>
      </c>
      <c r="BA298" s="136">
        <f t="shared" si="62"/>
        <v>0</v>
      </c>
      <c r="BB298" s="136">
        <f t="shared" si="62"/>
        <v>0</v>
      </c>
      <c r="BC298" s="136">
        <f t="shared" si="62"/>
        <v>0</v>
      </c>
      <c r="BD298" s="136">
        <f t="shared" si="62"/>
        <v>0</v>
      </c>
      <c r="BE298" s="136">
        <f t="shared" si="62"/>
        <v>0</v>
      </c>
      <c r="BF298" s="136">
        <f t="shared" si="62"/>
        <v>0</v>
      </c>
      <c r="BG298" s="136">
        <f t="shared" si="62"/>
        <v>0</v>
      </c>
      <c r="BH298" s="136">
        <f t="shared" si="62"/>
        <v>0</v>
      </c>
      <c r="BI298" s="136">
        <f t="shared" si="62"/>
        <v>0</v>
      </c>
      <c r="BJ298" s="136">
        <f t="shared" si="62"/>
        <v>0</v>
      </c>
      <c r="BK298" s="136">
        <f t="shared" si="62"/>
        <v>0</v>
      </c>
      <c r="BL298" s="136">
        <f t="shared" si="62"/>
        <v>0</v>
      </c>
      <c r="BM298" s="136">
        <f t="shared" si="62"/>
        <v>0</v>
      </c>
      <c r="BN298" s="136">
        <f t="shared" si="62"/>
        <v>0</v>
      </c>
      <c r="BO298" s="136">
        <f t="shared" si="62"/>
        <v>0</v>
      </c>
      <c r="BP298" s="136">
        <f t="shared" si="62"/>
        <v>0</v>
      </c>
      <c r="BQ298" s="136">
        <f t="shared" si="62"/>
        <v>0</v>
      </c>
      <c r="BR298" s="136">
        <f t="shared" si="62"/>
        <v>0</v>
      </c>
      <c r="BS298" s="136">
        <f t="shared" si="62"/>
        <v>0</v>
      </c>
      <c r="BT298" s="136">
        <f t="shared" si="62"/>
        <v>0</v>
      </c>
      <c r="BU298" s="136">
        <f t="shared" si="62"/>
        <v>0</v>
      </c>
      <c r="BV298" s="136">
        <f t="shared" si="62"/>
        <v>0</v>
      </c>
      <c r="BW298" s="136">
        <f t="shared" si="60"/>
        <v>0</v>
      </c>
      <c r="BX298" s="136">
        <f t="shared" si="58"/>
        <v>0</v>
      </c>
      <c r="BZ298" s="136">
        <f t="shared" si="59"/>
        <v>0</v>
      </c>
      <c r="CA298" s="136">
        <f t="shared" si="59"/>
        <v>0</v>
      </c>
    </row>
    <row r="299" spans="12:79" hidden="1" x14ac:dyDescent="0.3">
      <c r="L299" s="136">
        <f t="shared" si="63"/>
        <v>0</v>
      </c>
      <c r="M299" s="136">
        <f t="shared" si="63"/>
        <v>0</v>
      </c>
      <c r="N299" s="136">
        <f t="shared" si="63"/>
        <v>0</v>
      </c>
      <c r="O299" s="136">
        <f t="shared" si="62"/>
        <v>0</v>
      </c>
      <c r="P299" s="136">
        <f t="shared" si="62"/>
        <v>0</v>
      </c>
      <c r="Q299" s="136">
        <f t="shared" si="62"/>
        <v>0</v>
      </c>
      <c r="R299" s="136">
        <f t="shared" si="62"/>
        <v>0</v>
      </c>
      <c r="S299" s="136">
        <f t="shared" si="62"/>
        <v>0</v>
      </c>
      <c r="T299" s="136">
        <f t="shared" si="62"/>
        <v>0</v>
      </c>
      <c r="U299" s="136">
        <f t="shared" si="62"/>
        <v>0</v>
      </c>
      <c r="V299" s="136">
        <f t="shared" si="62"/>
        <v>0</v>
      </c>
      <c r="W299" s="136">
        <f t="shared" si="62"/>
        <v>0</v>
      </c>
      <c r="X299" s="136">
        <f t="shared" si="62"/>
        <v>0</v>
      </c>
      <c r="Y299" s="136">
        <f t="shared" si="62"/>
        <v>0</v>
      </c>
      <c r="Z299" s="136">
        <f t="shared" si="62"/>
        <v>0</v>
      </c>
      <c r="AA299" s="136">
        <f t="shared" si="62"/>
        <v>0</v>
      </c>
      <c r="AB299" s="136">
        <f t="shared" si="62"/>
        <v>0</v>
      </c>
      <c r="AC299" s="136">
        <f t="shared" si="62"/>
        <v>0</v>
      </c>
      <c r="AD299" s="136">
        <f t="shared" ref="AD299:BV301" si="64">AD145-CV145</f>
        <v>0</v>
      </c>
      <c r="AE299" s="136">
        <f t="shared" si="64"/>
        <v>0</v>
      </c>
      <c r="AF299" s="136">
        <f t="shared" si="64"/>
        <v>0</v>
      </c>
      <c r="AG299" s="136">
        <f t="shared" si="64"/>
        <v>0</v>
      </c>
      <c r="AH299" s="136">
        <f t="shared" si="64"/>
        <v>0</v>
      </c>
      <c r="AI299" s="136">
        <f t="shared" si="64"/>
        <v>0</v>
      </c>
      <c r="AJ299" s="136">
        <f t="shared" si="64"/>
        <v>0</v>
      </c>
      <c r="AK299" s="136">
        <f t="shared" si="64"/>
        <v>0</v>
      </c>
      <c r="AL299" s="136">
        <f t="shared" si="64"/>
        <v>0</v>
      </c>
      <c r="AM299" s="136">
        <f t="shared" si="64"/>
        <v>0</v>
      </c>
      <c r="AN299" s="136">
        <f t="shared" si="64"/>
        <v>0</v>
      </c>
      <c r="AO299" s="136">
        <f t="shared" si="64"/>
        <v>0</v>
      </c>
      <c r="AP299" s="136">
        <f t="shared" si="64"/>
        <v>0</v>
      </c>
      <c r="AQ299" s="136">
        <f t="shared" si="64"/>
        <v>0</v>
      </c>
      <c r="AR299" s="136">
        <f t="shared" si="64"/>
        <v>0</v>
      </c>
      <c r="AS299" s="136">
        <f t="shared" si="64"/>
        <v>0</v>
      </c>
      <c r="AT299" s="136">
        <f t="shared" si="64"/>
        <v>0</v>
      </c>
      <c r="AU299" s="136">
        <f t="shared" si="64"/>
        <v>0</v>
      </c>
      <c r="AV299" s="136">
        <f t="shared" si="64"/>
        <v>0</v>
      </c>
      <c r="AW299" s="136">
        <f t="shared" si="64"/>
        <v>0</v>
      </c>
      <c r="AX299" s="136">
        <f t="shared" si="64"/>
        <v>0</v>
      </c>
      <c r="AY299" s="136">
        <f t="shared" si="64"/>
        <v>0</v>
      </c>
      <c r="AZ299" s="136">
        <f t="shared" si="64"/>
        <v>0</v>
      </c>
      <c r="BA299" s="136">
        <f t="shared" si="64"/>
        <v>0</v>
      </c>
      <c r="BB299" s="136">
        <f t="shared" si="64"/>
        <v>0</v>
      </c>
      <c r="BC299" s="136">
        <f t="shared" si="64"/>
        <v>0</v>
      </c>
      <c r="BD299" s="136">
        <f t="shared" si="64"/>
        <v>0</v>
      </c>
      <c r="BE299" s="136">
        <f t="shared" si="64"/>
        <v>0</v>
      </c>
      <c r="BF299" s="136">
        <f t="shared" si="64"/>
        <v>0</v>
      </c>
      <c r="BG299" s="136">
        <f t="shared" si="64"/>
        <v>0</v>
      </c>
      <c r="BH299" s="136">
        <f t="shared" si="64"/>
        <v>0</v>
      </c>
      <c r="BI299" s="136">
        <f t="shared" si="64"/>
        <v>0</v>
      </c>
      <c r="BJ299" s="136">
        <f t="shared" si="64"/>
        <v>0</v>
      </c>
      <c r="BK299" s="136">
        <f t="shared" si="64"/>
        <v>0</v>
      </c>
      <c r="BL299" s="136">
        <f t="shared" si="64"/>
        <v>0</v>
      </c>
      <c r="BM299" s="136">
        <f t="shared" si="64"/>
        <v>0</v>
      </c>
      <c r="BN299" s="136">
        <f t="shared" si="64"/>
        <v>0</v>
      </c>
      <c r="BO299" s="136">
        <f t="shared" si="64"/>
        <v>0</v>
      </c>
      <c r="BP299" s="136">
        <f t="shared" si="64"/>
        <v>0</v>
      </c>
      <c r="BQ299" s="136">
        <f t="shared" si="64"/>
        <v>0</v>
      </c>
      <c r="BR299" s="136">
        <f t="shared" si="64"/>
        <v>0</v>
      </c>
      <c r="BS299" s="136">
        <f t="shared" si="64"/>
        <v>0</v>
      </c>
      <c r="BT299" s="136">
        <f t="shared" si="64"/>
        <v>0</v>
      </c>
      <c r="BU299" s="136">
        <f t="shared" si="64"/>
        <v>0</v>
      </c>
      <c r="BV299" s="136">
        <f t="shared" si="64"/>
        <v>0</v>
      </c>
      <c r="BW299" s="136">
        <f t="shared" si="60"/>
        <v>0</v>
      </c>
      <c r="BX299" s="136">
        <f t="shared" si="58"/>
        <v>0</v>
      </c>
      <c r="BZ299" s="136">
        <f t="shared" si="59"/>
        <v>0</v>
      </c>
      <c r="CA299" s="136">
        <f t="shared" si="59"/>
        <v>0</v>
      </c>
    </row>
    <row r="300" spans="12:79" hidden="1" x14ac:dyDescent="0.3">
      <c r="L300" s="136">
        <f t="shared" si="63"/>
        <v>0</v>
      </c>
      <c r="M300" s="136">
        <f t="shared" si="63"/>
        <v>0</v>
      </c>
      <c r="N300" s="136">
        <f t="shared" si="63"/>
        <v>0</v>
      </c>
      <c r="O300" s="136">
        <f t="shared" si="63"/>
        <v>0</v>
      </c>
      <c r="P300" s="136">
        <f t="shared" si="63"/>
        <v>0</v>
      </c>
      <c r="Q300" s="136">
        <f t="shared" si="63"/>
        <v>0</v>
      </c>
      <c r="R300" s="136">
        <f t="shared" si="63"/>
        <v>0</v>
      </c>
      <c r="S300" s="136">
        <f t="shared" si="63"/>
        <v>0</v>
      </c>
      <c r="T300" s="136">
        <f t="shared" si="63"/>
        <v>0</v>
      </c>
      <c r="U300" s="136">
        <f t="shared" si="63"/>
        <v>0</v>
      </c>
      <c r="V300" s="136">
        <f t="shared" si="63"/>
        <v>0</v>
      </c>
      <c r="W300" s="136">
        <f t="shared" si="63"/>
        <v>0</v>
      </c>
      <c r="X300" s="136">
        <f t="shared" si="63"/>
        <v>0</v>
      </c>
      <c r="Y300" s="136">
        <f t="shared" si="63"/>
        <v>0</v>
      </c>
      <c r="Z300" s="136">
        <f t="shared" si="63"/>
        <v>0</v>
      </c>
      <c r="AA300" s="136">
        <f t="shared" si="63"/>
        <v>0</v>
      </c>
      <c r="AB300" s="136">
        <f t="shared" ref="AB300:AC301" si="65">AB146-CT146</f>
        <v>0</v>
      </c>
      <c r="AC300" s="136">
        <f t="shared" si="65"/>
        <v>0</v>
      </c>
      <c r="AD300" s="136">
        <f t="shared" si="64"/>
        <v>0</v>
      </c>
      <c r="AE300" s="136">
        <f t="shared" si="64"/>
        <v>0</v>
      </c>
      <c r="AF300" s="136">
        <f t="shared" si="64"/>
        <v>0</v>
      </c>
      <c r="AG300" s="136">
        <f t="shared" si="64"/>
        <v>0</v>
      </c>
      <c r="AH300" s="136">
        <f t="shared" si="64"/>
        <v>0</v>
      </c>
      <c r="AI300" s="136">
        <f t="shared" si="64"/>
        <v>0</v>
      </c>
      <c r="AJ300" s="136">
        <f t="shared" si="64"/>
        <v>0</v>
      </c>
      <c r="AK300" s="136">
        <f t="shared" si="64"/>
        <v>0</v>
      </c>
      <c r="AL300" s="136">
        <f t="shared" si="64"/>
        <v>0</v>
      </c>
      <c r="AM300" s="136">
        <f t="shared" si="64"/>
        <v>0</v>
      </c>
      <c r="AN300" s="136">
        <f t="shared" si="64"/>
        <v>0</v>
      </c>
      <c r="AO300" s="136">
        <f t="shared" si="64"/>
        <v>0</v>
      </c>
      <c r="AP300" s="136">
        <f t="shared" si="64"/>
        <v>0</v>
      </c>
      <c r="AQ300" s="136">
        <f t="shared" si="64"/>
        <v>0</v>
      </c>
      <c r="AR300" s="136">
        <f t="shared" si="64"/>
        <v>0</v>
      </c>
      <c r="AS300" s="136">
        <f t="shared" si="64"/>
        <v>0</v>
      </c>
      <c r="AT300" s="136">
        <f t="shared" si="64"/>
        <v>0</v>
      </c>
      <c r="AU300" s="136">
        <f t="shared" si="64"/>
        <v>0</v>
      </c>
      <c r="AV300" s="136">
        <f t="shared" si="64"/>
        <v>0</v>
      </c>
      <c r="AW300" s="136">
        <f t="shared" si="64"/>
        <v>0</v>
      </c>
      <c r="AX300" s="136">
        <f t="shared" si="64"/>
        <v>0</v>
      </c>
      <c r="AY300" s="136">
        <f t="shared" si="64"/>
        <v>0</v>
      </c>
      <c r="AZ300" s="136">
        <f t="shared" si="64"/>
        <v>0</v>
      </c>
      <c r="BA300" s="136">
        <f t="shared" si="64"/>
        <v>0</v>
      </c>
      <c r="BB300" s="136">
        <f t="shared" si="64"/>
        <v>0</v>
      </c>
      <c r="BC300" s="136">
        <f t="shared" si="64"/>
        <v>0</v>
      </c>
      <c r="BD300" s="136">
        <f t="shared" si="64"/>
        <v>0</v>
      </c>
      <c r="BE300" s="136">
        <f t="shared" si="64"/>
        <v>0</v>
      </c>
      <c r="BF300" s="136">
        <f t="shared" si="64"/>
        <v>0</v>
      </c>
      <c r="BG300" s="136">
        <f t="shared" si="64"/>
        <v>0</v>
      </c>
      <c r="BH300" s="136">
        <f t="shared" si="64"/>
        <v>0</v>
      </c>
      <c r="BI300" s="136">
        <f t="shared" si="64"/>
        <v>0</v>
      </c>
      <c r="BJ300" s="136">
        <f t="shared" si="64"/>
        <v>0</v>
      </c>
      <c r="BK300" s="136">
        <f t="shared" si="64"/>
        <v>0</v>
      </c>
      <c r="BL300" s="136">
        <f t="shared" si="64"/>
        <v>0</v>
      </c>
      <c r="BM300" s="136">
        <f t="shared" si="64"/>
        <v>0</v>
      </c>
      <c r="BN300" s="136">
        <f t="shared" si="64"/>
        <v>0</v>
      </c>
      <c r="BO300" s="136">
        <f t="shared" si="64"/>
        <v>0</v>
      </c>
      <c r="BP300" s="136">
        <f t="shared" si="64"/>
        <v>0</v>
      </c>
      <c r="BQ300" s="136">
        <f t="shared" si="64"/>
        <v>0</v>
      </c>
      <c r="BR300" s="136">
        <f t="shared" si="64"/>
        <v>0</v>
      </c>
      <c r="BS300" s="136">
        <f t="shared" si="64"/>
        <v>0</v>
      </c>
      <c r="BT300" s="136">
        <f t="shared" si="64"/>
        <v>0</v>
      </c>
      <c r="BU300" s="136">
        <f t="shared" si="64"/>
        <v>0</v>
      </c>
      <c r="BV300" s="136">
        <f t="shared" si="64"/>
        <v>0</v>
      </c>
      <c r="BW300" s="136">
        <f t="shared" si="60"/>
        <v>0</v>
      </c>
      <c r="BX300" s="136">
        <f t="shared" si="58"/>
        <v>0</v>
      </c>
      <c r="BZ300" s="136">
        <f t="shared" si="59"/>
        <v>0</v>
      </c>
      <c r="CA300" s="136">
        <f t="shared" si="59"/>
        <v>0</v>
      </c>
    </row>
    <row r="301" spans="12:79" hidden="1" x14ac:dyDescent="0.3">
      <c r="L301" s="136">
        <f t="shared" si="63"/>
        <v>0</v>
      </c>
      <c r="M301" s="136">
        <f t="shared" si="63"/>
        <v>0</v>
      </c>
      <c r="N301" s="136">
        <f t="shared" si="63"/>
        <v>0</v>
      </c>
      <c r="O301" s="136">
        <f t="shared" si="63"/>
        <v>0</v>
      </c>
      <c r="P301" s="136">
        <f t="shared" si="63"/>
        <v>0</v>
      </c>
      <c r="Q301" s="136">
        <f t="shared" si="63"/>
        <v>0</v>
      </c>
      <c r="R301" s="136">
        <f t="shared" si="63"/>
        <v>0</v>
      </c>
      <c r="S301" s="136">
        <f t="shared" si="63"/>
        <v>0</v>
      </c>
      <c r="T301" s="136">
        <f t="shared" si="63"/>
        <v>0</v>
      </c>
      <c r="U301" s="136">
        <f t="shared" si="63"/>
        <v>0</v>
      </c>
      <c r="V301" s="136">
        <f t="shared" si="63"/>
        <v>0</v>
      </c>
      <c r="W301" s="136">
        <f t="shared" si="63"/>
        <v>0</v>
      </c>
      <c r="X301" s="136">
        <f t="shared" si="63"/>
        <v>0</v>
      </c>
      <c r="Y301" s="136">
        <f t="shared" si="63"/>
        <v>0</v>
      </c>
      <c r="Z301" s="136">
        <f t="shared" si="63"/>
        <v>0</v>
      </c>
      <c r="AA301" s="136">
        <f t="shared" si="63"/>
        <v>0</v>
      </c>
      <c r="AB301" s="136">
        <f t="shared" si="65"/>
        <v>0</v>
      </c>
      <c r="AC301" s="136">
        <f t="shared" si="65"/>
        <v>0</v>
      </c>
      <c r="AD301" s="136">
        <f t="shared" si="64"/>
        <v>0</v>
      </c>
      <c r="AE301" s="136">
        <f t="shared" si="64"/>
        <v>0</v>
      </c>
      <c r="AF301" s="136">
        <f t="shared" si="64"/>
        <v>0</v>
      </c>
      <c r="AG301" s="136">
        <f t="shared" si="64"/>
        <v>0</v>
      </c>
      <c r="AH301" s="136">
        <f t="shared" si="64"/>
        <v>0</v>
      </c>
      <c r="AI301" s="136">
        <f t="shared" si="64"/>
        <v>0</v>
      </c>
      <c r="AJ301" s="136">
        <f t="shared" si="64"/>
        <v>0</v>
      </c>
      <c r="AK301" s="136">
        <f t="shared" si="64"/>
        <v>0</v>
      </c>
      <c r="AL301" s="136">
        <f t="shared" si="64"/>
        <v>0</v>
      </c>
      <c r="AM301" s="136">
        <f t="shared" si="64"/>
        <v>0</v>
      </c>
      <c r="AN301" s="136">
        <f t="shared" si="64"/>
        <v>0</v>
      </c>
      <c r="AO301" s="136">
        <f t="shared" si="64"/>
        <v>0</v>
      </c>
      <c r="AP301" s="136">
        <f t="shared" si="64"/>
        <v>0</v>
      </c>
      <c r="AQ301" s="136">
        <f t="shared" si="64"/>
        <v>0</v>
      </c>
      <c r="AR301" s="136">
        <f t="shared" si="64"/>
        <v>0</v>
      </c>
      <c r="AS301" s="136">
        <f t="shared" si="64"/>
        <v>0</v>
      </c>
      <c r="AT301" s="136">
        <f t="shared" si="64"/>
        <v>0</v>
      </c>
      <c r="AU301" s="136">
        <f t="shared" si="64"/>
        <v>0</v>
      </c>
      <c r="AV301" s="136">
        <f t="shared" si="64"/>
        <v>0</v>
      </c>
      <c r="AW301" s="136">
        <f t="shared" si="64"/>
        <v>0</v>
      </c>
      <c r="AX301" s="136">
        <f t="shared" si="64"/>
        <v>0</v>
      </c>
      <c r="AY301" s="136">
        <f t="shared" si="64"/>
        <v>0</v>
      </c>
      <c r="AZ301" s="136">
        <f t="shared" si="64"/>
        <v>0</v>
      </c>
      <c r="BA301" s="136">
        <f t="shared" si="64"/>
        <v>0</v>
      </c>
      <c r="BB301" s="136">
        <f t="shared" si="64"/>
        <v>0</v>
      </c>
      <c r="BC301" s="136">
        <f t="shared" si="64"/>
        <v>0</v>
      </c>
      <c r="BD301" s="136">
        <f t="shared" si="64"/>
        <v>0</v>
      </c>
      <c r="BE301" s="136">
        <f t="shared" si="64"/>
        <v>0</v>
      </c>
      <c r="BF301" s="136">
        <f t="shared" si="64"/>
        <v>0</v>
      </c>
      <c r="BG301" s="136">
        <f t="shared" si="64"/>
        <v>0</v>
      </c>
      <c r="BH301" s="136">
        <f t="shared" si="64"/>
        <v>0</v>
      </c>
      <c r="BI301" s="136">
        <f t="shared" si="64"/>
        <v>0</v>
      </c>
      <c r="BJ301" s="136">
        <f t="shared" si="64"/>
        <v>0</v>
      </c>
      <c r="BK301" s="136">
        <f t="shared" si="64"/>
        <v>0</v>
      </c>
      <c r="BL301" s="136">
        <f t="shared" si="64"/>
        <v>0</v>
      </c>
      <c r="BM301" s="136">
        <f t="shared" si="64"/>
        <v>0</v>
      </c>
      <c r="BN301" s="136">
        <f t="shared" si="64"/>
        <v>0</v>
      </c>
      <c r="BO301" s="136">
        <f t="shared" si="64"/>
        <v>0</v>
      </c>
      <c r="BP301" s="136">
        <f t="shared" si="64"/>
        <v>0</v>
      </c>
      <c r="BQ301" s="136">
        <f t="shared" si="64"/>
        <v>0</v>
      </c>
      <c r="BR301" s="136">
        <f t="shared" si="64"/>
        <v>0</v>
      </c>
      <c r="BS301" s="136">
        <f t="shared" si="64"/>
        <v>0</v>
      </c>
      <c r="BT301" s="136">
        <f t="shared" si="64"/>
        <v>0</v>
      </c>
      <c r="BU301" s="136">
        <f t="shared" si="64"/>
        <v>0</v>
      </c>
      <c r="BV301" s="136">
        <f t="shared" si="64"/>
        <v>0</v>
      </c>
      <c r="BW301" s="136">
        <f t="shared" si="60"/>
        <v>0</v>
      </c>
      <c r="BX301" s="136">
        <f t="shared" si="58"/>
        <v>0</v>
      </c>
      <c r="BZ301" s="136">
        <f t="shared" si="59"/>
        <v>0</v>
      </c>
      <c r="CA301" s="136">
        <f t="shared" si="59"/>
        <v>0</v>
      </c>
    </row>
    <row r="302" spans="12:79" hidden="1" x14ac:dyDescent="0.3">
      <c r="L302" s="136">
        <f t="shared" ref="L302:BW305" si="66">L151-CD151</f>
        <v>354961</v>
      </c>
      <c r="M302" s="136">
        <f t="shared" si="66"/>
        <v>0</v>
      </c>
      <c r="N302" s="136">
        <f t="shared" si="66"/>
        <v>0</v>
      </c>
      <c r="O302" s="136">
        <f t="shared" si="66"/>
        <v>0</v>
      </c>
      <c r="P302" s="136">
        <f t="shared" si="66"/>
        <v>0</v>
      </c>
      <c r="Q302" s="136">
        <f t="shared" si="66"/>
        <v>1469964</v>
      </c>
      <c r="R302" s="136">
        <f t="shared" si="66"/>
        <v>0</v>
      </c>
      <c r="S302" s="136">
        <f t="shared" si="66"/>
        <v>0</v>
      </c>
      <c r="T302" s="136">
        <f t="shared" si="66"/>
        <v>0</v>
      </c>
      <c r="U302" s="136">
        <f t="shared" si="66"/>
        <v>0</v>
      </c>
      <c r="V302" s="136">
        <f t="shared" si="66"/>
        <v>362091</v>
      </c>
      <c r="W302" s="136">
        <f t="shared" si="66"/>
        <v>0</v>
      </c>
      <c r="X302" s="136">
        <f t="shared" si="66"/>
        <v>0</v>
      </c>
      <c r="Y302" s="136">
        <f t="shared" si="66"/>
        <v>0</v>
      </c>
      <c r="Z302" s="136">
        <f t="shared" si="66"/>
        <v>0</v>
      </c>
      <c r="AA302" s="136">
        <f t="shared" si="66"/>
        <v>0</v>
      </c>
      <c r="AB302" s="136">
        <f t="shared" si="66"/>
        <v>0</v>
      </c>
      <c r="AC302" s="136">
        <f t="shared" si="66"/>
        <v>0</v>
      </c>
      <c r="AD302" s="136">
        <f t="shared" si="66"/>
        <v>0</v>
      </c>
      <c r="AE302" s="136">
        <f t="shared" si="66"/>
        <v>0</v>
      </c>
      <c r="AF302" s="136">
        <f t="shared" si="66"/>
        <v>107401</v>
      </c>
      <c r="AG302" s="136">
        <f t="shared" si="66"/>
        <v>0</v>
      </c>
      <c r="AH302" s="136">
        <f t="shared" si="66"/>
        <v>0</v>
      </c>
      <c r="AI302" s="136">
        <f t="shared" si="66"/>
        <v>0</v>
      </c>
      <c r="AJ302" s="136">
        <f t="shared" si="66"/>
        <v>0</v>
      </c>
      <c r="AK302" s="136">
        <f t="shared" si="66"/>
        <v>46213</v>
      </c>
      <c r="AL302" s="136">
        <f t="shared" si="66"/>
        <v>0</v>
      </c>
      <c r="AM302" s="136">
        <f t="shared" si="66"/>
        <v>0</v>
      </c>
      <c r="AN302" s="136">
        <f t="shared" si="66"/>
        <v>0</v>
      </c>
      <c r="AO302" s="136">
        <f t="shared" si="66"/>
        <v>0</v>
      </c>
      <c r="AP302" s="136">
        <f t="shared" si="66"/>
        <v>0</v>
      </c>
      <c r="AQ302" s="136">
        <f t="shared" si="66"/>
        <v>0</v>
      </c>
      <c r="AR302" s="136">
        <f t="shared" si="66"/>
        <v>0</v>
      </c>
      <c r="AS302" s="136">
        <f t="shared" si="66"/>
        <v>0</v>
      </c>
      <c r="AT302" s="136">
        <f t="shared" si="66"/>
        <v>0</v>
      </c>
      <c r="AU302" s="136">
        <f t="shared" si="66"/>
        <v>0</v>
      </c>
      <c r="AV302" s="136">
        <f t="shared" si="66"/>
        <v>0</v>
      </c>
      <c r="AW302" s="136">
        <f t="shared" si="66"/>
        <v>0</v>
      </c>
      <c r="AX302" s="136">
        <f t="shared" si="66"/>
        <v>0</v>
      </c>
      <c r="AY302" s="136">
        <f t="shared" si="66"/>
        <v>0</v>
      </c>
      <c r="AZ302" s="136">
        <f t="shared" si="66"/>
        <v>212937</v>
      </c>
      <c r="BA302" s="136">
        <f t="shared" si="66"/>
        <v>0</v>
      </c>
      <c r="BB302" s="136">
        <f t="shared" si="66"/>
        <v>0</v>
      </c>
      <c r="BC302" s="136">
        <f t="shared" si="66"/>
        <v>0</v>
      </c>
      <c r="BD302" s="136">
        <f t="shared" si="66"/>
        <v>0</v>
      </c>
      <c r="BE302" s="136">
        <f t="shared" si="66"/>
        <v>0</v>
      </c>
      <c r="BF302" s="136">
        <f t="shared" si="66"/>
        <v>0</v>
      </c>
      <c r="BG302" s="136">
        <f t="shared" si="66"/>
        <v>0</v>
      </c>
      <c r="BH302" s="136">
        <f t="shared" si="66"/>
        <v>0</v>
      </c>
      <c r="BI302" s="136">
        <f t="shared" si="66"/>
        <v>0</v>
      </c>
      <c r="BJ302" s="136">
        <f t="shared" si="66"/>
        <v>0</v>
      </c>
      <c r="BK302" s="136">
        <f t="shared" si="66"/>
        <v>0</v>
      </c>
      <c r="BL302" s="136">
        <f t="shared" si="66"/>
        <v>0</v>
      </c>
      <c r="BM302" s="136">
        <f t="shared" si="66"/>
        <v>0</v>
      </c>
      <c r="BN302" s="136">
        <f t="shared" si="66"/>
        <v>0</v>
      </c>
      <c r="BO302" s="136">
        <f t="shared" si="66"/>
        <v>-518523</v>
      </c>
      <c r="BP302" s="136">
        <f t="shared" si="66"/>
        <v>0</v>
      </c>
      <c r="BQ302" s="136">
        <f t="shared" si="66"/>
        <v>0</v>
      </c>
      <c r="BR302" s="136">
        <f t="shared" si="66"/>
        <v>0</v>
      </c>
      <c r="BS302" s="136">
        <f t="shared" si="66"/>
        <v>0</v>
      </c>
      <c r="BT302" s="136">
        <f t="shared" si="66"/>
        <v>2553567</v>
      </c>
      <c r="BU302" s="136">
        <f t="shared" si="66"/>
        <v>0</v>
      </c>
      <c r="BV302" s="136">
        <f t="shared" si="66"/>
        <v>0</v>
      </c>
      <c r="BW302" s="136">
        <f t="shared" si="66"/>
        <v>0</v>
      </c>
      <c r="BX302" s="136">
        <f t="shared" ref="BX302:BX365" si="67">BX151-EP151</f>
        <v>0</v>
      </c>
      <c r="BZ302" s="136">
        <f t="shared" ref="BZ302:CA317" si="68">BZ151-ER151</f>
        <v>0</v>
      </c>
      <c r="CA302" s="136">
        <f t="shared" si="68"/>
        <v>0</v>
      </c>
    </row>
    <row r="303" spans="12:79" hidden="1" x14ac:dyDescent="0.3">
      <c r="L303" s="136">
        <f t="shared" si="66"/>
        <v>354961</v>
      </c>
      <c r="M303" s="136">
        <f t="shared" si="66"/>
        <v>0</v>
      </c>
      <c r="N303" s="136">
        <f t="shared" si="66"/>
        <v>0</v>
      </c>
      <c r="O303" s="136">
        <f t="shared" si="66"/>
        <v>0</v>
      </c>
      <c r="P303" s="136">
        <f t="shared" si="66"/>
        <v>0</v>
      </c>
      <c r="Q303" s="136">
        <f t="shared" si="66"/>
        <v>1469964</v>
      </c>
      <c r="R303" s="136">
        <f t="shared" si="66"/>
        <v>0</v>
      </c>
      <c r="S303" s="136">
        <f t="shared" si="66"/>
        <v>0</v>
      </c>
      <c r="T303" s="136">
        <f t="shared" si="66"/>
        <v>0</v>
      </c>
      <c r="U303" s="136">
        <f t="shared" si="66"/>
        <v>0</v>
      </c>
      <c r="V303" s="136">
        <f t="shared" si="66"/>
        <v>362091</v>
      </c>
      <c r="W303" s="136">
        <f t="shared" si="66"/>
        <v>0</v>
      </c>
      <c r="X303" s="136">
        <f t="shared" si="66"/>
        <v>0</v>
      </c>
      <c r="Y303" s="136">
        <f t="shared" si="66"/>
        <v>0</v>
      </c>
      <c r="Z303" s="136">
        <f t="shared" si="66"/>
        <v>0</v>
      </c>
      <c r="AA303" s="136">
        <f t="shared" si="66"/>
        <v>0</v>
      </c>
      <c r="AB303" s="136">
        <f t="shared" si="66"/>
        <v>0</v>
      </c>
      <c r="AC303" s="136">
        <f t="shared" si="66"/>
        <v>0</v>
      </c>
      <c r="AD303" s="136">
        <f t="shared" si="66"/>
        <v>0</v>
      </c>
      <c r="AE303" s="136">
        <f t="shared" si="66"/>
        <v>0</v>
      </c>
      <c r="AF303" s="136">
        <f t="shared" si="66"/>
        <v>107401</v>
      </c>
      <c r="AG303" s="136">
        <f t="shared" si="66"/>
        <v>0</v>
      </c>
      <c r="AH303" s="136">
        <f t="shared" si="66"/>
        <v>0</v>
      </c>
      <c r="AI303" s="136">
        <f t="shared" si="66"/>
        <v>0</v>
      </c>
      <c r="AJ303" s="136">
        <f t="shared" si="66"/>
        <v>0</v>
      </c>
      <c r="AK303" s="136">
        <f t="shared" si="66"/>
        <v>46213</v>
      </c>
      <c r="AL303" s="136">
        <f t="shared" si="66"/>
        <v>0</v>
      </c>
      <c r="AM303" s="136">
        <f t="shared" si="66"/>
        <v>0</v>
      </c>
      <c r="AN303" s="136">
        <f t="shared" si="66"/>
        <v>0</v>
      </c>
      <c r="AO303" s="136">
        <f t="shared" si="66"/>
        <v>0</v>
      </c>
      <c r="AP303" s="136">
        <f t="shared" si="66"/>
        <v>0</v>
      </c>
      <c r="AQ303" s="136">
        <f t="shared" si="66"/>
        <v>0</v>
      </c>
      <c r="AR303" s="136">
        <f t="shared" si="66"/>
        <v>0</v>
      </c>
      <c r="AS303" s="136">
        <f t="shared" si="66"/>
        <v>0</v>
      </c>
      <c r="AT303" s="136">
        <f t="shared" si="66"/>
        <v>0</v>
      </c>
      <c r="AU303" s="136">
        <f t="shared" si="66"/>
        <v>0</v>
      </c>
      <c r="AV303" s="136">
        <f t="shared" si="66"/>
        <v>0</v>
      </c>
      <c r="AW303" s="136">
        <f t="shared" si="66"/>
        <v>0</v>
      </c>
      <c r="AX303" s="136">
        <f t="shared" si="66"/>
        <v>0</v>
      </c>
      <c r="AY303" s="136">
        <f t="shared" si="66"/>
        <v>0</v>
      </c>
      <c r="AZ303" s="136">
        <f t="shared" si="66"/>
        <v>212937</v>
      </c>
      <c r="BA303" s="136">
        <f t="shared" si="66"/>
        <v>0</v>
      </c>
      <c r="BB303" s="136">
        <f t="shared" si="66"/>
        <v>0</v>
      </c>
      <c r="BC303" s="136">
        <f t="shared" si="66"/>
        <v>0</v>
      </c>
      <c r="BD303" s="136">
        <f t="shared" si="66"/>
        <v>0</v>
      </c>
      <c r="BE303" s="136">
        <f t="shared" si="66"/>
        <v>0</v>
      </c>
      <c r="BF303" s="136">
        <f t="shared" si="66"/>
        <v>0</v>
      </c>
      <c r="BG303" s="136">
        <f t="shared" si="66"/>
        <v>0</v>
      </c>
      <c r="BH303" s="136">
        <f t="shared" si="66"/>
        <v>0</v>
      </c>
      <c r="BI303" s="136">
        <f t="shared" si="66"/>
        <v>0</v>
      </c>
      <c r="BJ303" s="136">
        <f t="shared" si="66"/>
        <v>0</v>
      </c>
      <c r="BK303" s="136">
        <f t="shared" si="66"/>
        <v>0</v>
      </c>
      <c r="BL303" s="136">
        <f t="shared" si="66"/>
        <v>0</v>
      </c>
      <c r="BM303" s="136">
        <f t="shared" si="66"/>
        <v>0</v>
      </c>
      <c r="BN303" s="136">
        <f t="shared" si="66"/>
        <v>0</v>
      </c>
      <c r="BO303" s="136">
        <f t="shared" si="66"/>
        <v>-518523</v>
      </c>
      <c r="BP303" s="136">
        <f t="shared" si="66"/>
        <v>0</v>
      </c>
      <c r="BQ303" s="136">
        <f t="shared" si="66"/>
        <v>0</v>
      </c>
      <c r="BR303" s="136">
        <f t="shared" si="66"/>
        <v>0</v>
      </c>
      <c r="BS303" s="136">
        <f t="shared" si="66"/>
        <v>0</v>
      </c>
      <c r="BT303" s="136">
        <f t="shared" si="66"/>
        <v>2553567</v>
      </c>
      <c r="BU303" s="136">
        <f t="shared" si="66"/>
        <v>0</v>
      </c>
      <c r="BV303" s="136">
        <f t="shared" si="66"/>
        <v>0</v>
      </c>
      <c r="BW303" s="136">
        <f t="shared" si="66"/>
        <v>0</v>
      </c>
      <c r="BX303" s="136">
        <f t="shared" si="67"/>
        <v>0</v>
      </c>
      <c r="BZ303" s="136">
        <f t="shared" si="68"/>
        <v>0</v>
      </c>
      <c r="CA303" s="136">
        <f t="shared" si="68"/>
        <v>0</v>
      </c>
    </row>
    <row r="304" spans="12:79" hidden="1" x14ac:dyDescent="0.3">
      <c r="L304" s="136">
        <f t="shared" si="66"/>
        <v>0</v>
      </c>
      <c r="M304" s="136">
        <f t="shared" si="66"/>
        <v>0</v>
      </c>
      <c r="N304" s="136">
        <f t="shared" si="66"/>
        <v>0</v>
      </c>
      <c r="O304" s="136">
        <f t="shared" si="66"/>
        <v>0</v>
      </c>
      <c r="P304" s="136">
        <f t="shared" si="66"/>
        <v>0</v>
      </c>
      <c r="Q304" s="136">
        <f t="shared" si="66"/>
        <v>0</v>
      </c>
      <c r="R304" s="136">
        <f t="shared" si="66"/>
        <v>0</v>
      </c>
      <c r="S304" s="136">
        <f t="shared" si="66"/>
        <v>0</v>
      </c>
      <c r="T304" s="136">
        <f t="shared" si="66"/>
        <v>0</v>
      </c>
      <c r="U304" s="136">
        <f t="shared" si="66"/>
        <v>0</v>
      </c>
      <c r="V304" s="136">
        <f t="shared" si="66"/>
        <v>0</v>
      </c>
      <c r="W304" s="136">
        <f t="shared" si="66"/>
        <v>0</v>
      </c>
      <c r="X304" s="136">
        <f t="shared" si="66"/>
        <v>0</v>
      </c>
      <c r="Y304" s="136">
        <f t="shared" si="66"/>
        <v>0</v>
      </c>
      <c r="Z304" s="136">
        <f t="shared" si="66"/>
        <v>0</v>
      </c>
      <c r="AA304" s="136">
        <f t="shared" si="66"/>
        <v>0</v>
      </c>
      <c r="AB304" s="136">
        <f t="shared" si="66"/>
        <v>0</v>
      </c>
      <c r="AC304" s="136">
        <f t="shared" si="66"/>
        <v>0</v>
      </c>
      <c r="AD304" s="136">
        <f t="shared" si="66"/>
        <v>0</v>
      </c>
      <c r="AE304" s="136">
        <f t="shared" si="66"/>
        <v>0</v>
      </c>
      <c r="AF304" s="136">
        <f t="shared" si="66"/>
        <v>0</v>
      </c>
      <c r="AG304" s="136">
        <f t="shared" si="66"/>
        <v>0</v>
      </c>
      <c r="AH304" s="136">
        <f t="shared" si="66"/>
        <v>0</v>
      </c>
      <c r="AI304" s="136">
        <f t="shared" si="66"/>
        <v>0</v>
      </c>
      <c r="AJ304" s="136">
        <f t="shared" si="66"/>
        <v>0</v>
      </c>
      <c r="AK304" s="136">
        <f t="shared" si="66"/>
        <v>0</v>
      </c>
      <c r="AL304" s="136">
        <f t="shared" si="66"/>
        <v>0</v>
      </c>
      <c r="AM304" s="136">
        <f t="shared" si="66"/>
        <v>0</v>
      </c>
      <c r="AN304" s="136">
        <f t="shared" si="66"/>
        <v>0</v>
      </c>
      <c r="AO304" s="136">
        <f t="shared" si="66"/>
        <v>0</v>
      </c>
      <c r="AP304" s="136">
        <f t="shared" si="66"/>
        <v>0</v>
      </c>
      <c r="AQ304" s="136">
        <f t="shared" si="66"/>
        <v>0</v>
      </c>
      <c r="AR304" s="136">
        <f t="shared" si="66"/>
        <v>0</v>
      </c>
      <c r="AS304" s="136">
        <f t="shared" si="66"/>
        <v>0</v>
      </c>
      <c r="AT304" s="136">
        <f t="shared" si="66"/>
        <v>0</v>
      </c>
      <c r="AU304" s="136">
        <f t="shared" si="66"/>
        <v>0</v>
      </c>
      <c r="AV304" s="136">
        <f t="shared" si="66"/>
        <v>0</v>
      </c>
      <c r="AW304" s="136">
        <f t="shared" si="66"/>
        <v>0</v>
      </c>
      <c r="AX304" s="136">
        <f t="shared" si="66"/>
        <v>0</v>
      </c>
      <c r="AY304" s="136">
        <f t="shared" si="66"/>
        <v>0</v>
      </c>
      <c r="AZ304" s="136">
        <f t="shared" si="66"/>
        <v>0</v>
      </c>
      <c r="BA304" s="136">
        <f t="shared" si="66"/>
        <v>0</v>
      </c>
      <c r="BB304" s="136">
        <f t="shared" si="66"/>
        <v>0</v>
      </c>
      <c r="BC304" s="136">
        <f t="shared" si="66"/>
        <v>0</v>
      </c>
      <c r="BD304" s="136">
        <f t="shared" si="66"/>
        <v>0</v>
      </c>
      <c r="BE304" s="136">
        <f t="shared" si="66"/>
        <v>0</v>
      </c>
      <c r="BF304" s="136">
        <f t="shared" si="66"/>
        <v>0</v>
      </c>
      <c r="BG304" s="136">
        <f t="shared" si="66"/>
        <v>0</v>
      </c>
      <c r="BH304" s="136">
        <f t="shared" si="66"/>
        <v>0</v>
      </c>
      <c r="BI304" s="136">
        <f t="shared" si="66"/>
        <v>0</v>
      </c>
      <c r="BJ304" s="136">
        <f t="shared" si="66"/>
        <v>0</v>
      </c>
      <c r="BK304" s="136">
        <f t="shared" si="66"/>
        <v>0</v>
      </c>
      <c r="BL304" s="136">
        <f t="shared" si="66"/>
        <v>0</v>
      </c>
      <c r="BM304" s="136">
        <f t="shared" si="66"/>
        <v>0</v>
      </c>
      <c r="BN304" s="136">
        <f t="shared" si="66"/>
        <v>0</v>
      </c>
      <c r="BO304" s="136">
        <f t="shared" si="66"/>
        <v>0</v>
      </c>
      <c r="BP304" s="136">
        <f t="shared" si="66"/>
        <v>0</v>
      </c>
      <c r="BQ304" s="136">
        <f t="shared" si="66"/>
        <v>0</v>
      </c>
      <c r="BR304" s="136">
        <f t="shared" si="66"/>
        <v>0</v>
      </c>
      <c r="BS304" s="136">
        <f t="shared" si="66"/>
        <v>0</v>
      </c>
      <c r="BT304" s="136">
        <f t="shared" si="66"/>
        <v>0</v>
      </c>
      <c r="BU304" s="136">
        <f t="shared" si="66"/>
        <v>0</v>
      </c>
      <c r="BV304" s="136">
        <f t="shared" si="66"/>
        <v>0</v>
      </c>
      <c r="BW304" s="136">
        <f t="shared" si="66"/>
        <v>0</v>
      </c>
      <c r="BX304" s="136">
        <f t="shared" si="67"/>
        <v>0</v>
      </c>
      <c r="BZ304" s="136">
        <f t="shared" si="68"/>
        <v>0</v>
      </c>
      <c r="CA304" s="136">
        <f t="shared" si="68"/>
        <v>0</v>
      </c>
    </row>
    <row r="305" spans="12:79" hidden="1" x14ac:dyDescent="0.3">
      <c r="L305" s="136">
        <f t="shared" si="66"/>
        <v>-15296</v>
      </c>
      <c r="M305" s="136">
        <f t="shared" si="66"/>
        <v>0</v>
      </c>
      <c r="N305" s="136">
        <f t="shared" si="66"/>
        <v>0</v>
      </c>
      <c r="O305" s="136">
        <f t="shared" si="66"/>
        <v>0</v>
      </c>
      <c r="P305" s="136">
        <f t="shared" si="66"/>
        <v>0</v>
      </c>
      <c r="Q305" s="136">
        <f t="shared" si="66"/>
        <v>55166</v>
      </c>
      <c r="R305" s="136">
        <f t="shared" si="66"/>
        <v>0</v>
      </c>
      <c r="S305" s="136">
        <f t="shared" si="66"/>
        <v>0</v>
      </c>
      <c r="T305" s="136">
        <f t="shared" si="66"/>
        <v>0</v>
      </c>
      <c r="U305" s="136">
        <f t="shared" si="66"/>
        <v>0</v>
      </c>
      <c r="V305" s="136">
        <f t="shared" si="66"/>
        <v>230067</v>
      </c>
      <c r="W305" s="136">
        <f t="shared" si="66"/>
        <v>0</v>
      </c>
      <c r="X305" s="136">
        <f t="shared" si="66"/>
        <v>0</v>
      </c>
      <c r="Y305" s="136">
        <f t="shared" si="66"/>
        <v>0</v>
      </c>
      <c r="Z305" s="136">
        <f t="shared" si="66"/>
        <v>0</v>
      </c>
      <c r="AA305" s="136">
        <f t="shared" si="66"/>
        <v>0</v>
      </c>
      <c r="AB305" s="136">
        <f t="shared" si="66"/>
        <v>0</v>
      </c>
      <c r="AC305" s="136">
        <f t="shared" si="66"/>
        <v>0</v>
      </c>
      <c r="AD305" s="136">
        <f t="shared" si="66"/>
        <v>0</v>
      </c>
      <c r="AE305" s="136">
        <f t="shared" si="66"/>
        <v>0</v>
      </c>
      <c r="AF305" s="136">
        <f t="shared" si="66"/>
        <v>106768</v>
      </c>
      <c r="AG305" s="136">
        <f t="shared" si="66"/>
        <v>0</v>
      </c>
      <c r="AH305" s="136">
        <f t="shared" si="66"/>
        <v>0</v>
      </c>
      <c r="AI305" s="136">
        <f t="shared" si="66"/>
        <v>0</v>
      </c>
      <c r="AJ305" s="136">
        <f t="shared" si="66"/>
        <v>0</v>
      </c>
      <c r="AK305" s="136">
        <f t="shared" si="66"/>
        <v>0</v>
      </c>
      <c r="AL305" s="136">
        <f t="shared" si="66"/>
        <v>0</v>
      </c>
      <c r="AM305" s="136">
        <f t="shared" si="66"/>
        <v>0</v>
      </c>
      <c r="AN305" s="136">
        <f t="shared" si="66"/>
        <v>0</v>
      </c>
      <c r="AO305" s="136">
        <f t="shared" si="66"/>
        <v>0</v>
      </c>
      <c r="AP305" s="136">
        <f t="shared" si="66"/>
        <v>176497</v>
      </c>
      <c r="AQ305" s="136">
        <f t="shared" si="66"/>
        <v>0</v>
      </c>
      <c r="AR305" s="136">
        <f t="shared" si="66"/>
        <v>0</v>
      </c>
      <c r="AS305" s="136">
        <f t="shared" si="66"/>
        <v>0</v>
      </c>
      <c r="AT305" s="136">
        <f t="shared" si="66"/>
        <v>0</v>
      </c>
      <c r="AU305" s="136">
        <f t="shared" si="66"/>
        <v>211593</v>
      </c>
      <c r="AV305" s="136">
        <f t="shared" si="66"/>
        <v>0</v>
      </c>
      <c r="AW305" s="136">
        <f t="shared" si="66"/>
        <v>0</v>
      </c>
      <c r="AX305" s="136">
        <f t="shared" si="66"/>
        <v>0</v>
      </c>
      <c r="AY305" s="136">
        <f t="shared" si="66"/>
        <v>0</v>
      </c>
      <c r="AZ305" s="136">
        <f t="shared" si="66"/>
        <v>-227461</v>
      </c>
      <c r="BA305" s="136">
        <f t="shared" si="66"/>
        <v>0</v>
      </c>
      <c r="BB305" s="136">
        <f t="shared" si="66"/>
        <v>0</v>
      </c>
      <c r="BC305" s="136">
        <f t="shared" si="66"/>
        <v>0</v>
      </c>
      <c r="BD305" s="136">
        <f t="shared" si="66"/>
        <v>0</v>
      </c>
      <c r="BE305" s="136">
        <f t="shared" si="66"/>
        <v>0</v>
      </c>
      <c r="BF305" s="136">
        <f t="shared" si="66"/>
        <v>0</v>
      </c>
      <c r="BG305" s="136">
        <f t="shared" si="66"/>
        <v>0</v>
      </c>
      <c r="BH305" s="136">
        <f t="shared" si="66"/>
        <v>0</v>
      </c>
      <c r="BI305" s="136">
        <f t="shared" si="66"/>
        <v>0</v>
      </c>
      <c r="BJ305" s="136">
        <f t="shared" si="66"/>
        <v>-232101</v>
      </c>
      <c r="BK305" s="136">
        <f t="shared" si="66"/>
        <v>0</v>
      </c>
      <c r="BL305" s="136">
        <f t="shared" si="66"/>
        <v>0</v>
      </c>
      <c r="BM305" s="136">
        <f t="shared" si="66"/>
        <v>0</v>
      </c>
      <c r="BN305" s="136">
        <f t="shared" si="66"/>
        <v>0</v>
      </c>
      <c r="BO305" s="136">
        <f t="shared" si="66"/>
        <v>-782082</v>
      </c>
      <c r="BP305" s="136">
        <f t="shared" si="66"/>
        <v>0</v>
      </c>
      <c r="BQ305" s="136">
        <f t="shared" si="66"/>
        <v>0</v>
      </c>
      <c r="BR305" s="136">
        <f t="shared" si="66"/>
        <v>0</v>
      </c>
      <c r="BS305" s="136">
        <f t="shared" si="66"/>
        <v>0</v>
      </c>
      <c r="BT305" s="136">
        <f t="shared" si="66"/>
        <v>537334</v>
      </c>
      <c r="BU305" s="136">
        <f t="shared" si="66"/>
        <v>0</v>
      </c>
      <c r="BV305" s="136">
        <f t="shared" si="66"/>
        <v>0</v>
      </c>
      <c r="BW305" s="136">
        <f t="shared" ref="BW305:BX366" si="69">BW154-EO154</f>
        <v>0</v>
      </c>
      <c r="BX305" s="136">
        <f t="shared" si="67"/>
        <v>0</v>
      </c>
      <c r="BZ305" s="136">
        <f t="shared" si="68"/>
        <v>0</v>
      </c>
      <c r="CA305" s="136">
        <f t="shared" si="68"/>
        <v>0</v>
      </c>
    </row>
    <row r="306" spans="12:79" hidden="1" x14ac:dyDescent="0.3">
      <c r="L306" s="136">
        <f t="shared" ref="L306:BV310" si="70">L155-CD155</f>
        <v>-15296</v>
      </c>
      <c r="M306" s="136">
        <f t="shared" si="70"/>
        <v>0</v>
      </c>
      <c r="N306" s="136">
        <f t="shared" si="70"/>
        <v>0</v>
      </c>
      <c r="O306" s="136">
        <f t="shared" si="70"/>
        <v>0</v>
      </c>
      <c r="P306" s="136">
        <f t="shared" si="70"/>
        <v>0</v>
      </c>
      <c r="Q306" s="136">
        <f t="shared" si="70"/>
        <v>55166</v>
      </c>
      <c r="R306" s="136">
        <f t="shared" si="70"/>
        <v>0</v>
      </c>
      <c r="S306" s="136">
        <f t="shared" si="70"/>
        <v>0</v>
      </c>
      <c r="T306" s="136">
        <f t="shared" si="70"/>
        <v>0</v>
      </c>
      <c r="U306" s="136">
        <f t="shared" si="70"/>
        <v>0</v>
      </c>
      <c r="V306" s="136">
        <f t="shared" si="70"/>
        <v>230067</v>
      </c>
      <c r="W306" s="136">
        <f t="shared" si="70"/>
        <v>0</v>
      </c>
      <c r="X306" s="136">
        <f t="shared" si="70"/>
        <v>0</v>
      </c>
      <c r="Y306" s="136">
        <f t="shared" si="70"/>
        <v>0</v>
      </c>
      <c r="Z306" s="136">
        <f t="shared" si="70"/>
        <v>0</v>
      </c>
      <c r="AA306" s="136">
        <f t="shared" si="70"/>
        <v>0</v>
      </c>
      <c r="AB306" s="136">
        <f t="shared" si="70"/>
        <v>0</v>
      </c>
      <c r="AC306" s="136">
        <f t="shared" si="70"/>
        <v>0</v>
      </c>
      <c r="AD306" s="136">
        <f t="shared" si="70"/>
        <v>0</v>
      </c>
      <c r="AE306" s="136">
        <f t="shared" si="70"/>
        <v>0</v>
      </c>
      <c r="AF306" s="136">
        <f t="shared" si="70"/>
        <v>106768</v>
      </c>
      <c r="AG306" s="136">
        <f t="shared" si="70"/>
        <v>0</v>
      </c>
      <c r="AH306" s="136">
        <f t="shared" si="70"/>
        <v>0</v>
      </c>
      <c r="AI306" s="136">
        <f t="shared" si="70"/>
        <v>0</v>
      </c>
      <c r="AJ306" s="136">
        <f t="shared" si="70"/>
        <v>0</v>
      </c>
      <c r="AK306" s="136">
        <f t="shared" si="70"/>
        <v>0</v>
      </c>
      <c r="AL306" s="136">
        <f t="shared" si="70"/>
        <v>0</v>
      </c>
      <c r="AM306" s="136">
        <f t="shared" si="70"/>
        <v>0</v>
      </c>
      <c r="AN306" s="136">
        <f t="shared" si="70"/>
        <v>0</v>
      </c>
      <c r="AO306" s="136">
        <f t="shared" si="70"/>
        <v>0</v>
      </c>
      <c r="AP306" s="136">
        <f t="shared" si="70"/>
        <v>176497</v>
      </c>
      <c r="AQ306" s="136">
        <f t="shared" si="70"/>
        <v>0</v>
      </c>
      <c r="AR306" s="136">
        <f t="shared" si="70"/>
        <v>0</v>
      </c>
      <c r="AS306" s="136">
        <f t="shared" si="70"/>
        <v>0</v>
      </c>
      <c r="AT306" s="136">
        <f t="shared" si="70"/>
        <v>0</v>
      </c>
      <c r="AU306" s="136">
        <f t="shared" si="70"/>
        <v>211593</v>
      </c>
      <c r="AV306" s="136">
        <f t="shared" si="70"/>
        <v>0</v>
      </c>
      <c r="AW306" s="136">
        <f t="shared" si="70"/>
        <v>0</v>
      </c>
      <c r="AX306" s="136">
        <f t="shared" si="70"/>
        <v>0</v>
      </c>
      <c r="AY306" s="136">
        <f t="shared" si="70"/>
        <v>0</v>
      </c>
      <c r="AZ306" s="136">
        <f t="shared" si="70"/>
        <v>-227461</v>
      </c>
      <c r="BA306" s="136">
        <f t="shared" si="70"/>
        <v>0</v>
      </c>
      <c r="BB306" s="136">
        <f t="shared" si="70"/>
        <v>0</v>
      </c>
      <c r="BC306" s="136">
        <f t="shared" si="70"/>
        <v>0</v>
      </c>
      <c r="BD306" s="136">
        <f t="shared" si="70"/>
        <v>0</v>
      </c>
      <c r="BE306" s="136">
        <f t="shared" si="70"/>
        <v>0</v>
      </c>
      <c r="BF306" s="136">
        <f t="shared" si="70"/>
        <v>0</v>
      </c>
      <c r="BG306" s="136">
        <f t="shared" si="70"/>
        <v>0</v>
      </c>
      <c r="BH306" s="136">
        <f t="shared" si="70"/>
        <v>0</v>
      </c>
      <c r="BI306" s="136">
        <f t="shared" si="70"/>
        <v>0</v>
      </c>
      <c r="BJ306" s="136">
        <f t="shared" si="70"/>
        <v>-232101</v>
      </c>
      <c r="BK306" s="136">
        <f t="shared" si="70"/>
        <v>0</v>
      </c>
      <c r="BL306" s="136">
        <f t="shared" si="70"/>
        <v>0</v>
      </c>
      <c r="BM306" s="136">
        <f t="shared" si="70"/>
        <v>0</v>
      </c>
      <c r="BN306" s="136">
        <f t="shared" si="70"/>
        <v>0</v>
      </c>
      <c r="BO306" s="136">
        <f t="shared" si="70"/>
        <v>-782082</v>
      </c>
      <c r="BP306" s="136">
        <f t="shared" si="70"/>
        <v>0</v>
      </c>
      <c r="BQ306" s="136">
        <f t="shared" si="70"/>
        <v>0</v>
      </c>
      <c r="BR306" s="136">
        <f t="shared" si="70"/>
        <v>0</v>
      </c>
      <c r="BS306" s="136">
        <f t="shared" si="70"/>
        <v>0</v>
      </c>
      <c r="BT306" s="136">
        <f t="shared" si="70"/>
        <v>537334</v>
      </c>
      <c r="BU306" s="136">
        <f t="shared" si="70"/>
        <v>0</v>
      </c>
      <c r="BV306" s="136">
        <f t="shared" si="70"/>
        <v>0</v>
      </c>
      <c r="BW306" s="136">
        <f t="shared" si="69"/>
        <v>0</v>
      </c>
      <c r="BX306" s="136">
        <f t="shared" si="67"/>
        <v>0</v>
      </c>
      <c r="BZ306" s="136">
        <f t="shared" si="68"/>
        <v>0</v>
      </c>
      <c r="CA306" s="136">
        <f t="shared" si="68"/>
        <v>0</v>
      </c>
    </row>
    <row r="307" spans="12:79" hidden="1" x14ac:dyDescent="0.3">
      <c r="L307" s="136">
        <f t="shared" si="70"/>
        <v>0</v>
      </c>
      <c r="M307" s="136">
        <f t="shared" si="70"/>
        <v>0</v>
      </c>
      <c r="N307" s="136">
        <f t="shared" si="70"/>
        <v>0</v>
      </c>
      <c r="O307" s="136">
        <f t="shared" si="70"/>
        <v>0</v>
      </c>
      <c r="P307" s="136">
        <f t="shared" si="70"/>
        <v>0</v>
      </c>
      <c r="Q307" s="136">
        <f t="shared" si="70"/>
        <v>0</v>
      </c>
      <c r="R307" s="136">
        <f t="shared" si="70"/>
        <v>0</v>
      </c>
      <c r="S307" s="136">
        <f t="shared" si="70"/>
        <v>0</v>
      </c>
      <c r="T307" s="136">
        <f t="shared" si="70"/>
        <v>0</v>
      </c>
      <c r="U307" s="136">
        <f t="shared" si="70"/>
        <v>0</v>
      </c>
      <c r="V307" s="136">
        <f t="shared" si="70"/>
        <v>0</v>
      </c>
      <c r="W307" s="136">
        <f t="shared" si="70"/>
        <v>0</v>
      </c>
      <c r="X307" s="136">
        <f t="shared" si="70"/>
        <v>0</v>
      </c>
      <c r="Y307" s="136">
        <f t="shared" si="70"/>
        <v>0</v>
      </c>
      <c r="Z307" s="136">
        <f t="shared" si="70"/>
        <v>0</v>
      </c>
      <c r="AA307" s="136">
        <f t="shared" si="70"/>
        <v>0</v>
      </c>
      <c r="AB307" s="136">
        <f t="shared" si="70"/>
        <v>0</v>
      </c>
      <c r="AC307" s="136">
        <f t="shared" si="70"/>
        <v>0</v>
      </c>
      <c r="AD307" s="136">
        <f t="shared" si="70"/>
        <v>0</v>
      </c>
      <c r="AE307" s="136">
        <f t="shared" si="70"/>
        <v>0</v>
      </c>
      <c r="AF307" s="136">
        <f t="shared" si="70"/>
        <v>0</v>
      </c>
      <c r="AG307" s="136">
        <f t="shared" si="70"/>
        <v>0</v>
      </c>
      <c r="AH307" s="136">
        <f t="shared" si="70"/>
        <v>0</v>
      </c>
      <c r="AI307" s="136">
        <f t="shared" si="70"/>
        <v>0</v>
      </c>
      <c r="AJ307" s="136">
        <f t="shared" si="70"/>
        <v>0</v>
      </c>
      <c r="AK307" s="136">
        <f t="shared" si="70"/>
        <v>0</v>
      </c>
      <c r="AL307" s="136">
        <f t="shared" si="70"/>
        <v>0</v>
      </c>
      <c r="AM307" s="136">
        <f t="shared" si="70"/>
        <v>0</v>
      </c>
      <c r="AN307" s="136">
        <f t="shared" si="70"/>
        <v>0</v>
      </c>
      <c r="AO307" s="136">
        <f t="shared" si="70"/>
        <v>0</v>
      </c>
      <c r="AP307" s="136">
        <f t="shared" si="70"/>
        <v>0</v>
      </c>
      <c r="AQ307" s="136">
        <f t="shared" si="70"/>
        <v>0</v>
      </c>
      <c r="AR307" s="136">
        <f t="shared" si="70"/>
        <v>0</v>
      </c>
      <c r="AS307" s="136">
        <f t="shared" si="70"/>
        <v>0</v>
      </c>
      <c r="AT307" s="136">
        <f t="shared" si="70"/>
        <v>0</v>
      </c>
      <c r="AU307" s="136">
        <f t="shared" si="70"/>
        <v>0</v>
      </c>
      <c r="AV307" s="136">
        <f t="shared" si="70"/>
        <v>0</v>
      </c>
      <c r="AW307" s="136">
        <f t="shared" si="70"/>
        <v>0</v>
      </c>
      <c r="AX307" s="136">
        <f t="shared" si="70"/>
        <v>0</v>
      </c>
      <c r="AY307" s="136">
        <f t="shared" si="70"/>
        <v>0</v>
      </c>
      <c r="AZ307" s="136">
        <f t="shared" si="70"/>
        <v>0</v>
      </c>
      <c r="BA307" s="136">
        <f t="shared" si="70"/>
        <v>0</v>
      </c>
      <c r="BB307" s="136">
        <f t="shared" si="70"/>
        <v>0</v>
      </c>
      <c r="BC307" s="136">
        <f t="shared" si="70"/>
        <v>0</v>
      </c>
      <c r="BD307" s="136">
        <f t="shared" si="70"/>
        <v>0</v>
      </c>
      <c r="BE307" s="136">
        <f t="shared" si="70"/>
        <v>0</v>
      </c>
      <c r="BF307" s="136">
        <f t="shared" si="70"/>
        <v>0</v>
      </c>
      <c r="BG307" s="136">
        <f t="shared" si="70"/>
        <v>0</v>
      </c>
      <c r="BH307" s="136">
        <f t="shared" si="70"/>
        <v>0</v>
      </c>
      <c r="BI307" s="136">
        <f t="shared" si="70"/>
        <v>0</v>
      </c>
      <c r="BJ307" s="136">
        <f t="shared" si="70"/>
        <v>0</v>
      </c>
      <c r="BK307" s="136">
        <f t="shared" si="70"/>
        <v>0</v>
      </c>
      <c r="BL307" s="136">
        <f t="shared" si="70"/>
        <v>0</v>
      </c>
      <c r="BM307" s="136">
        <f t="shared" si="70"/>
        <v>0</v>
      </c>
      <c r="BN307" s="136">
        <f t="shared" si="70"/>
        <v>0</v>
      </c>
      <c r="BO307" s="136">
        <f t="shared" si="70"/>
        <v>0</v>
      </c>
      <c r="BP307" s="136">
        <f t="shared" si="70"/>
        <v>0</v>
      </c>
      <c r="BQ307" s="136">
        <f t="shared" si="70"/>
        <v>0</v>
      </c>
      <c r="BR307" s="136">
        <f t="shared" si="70"/>
        <v>0</v>
      </c>
      <c r="BS307" s="136">
        <f t="shared" si="70"/>
        <v>0</v>
      </c>
      <c r="BT307" s="136">
        <f t="shared" si="70"/>
        <v>0</v>
      </c>
      <c r="BU307" s="136">
        <f t="shared" si="70"/>
        <v>0</v>
      </c>
      <c r="BV307" s="136">
        <f t="shared" si="70"/>
        <v>0</v>
      </c>
      <c r="BW307" s="136">
        <f t="shared" si="69"/>
        <v>0</v>
      </c>
      <c r="BX307" s="136">
        <f t="shared" si="67"/>
        <v>0</v>
      </c>
      <c r="BZ307" s="136">
        <f t="shared" si="68"/>
        <v>0</v>
      </c>
      <c r="CA307" s="136">
        <f t="shared" si="68"/>
        <v>0</v>
      </c>
    </row>
    <row r="308" spans="12:79" hidden="1" x14ac:dyDescent="0.3">
      <c r="L308" s="136">
        <f t="shared" si="70"/>
        <v>-41836</v>
      </c>
      <c r="M308" s="136">
        <f t="shared" si="70"/>
        <v>0</v>
      </c>
      <c r="N308" s="136">
        <f t="shared" si="70"/>
        <v>0</v>
      </c>
      <c r="O308" s="136">
        <f t="shared" si="70"/>
        <v>0</v>
      </c>
      <c r="P308" s="136">
        <f t="shared" si="70"/>
        <v>0</v>
      </c>
      <c r="Q308" s="136">
        <f t="shared" si="70"/>
        <v>0</v>
      </c>
      <c r="R308" s="136">
        <f t="shared" si="70"/>
        <v>0</v>
      </c>
      <c r="S308" s="136">
        <f t="shared" si="70"/>
        <v>0</v>
      </c>
      <c r="T308" s="136">
        <f t="shared" si="70"/>
        <v>0</v>
      </c>
      <c r="U308" s="136">
        <f t="shared" si="70"/>
        <v>0</v>
      </c>
      <c r="V308" s="136">
        <f t="shared" si="70"/>
        <v>0</v>
      </c>
      <c r="W308" s="136">
        <f t="shared" si="70"/>
        <v>0</v>
      </c>
      <c r="X308" s="136">
        <f t="shared" si="70"/>
        <v>0</v>
      </c>
      <c r="Y308" s="136">
        <f t="shared" si="70"/>
        <v>0</v>
      </c>
      <c r="Z308" s="136">
        <f t="shared" si="70"/>
        <v>0</v>
      </c>
      <c r="AA308" s="136">
        <f t="shared" si="70"/>
        <v>0</v>
      </c>
      <c r="AB308" s="136">
        <f t="shared" si="70"/>
        <v>0</v>
      </c>
      <c r="AC308" s="136">
        <f t="shared" si="70"/>
        <v>0</v>
      </c>
      <c r="AD308" s="136">
        <f t="shared" si="70"/>
        <v>0</v>
      </c>
      <c r="AE308" s="136">
        <f t="shared" si="70"/>
        <v>0</v>
      </c>
      <c r="AF308" s="136">
        <f t="shared" si="70"/>
        <v>0</v>
      </c>
      <c r="AG308" s="136">
        <f t="shared" si="70"/>
        <v>0</v>
      </c>
      <c r="AH308" s="136">
        <f t="shared" si="70"/>
        <v>0</v>
      </c>
      <c r="AI308" s="136">
        <f t="shared" si="70"/>
        <v>0</v>
      </c>
      <c r="AJ308" s="136">
        <f t="shared" si="70"/>
        <v>0</v>
      </c>
      <c r="AK308" s="136">
        <f t="shared" si="70"/>
        <v>0</v>
      </c>
      <c r="AL308" s="136">
        <f t="shared" si="70"/>
        <v>0</v>
      </c>
      <c r="AM308" s="136">
        <f t="shared" si="70"/>
        <v>0</v>
      </c>
      <c r="AN308" s="136">
        <f t="shared" si="70"/>
        <v>0</v>
      </c>
      <c r="AO308" s="136">
        <f t="shared" si="70"/>
        <v>0</v>
      </c>
      <c r="AP308" s="136">
        <f t="shared" si="70"/>
        <v>0</v>
      </c>
      <c r="AQ308" s="136">
        <f t="shared" si="70"/>
        <v>0</v>
      </c>
      <c r="AR308" s="136">
        <f t="shared" si="70"/>
        <v>0</v>
      </c>
      <c r="AS308" s="136">
        <f t="shared" si="70"/>
        <v>0</v>
      </c>
      <c r="AT308" s="136">
        <f t="shared" si="70"/>
        <v>0</v>
      </c>
      <c r="AU308" s="136">
        <f t="shared" si="70"/>
        <v>0</v>
      </c>
      <c r="AV308" s="136">
        <f t="shared" si="70"/>
        <v>0</v>
      </c>
      <c r="AW308" s="136">
        <f t="shared" si="70"/>
        <v>0</v>
      </c>
      <c r="AX308" s="136">
        <f t="shared" si="70"/>
        <v>0</v>
      </c>
      <c r="AY308" s="136">
        <f t="shared" si="70"/>
        <v>0</v>
      </c>
      <c r="AZ308" s="136">
        <f t="shared" si="70"/>
        <v>0</v>
      </c>
      <c r="BA308" s="136">
        <f t="shared" si="70"/>
        <v>0</v>
      </c>
      <c r="BB308" s="136">
        <f t="shared" si="70"/>
        <v>0</v>
      </c>
      <c r="BC308" s="136">
        <f t="shared" si="70"/>
        <v>0</v>
      </c>
      <c r="BD308" s="136">
        <f t="shared" si="70"/>
        <v>0</v>
      </c>
      <c r="BE308" s="136">
        <f t="shared" si="70"/>
        <v>0</v>
      </c>
      <c r="BF308" s="136">
        <f t="shared" si="70"/>
        <v>0</v>
      </c>
      <c r="BG308" s="136">
        <f t="shared" si="70"/>
        <v>0</v>
      </c>
      <c r="BH308" s="136">
        <f t="shared" si="70"/>
        <v>0</v>
      </c>
      <c r="BI308" s="136">
        <f t="shared" si="70"/>
        <v>0</v>
      </c>
      <c r="BJ308" s="136">
        <f t="shared" si="70"/>
        <v>0</v>
      </c>
      <c r="BK308" s="136">
        <f t="shared" si="70"/>
        <v>0</v>
      </c>
      <c r="BL308" s="136">
        <f t="shared" si="70"/>
        <v>0</v>
      </c>
      <c r="BM308" s="136">
        <f t="shared" si="70"/>
        <v>0</v>
      </c>
      <c r="BN308" s="136">
        <f t="shared" si="70"/>
        <v>0</v>
      </c>
      <c r="BO308" s="136">
        <f t="shared" si="70"/>
        <v>-161224</v>
      </c>
      <c r="BP308" s="136">
        <f t="shared" si="70"/>
        <v>0</v>
      </c>
      <c r="BQ308" s="136">
        <f t="shared" si="70"/>
        <v>0</v>
      </c>
      <c r="BR308" s="136">
        <f t="shared" si="70"/>
        <v>0</v>
      </c>
      <c r="BS308" s="136">
        <f t="shared" si="70"/>
        <v>0</v>
      </c>
      <c r="BT308" s="136">
        <f t="shared" si="70"/>
        <v>-41836</v>
      </c>
      <c r="BU308" s="136">
        <f t="shared" si="70"/>
        <v>0</v>
      </c>
      <c r="BV308" s="136">
        <f t="shared" si="70"/>
        <v>0</v>
      </c>
      <c r="BW308" s="136">
        <f t="shared" si="69"/>
        <v>0</v>
      </c>
      <c r="BX308" s="136">
        <f t="shared" si="67"/>
        <v>0</v>
      </c>
      <c r="BZ308" s="136">
        <f t="shared" si="68"/>
        <v>0</v>
      </c>
      <c r="CA308" s="136">
        <f t="shared" si="68"/>
        <v>0</v>
      </c>
    </row>
    <row r="309" spans="12:79" hidden="1" x14ac:dyDescent="0.3">
      <c r="L309" s="136">
        <f t="shared" si="70"/>
        <v>-41836</v>
      </c>
      <c r="M309" s="136">
        <f t="shared" si="70"/>
        <v>0</v>
      </c>
      <c r="N309" s="136">
        <f t="shared" si="70"/>
        <v>0</v>
      </c>
      <c r="O309" s="136">
        <f t="shared" si="70"/>
        <v>0</v>
      </c>
      <c r="P309" s="136">
        <f t="shared" si="70"/>
        <v>0</v>
      </c>
      <c r="Q309" s="136">
        <f t="shared" si="70"/>
        <v>0</v>
      </c>
      <c r="R309" s="136">
        <f t="shared" si="70"/>
        <v>0</v>
      </c>
      <c r="S309" s="136">
        <f t="shared" si="70"/>
        <v>0</v>
      </c>
      <c r="T309" s="136">
        <f t="shared" si="70"/>
        <v>0</v>
      </c>
      <c r="U309" s="136">
        <f t="shared" si="70"/>
        <v>0</v>
      </c>
      <c r="V309" s="136">
        <f t="shared" si="70"/>
        <v>0</v>
      </c>
      <c r="W309" s="136">
        <f t="shared" si="70"/>
        <v>0</v>
      </c>
      <c r="X309" s="136">
        <f t="shared" si="70"/>
        <v>0</v>
      </c>
      <c r="Y309" s="136">
        <f t="shared" si="70"/>
        <v>0</v>
      </c>
      <c r="Z309" s="136">
        <f t="shared" si="70"/>
        <v>0</v>
      </c>
      <c r="AA309" s="136">
        <f t="shared" si="70"/>
        <v>0</v>
      </c>
      <c r="AB309" s="136">
        <f t="shared" si="70"/>
        <v>0</v>
      </c>
      <c r="AC309" s="136">
        <f t="shared" si="70"/>
        <v>0</v>
      </c>
      <c r="AD309" s="136">
        <f t="shared" si="70"/>
        <v>0</v>
      </c>
      <c r="AE309" s="136">
        <f t="shared" si="70"/>
        <v>0</v>
      </c>
      <c r="AF309" s="136">
        <f t="shared" si="70"/>
        <v>0</v>
      </c>
      <c r="AG309" s="136">
        <f t="shared" si="70"/>
        <v>0</v>
      </c>
      <c r="AH309" s="136">
        <f t="shared" si="70"/>
        <v>0</v>
      </c>
      <c r="AI309" s="136">
        <f t="shared" si="70"/>
        <v>0</v>
      </c>
      <c r="AJ309" s="136">
        <f t="shared" si="70"/>
        <v>0</v>
      </c>
      <c r="AK309" s="136">
        <f t="shared" si="70"/>
        <v>0</v>
      </c>
      <c r="AL309" s="136">
        <f t="shared" si="70"/>
        <v>0</v>
      </c>
      <c r="AM309" s="136">
        <f t="shared" si="70"/>
        <v>0</v>
      </c>
      <c r="AN309" s="136">
        <f t="shared" si="70"/>
        <v>0</v>
      </c>
      <c r="AO309" s="136">
        <f t="shared" si="70"/>
        <v>0</v>
      </c>
      <c r="AP309" s="136">
        <f t="shared" si="70"/>
        <v>0</v>
      </c>
      <c r="AQ309" s="136">
        <f t="shared" si="70"/>
        <v>0</v>
      </c>
      <c r="AR309" s="136">
        <f t="shared" si="70"/>
        <v>0</v>
      </c>
      <c r="AS309" s="136">
        <f t="shared" si="70"/>
        <v>0</v>
      </c>
      <c r="AT309" s="136">
        <f t="shared" si="70"/>
        <v>0</v>
      </c>
      <c r="AU309" s="136">
        <f t="shared" si="70"/>
        <v>0</v>
      </c>
      <c r="AV309" s="136">
        <f t="shared" si="70"/>
        <v>0</v>
      </c>
      <c r="AW309" s="136">
        <f t="shared" si="70"/>
        <v>0</v>
      </c>
      <c r="AX309" s="136">
        <f t="shared" si="70"/>
        <v>0</v>
      </c>
      <c r="AY309" s="136">
        <f t="shared" si="70"/>
        <v>0</v>
      </c>
      <c r="AZ309" s="136">
        <f t="shared" si="70"/>
        <v>0</v>
      </c>
      <c r="BA309" s="136">
        <f t="shared" si="70"/>
        <v>0</v>
      </c>
      <c r="BB309" s="136">
        <f t="shared" si="70"/>
        <v>0</v>
      </c>
      <c r="BC309" s="136">
        <f t="shared" si="70"/>
        <v>0</v>
      </c>
      <c r="BD309" s="136">
        <f t="shared" si="70"/>
        <v>0</v>
      </c>
      <c r="BE309" s="136">
        <f t="shared" si="70"/>
        <v>0</v>
      </c>
      <c r="BF309" s="136">
        <f t="shared" si="70"/>
        <v>0</v>
      </c>
      <c r="BG309" s="136">
        <f t="shared" si="70"/>
        <v>0</v>
      </c>
      <c r="BH309" s="136">
        <f t="shared" si="70"/>
        <v>0</v>
      </c>
      <c r="BI309" s="136">
        <f t="shared" si="70"/>
        <v>0</v>
      </c>
      <c r="BJ309" s="136">
        <f t="shared" si="70"/>
        <v>0</v>
      </c>
      <c r="BK309" s="136">
        <f t="shared" si="70"/>
        <v>0</v>
      </c>
      <c r="BL309" s="136">
        <f t="shared" si="70"/>
        <v>0</v>
      </c>
      <c r="BM309" s="136">
        <f t="shared" si="70"/>
        <v>0</v>
      </c>
      <c r="BN309" s="136">
        <f t="shared" si="70"/>
        <v>0</v>
      </c>
      <c r="BO309" s="136">
        <f t="shared" si="70"/>
        <v>-161224</v>
      </c>
      <c r="BP309" s="136">
        <f t="shared" si="70"/>
        <v>0</v>
      </c>
      <c r="BQ309" s="136">
        <f t="shared" si="70"/>
        <v>0</v>
      </c>
      <c r="BR309" s="136">
        <f t="shared" si="70"/>
        <v>0</v>
      </c>
      <c r="BS309" s="136">
        <f t="shared" si="70"/>
        <v>0</v>
      </c>
      <c r="BT309" s="136">
        <f t="shared" si="70"/>
        <v>-41836</v>
      </c>
      <c r="BU309" s="136">
        <f t="shared" si="70"/>
        <v>0</v>
      </c>
      <c r="BV309" s="136">
        <f t="shared" si="70"/>
        <v>0</v>
      </c>
      <c r="BW309" s="136">
        <f t="shared" si="69"/>
        <v>0</v>
      </c>
      <c r="BX309" s="136">
        <f t="shared" si="67"/>
        <v>0</v>
      </c>
      <c r="BZ309" s="136">
        <f t="shared" si="68"/>
        <v>0</v>
      </c>
      <c r="CA309" s="136">
        <f t="shared" si="68"/>
        <v>0</v>
      </c>
    </row>
    <row r="310" spans="12:79" hidden="1" x14ac:dyDescent="0.3">
      <c r="L310" s="136">
        <f t="shared" si="70"/>
        <v>0</v>
      </c>
      <c r="M310" s="136">
        <f t="shared" si="70"/>
        <v>0</v>
      </c>
      <c r="N310" s="136">
        <f t="shared" si="70"/>
        <v>0</v>
      </c>
      <c r="O310" s="136">
        <f t="shared" ref="O310:BV314" si="71">O159-CG159</f>
        <v>0</v>
      </c>
      <c r="P310" s="136">
        <f t="shared" si="71"/>
        <v>0</v>
      </c>
      <c r="Q310" s="136">
        <f t="shared" si="71"/>
        <v>0</v>
      </c>
      <c r="R310" s="136">
        <f t="shared" si="71"/>
        <v>0</v>
      </c>
      <c r="S310" s="136">
        <f t="shared" si="71"/>
        <v>0</v>
      </c>
      <c r="T310" s="136">
        <f t="shared" si="71"/>
        <v>0</v>
      </c>
      <c r="U310" s="136">
        <f t="shared" si="71"/>
        <v>0</v>
      </c>
      <c r="V310" s="136">
        <f t="shared" si="71"/>
        <v>0</v>
      </c>
      <c r="W310" s="136">
        <f t="shared" si="71"/>
        <v>0</v>
      </c>
      <c r="X310" s="136">
        <f t="shared" si="71"/>
        <v>0</v>
      </c>
      <c r="Y310" s="136">
        <f t="shared" si="71"/>
        <v>0</v>
      </c>
      <c r="Z310" s="136">
        <f t="shared" si="71"/>
        <v>0</v>
      </c>
      <c r="AA310" s="136">
        <f t="shared" si="71"/>
        <v>0</v>
      </c>
      <c r="AB310" s="136">
        <f t="shared" si="71"/>
        <v>0</v>
      </c>
      <c r="AC310" s="136">
        <f t="shared" si="71"/>
        <v>0</v>
      </c>
      <c r="AD310" s="136">
        <f t="shared" si="71"/>
        <v>0</v>
      </c>
      <c r="AE310" s="136">
        <f t="shared" si="71"/>
        <v>0</v>
      </c>
      <c r="AF310" s="136">
        <f t="shared" si="71"/>
        <v>0</v>
      </c>
      <c r="AG310" s="136">
        <f t="shared" si="71"/>
        <v>0</v>
      </c>
      <c r="AH310" s="136">
        <f t="shared" si="71"/>
        <v>0</v>
      </c>
      <c r="AI310" s="136">
        <f t="shared" si="71"/>
        <v>0</v>
      </c>
      <c r="AJ310" s="136">
        <f t="shared" si="71"/>
        <v>0</v>
      </c>
      <c r="AK310" s="136">
        <f t="shared" si="71"/>
        <v>0</v>
      </c>
      <c r="AL310" s="136">
        <f t="shared" si="71"/>
        <v>0</v>
      </c>
      <c r="AM310" s="136">
        <f t="shared" si="71"/>
        <v>0</v>
      </c>
      <c r="AN310" s="136">
        <f t="shared" si="71"/>
        <v>0</v>
      </c>
      <c r="AO310" s="136">
        <f t="shared" si="71"/>
        <v>0</v>
      </c>
      <c r="AP310" s="136">
        <f t="shared" si="71"/>
        <v>0</v>
      </c>
      <c r="AQ310" s="136">
        <f t="shared" si="71"/>
        <v>0</v>
      </c>
      <c r="AR310" s="136">
        <f t="shared" si="71"/>
        <v>0</v>
      </c>
      <c r="AS310" s="136">
        <f t="shared" si="71"/>
        <v>0</v>
      </c>
      <c r="AT310" s="136">
        <f t="shared" si="71"/>
        <v>0</v>
      </c>
      <c r="AU310" s="136">
        <f t="shared" si="71"/>
        <v>0</v>
      </c>
      <c r="AV310" s="136">
        <f t="shared" si="71"/>
        <v>0</v>
      </c>
      <c r="AW310" s="136">
        <f t="shared" si="71"/>
        <v>0</v>
      </c>
      <c r="AX310" s="136">
        <f t="shared" si="71"/>
        <v>0</v>
      </c>
      <c r="AY310" s="136">
        <f t="shared" si="71"/>
        <v>0</v>
      </c>
      <c r="AZ310" s="136">
        <f t="shared" si="71"/>
        <v>0</v>
      </c>
      <c r="BA310" s="136">
        <f t="shared" si="71"/>
        <v>0</v>
      </c>
      <c r="BB310" s="136">
        <f t="shared" si="71"/>
        <v>0</v>
      </c>
      <c r="BC310" s="136">
        <f t="shared" si="71"/>
        <v>0</v>
      </c>
      <c r="BD310" s="136">
        <f t="shared" si="71"/>
        <v>0</v>
      </c>
      <c r="BE310" s="136">
        <f t="shared" si="71"/>
        <v>0</v>
      </c>
      <c r="BF310" s="136">
        <f t="shared" si="71"/>
        <v>0</v>
      </c>
      <c r="BG310" s="136">
        <f t="shared" si="71"/>
        <v>0</v>
      </c>
      <c r="BH310" s="136">
        <f t="shared" si="71"/>
        <v>0</v>
      </c>
      <c r="BI310" s="136">
        <f t="shared" si="71"/>
        <v>0</v>
      </c>
      <c r="BJ310" s="136">
        <f t="shared" si="71"/>
        <v>0</v>
      </c>
      <c r="BK310" s="136">
        <f t="shared" si="71"/>
        <v>0</v>
      </c>
      <c r="BL310" s="136">
        <f t="shared" si="71"/>
        <v>0</v>
      </c>
      <c r="BM310" s="136">
        <f t="shared" si="71"/>
        <v>0</v>
      </c>
      <c r="BN310" s="136">
        <f t="shared" si="71"/>
        <v>0</v>
      </c>
      <c r="BO310" s="136">
        <f t="shared" si="71"/>
        <v>0</v>
      </c>
      <c r="BP310" s="136">
        <f t="shared" si="71"/>
        <v>0</v>
      </c>
      <c r="BQ310" s="136">
        <f t="shared" si="71"/>
        <v>0</v>
      </c>
      <c r="BR310" s="136">
        <f t="shared" si="71"/>
        <v>0</v>
      </c>
      <c r="BS310" s="136">
        <f t="shared" si="71"/>
        <v>0</v>
      </c>
      <c r="BT310" s="136">
        <f t="shared" si="71"/>
        <v>0</v>
      </c>
      <c r="BU310" s="136">
        <f t="shared" si="71"/>
        <v>0</v>
      </c>
      <c r="BV310" s="136">
        <f t="shared" si="71"/>
        <v>0</v>
      </c>
      <c r="BW310" s="136">
        <f t="shared" si="69"/>
        <v>0</v>
      </c>
      <c r="BX310" s="136">
        <f t="shared" si="67"/>
        <v>0</v>
      </c>
      <c r="BZ310" s="136">
        <f t="shared" si="68"/>
        <v>0</v>
      </c>
      <c r="CA310" s="136">
        <f t="shared" si="68"/>
        <v>0</v>
      </c>
    </row>
    <row r="311" spans="12:79" hidden="1" x14ac:dyDescent="0.3">
      <c r="L311" s="136">
        <f t="shared" ref="L311:AA326" si="72">L160-CD160</f>
        <v>0</v>
      </c>
      <c r="M311" s="136">
        <f t="shared" si="72"/>
        <v>0</v>
      </c>
      <c r="N311" s="136">
        <f t="shared" si="72"/>
        <v>0</v>
      </c>
      <c r="O311" s="136">
        <f t="shared" si="71"/>
        <v>0</v>
      </c>
      <c r="P311" s="136">
        <f t="shared" si="71"/>
        <v>0</v>
      </c>
      <c r="Q311" s="136">
        <f t="shared" si="71"/>
        <v>87218</v>
      </c>
      <c r="R311" s="136">
        <f t="shared" si="71"/>
        <v>0</v>
      </c>
      <c r="S311" s="136">
        <f t="shared" si="71"/>
        <v>0</v>
      </c>
      <c r="T311" s="136">
        <f t="shared" si="71"/>
        <v>0</v>
      </c>
      <c r="U311" s="136">
        <f t="shared" si="71"/>
        <v>0</v>
      </c>
      <c r="V311" s="136">
        <f t="shared" si="71"/>
        <v>0</v>
      </c>
      <c r="W311" s="136">
        <f t="shared" si="71"/>
        <v>0</v>
      </c>
      <c r="X311" s="136">
        <f t="shared" si="71"/>
        <v>0</v>
      </c>
      <c r="Y311" s="136">
        <f t="shared" si="71"/>
        <v>0</v>
      </c>
      <c r="Z311" s="136">
        <f t="shared" si="71"/>
        <v>0</v>
      </c>
      <c r="AA311" s="136">
        <f t="shared" si="71"/>
        <v>0</v>
      </c>
      <c r="AB311" s="136">
        <f t="shared" si="71"/>
        <v>0</v>
      </c>
      <c r="AC311" s="136">
        <f t="shared" si="71"/>
        <v>0</v>
      </c>
      <c r="AD311" s="136">
        <f t="shared" si="71"/>
        <v>0</v>
      </c>
      <c r="AE311" s="136">
        <f t="shared" si="71"/>
        <v>0</v>
      </c>
      <c r="AF311" s="136">
        <f t="shared" si="71"/>
        <v>0</v>
      </c>
      <c r="AG311" s="136">
        <f t="shared" si="71"/>
        <v>0</v>
      </c>
      <c r="AH311" s="136">
        <f t="shared" si="71"/>
        <v>0</v>
      </c>
      <c r="AI311" s="136">
        <f t="shared" si="71"/>
        <v>0</v>
      </c>
      <c r="AJ311" s="136">
        <f t="shared" si="71"/>
        <v>0</v>
      </c>
      <c r="AK311" s="136">
        <f t="shared" si="71"/>
        <v>0</v>
      </c>
      <c r="AL311" s="136">
        <f t="shared" si="71"/>
        <v>0</v>
      </c>
      <c r="AM311" s="136">
        <f t="shared" si="71"/>
        <v>0</v>
      </c>
      <c r="AN311" s="136">
        <f t="shared" si="71"/>
        <v>0</v>
      </c>
      <c r="AO311" s="136">
        <f t="shared" si="71"/>
        <v>0</v>
      </c>
      <c r="AP311" s="136">
        <f t="shared" si="71"/>
        <v>0</v>
      </c>
      <c r="AQ311" s="136">
        <f t="shared" si="71"/>
        <v>0</v>
      </c>
      <c r="AR311" s="136">
        <f t="shared" si="71"/>
        <v>0</v>
      </c>
      <c r="AS311" s="136">
        <f t="shared" si="71"/>
        <v>0</v>
      </c>
      <c r="AT311" s="136">
        <f t="shared" si="71"/>
        <v>0</v>
      </c>
      <c r="AU311" s="136">
        <f t="shared" si="71"/>
        <v>-530579</v>
      </c>
      <c r="AV311" s="136">
        <f t="shared" si="71"/>
        <v>0</v>
      </c>
      <c r="AW311" s="136">
        <f t="shared" si="71"/>
        <v>0</v>
      </c>
      <c r="AX311" s="136">
        <f t="shared" si="71"/>
        <v>0</v>
      </c>
      <c r="AY311" s="136">
        <f t="shared" si="71"/>
        <v>0</v>
      </c>
      <c r="AZ311" s="136">
        <f t="shared" si="71"/>
        <v>0</v>
      </c>
      <c r="BA311" s="136">
        <f t="shared" si="71"/>
        <v>0</v>
      </c>
      <c r="BB311" s="136">
        <f t="shared" si="71"/>
        <v>0</v>
      </c>
      <c r="BC311" s="136">
        <f t="shared" si="71"/>
        <v>0</v>
      </c>
      <c r="BD311" s="136">
        <f t="shared" si="71"/>
        <v>0</v>
      </c>
      <c r="BE311" s="136">
        <f t="shared" si="71"/>
        <v>0</v>
      </c>
      <c r="BF311" s="136">
        <f t="shared" si="71"/>
        <v>0</v>
      </c>
      <c r="BG311" s="136">
        <f t="shared" si="71"/>
        <v>0</v>
      </c>
      <c r="BH311" s="136">
        <f t="shared" si="71"/>
        <v>0</v>
      </c>
      <c r="BI311" s="136">
        <f t="shared" si="71"/>
        <v>0</v>
      </c>
      <c r="BJ311" s="136">
        <f t="shared" si="71"/>
        <v>0</v>
      </c>
      <c r="BK311" s="136">
        <f t="shared" si="71"/>
        <v>0</v>
      </c>
      <c r="BL311" s="136">
        <f t="shared" si="71"/>
        <v>0</v>
      </c>
      <c r="BM311" s="136">
        <f t="shared" si="71"/>
        <v>0</v>
      </c>
      <c r="BN311" s="136">
        <f t="shared" si="71"/>
        <v>0</v>
      </c>
      <c r="BO311" s="136">
        <f t="shared" si="71"/>
        <v>0</v>
      </c>
      <c r="BP311" s="136">
        <f t="shared" si="71"/>
        <v>0</v>
      </c>
      <c r="BQ311" s="136">
        <f t="shared" si="71"/>
        <v>0</v>
      </c>
      <c r="BR311" s="136">
        <f t="shared" si="71"/>
        <v>0</v>
      </c>
      <c r="BS311" s="136">
        <f t="shared" si="71"/>
        <v>0</v>
      </c>
      <c r="BT311" s="136">
        <f t="shared" si="71"/>
        <v>-443361</v>
      </c>
      <c r="BU311" s="136">
        <f t="shared" si="71"/>
        <v>0</v>
      </c>
      <c r="BV311" s="136">
        <f t="shared" si="71"/>
        <v>0</v>
      </c>
      <c r="BW311" s="136">
        <f t="shared" si="69"/>
        <v>0</v>
      </c>
      <c r="BX311" s="136">
        <f t="shared" si="67"/>
        <v>0</v>
      </c>
      <c r="BZ311" s="136">
        <f t="shared" si="68"/>
        <v>0</v>
      </c>
      <c r="CA311" s="136">
        <f t="shared" si="68"/>
        <v>0</v>
      </c>
    </row>
    <row r="312" spans="12:79" hidden="1" x14ac:dyDescent="0.3">
      <c r="L312" s="136">
        <f t="shared" si="72"/>
        <v>0</v>
      </c>
      <c r="M312" s="136">
        <f t="shared" si="72"/>
        <v>0</v>
      </c>
      <c r="N312" s="136">
        <f t="shared" si="72"/>
        <v>0</v>
      </c>
      <c r="O312" s="136">
        <f t="shared" si="71"/>
        <v>0</v>
      </c>
      <c r="P312" s="136">
        <f t="shared" si="71"/>
        <v>0</v>
      </c>
      <c r="Q312" s="136">
        <f t="shared" si="71"/>
        <v>87218</v>
      </c>
      <c r="R312" s="136">
        <f t="shared" si="71"/>
        <v>0</v>
      </c>
      <c r="S312" s="136">
        <f t="shared" si="71"/>
        <v>0</v>
      </c>
      <c r="T312" s="136">
        <f t="shared" si="71"/>
        <v>0</v>
      </c>
      <c r="U312" s="136">
        <f t="shared" si="71"/>
        <v>0</v>
      </c>
      <c r="V312" s="136">
        <f t="shared" si="71"/>
        <v>0</v>
      </c>
      <c r="W312" s="136">
        <f t="shared" si="71"/>
        <v>0</v>
      </c>
      <c r="X312" s="136">
        <f t="shared" si="71"/>
        <v>0</v>
      </c>
      <c r="Y312" s="136">
        <f t="shared" si="71"/>
        <v>0</v>
      </c>
      <c r="Z312" s="136">
        <f t="shared" si="71"/>
        <v>0</v>
      </c>
      <c r="AA312" s="136">
        <f t="shared" si="71"/>
        <v>0</v>
      </c>
      <c r="AB312" s="136">
        <f t="shared" si="71"/>
        <v>0</v>
      </c>
      <c r="AC312" s="136">
        <f t="shared" si="71"/>
        <v>0</v>
      </c>
      <c r="AD312" s="136">
        <f t="shared" si="71"/>
        <v>0</v>
      </c>
      <c r="AE312" s="136">
        <f t="shared" si="71"/>
        <v>0</v>
      </c>
      <c r="AF312" s="136">
        <f t="shared" si="71"/>
        <v>0</v>
      </c>
      <c r="AG312" s="136">
        <f t="shared" si="71"/>
        <v>0</v>
      </c>
      <c r="AH312" s="136">
        <f t="shared" si="71"/>
        <v>0</v>
      </c>
      <c r="AI312" s="136">
        <f t="shared" si="71"/>
        <v>0</v>
      </c>
      <c r="AJ312" s="136">
        <f t="shared" si="71"/>
        <v>0</v>
      </c>
      <c r="AK312" s="136">
        <f t="shared" si="71"/>
        <v>0</v>
      </c>
      <c r="AL312" s="136">
        <f t="shared" si="71"/>
        <v>0</v>
      </c>
      <c r="AM312" s="136">
        <f t="shared" si="71"/>
        <v>0</v>
      </c>
      <c r="AN312" s="136">
        <f t="shared" si="71"/>
        <v>0</v>
      </c>
      <c r="AO312" s="136">
        <f t="shared" si="71"/>
        <v>0</v>
      </c>
      <c r="AP312" s="136">
        <f t="shared" si="71"/>
        <v>0</v>
      </c>
      <c r="AQ312" s="136">
        <f t="shared" si="71"/>
        <v>0</v>
      </c>
      <c r="AR312" s="136">
        <f t="shared" si="71"/>
        <v>0</v>
      </c>
      <c r="AS312" s="136">
        <f t="shared" si="71"/>
        <v>0</v>
      </c>
      <c r="AT312" s="136">
        <f t="shared" si="71"/>
        <v>0</v>
      </c>
      <c r="AU312" s="136">
        <f t="shared" si="71"/>
        <v>-530579</v>
      </c>
      <c r="AV312" s="136">
        <f t="shared" si="71"/>
        <v>0</v>
      </c>
      <c r="AW312" s="136">
        <f t="shared" si="71"/>
        <v>0</v>
      </c>
      <c r="AX312" s="136">
        <f t="shared" si="71"/>
        <v>0</v>
      </c>
      <c r="AY312" s="136">
        <f t="shared" si="71"/>
        <v>0</v>
      </c>
      <c r="AZ312" s="136">
        <f t="shared" si="71"/>
        <v>0</v>
      </c>
      <c r="BA312" s="136">
        <f t="shared" si="71"/>
        <v>0</v>
      </c>
      <c r="BB312" s="136">
        <f t="shared" si="71"/>
        <v>0</v>
      </c>
      <c r="BC312" s="136">
        <f t="shared" si="71"/>
        <v>0</v>
      </c>
      <c r="BD312" s="136">
        <f t="shared" si="71"/>
        <v>0</v>
      </c>
      <c r="BE312" s="136">
        <f t="shared" si="71"/>
        <v>0</v>
      </c>
      <c r="BF312" s="136">
        <f t="shared" si="71"/>
        <v>0</v>
      </c>
      <c r="BG312" s="136">
        <f t="shared" si="71"/>
        <v>0</v>
      </c>
      <c r="BH312" s="136">
        <f t="shared" si="71"/>
        <v>0</v>
      </c>
      <c r="BI312" s="136">
        <f t="shared" si="71"/>
        <v>0</v>
      </c>
      <c r="BJ312" s="136">
        <f t="shared" si="71"/>
        <v>0</v>
      </c>
      <c r="BK312" s="136">
        <f t="shared" si="71"/>
        <v>0</v>
      </c>
      <c r="BL312" s="136">
        <f t="shared" si="71"/>
        <v>0</v>
      </c>
      <c r="BM312" s="136">
        <f t="shared" si="71"/>
        <v>0</v>
      </c>
      <c r="BN312" s="136">
        <f t="shared" si="71"/>
        <v>0</v>
      </c>
      <c r="BO312" s="136">
        <f t="shared" si="71"/>
        <v>0</v>
      </c>
      <c r="BP312" s="136">
        <f t="shared" si="71"/>
        <v>0</v>
      </c>
      <c r="BQ312" s="136">
        <f t="shared" si="71"/>
        <v>0</v>
      </c>
      <c r="BR312" s="136">
        <f t="shared" si="71"/>
        <v>0</v>
      </c>
      <c r="BS312" s="136">
        <f t="shared" si="71"/>
        <v>0</v>
      </c>
      <c r="BT312" s="136">
        <f t="shared" si="71"/>
        <v>-443361</v>
      </c>
      <c r="BU312" s="136">
        <f t="shared" si="71"/>
        <v>0</v>
      </c>
      <c r="BV312" s="136">
        <f t="shared" si="71"/>
        <v>0</v>
      </c>
      <c r="BW312" s="136">
        <f t="shared" si="69"/>
        <v>0</v>
      </c>
      <c r="BX312" s="136">
        <f t="shared" si="67"/>
        <v>0</v>
      </c>
      <c r="BZ312" s="136">
        <f t="shared" si="68"/>
        <v>0</v>
      </c>
      <c r="CA312" s="136">
        <f t="shared" si="68"/>
        <v>0</v>
      </c>
    </row>
    <row r="313" spans="12:79" hidden="1" x14ac:dyDescent="0.3">
      <c r="L313" s="136">
        <f t="shared" si="72"/>
        <v>0</v>
      </c>
      <c r="M313" s="136">
        <f t="shared" si="72"/>
        <v>0</v>
      </c>
      <c r="N313" s="136">
        <f t="shared" si="72"/>
        <v>0</v>
      </c>
      <c r="O313" s="136">
        <f t="shared" si="71"/>
        <v>0</v>
      </c>
      <c r="P313" s="136">
        <f t="shared" si="71"/>
        <v>0</v>
      </c>
      <c r="Q313" s="136">
        <f t="shared" si="71"/>
        <v>0</v>
      </c>
      <c r="R313" s="136">
        <f t="shared" si="71"/>
        <v>0</v>
      </c>
      <c r="S313" s="136">
        <f t="shared" si="71"/>
        <v>0</v>
      </c>
      <c r="T313" s="136">
        <f t="shared" si="71"/>
        <v>0</v>
      </c>
      <c r="U313" s="136">
        <f t="shared" si="71"/>
        <v>0</v>
      </c>
      <c r="V313" s="136">
        <f t="shared" si="71"/>
        <v>0</v>
      </c>
      <c r="W313" s="136">
        <f t="shared" si="71"/>
        <v>0</v>
      </c>
      <c r="X313" s="136">
        <f t="shared" si="71"/>
        <v>0</v>
      </c>
      <c r="Y313" s="136">
        <f t="shared" si="71"/>
        <v>0</v>
      </c>
      <c r="Z313" s="136">
        <f t="shared" si="71"/>
        <v>0</v>
      </c>
      <c r="AA313" s="136">
        <f t="shared" si="71"/>
        <v>0</v>
      </c>
      <c r="AB313" s="136">
        <f t="shared" si="71"/>
        <v>0</v>
      </c>
      <c r="AC313" s="136">
        <f t="shared" si="71"/>
        <v>0</v>
      </c>
      <c r="AD313" s="136">
        <f t="shared" si="71"/>
        <v>0</v>
      </c>
      <c r="AE313" s="136">
        <f t="shared" si="71"/>
        <v>0</v>
      </c>
      <c r="AF313" s="136">
        <f t="shared" si="71"/>
        <v>0</v>
      </c>
      <c r="AG313" s="136">
        <f t="shared" si="71"/>
        <v>0</v>
      </c>
      <c r="AH313" s="136">
        <f t="shared" si="71"/>
        <v>0</v>
      </c>
      <c r="AI313" s="136">
        <f t="shared" si="71"/>
        <v>0</v>
      </c>
      <c r="AJ313" s="136">
        <f t="shared" si="71"/>
        <v>0</v>
      </c>
      <c r="AK313" s="136">
        <f t="shared" si="71"/>
        <v>0</v>
      </c>
      <c r="AL313" s="136">
        <f t="shared" si="71"/>
        <v>0</v>
      </c>
      <c r="AM313" s="136">
        <f t="shared" si="71"/>
        <v>0</v>
      </c>
      <c r="AN313" s="136">
        <f t="shared" si="71"/>
        <v>0</v>
      </c>
      <c r="AO313" s="136">
        <f t="shared" si="71"/>
        <v>0</v>
      </c>
      <c r="AP313" s="136">
        <f t="shared" si="71"/>
        <v>0</v>
      </c>
      <c r="AQ313" s="136">
        <f t="shared" si="71"/>
        <v>0</v>
      </c>
      <c r="AR313" s="136">
        <f t="shared" si="71"/>
        <v>0</v>
      </c>
      <c r="AS313" s="136">
        <f t="shared" si="71"/>
        <v>0</v>
      </c>
      <c r="AT313" s="136">
        <f t="shared" si="71"/>
        <v>0</v>
      </c>
      <c r="AU313" s="136">
        <f t="shared" si="71"/>
        <v>0</v>
      </c>
      <c r="AV313" s="136">
        <f t="shared" si="71"/>
        <v>0</v>
      </c>
      <c r="AW313" s="136">
        <f t="shared" si="71"/>
        <v>0</v>
      </c>
      <c r="AX313" s="136">
        <f t="shared" si="71"/>
        <v>0</v>
      </c>
      <c r="AY313" s="136">
        <f t="shared" si="71"/>
        <v>0</v>
      </c>
      <c r="AZ313" s="136">
        <f t="shared" si="71"/>
        <v>0</v>
      </c>
      <c r="BA313" s="136">
        <f t="shared" si="71"/>
        <v>0</v>
      </c>
      <c r="BB313" s="136">
        <f t="shared" si="71"/>
        <v>0</v>
      </c>
      <c r="BC313" s="136">
        <f t="shared" si="71"/>
        <v>0</v>
      </c>
      <c r="BD313" s="136">
        <f t="shared" si="71"/>
        <v>0</v>
      </c>
      <c r="BE313" s="136">
        <f t="shared" si="71"/>
        <v>0</v>
      </c>
      <c r="BF313" s="136">
        <f t="shared" si="71"/>
        <v>0</v>
      </c>
      <c r="BG313" s="136">
        <f t="shared" si="71"/>
        <v>0</v>
      </c>
      <c r="BH313" s="136">
        <f t="shared" si="71"/>
        <v>0</v>
      </c>
      <c r="BI313" s="136">
        <f t="shared" si="71"/>
        <v>0</v>
      </c>
      <c r="BJ313" s="136">
        <f t="shared" si="71"/>
        <v>0</v>
      </c>
      <c r="BK313" s="136">
        <f t="shared" si="71"/>
        <v>0</v>
      </c>
      <c r="BL313" s="136">
        <f t="shared" si="71"/>
        <v>0</v>
      </c>
      <c r="BM313" s="136">
        <f t="shared" si="71"/>
        <v>0</v>
      </c>
      <c r="BN313" s="136">
        <f t="shared" si="71"/>
        <v>0</v>
      </c>
      <c r="BO313" s="136">
        <f t="shared" si="71"/>
        <v>0</v>
      </c>
      <c r="BP313" s="136">
        <f t="shared" si="71"/>
        <v>0</v>
      </c>
      <c r="BQ313" s="136">
        <f t="shared" si="71"/>
        <v>0</v>
      </c>
      <c r="BR313" s="136">
        <f t="shared" si="71"/>
        <v>0</v>
      </c>
      <c r="BS313" s="136">
        <f t="shared" si="71"/>
        <v>0</v>
      </c>
      <c r="BT313" s="136">
        <f t="shared" si="71"/>
        <v>0</v>
      </c>
      <c r="BU313" s="136">
        <f t="shared" si="71"/>
        <v>0</v>
      </c>
      <c r="BV313" s="136">
        <f t="shared" si="71"/>
        <v>0</v>
      </c>
      <c r="BW313" s="136">
        <f t="shared" si="69"/>
        <v>0</v>
      </c>
      <c r="BX313" s="136">
        <f t="shared" si="67"/>
        <v>0</v>
      </c>
      <c r="BZ313" s="136">
        <f t="shared" si="68"/>
        <v>0</v>
      </c>
      <c r="CA313" s="136">
        <f t="shared" si="68"/>
        <v>0</v>
      </c>
    </row>
    <row r="314" spans="12:79" hidden="1" x14ac:dyDescent="0.3">
      <c r="L314" s="136">
        <f t="shared" si="72"/>
        <v>0</v>
      </c>
      <c r="M314" s="136">
        <f t="shared" si="72"/>
        <v>0</v>
      </c>
      <c r="N314" s="136">
        <f t="shared" si="72"/>
        <v>0</v>
      </c>
      <c r="O314" s="136">
        <f t="shared" si="71"/>
        <v>0</v>
      </c>
      <c r="P314" s="136">
        <f t="shared" si="71"/>
        <v>0</v>
      </c>
      <c r="Q314" s="136">
        <f t="shared" si="71"/>
        <v>88771</v>
      </c>
      <c r="R314" s="136">
        <f t="shared" si="71"/>
        <v>0</v>
      </c>
      <c r="S314" s="136">
        <f t="shared" si="71"/>
        <v>0</v>
      </c>
      <c r="T314" s="136">
        <f t="shared" si="71"/>
        <v>0</v>
      </c>
      <c r="U314" s="136">
        <f t="shared" si="71"/>
        <v>0</v>
      </c>
      <c r="V314" s="136">
        <f t="shared" si="71"/>
        <v>0</v>
      </c>
      <c r="W314" s="136">
        <f t="shared" si="71"/>
        <v>0</v>
      </c>
      <c r="X314" s="136">
        <f t="shared" si="71"/>
        <v>0</v>
      </c>
      <c r="Y314" s="136">
        <f t="shared" si="71"/>
        <v>0</v>
      </c>
      <c r="Z314" s="136">
        <f t="shared" si="71"/>
        <v>0</v>
      </c>
      <c r="AA314" s="136">
        <f t="shared" si="71"/>
        <v>0</v>
      </c>
      <c r="AB314" s="136">
        <f t="shared" si="71"/>
        <v>0</v>
      </c>
      <c r="AC314" s="136">
        <f t="shared" si="71"/>
        <v>0</v>
      </c>
      <c r="AD314" s="136">
        <f t="shared" ref="AD314:BV319" si="73">AD163-CV163</f>
        <v>0</v>
      </c>
      <c r="AE314" s="136">
        <f t="shared" si="73"/>
        <v>0</v>
      </c>
      <c r="AF314" s="136">
        <f t="shared" si="73"/>
        <v>0</v>
      </c>
      <c r="AG314" s="136">
        <f t="shared" si="73"/>
        <v>0</v>
      </c>
      <c r="AH314" s="136">
        <f t="shared" si="73"/>
        <v>0</v>
      </c>
      <c r="AI314" s="136">
        <f t="shared" si="73"/>
        <v>0</v>
      </c>
      <c r="AJ314" s="136">
        <f t="shared" si="73"/>
        <v>0</v>
      </c>
      <c r="AK314" s="136">
        <f t="shared" si="73"/>
        <v>258046</v>
      </c>
      <c r="AL314" s="136">
        <f t="shared" si="73"/>
        <v>0</v>
      </c>
      <c r="AM314" s="136">
        <f t="shared" si="73"/>
        <v>0</v>
      </c>
      <c r="AN314" s="136">
        <f t="shared" si="73"/>
        <v>0</v>
      </c>
      <c r="AO314" s="136">
        <f t="shared" si="73"/>
        <v>0</v>
      </c>
      <c r="AP314" s="136">
        <f t="shared" si="73"/>
        <v>0</v>
      </c>
      <c r="AQ314" s="136">
        <f t="shared" si="73"/>
        <v>0</v>
      </c>
      <c r="AR314" s="136">
        <f t="shared" si="73"/>
        <v>0</v>
      </c>
      <c r="AS314" s="136">
        <f t="shared" si="73"/>
        <v>0</v>
      </c>
      <c r="AT314" s="136">
        <f t="shared" si="73"/>
        <v>0</v>
      </c>
      <c r="AU314" s="136">
        <f t="shared" si="73"/>
        <v>-179611</v>
      </c>
      <c r="AV314" s="136">
        <f t="shared" si="73"/>
        <v>0</v>
      </c>
      <c r="AW314" s="136">
        <f t="shared" si="73"/>
        <v>0</v>
      </c>
      <c r="AX314" s="136">
        <f t="shared" si="73"/>
        <v>0</v>
      </c>
      <c r="AY314" s="136">
        <f t="shared" si="73"/>
        <v>0</v>
      </c>
      <c r="AZ314" s="136">
        <f t="shared" si="73"/>
        <v>0</v>
      </c>
      <c r="BA314" s="136">
        <f t="shared" si="73"/>
        <v>0</v>
      </c>
      <c r="BB314" s="136">
        <f t="shared" si="73"/>
        <v>0</v>
      </c>
      <c r="BC314" s="136">
        <f t="shared" si="73"/>
        <v>0</v>
      </c>
      <c r="BD314" s="136">
        <f t="shared" si="73"/>
        <v>0</v>
      </c>
      <c r="BE314" s="136">
        <f t="shared" si="73"/>
        <v>0</v>
      </c>
      <c r="BF314" s="136">
        <f t="shared" si="73"/>
        <v>0</v>
      </c>
      <c r="BG314" s="136">
        <f t="shared" si="73"/>
        <v>0</v>
      </c>
      <c r="BH314" s="136">
        <f t="shared" si="73"/>
        <v>0</v>
      </c>
      <c r="BI314" s="136">
        <f t="shared" si="73"/>
        <v>0</v>
      </c>
      <c r="BJ314" s="136">
        <f t="shared" si="73"/>
        <v>0</v>
      </c>
      <c r="BK314" s="136">
        <f t="shared" si="73"/>
        <v>0</v>
      </c>
      <c r="BL314" s="136">
        <f t="shared" si="73"/>
        <v>0</v>
      </c>
      <c r="BM314" s="136">
        <f t="shared" si="73"/>
        <v>0</v>
      </c>
      <c r="BN314" s="136">
        <f t="shared" si="73"/>
        <v>0</v>
      </c>
      <c r="BO314" s="136">
        <f t="shared" si="73"/>
        <v>-701591</v>
      </c>
      <c r="BP314" s="136">
        <f t="shared" si="73"/>
        <v>0</v>
      </c>
      <c r="BQ314" s="136">
        <f t="shared" si="73"/>
        <v>0</v>
      </c>
      <c r="BR314" s="136">
        <f t="shared" si="73"/>
        <v>0</v>
      </c>
      <c r="BS314" s="136">
        <f t="shared" si="73"/>
        <v>0</v>
      </c>
      <c r="BT314" s="136">
        <f t="shared" si="73"/>
        <v>167206</v>
      </c>
      <c r="BU314" s="136">
        <f t="shared" si="73"/>
        <v>0</v>
      </c>
      <c r="BV314" s="136">
        <f t="shared" si="73"/>
        <v>0</v>
      </c>
      <c r="BW314" s="136">
        <f t="shared" si="69"/>
        <v>0</v>
      </c>
      <c r="BX314" s="136">
        <f t="shared" si="67"/>
        <v>0</v>
      </c>
      <c r="BZ314" s="136">
        <f t="shared" si="68"/>
        <v>0</v>
      </c>
      <c r="CA314" s="136">
        <f t="shared" si="68"/>
        <v>0</v>
      </c>
    </row>
    <row r="315" spans="12:79" hidden="1" x14ac:dyDescent="0.3">
      <c r="L315" s="136">
        <f t="shared" si="72"/>
        <v>0</v>
      </c>
      <c r="M315" s="136">
        <f t="shared" si="72"/>
        <v>0</v>
      </c>
      <c r="N315" s="136">
        <f t="shared" si="72"/>
        <v>0</v>
      </c>
      <c r="O315" s="136">
        <f t="shared" si="72"/>
        <v>0</v>
      </c>
      <c r="P315" s="136">
        <f t="shared" si="72"/>
        <v>0</v>
      </c>
      <c r="Q315" s="136">
        <f t="shared" si="72"/>
        <v>88771</v>
      </c>
      <c r="R315" s="136">
        <f t="shared" si="72"/>
        <v>0</v>
      </c>
      <c r="S315" s="136">
        <f t="shared" si="72"/>
        <v>0</v>
      </c>
      <c r="T315" s="136">
        <f t="shared" si="72"/>
        <v>0</v>
      </c>
      <c r="U315" s="136">
        <f t="shared" si="72"/>
        <v>0</v>
      </c>
      <c r="V315" s="136">
        <f t="shared" si="72"/>
        <v>0</v>
      </c>
      <c r="W315" s="136">
        <f t="shared" si="72"/>
        <v>0</v>
      </c>
      <c r="X315" s="136">
        <f t="shared" si="72"/>
        <v>0</v>
      </c>
      <c r="Y315" s="136">
        <f t="shared" si="72"/>
        <v>0</v>
      </c>
      <c r="Z315" s="136">
        <f t="shared" si="72"/>
        <v>0</v>
      </c>
      <c r="AA315" s="136">
        <f t="shared" si="72"/>
        <v>0</v>
      </c>
      <c r="AB315" s="136">
        <f t="shared" ref="AB315:AQ330" si="74">AB164-CT164</f>
        <v>0</v>
      </c>
      <c r="AC315" s="136">
        <f t="shared" si="74"/>
        <v>0</v>
      </c>
      <c r="AD315" s="136">
        <f t="shared" si="73"/>
        <v>0</v>
      </c>
      <c r="AE315" s="136">
        <f t="shared" si="73"/>
        <v>0</v>
      </c>
      <c r="AF315" s="136">
        <f t="shared" si="73"/>
        <v>0</v>
      </c>
      <c r="AG315" s="136">
        <f t="shared" si="73"/>
        <v>0</v>
      </c>
      <c r="AH315" s="136">
        <f t="shared" si="73"/>
        <v>0</v>
      </c>
      <c r="AI315" s="136">
        <f t="shared" si="73"/>
        <v>0</v>
      </c>
      <c r="AJ315" s="136">
        <f t="shared" si="73"/>
        <v>0</v>
      </c>
      <c r="AK315" s="136">
        <f t="shared" si="73"/>
        <v>258046</v>
      </c>
      <c r="AL315" s="136">
        <f t="shared" si="73"/>
        <v>0</v>
      </c>
      <c r="AM315" s="136">
        <f t="shared" si="73"/>
        <v>0</v>
      </c>
      <c r="AN315" s="136">
        <f t="shared" si="73"/>
        <v>0</v>
      </c>
      <c r="AO315" s="136">
        <f t="shared" si="73"/>
        <v>0</v>
      </c>
      <c r="AP315" s="136">
        <f t="shared" si="73"/>
        <v>0</v>
      </c>
      <c r="AQ315" s="136">
        <f t="shared" si="73"/>
        <v>0</v>
      </c>
      <c r="AR315" s="136">
        <f t="shared" si="73"/>
        <v>0</v>
      </c>
      <c r="AS315" s="136">
        <f t="shared" si="73"/>
        <v>0</v>
      </c>
      <c r="AT315" s="136">
        <f t="shared" si="73"/>
        <v>0</v>
      </c>
      <c r="AU315" s="136">
        <f t="shared" si="73"/>
        <v>-179611</v>
      </c>
      <c r="AV315" s="136">
        <f t="shared" si="73"/>
        <v>0</v>
      </c>
      <c r="AW315" s="136">
        <f t="shared" si="73"/>
        <v>0</v>
      </c>
      <c r="AX315" s="136">
        <f t="shared" si="73"/>
        <v>0</v>
      </c>
      <c r="AY315" s="136">
        <f t="shared" si="73"/>
        <v>0</v>
      </c>
      <c r="AZ315" s="136">
        <f t="shared" si="73"/>
        <v>0</v>
      </c>
      <c r="BA315" s="136">
        <f t="shared" si="73"/>
        <v>0</v>
      </c>
      <c r="BB315" s="136">
        <f t="shared" si="73"/>
        <v>0</v>
      </c>
      <c r="BC315" s="136">
        <f t="shared" si="73"/>
        <v>0</v>
      </c>
      <c r="BD315" s="136">
        <f t="shared" si="73"/>
        <v>0</v>
      </c>
      <c r="BE315" s="136">
        <f t="shared" si="73"/>
        <v>0</v>
      </c>
      <c r="BF315" s="136">
        <f t="shared" si="73"/>
        <v>0</v>
      </c>
      <c r="BG315" s="136">
        <f t="shared" si="73"/>
        <v>0</v>
      </c>
      <c r="BH315" s="136">
        <f t="shared" si="73"/>
        <v>0</v>
      </c>
      <c r="BI315" s="136">
        <f t="shared" si="73"/>
        <v>0</v>
      </c>
      <c r="BJ315" s="136">
        <f t="shared" si="73"/>
        <v>0</v>
      </c>
      <c r="BK315" s="136">
        <f t="shared" si="73"/>
        <v>0</v>
      </c>
      <c r="BL315" s="136">
        <f t="shared" si="73"/>
        <v>0</v>
      </c>
      <c r="BM315" s="136">
        <f t="shared" si="73"/>
        <v>0</v>
      </c>
      <c r="BN315" s="136">
        <f t="shared" si="73"/>
        <v>0</v>
      </c>
      <c r="BO315" s="136">
        <f t="shared" si="73"/>
        <v>-701591</v>
      </c>
      <c r="BP315" s="136">
        <f t="shared" si="73"/>
        <v>0</v>
      </c>
      <c r="BQ315" s="136">
        <f t="shared" si="73"/>
        <v>0</v>
      </c>
      <c r="BR315" s="136">
        <f t="shared" si="73"/>
        <v>0</v>
      </c>
      <c r="BS315" s="136">
        <f t="shared" si="73"/>
        <v>0</v>
      </c>
      <c r="BT315" s="136">
        <f t="shared" si="73"/>
        <v>167206</v>
      </c>
      <c r="BU315" s="136">
        <f t="shared" si="73"/>
        <v>0</v>
      </c>
      <c r="BV315" s="136">
        <f t="shared" si="73"/>
        <v>0</v>
      </c>
      <c r="BW315" s="136">
        <f t="shared" si="69"/>
        <v>0</v>
      </c>
      <c r="BX315" s="136">
        <f t="shared" si="67"/>
        <v>0</v>
      </c>
      <c r="BZ315" s="136">
        <f t="shared" si="68"/>
        <v>0</v>
      </c>
      <c r="CA315" s="136">
        <f t="shared" si="68"/>
        <v>0</v>
      </c>
    </row>
    <row r="316" spans="12:79" hidden="1" x14ac:dyDescent="0.3">
      <c r="L316" s="136">
        <f t="shared" si="72"/>
        <v>0</v>
      </c>
      <c r="M316" s="136">
        <f t="shared" si="72"/>
        <v>0</v>
      </c>
      <c r="N316" s="136">
        <f t="shared" si="72"/>
        <v>0</v>
      </c>
      <c r="O316" s="136">
        <f t="shared" si="72"/>
        <v>0</v>
      </c>
      <c r="P316" s="136">
        <f t="shared" si="72"/>
        <v>0</v>
      </c>
      <c r="Q316" s="136">
        <f t="shared" si="72"/>
        <v>0</v>
      </c>
      <c r="R316" s="136">
        <f t="shared" si="72"/>
        <v>0</v>
      </c>
      <c r="S316" s="136">
        <f t="shared" si="72"/>
        <v>0</v>
      </c>
      <c r="T316" s="136">
        <f t="shared" si="72"/>
        <v>0</v>
      </c>
      <c r="U316" s="136">
        <f t="shared" si="72"/>
        <v>0</v>
      </c>
      <c r="V316" s="136">
        <f t="shared" si="72"/>
        <v>0</v>
      </c>
      <c r="W316" s="136">
        <f t="shared" si="72"/>
        <v>0</v>
      </c>
      <c r="X316" s="136">
        <f t="shared" si="72"/>
        <v>0</v>
      </c>
      <c r="Y316" s="136">
        <f t="shared" si="72"/>
        <v>0</v>
      </c>
      <c r="Z316" s="136">
        <f t="shared" si="72"/>
        <v>0</v>
      </c>
      <c r="AA316" s="136">
        <f t="shared" si="72"/>
        <v>0</v>
      </c>
      <c r="AB316" s="136">
        <f t="shared" si="74"/>
        <v>0</v>
      </c>
      <c r="AC316" s="136">
        <f t="shared" si="74"/>
        <v>0</v>
      </c>
      <c r="AD316" s="136">
        <f t="shared" si="73"/>
        <v>0</v>
      </c>
      <c r="AE316" s="136">
        <f t="shared" si="73"/>
        <v>0</v>
      </c>
      <c r="AF316" s="136">
        <f t="shared" si="73"/>
        <v>0</v>
      </c>
      <c r="AG316" s="136">
        <f t="shared" si="73"/>
        <v>0</v>
      </c>
      <c r="AH316" s="136">
        <f t="shared" si="73"/>
        <v>0</v>
      </c>
      <c r="AI316" s="136">
        <f t="shared" si="73"/>
        <v>0</v>
      </c>
      <c r="AJ316" s="136">
        <f t="shared" si="73"/>
        <v>0</v>
      </c>
      <c r="AK316" s="136">
        <f t="shared" si="73"/>
        <v>0</v>
      </c>
      <c r="AL316" s="136">
        <f t="shared" si="73"/>
        <v>0</v>
      </c>
      <c r="AM316" s="136">
        <f t="shared" si="73"/>
        <v>0</v>
      </c>
      <c r="AN316" s="136">
        <f t="shared" si="73"/>
        <v>0</v>
      </c>
      <c r="AO316" s="136">
        <f t="shared" si="73"/>
        <v>0</v>
      </c>
      <c r="AP316" s="136">
        <f t="shared" si="73"/>
        <v>0</v>
      </c>
      <c r="AQ316" s="136">
        <f t="shared" si="73"/>
        <v>0</v>
      </c>
      <c r="AR316" s="136">
        <f t="shared" si="73"/>
        <v>0</v>
      </c>
      <c r="AS316" s="136">
        <f t="shared" si="73"/>
        <v>0</v>
      </c>
      <c r="AT316" s="136">
        <f t="shared" si="73"/>
        <v>0</v>
      </c>
      <c r="AU316" s="136">
        <f t="shared" si="73"/>
        <v>0</v>
      </c>
      <c r="AV316" s="136">
        <f t="shared" si="73"/>
        <v>0</v>
      </c>
      <c r="AW316" s="136">
        <f t="shared" si="73"/>
        <v>0</v>
      </c>
      <c r="AX316" s="136">
        <f t="shared" si="73"/>
        <v>0</v>
      </c>
      <c r="AY316" s="136">
        <f t="shared" si="73"/>
        <v>0</v>
      </c>
      <c r="AZ316" s="136">
        <f t="shared" si="73"/>
        <v>0</v>
      </c>
      <c r="BA316" s="136">
        <f t="shared" si="73"/>
        <v>0</v>
      </c>
      <c r="BB316" s="136">
        <f t="shared" si="73"/>
        <v>0</v>
      </c>
      <c r="BC316" s="136">
        <f t="shared" si="73"/>
        <v>0</v>
      </c>
      <c r="BD316" s="136">
        <f t="shared" si="73"/>
        <v>0</v>
      </c>
      <c r="BE316" s="136">
        <f t="shared" si="73"/>
        <v>0</v>
      </c>
      <c r="BF316" s="136">
        <f t="shared" si="73"/>
        <v>0</v>
      </c>
      <c r="BG316" s="136">
        <f t="shared" si="73"/>
        <v>0</v>
      </c>
      <c r="BH316" s="136">
        <f t="shared" si="73"/>
        <v>0</v>
      </c>
      <c r="BI316" s="136">
        <f t="shared" si="73"/>
        <v>0</v>
      </c>
      <c r="BJ316" s="136">
        <f t="shared" si="73"/>
        <v>0</v>
      </c>
      <c r="BK316" s="136">
        <f t="shared" si="73"/>
        <v>0</v>
      </c>
      <c r="BL316" s="136">
        <f t="shared" si="73"/>
        <v>0</v>
      </c>
      <c r="BM316" s="136">
        <f t="shared" si="73"/>
        <v>0</v>
      </c>
      <c r="BN316" s="136">
        <f t="shared" si="73"/>
        <v>0</v>
      </c>
      <c r="BO316" s="136">
        <f t="shared" si="73"/>
        <v>0</v>
      </c>
      <c r="BP316" s="136">
        <f t="shared" si="73"/>
        <v>0</v>
      </c>
      <c r="BQ316" s="136">
        <f t="shared" si="73"/>
        <v>0</v>
      </c>
      <c r="BR316" s="136">
        <f t="shared" si="73"/>
        <v>0</v>
      </c>
      <c r="BS316" s="136">
        <f t="shared" si="73"/>
        <v>0</v>
      </c>
      <c r="BT316" s="136">
        <f t="shared" si="73"/>
        <v>0</v>
      </c>
      <c r="BU316" s="136">
        <f t="shared" si="73"/>
        <v>0</v>
      </c>
      <c r="BV316" s="136">
        <f t="shared" si="73"/>
        <v>0</v>
      </c>
      <c r="BW316" s="136">
        <f t="shared" si="69"/>
        <v>0</v>
      </c>
      <c r="BX316" s="136">
        <f t="shared" si="67"/>
        <v>0</v>
      </c>
      <c r="BZ316" s="136">
        <f t="shared" si="68"/>
        <v>0</v>
      </c>
      <c r="CA316" s="136">
        <f t="shared" si="68"/>
        <v>0</v>
      </c>
    </row>
    <row r="317" spans="12:79" hidden="1" x14ac:dyDescent="0.3">
      <c r="L317" s="136">
        <f t="shared" si="72"/>
        <v>0</v>
      </c>
      <c r="M317" s="136">
        <f t="shared" si="72"/>
        <v>0</v>
      </c>
      <c r="N317" s="136">
        <f t="shared" si="72"/>
        <v>0</v>
      </c>
      <c r="O317" s="136">
        <f t="shared" si="72"/>
        <v>0</v>
      </c>
      <c r="P317" s="136">
        <f t="shared" si="72"/>
        <v>0</v>
      </c>
      <c r="Q317" s="136">
        <f t="shared" si="72"/>
        <v>0</v>
      </c>
      <c r="R317" s="136">
        <f t="shared" si="72"/>
        <v>0</v>
      </c>
      <c r="S317" s="136">
        <f t="shared" si="72"/>
        <v>0</v>
      </c>
      <c r="T317" s="136">
        <f t="shared" si="72"/>
        <v>0</v>
      </c>
      <c r="U317" s="136">
        <f t="shared" si="72"/>
        <v>0</v>
      </c>
      <c r="V317" s="136">
        <f t="shared" si="72"/>
        <v>0</v>
      </c>
      <c r="W317" s="136">
        <f t="shared" si="72"/>
        <v>0</v>
      </c>
      <c r="X317" s="136">
        <f t="shared" si="72"/>
        <v>0</v>
      </c>
      <c r="Y317" s="136">
        <f t="shared" si="72"/>
        <v>0</v>
      </c>
      <c r="Z317" s="136">
        <f t="shared" si="72"/>
        <v>0</v>
      </c>
      <c r="AA317" s="136">
        <f t="shared" si="72"/>
        <v>0</v>
      </c>
      <c r="AB317" s="136">
        <f t="shared" si="74"/>
        <v>0</v>
      </c>
      <c r="AC317" s="136">
        <f t="shared" si="74"/>
        <v>0</v>
      </c>
      <c r="AD317" s="136">
        <f t="shared" si="73"/>
        <v>0</v>
      </c>
      <c r="AE317" s="136">
        <f t="shared" si="73"/>
        <v>0</v>
      </c>
      <c r="AF317" s="136">
        <f t="shared" si="73"/>
        <v>0</v>
      </c>
      <c r="AG317" s="136">
        <f t="shared" si="73"/>
        <v>0</v>
      </c>
      <c r="AH317" s="136">
        <f t="shared" si="73"/>
        <v>0</v>
      </c>
      <c r="AI317" s="136">
        <f t="shared" si="73"/>
        <v>0</v>
      </c>
      <c r="AJ317" s="136">
        <f t="shared" si="73"/>
        <v>0</v>
      </c>
      <c r="AK317" s="136">
        <f t="shared" si="73"/>
        <v>0</v>
      </c>
      <c r="AL317" s="136">
        <f t="shared" si="73"/>
        <v>0</v>
      </c>
      <c r="AM317" s="136">
        <f t="shared" si="73"/>
        <v>0</v>
      </c>
      <c r="AN317" s="136">
        <f t="shared" si="73"/>
        <v>0</v>
      </c>
      <c r="AO317" s="136">
        <f t="shared" si="73"/>
        <v>0</v>
      </c>
      <c r="AP317" s="136">
        <f t="shared" si="73"/>
        <v>-55605</v>
      </c>
      <c r="AQ317" s="136">
        <f t="shared" si="73"/>
        <v>0</v>
      </c>
      <c r="AR317" s="136">
        <f t="shared" si="73"/>
        <v>0</v>
      </c>
      <c r="AS317" s="136">
        <f t="shared" si="73"/>
        <v>0</v>
      </c>
      <c r="AT317" s="136">
        <f t="shared" si="73"/>
        <v>0</v>
      </c>
      <c r="AU317" s="136">
        <f t="shared" si="73"/>
        <v>-129971</v>
      </c>
      <c r="AV317" s="136">
        <f t="shared" si="73"/>
        <v>0</v>
      </c>
      <c r="AW317" s="136">
        <f t="shared" si="73"/>
        <v>0</v>
      </c>
      <c r="AX317" s="136">
        <f t="shared" si="73"/>
        <v>0</v>
      </c>
      <c r="AY317" s="136">
        <f t="shared" si="73"/>
        <v>0</v>
      </c>
      <c r="AZ317" s="136">
        <f t="shared" si="73"/>
        <v>0</v>
      </c>
      <c r="BA317" s="136">
        <f t="shared" si="73"/>
        <v>0</v>
      </c>
      <c r="BB317" s="136">
        <f t="shared" si="73"/>
        <v>0</v>
      </c>
      <c r="BC317" s="136">
        <f t="shared" si="73"/>
        <v>0</v>
      </c>
      <c r="BD317" s="136">
        <f t="shared" si="73"/>
        <v>0</v>
      </c>
      <c r="BE317" s="136">
        <f t="shared" si="73"/>
        <v>0</v>
      </c>
      <c r="BF317" s="136">
        <f t="shared" si="73"/>
        <v>0</v>
      </c>
      <c r="BG317" s="136">
        <f t="shared" si="73"/>
        <v>0</v>
      </c>
      <c r="BH317" s="136">
        <f t="shared" si="73"/>
        <v>0</v>
      </c>
      <c r="BI317" s="136">
        <f t="shared" si="73"/>
        <v>0</v>
      </c>
      <c r="BJ317" s="136">
        <f t="shared" si="73"/>
        <v>0</v>
      </c>
      <c r="BK317" s="136">
        <f t="shared" si="73"/>
        <v>0</v>
      </c>
      <c r="BL317" s="136">
        <f t="shared" si="73"/>
        <v>0</v>
      </c>
      <c r="BM317" s="136">
        <f t="shared" si="73"/>
        <v>0</v>
      </c>
      <c r="BN317" s="136">
        <f t="shared" si="73"/>
        <v>0</v>
      </c>
      <c r="BO317" s="136">
        <f t="shared" si="73"/>
        <v>0</v>
      </c>
      <c r="BP317" s="136">
        <f t="shared" si="73"/>
        <v>0</v>
      </c>
      <c r="BQ317" s="136">
        <f t="shared" si="73"/>
        <v>0</v>
      </c>
      <c r="BR317" s="136">
        <f t="shared" si="73"/>
        <v>0</v>
      </c>
      <c r="BS317" s="136">
        <f t="shared" si="73"/>
        <v>0</v>
      </c>
      <c r="BT317" s="136">
        <f t="shared" si="73"/>
        <v>-185576</v>
      </c>
      <c r="BU317" s="136">
        <f t="shared" si="73"/>
        <v>0</v>
      </c>
      <c r="BV317" s="136">
        <f t="shared" si="73"/>
        <v>0</v>
      </c>
      <c r="BW317" s="136">
        <f t="shared" si="69"/>
        <v>0</v>
      </c>
      <c r="BX317" s="136">
        <f t="shared" si="67"/>
        <v>0</v>
      </c>
      <c r="BZ317" s="136">
        <f t="shared" si="68"/>
        <v>0</v>
      </c>
      <c r="CA317" s="136">
        <f t="shared" si="68"/>
        <v>0</v>
      </c>
    </row>
    <row r="318" spans="12:79" hidden="1" x14ac:dyDescent="0.3">
      <c r="L318" s="136">
        <f t="shared" si="72"/>
        <v>0</v>
      </c>
      <c r="M318" s="136">
        <f t="shared" si="72"/>
        <v>0</v>
      </c>
      <c r="N318" s="136">
        <f t="shared" si="72"/>
        <v>0</v>
      </c>
      <c r="O318" s="136">
        <f t="shared" si="72"/>
        <v>0</v>
      </c>
      <c r="P318" s="136">
        <f t="shared" si="72"/>
        <v>0</v>
      </c>
      <c r="Q318" s="136">
        <f t="shared" si="72"/>
        <v>0</v>
      </c>
      <c r="R318" s="136">
        <f t="shared" si="72"/>
        <v>0</v>
      </c>
      <c r="S318" s="136">
        <f t="shared" si="72"/>
        <v>0</v>
      </c>
      <c r="T318" s="136">
        <f t="shared" si="72"/>
        <v>0</v>
      </c>
      <c r="U318" s="136">
        <f t="shared" si="72"/>
        <v>0</v>
      </c>
      <c r="V318" s="136">
        <f t="shared" si="72"/>
        <v>0</v>
      </c>
      <c r="W318" s="136">
        <f t="shared" si="72"/>
        <v>0</v>
      </c>
      <c r="X318" s="136">
        <f t="shared" si="72"/>
        <v>0</v>
      </c>
      <c r="Y318" s="136">
        <f t="shared" si="72"/>
        <v>0</v>
      </c>
      <c r="Z318" s="136">
        <f t="shared" si="72"/>
        <v>0</v>
      </c>
      <c r="AA318" s="136">
        <f t="shared" si="72"/>
        <v>0</v>
      </c>
      <c r="AB318" s="136">
        <f t="shared" si="74"/>
        <v>0</v>
      </c>
      <c r="AC318" s="136">
        <f t="shared" si="74"/>
        <v>0</v>
      </c>
      <c r="AD318" s="136">
        <f t="shared" si="73"/>
        <v>0</v>
      </c>
      <c r="AE318" s="136">
        <f t="shared" si="73"/>
        <v>0</v>
      </c>
      <c r="AF318" s="136">
        <f t="shared" si="73"/>
        <v>0</v>
      </c>
      <c r="AG318" s="136">
        <f t="shared" si="73"/>
        <v>0</v>
      </c>
      <c r="AH318" s="136">
        <f t="shared" si="73"/>
        <v>0</v>
      </c>
      <c r="AI318" s="136">
        <f t="shared" si="73"/>
        <v>0</v>
      </c>
      <c r="AJ318" s="136">
        <f t="shared" si="73"/>
        <v>0</v>
      </c>
      <c r="AK318" s="136">
        <f t="shared" si="73"/>
        <v>0</v>
      </c>
      <c r="AL318" s="136">
        <f t="shared" si="73"/>
        <v>0</v>
      </c>
      <c r="AM318" s="136">
        <f t="shared" si="73"/>
        <v>0</v>
      </c>
      <c r="AN318" s="136">
        <f t="shared" si="73"/>
        <v>0</v>
      </c>
      <c r="AO318" s="136">
        <f t="shared" si="73"/>
        <v>0</v>
      </c>
      <c r="AP318" s="136">
        <f t="shared" si="73"/>
        <v>-55605</v>
      </c>
      <c r="AQ318" s="136">
        <f t="shared" si="73"/>
        <v>0</v>
      </c>
      <c r="AR318" s="136">
        <f t="shared" si="73"/>
        <v>0</v>
      </c>
      <c r="AS318" s="136">
        <f t="shared" si="73"/>
        <v>0</v>
      </c>
      <c r="AT318" s="136">
        <f t="shared" si="73"/>
        <v>0</v>
      </c>
      <c r="AU318" s="136">
        <f t="shared" si="73"/>
        <v>-129971</v>
      </c>
      <c r="AV318" s="136">
        <f t="shared" si="73"/>
        <v>0</v>
      </c>
      <c r="AW318" s="136">
        <f t="shared" si="73"/>
        <v>0</v>
      </c>
      <c r="AX318" s="136">
        <f t="shared" si="73"/>
        <v>0</v>
      </c>
      <c r="AY318" s="136">
        <f t="shared" si="73"/>
        <v>0</v>
      </c>
      <c r="AZ318" s="136">
        <f t="shared" si="73"/>
        <v>0</v>
      </c>
      <c r="BA318" s="136">
        <f t="shared" si="73"/>
        <v>0</v>
      </c>
      <c r="BB318" s="136">
        <f t="shared" si="73"/>
        <v>0</v>
      </c>
      <c r="BC318" s="136">
        <f t="shared" si="73"/>
        <v>0</v>
      </c>
      <c r="BD318" s="136">
        <f t="shared" si="73"/>
        <v>0</v>
      </c>
      <c r="BE318" s="136">
        <f t="shared" si="73"/>
        <v>0</v>
      </c>
      <c r="BF318" s="136">
        <f t="shared" si="73"/>
        <v>0</v>
      </c>
      <c r="BG318" s="136">
        <f t="shared" si="73"/>
        <v>0</v>
      </c>
      <c r="BH318" s="136">
        <f t="shared" si="73"/>
        <v>0</v>
      </c>
      <c r="BI318" s="136">
        <f t="shared" si="73"/>
        <v>0</v>
      </c>
      <c r="BJ318" s="136">
        <f t="shared" si="73"/>
        <v>0</v>
      </c>
      <c r="BK318" s="136">
        <f t="shared" si="73"/>
        <v>0</v>
      </c>
      <c r="BL318" s="136">
        <f t="shared" si="73"/>
        <v>0</v>
      </c>
      <c r="BM318" s="136">
        <f t="shared" si="73"/>
        <v>0</v>
      </c>
      <c r="BN318" s="136">
        <f t="shared" si="73"/>
        <v>0</v>
      </c>
      <c r="BO318" s="136">
        <f t="shared" si="73"/>
        <v>0</v>
      </c>
      <c r="BP318" s="136">
        <f t="shared" si="73"/>
        <v>0</v>
      </c>
      <c r="BQ318" s="136">
        <f t="shared" si="73"/>
        <v>0</v>
      </c>
      <c r="BR318" s="136">
        <f t="shared" si="73"/>
        <v>0</v>
      </c>
      <c r="BS318" s="136">
        <f t="shared" si="73"/>
        <v>0</v>
      </c>
      <c r="BT318" s="136">
        <f t="shared" si="73"/>
        <v>-185576</v>
      </c>
      <c r="BU318" s="136">
        <f t="shared" si="73"/>
        <v>0</v>
      </c>
      <c r="BV318" s="136">
        <f t="shared" si="73"/>
        <v>0</v>
      </c>
      <c r="BW318" s="136">
        <f t="shared" si="69"/>
        <v>0</v>
      </c>
      <c r="BX318" s="136">
        <f t="shared" si="67"/>
        <v>0</v>
      </c>
      <c r="BZ318" s="136">
        <f t="shared" ref="BZ318:CA333" si="75">BZ167-ER167</f>
        <v>0</v>
      </c>
      <c r="CA318" s="136">
        <f t="shared" si="75"/>
        <v>0</v>
      </c>
    </row>
    <row r="319" spans="12:79" hidden="1" x14ac:dyDescent="0.3">
      <c r="L319" s="136">
        <f t="shared" si="72"/>
        <v>0</v>
      </c>
      <c r="M319" s="136">
        <f t="shared" si="72"/>
        <v>0</v>
      </c>
      <c r="N319" s="136">
        <f t="shared" si="72"/>
        <v>0</v>
      </c>
      <c r="O319" s="136">
        <f t="shared" si="72"/>
        <v>0</v>
      </c>
      <c r="P319" s="136">
        <f t="shared" si="72"/>
        <v>0</v>
      </c>
      <c r="Q319" s="136">
        <f t="shared" si="72"/>
        <v>0</v>
      </c>
      <c r="R319" s="136">
        <f t="shared" si="72"/>
        <v>0</v>
      </c>
      <c r="S319" s="136">
        <f t="shared" si="72"/>
        <v>0</v>
      </c>
      <c r="T319" s="136">
        <f t="shared" si="72"/>
        <v>0</v>
      </c>
      <c r="U319" s="136">
        <f t="shared" si="72"/>
        <v>0</v>
      </c>
      <c r="V319" s="136">
        <f t="shared" si="72"/>
        <v>0</v>
      </c>
      <c r="W319" s="136">
        <f t="shared" si="72"/>
        <v>0</v>
      </c>
      <c r="X319" s="136">
        <f t="shared" si="72"/>
        <v>0</v>
      </c>
      <c r="Y319" s="136">
        <f t="shared" si="72"/>
        <v>0</v>
      </c>
      <c r="Z319" s="136">
        <f t="shared" si="72"/>
        <v>0</v>
      </c>
      <c r="AA319" s="136">
        <f t="shared" si="72"/>
        <v>0</v>
      </c>
      <c r="AB319" s="136">
        <f t="shared" si="74"/>
        <v>0</v>
      </c>
      <c r="AC319" s="136">
        <f t="shared" si="74"/>
        <v>0</v>
      </c>
      <c r="AD319" s="136">
        <f t="shared" si="73"/>
        <v>0</v>
      </c>
      <c r="AE319" s="136">
        <f t="shared" si="73"/>
        <v>0</v>
      </c>
      <c r="AF319" s="136">
        <f t="shared" si="73"/>
        <v>0</v>
      </c>
      <c r="AG319" s="136">
        <f t="shared" si="73"/>
        <v>0</v>
      </c>
      <c r="AH319" s="136">
        <f t="shared" si="73"/>
        <v>0</v>
      </c>
      <c r="AI319" s="136">
        <f t="shared" si="73"/>
        <v>0</v>
      </c>
      <c r="AJ319" s="136">
        <f t="shared" si="73"/>
        <v>0</v>
      </c>
      <c r="AK319" s="136">
        <f t="shared" si="73"/>
        <v>0</v>
      </c>
      <c r="AL319" s="136">
        <f t="shared" si="73"/>
        <v>0</v>
      </c>
      <c r="AM319" s="136">
        <f t="shared" si="73"/>
        <v>0</v>
      </c>
      <c r="AN319" s="136">
        <f t="shared" si="73"/>
        <v>0</v>
      </c>
      <c r="AO319" s="136">
        <f t="shared" si="73"/>
        <v>0</v>
      </c>
      <c r="AP319" s="136">
        <f t="shared" si="73"/>
        <v>0</v>
      </c>
      <c r="AQ319" s="136">
        <f t="shared" si="73"/>
        <v>0</v>
      </c>
      <c r="AR319" s="136">
        <f t="shared" si="73"/>
        <v>0</v>
      </c>
      <c r="AS319" s="136">
        <f t="shared" si="73"/>
        <v>0</v>
      </c>
      <c r="AT319" s="136">
        <f t="shared" si="73"/>
        <v>0</v>
      </c>
      <c r="AU319" s="136">
        <f t="shared" si="73"/>
        <v>0</v>
      </c>
      <c r="AV319" s="136">
        <f t="shared" si="73"/>
        <v>0</v>
      </c>
      <c r="AW319" s="136">
        <f t="shared" si="73"/>
        <v>0</v>
      </c>
      <c r="AX319" s="136">
        <f t="shared" si="73"/>
        <v>0</v>
      </c>
      <c r="AY319" s="136">
        <f t="shared" si="73"/>
        <v>0</v>
      </c>
      <c r="AZ319" s="136">
        <f t="shared" si="73"/>
        <v>0</v>
      </c>
      <c r="BA319" s="136">
        <f t="shared" si="73"/>
        <v>0</v>
      </c>
      <c r="BB319" s="136">
        <f t="shared" si="73"/>
        <v>0</v>
      </c>
      <c r="BC319" s="136">
        <f t="shared" si="73"/>
        <v>0</v>
      </c>
      <c r="BD319" s="136">
        <f t="shared" si="73"/>
        <v>0</v>
      </c>
      <c r="BE319" s="136">
        <f t="shared" si="73"/>
        <v>0</v>
      </c>
      <c r="BF319" s="136">
        <f t="shared" si="73"/>
        <v>0</v>
      </c>
      <c r="BG319" s="136">
        <f t="shared" si="73"/>
        <v>0</v>
      </c>
      <c r="BH319" s="136">
        <f t="shared" ref="BH319:BV334" si="76">BH168-DZ168</f>
        <v>0</v>
      </c>
      <c r="BI319" s="136">
        <f t="shared" si="76"/>
        <v>0</v>
      </c>
      <c r="BJ319" s="136">
        <f t="shared" si="76"/>
        <v>0</v>
      </c>
      <c r="BK319" s="136">
        <f t="shared" si="76"/>
        <v>0</v>
      </c>
      <c r="BL319" s="136">
        <f t="shared" si="76"/>
        <v>0</v>
      </c>
      <c r="BM319" s="136">
        <f t="shared" si="76"/>
        <v>0</v>
      </c>
      <c r="BN319" s="136">
        <f t="shared" si="76"/>
        <v>0</v>
      </c>
      <c r="BO319" s="136">
        <f t="shared" si="76"/>
        <v>0</v>
      </c>
      <c r="BP319" s="136">
        <f t="shared" si="76"/>
        <v>0</v>
      </c>
      <c r="BQ319" s="136">
        <f t="shared" si="76"/>
        <v>0</v>
      </c>
      <c r="BR319" s="136">
        <f t="shared" si="76"/>
        <v>0</v>
      </c>
      <c r="BS319" s="136">
        <f t="shared" si="76"/>
        <v>0</v>
      </c>
      <c r="BT319" s="136">
        <f t="shared" si="76"/>
        <v>0</v>
      </c>
      <c r="BU319" s="136">
        <f t="shared" si="76"/>
        <v>0</v>
      </c>
      <c r="BV319" s="136">
        <f t="shared" si="76"/>
        <v>0</v>
      </c>
      <c r="BW319" s="136">
        <f t="shared" si="69"/>
        <v>0</v>
      </c>
      <c r="BX319" s="136">
        <f t="shared" si="67"/>
        <v>0</v>
      </c>
      <c r="BZ319" s="136">
        <f t="shared" si="75"/>
        <v>0</v>
      </c>
      <c r="CA319" s="136">
        <f t="shared" si="75"/>
        <v>0</v>
      </c>
    </row>
    <row r="320" spans="12:79" hidden="1" x14ac:dyDescent="0.3">
      <c r="L320" s="136">
        <f t="shared" si="72"/>
        <v>0</v>
      </c>
      <c r="M320" s="136">
        <f t="shared" si="72"/>
        <v>0</v>
      </c>
      <c r="N320" s="136">
        <f t="shared" si="72"/>
        <v>0</v>
      </c>
      <c r="O320" s="136">
        <f t="shared" si="72"/>
        <v>0</v>
      </c>
      <c r="P320" s="136">
        <f t="shared" si="72"/>
        <v>0</v>
      </c>
      <c r="Q320" s="136">
        <f t="shared" si="72"/>
        <v>0</v>
      </c>
      <c r="R320" s="136">
        <f t="shared" si="72"/>
        <v>0</v>
      </c>
      <c r="S320" s="136">
        <f t="shared" si="72"/>
        <v>0</v>
      </c>
      <c r="T320" s="136">
        <f t="shared" si="72"/>
        <v>0</v>
      </c>
      <c r="U320" s="136">
        <f t="shared" si="72"/>
        <v>0</v>
      </c>
      <c r="V320" s="136">
        <f t="shared" si="72"/>
        <v>92637</v>
      </c>
      <c r="W320" s="136">
        <f t="shared" si="72"/>
        <v>0</v>
      </c>
      <c r="X320" s="136">
        <f t="shared" si="72"/>
        <v>0</v>
      </c>
      <c r="Y320" s="136">
        <f t="shared" si="72"/>
        <v>0</v>
      </c>
      <c r="Z320" s="136">
        <f t="shared" si="72"/>
        <v>0</v>
      </c>
      <c r="AA320" s="136">
        <f t="shared" si="72"/>
        <v>0</v>
      </c>
      <c r="AB320" s="136">
        <f t="shared" si="74"/>
        <v>0</v>
      </c>
      <c r="AC320" s="136">
        <f t="shared" si="74"/>
        <v>0</v>
      </c>
      <c r="AD320" s="136">
        <f t="shared" si="74"/>
        <v>0</v>
      </c>
      <c r="AE320" s="136">
        <f t="shared" si="74"/>
        <v>0</v>
      </c>
      <c r="AF320" s="136">
        <f t="shared" si="74"/>
        <v>0</v>
      </c>
      <c r="AG320" s="136">
        <f t="shared" si="74"/>
        <v>0</v>
      </c>
      <c r="AH320" s="136">
        <f t="shared" si="74"/>
        <v>0</v>
      </c>
      <c r="AI320" s="136">
        <f t="shared" si="74"/>
        <v>0</v>
      </c>
      <c r="AJ320" s="136">
        <f t="shared" si="74"/>
        <v>0</v>
      </c>
      <c r="AK320" s="136">
        <f t="shared" si="74"/>
        <v>0</v>
      </c>
      <c r="AL320" s="136">
        <f t="shared" si="74"/>
        <v>0</v>
      </c>
      <c r="AM320" s="136">
        <f t="shared" si="74"/>
        <v>0</v>
      </c>
      <c r="AN320" s="136">
        <f t="shared" si="74"/>
        <v>0</v>
      </c>
      <c r="AO320" s="136">
        <f t="shared" si="74"/>
        <v>0</v>
      </c>
      <c r="AP320" s="136">
        <f t="shared" si="74"/>
        <v>0</v>
      </c>
      <c r="AQ320" s="136">
        <f t="shared" si="74"/>
        <v>0</v>
      </c>
      <c r="AR320" s="136">
        <f t="shared" ref="AR320:BG335" si="77">AR169-DJ169</f>
        <v>0</v>
      </c>
      <c r="AS320" s="136">
        <f t="shared" si="77"/>
        <v>0</v>
      </c>
      <c r="AT320" s="136">
        <f t="shared" si="77"/>
        <v>0</v>
      </c>
      <c r="AU320" s="136">
        <f t="shared" si="77"/>
        <v>0</v>
      </c>
      <c r="AV320" s="136">
        <f t="shared" si="77"/>
        <v>0</v>
      </c>
      <c r="AW320" s="136">
        <f t="shared" si="77"/>
        <v>0</v>
      </c>
      <c r="AX320" s="136">
        <f t="shared" si="77"/>
        <v>0</v>
      </c>
      <c r="AY320" s="136">
        <f t="shared" si="77"/>
        <v>0</v>
      </c>
      <c r="AZ320" s="136">
        <f t="shared" si="77"/>
        <v>0</v>
      </c>
      <c r="BA320" s="136">
        <f t="shared" si="77"/>
        <v>0</v>
      </c>
      <c r="BB320" s="136">
        <f t="shared" si="77"/>
        <v>0</v>
      </c>
      <c r="BC320" s="136">
        <f t="shared" si="77"/>
        <v>0</v>
      </c>
      <c r="BD320" s="136">
        <f t="shared" si="77"/>
        <v>0</v>
      </c>
      <c r="BE320" s="136">
        <f t="shared" si="77"/>
        <v>0</v>
      </c>
      <c r="BF320" s="136">
        <f t="shared" si="77"/>
        <v>0</v>
      </c>
      <c r="BG320" s="136">
        <f t="shared" si="77"/>
        <v>0</v>
      </c>
      <c r="BH320" s="136">
        <f t="shared" si="76"/>
        <v>0</v>
      </c>
      <c r="BI320" s="136">
        <f t="shared" si="76"/>
        <v>0</v>
      </c>
      <c r="BJ320" s="136">
        <f t="shared" si="76"/>
        <v>0</v>
      </c>
      <c r="BK320" s="136">
        <f t="shared" si="76"/>
        <v>0</v>
      </c>
      <c r="BL320" s="136">
        <f t="shared" si="76"/>
        <v>0</v>
      </c>
      <c r="BM320" s="136">
        <f t="shared" si="76"/>
        <v>0</v>
      </c>
      <c r="BN320" s="136">
        <f t="shared" si="76"/>
        <v>0</v>
      </c>
      <c r="BO320" s="136">
        <f t="shared" si="76"/>
        <v>-56461</v>
      </c>
      <c r="BP320" s="136">
        <f t="shared" si="76"/>
        <v>0</v>
      </c>
      <c r="BQ320" s="136">
        <f t="shared" si="76"/>
        <v>0</v>
      </c>
      <c r="BR320" s="136">
        <f t="shared" si="76"/>
        <v>0</v>
      </c>
      <c r="BS320" s="136">
        <f t="shared" si="76"/>
        <v>0</v>
      </c>
      <c r="BT320" s="136">
        <f t="shared" si="76"/>
        <v>92637</v>
      </c>
      <c r="BU320" s="136">
        <f t="shared" si="76"/>
        <v>0</v>
      </c>
      <c r="BV320" s="136">
        <f t="shared" si="76"/>
        <v>0</v>
      </c>
      <c r="BW320" s="136">
        <f t="shared" si="69"/>
        <v>0</v>
      </c>
      <c r="BX320" s="136">
        <f t="shared" si="67"/>
        <v>0</v>
      </c>
      <c r="BZ320" s="136">
        <f t="shared" si="75"/>
        <v>0</v>
      </c>
      <c r="CA320" s="136">
        <f t="shared" si="75"/>
        <v>0</v>
      </c>
    </row>
    <row r="321" spans="12:79" hidden="1" x14ac:dyDescent="0.3">
      <c r="L321" s="136">
        <f t="shared" si="72"/>
        <v>0</v>
      </c>
      <c r="M321" s="136">
        <f t="shared" si="72"/>
        <v>0</v>
      </c>
      <c r="N321" s="136">
        <f t="shared" si="72"/>
        <v>0</v>
      </c>
      <c r="O321" s="136">
        <f t="shared" si="72"/>
        <v>0</v>
      </c>
      <c r="P321" s="136">
        <f t="shared" si="72"/>
        <v>0</v>
      </c>
      <c r="Q321" s="136">
        <f t="shared" si="72"/>
        <v>0</v>
      </c>
      <c r="R321" s="136">
        <f t="shared" si="72"/>
        <v>0</v>
      </c>
      <c r="S321" s="136">
        <f t="shared" si="72"/>
        <v>0</v>
      </c>
      <c r="T321" s="136">
        <f t="shared" si="72"/>
        <v>0</v>
      </c>
      <c r="U321" s="136">
        <f t="shared" si="72"/>
        <v>0</v>
      </c>
      <c r="V321" s="136">
        <f t="shared" si="72"/>
        <v>92637</v>
      </c>
      <c r="W321" s="136">
        <f t="shared" si="72"/>
        <v>0</v>
      </c>
      <c r="X321" s="136">
        <f t="shared" si="72"/>
        <v>0</v>
      </c>
      <c r="Y321" s="136">
        <f t="shared" si="72"/>
        <v>0</v>
      </c>
      <c r="Z321" s="136">
        <f t="shared" si="72"/>
        <v>0</v>
      </c>
      <c r="AA321" s="136">
        <f t="shared" si="72"/>
        <v>0</v>
      </c>
      <c r="AB321" s="136">
        <f t="shared" si="74"/>
        <v>0</v>
      </c>
      <c r="AC321" s="136">
        <f t="shared" si="74"/>
        <v>0</v>
      </c>
      <c r="AD321" s="136">
        <f t="shared" si="74"/>
        <v>0</v>
      </c>
      <c r="AE321" s="136">
        <f t="shared" si="74"/>
        <v>0</v>
      </c>
      <c r="AF321" s="136">
        <f t="shared" si="74"/>
        <v>0</v>
      </c>
      <c r="AG321" s="136">
        <f t="shared" si="74"/>
        <v>0</v>
      </c>
      <c r="AH321" s="136">
        <f t="shared" si="74"/>
        <v>0</v>
      </c>
      <c r="AI321" s="136">
        <f t="shared" si="74"/>
        <v>0</v>
      </c>
      <c r="AJ321" s="136">
        <f t="shared" si="74"/>
        <v>0</v>
      </c>
      <c r="AK321" s="136">
        <f t="shared" si="74"/>
        <v>0</v>
      </c>
      <c r="AL321" s="136">
        <f t="shared" si="74"/>
        <v>0</v>
      </c>
      <c r="AM321" s="136">
        <f t="shared" si="74"/>
        <v>0</v>
      </c>
      <c r="AN321" s="136">
        <f t="shared" si="74"/>
        <v>0</v>
      </c>
      <c r="AO321" s="136">
        <f t="shared" si="74"/>
        <v>0</v>
      </c>
      <c r="AP321" s="136">
        <f t="shared" si="74"/>
        <v>0</v>
      </c>
      <c r="AQ321" s="136">
        <f t="shared" si="74"/>
        <v>0</v>
      </c>
      <c r="AR321" s="136">
        <f t="shared" si="77"/>
        <v>0</v>
      </c>
      <c r="AS321" s="136">
        <f t="shared" si="77"/>
        <v>0</v>
      </c>
      <c r="AT321" s="136">
        <f t="shared" si="77"/>
        <v>0</v>
      </c>
      <c r="AU321" s="136">
        <f t="shared" si="77"/>
        <v>0</v>
      </c>
      <c r="AV321" s="136">
        <f t="shared" si="77"/>
        <v>0</v>
      </c>
      <c r="AW321" s="136">
        <f t="shared" si="77"/>
        <v>0</v>
      </c>
      <c r="AX321" s="136">
        <f t="shared" si="77"/>
        <v>0</v>
      </c>
      <c r="AY321" s="136">
        <f t="shared" si="77"/>
        <v>0</v>
      </c>
      <c r="AZ321" s="136">
        <f t="shared" si="77"/>
        <v>0</v>
      </c>
      <c r="BA321" s="136">
        <f t="shared" si="77"/>
        <v>0</v>
      </c>
      <c r="BB321" s="136">
        <f t="shared" si="77"/>
        <v>0</v>
      </c>
      <c r="BC321" s="136">
        <f t="shared" si="77"/>
        <v>0</v>
      </c>
      <c r="BD321" s="136">
        <f t="shared" si="77"/>
        <v>0</v>
      </c>
      <c r="BE321" s="136">
        <f t="shared" si="77"/>
        <v>0</v>
      </c>
      <c r="BF321" s="136">
        <f t="shared" si="77"/>
        <v>0</v>
      </c>
      <c r="BG321" s="136">
        <f t="shared" si="77"/>
        <v>0</v>
      </c>
      <c r="BH321" s="136">
        <f t="shared" si="76"/>
        <v>0</v>
      </c>
      <c r="BI321" s="136">
        <f t="shared" si="76"/>
        <v>0</v>
      </c>
      <c r="BJ321" s="136">
        <f t="shared" si="76"/>
        <v>0</v>
      </c>
      <c r="BK321" s="136">
        <f t="shared" si="76"/>
        <v>0</v>
      </c>
      <c r="BL321" s="136">
        <f t="shared" si="76"/>
        <v>0</v>
      </c>
      <c r="BM321" s="136">
        <f t="shared" si="76"/>
        <v>0</v>
      </c>
      <c r="BN321" s="136">
        <f t="shared" si="76"/>
        <v>0</v>
      </c>
      <c r="BO321" s="136">
        <f t="shared" si="76"/>
        <v>-56461</v>
      </c>
      <c r="BP321" s="136">
        <f t="shared" si="76"/>
        <v>0</v>
      </c>
      <c r="BQ321" s="136">
        <f t="shared" si="76"/>
        <v>0</v>
      </c>
      <c r="BR321" s="136">
        <f t="shared" si="76"/>
        <v>0</v>
      </c>
      <c r="BS321" s="136">
        <f t="shared" si="76"/>
        <v>0</v>
      </c>
      <c r="BT321" s="136">
        <f t="shared" si="76"/>
        <v>92637</v>
      </c>
      <c r="BU321" s="136">
        <f t="shared" si="76"/>
        <v>0</v>
      </c>
      <c r="BV321" s="136">
        <f t="shared" si="76"/>
        <v>0</v>
      </c>
      <c r="BW321" s="136">
        <f t="shared" si="69"/>
        <v>0</v>
      </c>
      <c r="BX321" s="136">
        <f t="shared" si="67"/>
        <v>0</v>
      </c>
      <c r="BZ321" s="136">
        <f t="shared" si="75"/>
        <v>0</v>
      </c>
      <c r="CA321" s="136">
        <f t="shared" si="75"/>
        <v>0</v>
      </c>
    </row>
    <row r="322" spans="12:79" hidden="1" x14ac:dyDescent="0.3">
      <c r="L322" s="136">
        <f t="shared" si="72"/>
        <v>0</v>
      </c>
      <c r="M322" s="136">
        <f t="shared" si="72"/>
        <v>0</v>
      </c>
      <c r="N322" s="136">
        <f t="shared" si="72"/>
        <v>0</v>
      </c>
      <c r="O322" s="136">
        <f t="shared" si="72"/>
        <v>0</v>
      </c>
      <c r="P322" s="136">
        <f t="shared" si="72"/>
        <v>0</v>
      </c>
      <c r="Q322" s="136">
        <f t="shared" si="72"/>
        <v>0</v>
      </c>
      <c r="R322" s="136">
        <f t="shared" si="72"/>
        <v>0</v>
      </c>
      <c r="S322" s="136">
        <f t="shared" si="72"/>
        <v>0</v>
      </c>
      <c r="T322" s="136">
        <f t="shared" si="72"/>
        <v>0</v>
      </c>
      <c r="U322" s="136">
        <f t="shared" si="72"/>
        <v>0</v>
      </c>
      <c r="V322" s="136">
        <f t="shared" si="72"/>
        <v>0</v>
      </c>
      <c r="W322" s="136">
        <f t="shared" si="72"/>
        <v>0</v>
      </c>
      <c r="X322" s="136">
        <f t="shared" si="72"/>
        <v>0</v>
      </c>
      <c r="Y322" s="136">
        <f t="shared" si="72"/>
        <v>0</v>
      </c>
      <c r="Z322" s="136">
        <f t="shared" si="72"/>
        <v>0</v>
      </c>
      <c r="AA322" s="136">
        <f t="shared" si="72"/>
        <v>0</v>
      </c>
      <c r="AB322" s="136">
        <f t="shared" si="74"/>
        <v>0</v>
      </c>
      <c r="AC322" s="136">
        <f t="shared" si="74"/>
        <v>0</v>
      </c>
      <c r="AD322" s="136">
        <f t="shared" si="74"/>
        <v>0</v>
      </c>
      <c r="AE322" s="136">
        <f t="shared" si="74"/>
        <v>0</v>
      </c>
      <c r="AF322" s="136">
        <f t="shared" si="74"/>
        <v>0</v>
      </c>
      <c r="AG322" s="136">
        <f t="shared" si="74"/>
        <v>0</v>
      </c>
      <c r="AH322" s="136">
        <f t="shared" si="74"/>
        <v>0</v>
      </c>
      <c r="AI322" s="136">
        <f t="shared" si="74"/>
        <v>0</v>
      </c>
      <c r="AJ322" s="136">
        <f t="shared" si="74"/>
        <v>0</v>
      </c>
      <c r="AK322" s="136">
        <f t="shared" si="74"/>
        <v>0</v>
      </c>
      <c r="AL322" s="136">
        <f t="shared" si="74"/>
        <v>0</v>
      </c>
      <c r="AM322" s="136">
        <f t="shared" si="74"/>
        <v>0</v>
      </c>
      <c r="AN322" s="136">
        <f t="shared" si="74"/>
        <v>0</v>
      </c>
      <c r="AO322" s="136">
        <f t="shared" si="74"/>
        <v>0</v>
      </c>
      <c r="AP322" s="136">
        <f t="shared" si="74"/>
        <v>0</v>
      </c>
      <c r="AQ322" s="136">
        <f t="shared" si="74"/>
        <v>0</v>
      </c>
      <c r="AR322" s="136">
        <f t="shared" si="77"/>
        <v>0</v>
      </c>
      <c r="AS322" s="136">
        <f t="shared" si="77"/>
        <v>0</v>
      </c>
      <c r="AT322" s="136">
        <f t="shared" si="77"/>
        <v>0</v>
      </c>
      <c r="AU322" s="136">
        <f t="shared" si="77"/>
        <v>0</v>
      </c>
      <c r="AV322" s="136">
        <f t="shared" si="77"/>
        <v>0</v>
      </c>
      <c r="AW322" s="136">
        <f t="shared" si="77"/>
        <v>0</v>
      </c>
      <c r="AX322" s="136">
        <f t="shared" si="77"/>
        <v>0</v>
      </c>
      <c r="AY322" s="136">
        <f t="shared" si="77"/>
        <v>0</v>
      </c>
      <c r="AZ322" s="136">
        <f t="shared" si="77"/>
        <v>0</v>
      </c>
      <c r="BA322" s="136">
        <f t="shared" si="77"/>
        <v>0</v>
      </c>
      <c r="BB322" s="136">
        <f t="shared" si="77"/>
        <v>0</v>
      </c>
      <c r="BC322" s="136">
        <f t="shared" si="77"/>
        <v>0</v>
      </c>
      <c r="BD322" s="136">
        <f t="shared" si="77"/>
        <v>0</v>
      </c>
      <c r="BE322" s="136">
        <f t="shared" si="77"/>
        <v>0</v>
      </c>
      <c r="BF322" s="136">
        <f t="shared" si="77"/>
        <v>0</v>
      </c>
      <c r="BG322" s="136">
        <f t="shared" si="77"/>
        <v>0</v>
      </c>
      <c r="BH322" s="136">
        <f t="shared" si="76"/>
        <v>0</v>
      </c>
      <c r="BI322" s="136">
        <f t="shared" si="76"/>
        <v>0</v>
      </c>
      <c r="BJ322" s="136">
        <f t="shared" si="76"/>
        <v>0</v>
      </c>
      <c r="BK322" s="136">
        <f t="shared" si="76"/>
        <v>0</v>
      </c>
      <c r="BL322" s="136">
        <f t="shared" si="76"/>
        <v>0</v>
      </c>
      <c r="BM322" s="136">
        <f t="shared" si="76"/>
        <v>0</v>
      </c>
      <c r="BN322" s="136">
        <f t="shared" si="76"/>
        <v>0</v>
      </c>
      <c r="BO322" s="136">
        <f t="shared" si="76"/>
        <v>0</v>
      </c>
      <c r="BP322" s="136">
        <f t="shared" si="76"/>
        <v>0</v>
      </c>
      <c r="BQ322" s="136">
        <f t="shared" si="76"/>
        <v>0</v>
      </c>
      <c r="BR322" s="136">
        <f t="shared" si="76"/>
        <v>0</v>
      </c>
      <c r="BS322" s="136">
        <f t="shared" si="76"/>
        <v>0</v>
      </c>
      <c r="BT322" s="136">
        <f t="shared" si="76"/>
        <v>0</v>
      </c>
      <c r="BU322" s="136">
        <f t="shared" si="76"/>
        <v>0</v>
      </c>
      <c r="BV322" s="136">
        <f t="shared" si="76"/>
        <v>0</v>
      </c>
      <c r="BW322" s="136">
        <f t="shared" si="69"/>
        <v>0</v>
      </c>
      <c r="BX322" s="136">
        <f t="shared" si="67"/>
        <v>0</v>
      </c>
      <c r="BZ322" s="136">
        <f t="shared" si="75"/>
        <v>0</v>
      </c>
      <c r="CA322" s="136">
        <f t="shared" si="75"/>
        <v>0</v>
      </c>
    </row>
    <row r="323" spans="12:79" hidden="1" x14ac:dyDescent="0.3">
      <c r="L323" s="136">
        <f t="shared" si="72"/>
        <v>259191</v>
      </c>
      <c r="M323" s="136">
        <f t="shared" si="72"/>
        <v>0</v>
      </c>
      <c r="N323" s="136">
        <f t="shared" si="72"/>
        <v>0</v>
      </c>
      <c r="O323" s="136">
        <f t="shared" si="72"/>
        <v>0</v>
      </c>
      <c r="P323" s="136">
        <f t="shared" si="72"/>
        <v>0</v>
      </c>
      <c r="Q323" s="136">
        <f t="shared" si="72"/>
        <v>0</v>
      </c>
      <c r="R323" s="136">
        <f t="shared" si="72"/>
        <v>0</v>
      </c>
      <c r="S323" s="136">
        <f t="shared" si="72"/>
        <v>0</v>
      </c>
      <c r="T323" s="136">
        <f t="shared" si="72"/>
        <v>0</v>
      </c>
      <c r="U323" s="136">
        <f t="shared" si="72"/>
        <v>0</v>
      </c>
      <c r="V323" s="136">
        <f t="shared" si="72"/>
        <v>0</v>
      </c>
      <c r="W323" s="136">
        <f t="shared" si="72"/>
        <v>0</v>
      </c>
      <c r="X323" s="136">
        <f t="shared" si="72"/>
        <v>0</v>
      </c>
      <c r="Y323" s="136">
        <f t="shared" si="72"/>
        <v>0</v>
      </c>
      <c r="Z323" s="136">
        <f t="shared" si="72"/>
        <v>0</v>
      </c>
      <c r="AA323" s="136">
        <f t="shared" si="72"/>
        <v>0</v>
      </c>
      <c r="AB323" s="136">
        <f t="shared" si="74"/>
        <v>0</v>
      </c>
      <c r="AC323" s="136">
        <f t="shared" si="74"/>
        <v>0</v>
      </c>
      <c r="AD323" s="136">
        <f t="shared" si="74"/>
        <v>0</v>
      </c>
      <c r="AE323" s="136">
        <f t="shared" si="74"/>
        <v>0</v>
      </c>
      <c r="AF323" s="136">
        <f t="shared" si="74"/>
        <v>0</v>
      </c>
      <c r="AG323" s="136">
        <f t="shared" si="74"/>
        <v>0</v>
      </c>
      <c r="AH323" s="136">
        <f t="shared" si="74"/>
        <v>0</v>
      </c>
      <c r="AI323" s="136">
        <f t="shared" si="74"/>
        <v>0</v>
      </c>
      <c r="AJ323" s="136">
        <f t="shared" si="74"/>
        <v>0</v>
      </c>
      <c r="AK323" s="136">
        <f t="shared" si="74"/>
        <v>126747</v>
      </c>
      <c r="AL323" s="136">
        <f t="shared" si="74"/>
        <v>0</v>
      </c>
      <c r="AM323" s="136">
        <f t="shared" si="74"/>
        <v>0</v>
      </c>
      <c r="AN323" s="136">
        <f t="shared" si="74"/>
        <v>0</v>
      </c>
      <c r="AO323" s="136">
        <f t="shared" si="74"/>
        <v>0</v>
      </c>
      <c r="AP323" s="136">
        <f t="shared" si="74"/>
        <v>0</v>
      </c>
      <c r="AQ323" s="136">
        <f t="shared" si="74"/>
        <v>0</v>
      </c>
      <c r="AR323" s="136">
        <f t="shared" si="77"/>
        <v>0</v>
      </c>
      <c r="AS323" s="136">
        <f t="shared" si="77"/>
        <v>0</v>
      </c>
      <c r="AT323" s="136">
        <f t="shared" si="77"/>
        <v>0</v>
      </c>
      <c r="AU323" s="136">
        <f t="shared" si="77"/>
        <v>55193</v>
      </c>
      <c r="AV323" s="136">
        <f t="shared" si="77"/>
        <v>0</v>
      </c>
      <c r="AW323" s="136">
        <f t="shared" si="77"/>
        <v>0</v>
      </c>
      <c r="AX323" s="136">
        <f t="shared" si="77"/>
        <v>0</v>
      </c>
      <c r="AY323" s="136">
        <f t="shared" si="77"/>
        <v>0</v>
      </c>
      <c r="AZ323" s="136">
        <f t="shared" si="77"/>
        <v>0</v>
      </c>
      <c r="BA323" s="136">
        <f t="shared" si="77"/>
        <v>0</v>
      </c>
      <c r="BB323" s="136">
        <f t="shared" si="77"/>
        <v>0</v>
      </c>
      <c r="BC323" s="136">
        <f t="shared" si="77"/>
        <v>0</v>
      </c>
      <c r="BD323" s="136">
        <f t="shared" si="77"/>
        <v>0</v>
      </c>
      <c r="BE323" s="136">
        <f t="shared" si="77"/>
        <v>0</v>
      </c>
      <c r="BF323" s="136">
        <f t="shared" si="77"/>
        <v>0</v>
      </c>
      <c r="BG323" s="136">
        <f t="shared" si="77"/>
        <v>0</v>
      </c>
      <c r="BH323" s="136">
        <f t="shared" si="76"/>
        <v>0</v>
      </c>
      <c r="BI323" s="136">
        <f t="shared" si="76"/>
        <v>0</v>
      </c>
      <c r="BJ323" s="136">
        <f t="shared" si="76"/>
        <v>0</v>
      </c>
      <c r="BK323" s="136">
        <f t="shared" si="76"/>
        <v>0</v>
      </c>
      <c r="BL323" s="136">
        <f t="shared" si="76"/>
        <v>0</v>
      </c>
      <c r="BM323" s="136">
        <f t="shared" si="76"/>
        <v>0</v>
      </c>
      <c r="BN323" s="136">
        <f t="shared" si="76"/>
        <v>0</v>
      </c>
      <c r="BO323" s="136">
        <f t="shared" si="76"/>
        <v>-410666</v>
      </c>
      <c r="BP323" s="136">
        <f t="shared" si="76"/>
        <v>0</v>
      </c>
      <c r="BQ323" s="136">
        <f t="shared" si="76"/>
        <v>0</v>
      </c>
      <c r="BR323" s="136">
        <f t="shared" si="76"/>
        <v>0</v>
      </c>
      <c r="BS323" s="136">
        <f t="shared" si="76"/>
        <v>0</v>
      </c>
      <c r="BT323" s="136">
        <f t="shared" si="76"/>
        <v>441131</v>
      </c>
      <c r="BU323" s="136">
        <f t="shared" si="76"/>
        <v>0</v>
      </c>
      <c r="BV323" s="136">
        <f t="shared" si="76"/>
        <v>0</v>
      </c>
      <c r="BW323" s="136">
        <f t="shared" si="69"/>
        <v>0</v>
      </c>
      <c r="BX323" s="136">
        <f t="shared" si="67"/>
        <v>0</v>
      </c>
      <c r="BZ323" s="136">
        <f t="shared" si="75"/>
        <v>0</v>
      </c>
      <c r="CA323" s="136">
        <f t="shared" si="75"/>
        <v>0</v>
      </c>
    </row>
    <row r="324" spans="12:79" hidden="1" x14ac:dyDescent="0.3">
      <c r="L324" s="136">
        <f t="shared" si="72"/>
        <v>259191</v>
      </c>
      <c r="M324" s="136">
        <f t="shared" si="72"/>
        <v>0</v>
      </c>
      <c r="N324" s="136">
        <f t="shared" si="72"/>
        <v>0</v>
      </c>
      <c r="O324" s="136">
        <f t="shared" si="72"/>
        <v>0</v>
      </c>
      <c r="P324" s="136">
        <f t="shared" si="72"/>
        <v>0</v>
      </c>
      <c r="Q324" s="136">
        <f t="shared" si="72"/>
        <v>0</v>
      </c>
      <c r="R324" s="136">
        <f t="shared" si="72"/>
        <v>0</v>
      </c>
      <c r="S324" s="136">
        <f t="shared" si="72"/>
        <v>0</v>
      </c>
      <c r="T324" s="136">
        <f t="shared" si="72"/>
        <v>0</v>
      </c>
      <c r="U324" s="136">
        <f t="shared" si="72"/>
        <v>0</v>
      </c>
      <c r="V324" s="136">
        <f t="shared" si="72"/>
        <v>0</v>
      </c>
      <c r="W324" s="136">
        <f t="shared" si="72"/>
        <v>0</v>
      </c>
      <c r="X324" s="136">
        <f t="shared" si="72"/>
        <v>0</v>
      </c>
      <c r="Y324" s="136">
        <f t="shared" si="72"/>
        <v>0</v>
      </c>
      <c r="Z324" s="136">
        <f t="shared" si="72"/>
        <v>0</v>
      </c>
      <c r="AA324" s="136">
        <f t="shared" si="72"/>
        <v>0</v>
      </c>
      <c r="AB324" s="136">
        <f t="shared" si="74"/>
        <v>0</v>
      </c>
      <c r="AC324" s="136">
        <f t="shared" si="74"/>
        <v>0</v>
      </c>
      <c r="AD324" s="136">
        <f t="shared" si="74"/>
        <v>0</v>
      </c>
      <c r="AE324" s="136">
        <f t="shared" si="74"/>
        <v>0</v>
      </c>
      <c r="AF324" s="136">
        <f t="shared" si="74"/>
        <v>0</v>
      </c>
      <c r="AG324" s="136">
        <f t="shared" si="74"/>
        <v>0</v>
      </c>
      <c r="AH324" s="136">
        <f t="shared" si="74"/>
        <v>0</v>
      </c>
      <c r="AI324" s="136">
        <f t="shared" si="74"/>
        <v>0</v>
      </c>
      <c r="AJ324" s="136">
        <f t="shared" si="74"/>
        <v>0</v>
      </c>
      <c r="AK324" s="136">
        <f t="shared" si="74"/>
        <v>126747</v>
      </c>
      <c r="AL324" s="136">
        <f t="shared" si="74"/>
        <v>0</v>
      </c>
      <c r="AM324" s="136">
        <f t="shared" si="74"/>
        <v>0</v>
      </c>
      <c r="AN324" s="136">
        <f t="shared" si="74"/>
        <v>0</v>
      </c>
      <c r="AO324" s="136">
        <f t="shared" si="74"/>
        <v>0</v>
      </c>
      <c r="AP324" s="136">
        <f t="shared" si="74"/>
        <v>0</v>
      </c>
      <c r="AQ324" s="136">
        <f t="shared" si="74"/>
        <v>0</v>
      </c>
      <c r="AR324" s="136">
        <f t="shared" si="77"/>
        <v>0</v>
      </c>
      <c r="AS324" s="136">
        <f t="shared" si="77"/>
        <v>0</v>
      </c>
      <c r="AT324" s="136">
        <f t="shared" si="77"/>
        <v>0</v>
      </c>
      <c r="AU324" s="136">
        <f t="shared" si="77"/>
        <v>55193</v>
      </c>
      <c r="AV324" s="136">
        <f t="shared" si="77"/>
        <v>0</v>
      </c>
      <c r="AW324" s="136">
        <f t="shared" si="77"/>
        <v>0</v>
      </c>
      <c r="AX324" s="136">
        <f t="shared" si="77"/>
        <v>0</v>
      </c>
      <c r="AY324" s="136">
        <f t="shared" si="77"/>
        <v>0</v>
      </c>
      <c r="AZ324" s="136">
        <f t="shared" si="77"/>
        <v>0</v>
      </c>
      <c r="BA324" s="136">
        <f t="shared" si="77"/>
        <v>0</v>
      </c>
      <c r="BB324" s="136">
        <f t="shared" si="77"/>
        <v>0</v>
      </c>
      <c r="BC324" s="136">
        <f t="shared" si="77"/>
        <v>0</v>
      </c>
      <c r="BD324" s="136">
        <f t="shared" si="77"/>
        <v>0</v>
      </c>
      <c r="BE324" s="136">
        <f t="shared" si="77"/>
        <v>0</v>
      </c>
      <c r="BF324" s="136">
        <f t="shared" si="77"/>
        <v>0</v>
      </c>
      <c r="BG324" s="136">
        <f t="shared" si="77"/>
        <v>0</v>
      </c>
      <c r="BH324" s="136">
        <f t="shared" si="76"/>
        <v>0</v>
      </c>
      <c r="BI324" s="136">
        <f t="shared" si="76"/>
        <v>0</v>
      </c>
      <c r="BJ324" s="136">
        <f t="shared" si="76"/>
        <v>0</v>
      </c>
      <c r="BK324" s="136">
        <f t="shared" si="76"/>
        <v>0</v>
      </c>
      <c r="BL324" s="136">
        <f t="shared" si="76"/>
        <v>0</v>
      </c>
      <c r="BM324" s="136">
        <f t="shared" si="76"/>
        <v>0</v>
      </c>
      <c r="BN324" s="136">
        <f t="shared" si="76"/>
        <v>0</v>
      </c>
      <c r="BO324" s="136">
        <f t="shared" si="76"/>
        <v>-410666</v>
      </c>
      <c r="BP324" s="136">
        <f t="shared" si="76"/>
        <v>0</v>
      </c>
      <c r="BQ324" s="136">
        <f t="shared" si="76"/>
        <v>0</v>
      </c>
      <c r="BR324" s="136">
        <f t="shared" si="76"/>
        <v>0</v>
      </c>
      <c r="BS324" s="136">
        <f t="shared" si="76"/>
        <v>0</v>
      </c>
      <c r="BT324" s="136">
        <f t="shared" si="76"/>
        <v>441131</v>
      </c>
      <c r="BU324" s="136">
        <f t="shared" si="76"/>
        <v>0</v>
      </c>
      <c r="BV324" s="136">
        <f t="shared" si="76"/>
        <v>0</v>
      </c>
      <c r="BW324" s="136">
        <f t="shared" si="69"/>
        <v>0</v>
      </c>
      <c r="BX324" s="136">
        <f t="shared" si="67"/>
        <v>0</v>
      </c>
      <c r="BZ324" s="136">
        <f t="shared" si="75"/>
        <v>0</v>
      </c>
      <c r="CA324" s="136">
        <f t="shared" si="75"/>
        <v>0</v>
      </c>
    </row>
    <row r="325" spans="12:79" hidden="1" x14ac:dyDescent="0.3">
      <c r="L325" s="136">
        <f t="shared" si="72"/>
        <v>0</v>
      </c>
      <c r="M325" s="136">
        <f t="shared" si="72"/>
        <v>0</v>
      </c>
      <c r="N325" s="136">
        <f t="shared" si="72"/>
        <v>0</v>
      </c>
      <c r="O325" s="136">
        <f t="shared" si="72"/>
        <v>0</v>
      </c>
      <c r="P325" s="136">
        <f t="shared" si="72"/>
        <v>0</v>
      </c>
      <c r="Q325" s="136">
        <f t="shared" si="72"/>
        <v>0</v>
      </c>
      <c r="R325" s="136">
        <f t="shared" si="72"/>
        <v>0</v>
      </c>
      <c r="S325" s="136">
        <f t="shared" si="72"/>
        <v>0</v>
      </c>
      <c r="T325" s="136">
        <f t="shared" si="72"/>
        <v>0</v>
      </c>
      <c r="U325" s="136">
        <f t="shared" si="72"/>
        <v>0</v>
      </c>
      <c r="V325" s="136">
        <f t="shared" si="72"/>
        <v>0</v>
      </c>
      <c r="W325" s="136">
        <f t="shared" si="72"/>
        <v>0</v>
      </c>
      <c r="X325" s="136">
        <f t="shared" si="72"/>
        <v>0</v>
      </c>
      <c r="Y325" s="136">
        <f t="shared" si="72"/>
        <v>0</v>
      </c>
      <c r="Z325" s="136">
        <f t="shared" si="72"/>
        <v>0</v>
      </c>
      <c r="AA325" s="136">
        <f t="shared" si="72"/>
        <v>0</v>
      </c>
      <c r="AB325" s="136">
        <f t="shared" si="74"/>
        <v>0</v>
      </c>
      <c r="AC325" s="136">
        <f t="shared" si="74"/>
        <v>0</v>
      </c>
      <c r="AD325" s="136">
        <f t="shared" si="74"/>
        <v>0</v>
      </c>
      <c r="AE325" s="136">
        <f t="shared" si="74"/>
        <v>0</v>
      </c>
      <c r="AF325" s="136">
        <f t="shared" si="74"/>
        <v>0</v>
      </c>
      <c r="AG325" s="136">
        <f t="shared" si="74"/>
        <v>0</v>
      </c>
      <c r="AH325" s="136">
        <f t="shared" si="74"/>
        <v>0</v>
      </c>
      <c r="AI325" s="136">
        <f t="shared" si="74"/>
        <v>0</v>
      </c>
      <c r="AJ325" s="136">
        <f t="shared" si="74"/>
        <v>0</v>
      </c>
      <c r="AK325" s="136">
        <f t="shared" si="74"/>
        <v>0</v>
      </c>
      <c r="AL325" s="136">
        <f t="shared" si="74"/>
        <v>0</v>
      </c>
      <c r="AM325" s="136">
        <f t="shared" si="74"/>
        <v>0</v>
      </c>
      <c r="AN325" s="136">
        <f t="shared" si="74"/>
        <v>0</v>
      </c>
      <c r="AO325" s="136">
        <f t="shared" si="74"/>
        <v>0</v>
      </c>
      <c r="AP325" s="136">
        <f t="shared" si="74"/>
        <v>0</v>
      </c>
      <c r="AQ325" s="136">
        <f t="shared" si="74"/>
        <v>0</v>
      </c>
      <c r="AR325" s="136">
        <f t="shared" si="77"/>
        <v>0</v>
      </c>
      <c r="AS325" s="136">
        <f t="shared" si="77"/>
        <v>0</v>
      </c>
      <c r="AT325" s="136">
        <f t="shared" si="77"/>
        <v>0</v>
      </c>
      <c r="AU325" s="136">
        <f t="shared" si="77"/>
        <v>0</v>
      </c>
      <c r="AV325" s="136">
        <f t="shared" si="77"/>
        <v>0</v>
      </c>
      <c r="AW325" s="136">
        <f t="shared" si="77"/>
        <v>0</v>
      </c>
      <c r="AX325" s="136">
        <f t="shared" si="77"/>
        <v>0</v>
      </c>
      <c r="AY325" s="136">
        <f t="shared" si="77"/>
        <v>0</v>
      </c>
      <c r="AZ325" s="136">
        <f t="shared" si="77"/>
        <v>0</v>
      </c>
      <c r="BA325" s="136">
        <f t="shared" si="77"/>
        <v>0</v>
      </c>
      <c r="BB325" s="136">
        <f t="shared" si="77"/>
        <v>0</v>
      </c>
      <c r="BC325" s="136">
        <f t="shared" si="77"/>
        <v>0</v>
      </c>
      <c r="BD325" s="136">
        <f t="shared" si="77"/>
        <v>0</v>
      </c>
      <c r="BE325" s="136">
        <f t="shared" si="77"/>
        <v>0</v>
      </c>
      <c r="BF325" s="136">
        <f t="shared" si="77"/>
        <v>0</v>
      </c>
      <c r="BG325" s="136">
        <f t="shared" si="77"/>
        <v>0</v>
      </c>
      <c r="BH325" s="136">
        <f t="shared" si="76"/>
        <v>0</v>
      </c>
      <c r="BI325" s="136">
        <f t="shared" si="76"/>
        <v>0</v>
      </c>
      <c r="BJ325" s="136">
        <f t="shared" si="76"/>
        <v>0</v>
      </c>
      <c r="BK325" s="136">
        <f t="shared" si="76"/>
        <v>0</v>
      </c>
      <c r="BL325" s="136">
        <f t="shared" si="76"/>
        <v>0</v>
      </c>
      <c r="BM325" s="136">
        <f t="shared" si="76"/>
        <v>0</v>
      </c>
      <c r="BN325" s="136">
        <f t="shared" si="76"/>
        <v>0</v>
      </c>
      <c r="BO325" s="136">
        <f t="shared" si="76"/>
        <v>0</v>
      </c>
      <c r="BP325" s="136">
        <f t="shared" si="76"/>
        <v>0</v>
      </c>
      <c r="BQ325" s="136">
        <f t="shared" si="76"/>
        <v>0</v>
      </c>
      <c r="BR325" s="136">
        <f t="shared" si="76"/>
        <v>0</v>
      </c>
      <c r="BS325" s="136">
        <f t="shared" si="76"/>
        <v>0</v>
      </c>
      <c r="BT325" s="136">
        <f t="shared" si="76"/>
        <v>0</v>
      </c>
      <c r="BU325" s="136">
        <f t="shared" si="76"/>
        <v>0</v>
      </c>
      <c r="BV325" s="136">
        <f t="shared" si="76"/>
        <v>0</v>
      </c>
      <c r="BW325" s="136">
        <f t="shared" si="69"/>
        <v>0</v>
      </c>
      <c r="BX325" s="136">
        <f t="shared" si="67"/>
        <v>0</v>
      </c>
      <c r="BZ325" s="136">
        <f t="shared" si="75"/>
        <v>0</v>
      </c>
      <c r="CA325" s="136">
        <f t="shared" si="75"/>
        <v>0</v>
      </c>
    </row>
    <row r="326" spans="12:79" hidden="1" x14ac:dyDescent="0.3">
      <c r="L326" s="136">
        <f t="shared" si="72"/>
        <v>0</v>
      </c>
      <c r="M326" s="136">
        <f t="shared" si="72"/>
        <v>0</v>
      </c>
      <c r="N326" s="136">
        <f t="shared" si="72"/>
        <v>0</v>
      </c>
      <c r="O326" s="136">
        <f t="shared" si="72"/>
        <v>0</v>
      </c>
      <c r="P326" s="136">
        <f t="shared" si="72"/>
        <v>0</v>
      </c>
      <c r="Q326" s="136">
        <f t="shared" si="72"/>
        <v>0</v>
      </c>
      <c r="R326" s="136">
        <f t="shared" si="72"/>
        <v>0</v>
      </c>
      <c r="S326" s="136">
        <f t="shared" si="72"/>
        <v>0</v>
      </c>
      <c r="T326" s="136">
        <f t="shared" si="72"/>
        <v>0</v>
      </c>
      <c r="U326" s="136">
        <f t="shared" si="72"/>
        <v>0</v>
      </c>
      <c r="V326" s="136">
        <f t="shared" si="72"/>
        <v>129145</v>
      </c>
      <c r="W326" s="136">
        <f t="shared" si="72"/>
        <v>0</v>
      </c>
      <c r="X326" s="136">
        <f t="shared" si="72"/>
        <v>0</v>
      </c>
      <c r="Y326" s="136">
        <f t="shared" si="72"/>
        <v>0</v>
      </c>
      <c r="Z326" s="136">
        <f t="shared" si="72"/>
        <v>0</v>
      </c>
      <c r="AA326" s="136">
        <f t="shared" si="72"/>
        <v>0</v>
      </c>
      <c r="AB326" s="136">
        <f t="shared" si="74"/>
        <v>0</v>
      </c>
      <c r="AC326" s="136">
        <f t="shared" si="74"/>
        <v>0</v>
      </c>
      <c r="AD326" s="136">
        <f t="shared" si="74"/>
        <v>0</v>
      </c>
      <c r="AE326" s="136">
        <f t="shared" si="74"/>
        <v>0</v>
      </c>
      <c r="AF326" s="136">
        <f t="shared" si="74"/>
        <v>1420214</v>
      </c>
      <c r="AG326" s="136">
        <f t="shared" si="74"/>
        <v>0</v>
      </c>
      <c r="AH326" s="136">
        <f t="shared" si="74"/>
        <v>0</v>
      </c>
      <c r="AI326" s="136">
        <f t="shared" si="74"/>
        <v>0</v>
      </c>
      <c r="AJ326" s="136">
        <f t="shared" si="74"/>
        <v>0</v>
      </c>
      <c r="AK326" s="136">
        <f t="shared" si="74"/>
        <v>69867</v>
      </c>
      <c r="AL326" s="136">
        <f t="shared" si="74"/>
        <v>0</v>
      </c>
      <c r="AM326" s="136">
        <f t="shared" si="74"/>
        <v>0</v>
      </c>
      <c r="AN326" s="136">
        <f t="shared" si="74"/>
        <v>0</v>
      </c>
      <c r="AO326" s="136">
        <f t="shared" si="74"/>
        <v>0</v>
      </c>
      <c r="AP326" s="136">
        <f t="shared" si="74"/>
        <v>0</v>
      </c>
      <c r="AQ326" s="136">
        <f t="shared" si="74"/>
        <v>0</v>
      </c>
      <c r="AR326" s="136">
        <f t="shared" si="77"/>
        <v>0</v>
      </c>
      <c r="AS326" s="136">
        <f t="shared" si="77"/>
        <v>0</v>
      </c>
      <c r="AT326" s="136">
        <f t="shared" si="77"/>
        <v>0</v>
      </c>
      <c r="AU326" s="136">
        <f t="shared" si="77"/>
        <v>120573</v>
      </c>
      <c r="AV326" s="136">
        <f t="shared" si="77"/>
        <v>0</v>
      </c>
      <c r="AW326" s="136">
        <f t="shared" si="77"/>
        <v>0</v>
      </c>
      <c r="AX326" s="136">
        <f t="shared" si="77"/>
        <v>0</v>
      </c>
      <c r="AY326" s="136">
        <f t="shared" si="77"/>
        <v>0</v>
      </c>
      <c r="AZ326" s="136">
        <f t="shared" si="77"/>
        <v>0</v>
      </c>
      <c r="BA326" s="136">
        <f t="shared" si="77"/>
        <v>0</v>
      </c>
      <c r="BB326" s="136">
        <f t="shared" si="77"/>
        <v>0</v>
      </c>
      <c r="BC326" s="136">
        <f t="shared" si="77"/>
        <v>0</v>
      </c>
      <c r="BD326" s="136">
        <f t="shared" si="77"/>
        <v>0</v>
      </c>
      <c r="BE326" s="136">
        <f t="shared" si="77"/>
        <v>0</v>
      </c>
      <c r="BF326" s="136">
        <f t="shared" si="77"/>
        <v>0</v>
      </c>
      <c r="BG326" s="136">
        <f t="shared" si="77"/>
        <v>0</v>
      </c>
      <c r="BH326" s="136">
        <f t="shared" si="76"/>
        <v>0</v>
      </c>
      <c r="BI326" s="136">
        <f t="shared" si="76"/>
        <v>0</v>
      </c>
      <c r="BJ326" s="136">
        <f t="shared" si="76"/>
        <v>-92640</v>
      </c>
      <c r="BK326" s="136">
        <f t="shared" si="76"/>
        <v>0</v>
      </c>
      <c r="BL326" s="136">
        <f t="shared" si="76"/>
        <v>0</v>
      </c>
      <c r="BM326" s="136">
        <f t="shared" si="76"/>
        <v>0</v>
      </c>
      <c r="BN326" s="136">
        <f t="shared" si="76"/>
        <v>0</v>
      </c>
      <c r="BO326" s="136">
        <f t="shared" si="76"/>
        <v>0</v>
      </c>
      <c r="BP326" s="136">
        <f t="shared" si="76"/>
        <v>0</v>
      </c>
      <c r="BQ326" s="136">
        <f t="shared" si="76"/>
        <v>0</v>
      </c>
      <c r="BR326" s="136">
        <f t="shared" si="76"/>
        <v>0</v>
      </c>
      <c r="BS326" s="136">
        <f t="shared" si="76"/>
        <v>0</v>
      </c>
      <c r="BT326" s="136">
        <f t="shared" si="76"/>
        <v>1739799</v>
      </c>
      <c r="BU326" s="136">
        <f t="shared" si="76"/>
        <v>0</v>
      </c>
      <c r="BV326" s="136">
        <f t="shared" si="76"/>
        <v>0</v>
      </c>
      <c r="BW326" s="136">
        <f t="shared" si="69"/>
        <v>0</v>
      </c>
      <c r="BX326" s="136">
        <f t="shared" si="67"/>
        <v>0</v>
      </c>
      <c r="BZ326" s="136">
        <f t="shared" si="75"/>
        <v>0</v>
      </c>
      <c r="CA326" s="136">
        <f t="shared" si="75"/>
        <v>0</v>
      </c>
    </row>
    <row r="327" spans="12:79" hidden="1" x14ac:dyDescent="0.3">
      <c r="L327" s="136">
        <f t="shared" ref="L327:AA342" si="78">L176-CD176</f>
        <v>0</v>
      </c>
      <c r="M327" s="136">
        <f t="shared" si="78"/>
        <v>0</v>
      </c>
      <c r="N327" s="136">
        <f t="shared" si="78"/>
        <v>0</v>
      </c>
      <c r="O327" s="136">
        <f t="shared" si="78"/>
        <v>0</v>
      </c>
      <c r="P327" s="136">
        <f t="shared" si="78"/>
        <v>0</v>
      </c>
      <c r="Q327" s="136">
        <f t="shared" si="78"/>
        <v>0</v>
      </c>
      <c r="R327" s="136">
        <f t="shared" si="78"/>
        <v>0</v>
      </c>
      <c r="S327" s="136">
        <f t="shared" si="78"/>
        <v>0</v>
      </c>
      <c r="T327" s="136">
        <f t="shared" si="78"/>
        <v>0</v>
      </c>
      <c r="U327" s="136">
        <f t="shared" si="78"/>
        <v>0</v>
      </c>
      <c r="V327" s="136">
        <f t="shared" si="78"/>
        <v>129145</v>
      </c>
      <c r="W327" s="136">
        <f t="shared" si="78"/>
        <v>0</v>
      </c>
      <c r="X327" s="136">
        <f t="shared" si="78"/>
        <v>0</v>
      </c>
      <c r="Y327" s="136">
        <f t="shared" si="78"/>
        <v>0</v>
      </c>
      <c r="Z327" s="136">
        <f t="shared" si="78"/>
        <v>0</v>
      </c>
      <c r="AA327" s="136">
        <f t="shared" si="78"/>
        <v>0</v>
      </c>
      <c r="AB327" s="136">
        <f t="shared" si="74"/>
        <v>0</v>
      </c>
      <c r="AC327" s="136">
        <f t="shared" si="74"/>
        <v>0</v>
      </c>
      <c r="AD327" s="136">
        <f t="shared" si="74"/>
        <v>0</v>
      </c>
      <c r="AE327" s="136">
        <f t="shared" si="74"/>
        <v>0</v>
      </c>
      <c r="AF327" s="136">
        <f t="shared" si="74"/>
        <v>1420214</v>
      </c>
      <c r="AG327" s="136">
        <f t="shared" si="74"/>
        <v>0</v>
      </c>
      <c r="AH327" s="136">
        <f t="shared" si="74"/>
        <v>0</v>
      </c>
      <c r="AI327" s="136">
        <f t="shared" si="74"/>
        <v>0</v>
      </c>
      <c r="AJ327" s="136">
        <f t="shared" si="74"/>
        <v>0</v>
      </c>
      <c r="AK327" s="136">
        <f t="shared" si="74"/>
        <v>69867</v>
      </c>
      <c r="AL327" s="136">
        <f t="shared" si="74"/>
        <v>0</v>
      </c>
      <c r="AM327" s="136">
        <f t="shared" si="74"/>
        <v>0</v>
      </c>
      <c r="AN327" s="136">
        <f t="shared" si="74"/>
        <v>0</v>
      </c>
      <c r="AO327" s="136">
        <f t="shared" si="74"/>
        <v>0</v>
      </c>
      <c r="AP327" s="136">
        <f t="shared" si="74"/>
        <v>0</v>
      </c>
      <c r="AQ327" s="136">
        <f t="shared" si="74"/>
        <v>0</v>
      </c>
      <c r="AR327" s="136">
        <f t="shared" si="77"/>
        <v>0</v>
      </c>
      <c r="AS327" s="136">
        <f t="shared" si="77"/>
        <v>0</v>
      </c>
      <c r="AT327" s="136">
        <f t="shared" si="77"/>
        <v>0</v>
      </c>
      <c r="AU327" s="136">
        <f t="shared" si="77"/>
        <v>120573</v>
      </c>
      <c r="AV327" s="136">
        <f t="shared" si="77"/>
        <v>0</v>
      </c>
      <c r="AW327" s="136">
        <f t="shared" si="77"/>
        <v>0</v>
      </c>
      <c r="AX327" s="136">
        <f t="shared" si="77"/>
        <v>0</v>
      </c>
      <c r="AY327" s="136">
        <f t="shared" si="77"/>
        <v>0</v>
      </c>
      <c r="AZ327" s="136">
        <f t="shared" si="77"/>
        <v>0</v>
      </c>
      <c r="BA327" s="136">
        <f t="shared" si="77"/>
        <v>0</v>
      </c>
      <c r="BB327" s="136">
        <f t="shared" si="77"/>
        <v>0</v>
      </c>
      <c r="BC327" s="136">
        <f t="shared" si="77"/>
        <v>0</v>
      </c>
      <c r="BD327" s="136">
        <f t="shared" si="77"/>
        <v>0</v>
      </c>
      <c r="BE327" s="136">
        <f t="shared" si="77"/>
        <v>0</v>
      </c>
      <c r="BF327" s="136">
        <f t="shared" si="77"/>
        <v>0</v>
      </c>
      <c r="BG327" s="136">
        <f t="shared" si="77"/>
        <v>0</v>
      </c>
      <c r="BH327" s="136">
        <f t="shared" si="76"/>
        <v>0</v>
      </c>
      <c r="BI327" s="136">
        <f t="shared" si="76"/>
        <v>0</v>
      </c>
      <c r="BJ327" s="136">
        <f t="shared" si="76"/>
        <v>-92640</v>
      </c>
      <c r="BK327" s="136">
        <f t="shared" si="76"/>
        <v>0</v>
      </c>
      <c r="BL327" s="136">
        <f t="shared" si="76"/>
        <v>0</v>
      </c>
      <c r="BM327" s="136">
        <f t="shared" si="76"/>
        <v>0</v>
      </c>
      <c r="BN327" s="136">
        <f t="shared" si="76"/>
        <v>0</v>
      </c>
      <c r="BO327" s="136">
        <f t="shared" si="76"/>
        <v>0</v>
      </c>
      <c r="BP327" s="136">
        <f t="shared" si="76"/>
        <v>0</v>
      </c>
      <c r="BQ327" s="136">
        <f t="shared" si="76"/>
        <v>0</v>
      </c>
      <c r="BR327" s="136">
        <f t="shared" si="76"/>
        <v>0</v>
      </c>
      <c r="BS327" s="136">
        <f t="shared" si="76"/>
        <v>0</v>
      </c>
      <c r="BT327" s="136">
        <f t="shared" si="76"/>
        <v>1739799</v>
      </c>
      <c r="BU327" s="136">
        <f t="shared" si="76"/>
        <v>0</v>
      </c>
      <c r="BV327" s="136">
        <f t="shared" si="76"/>
        <v>0</v>
      </c>
      <c r="BW327" s="136">
        <f t="shared" si="69"/>
        <v>0</v>
      </c>
      <c r="BX327" s="136">
        <f t="shared" si="67"/>
        <v>0</v>
      </c>
      <c r="BZ327" s="136">
        <f t="shared" si="75"/>
        <v>0</v>
      </c>
      <c r="CA327" s="136">
        <f t="shared" si="75"/>
        <v>0</v>
      </c>
    </row>
    <row r="328" spans="12:79" hidden="1" x14ac:dyDescent="0.3">
      <c r="L328" s="136">
        <f t="shared" si="78"/>
        <v>0</v>
      </c>
      <c r="M328" s="136">
        <f t="shared" si="78"/>
        <v>0</v>
      </c>
      <c r="N328" s="136">
        <f t="shared" si="78"/>
        <v>0</v>
      </c>
      <c r="O328" s="136">
        <f t="shared" si="78"/>
        <v>0</v>
      </c>
      <c r="P328" s="136">
        <f t="shared" si="78"/>
        <v>0</v>
      </c>
      <c r="Q328" s="136">
        <f t="shared" si="78"/>
        <v>0</v>
      </c>
      <c r="R328" s="136">
        <f t="shared" si="78"/>
        <v>0</v>
      </c>
      <c r="S328" s="136">
        <f t="shared" si="78"/>
        <v>0</v>
      </c>
      <c r="T328" s="136">
        <f t="shared" si="78"/>
        <v>0</v>
      </c>
      <c r="U328" s="136">
        <f t="shared" si="78"/>
        <v>0</v>
      </c>
      <c r="V328" s="136">
        <f t="shared" si="78"/>
        <v>0</v>
      </c>
      <c r="W328" s="136">
        <f t="shared" si="78"/>
        <v>0</v>
      </c>
      <c r="X328" s="136">
        <f t="shared" si="78"/>
        <v>0</v>
      </c>
      <c r="Y328" s="136">
        <f t="shared" si="78"/>
        <v>0</v>
      </c>
      <c r="Z328" s="136">
        <f t="shared" si="78"/>
        <v>0</v>
      </c>
      <c r="AA328" s="136">
        <f t="shared" si="78"/>
        <v>0</v>
      </c>
      <c r="AB328" s="136">
        <f t="shared" si="74"/>
        <v>0</v>
      </c>
      <c r="AC328" s="136">
        <f t="shared" si="74"/>
        <v>0</v>
      </c>
      <c r="AD328" s="136">
        <f t="shared" si="74"/>
        <v>0</v>
      </c>
      <c r="AE328" s="136">
        <f t="shared" si="74"/>
        <v>0</v>
      </c>
      <c r="AF328" s="136">
        <f t="shared" si="74"/>
        <v>0</v>
      </c>
      <c r="AG328" s="136">
        <f t="shared" si="74"/>
        <v>0</v>
      </c>
      <c r="AH328" s="136">
        <f t="shared" si="74"/>
        <v>0</v>
      </c>
      <c r="AI328" s="136">
        <f t="shared" si="74"/>
        <v>0</v>
      </c>
      <c r="AJ328" s="136">
        <f t="shared" si="74"/>
        <v>0</v>
      </c>
      <c r="AK328" s="136">
        <f t="shared" si="74"/>
        <v>0</v>
      </c>
      <c r="AL328" s="136">
        <f t="shared" si="74"/>
        <v>0</v>
      </c>
      <c r="AM328" s="136">
        <f t="shared" si="74"/>
        <v>0</v>
      </c>
      <c r="AN328" s="136">
        <f t="shared" si="74"/>
        <v>0</v>
      </c>
      <c r="AO328" s="136">
        <f t="shared" si="74"/>
        <v>0</v>
      </c>
      <c r="AP328" s="136">
        <f t="shared" si="74"/>
        <v>0</v>
      </c>
      <c r="AQ328" s="136">
        <f t="shared" si="74"/>
        <v>0</v>
      </c>
      <c r="AR328" s="136">
        <f t="shared" si="77"/>
        <v>0</v>
      </c>
      <c r="AS328" s="136">
        <f t="shared" si="77"/>
        <v>0</v>
      </c>
      <c r="AT328" s="136">
        <f t="shared" si="77"/>
        <v>0</v>
      </c>
      <c r="AU328" s="136">
        <f t="shared" si="77"/>
        <v>0</v>
      </c>
      <c r="AV328" s="136">
        <f t="shared" si="77"/>
        <v>0</v>
      </c>
      <c r="AW328" s="136">
        <f t="shared" si="77"/>
        <v>0</v>
      </c>
      <c r="AX328" s="136">
        <f t="shared" si="77"/>
        <v>0</v>
      </c>
      <c r="AY328" s="136">
        <f t="shared" si="77"/>
        <v>0</v>
      </c>
      <c r="AZ328" s="136">
        <f t="shared" si="77"/>
        <v>0</v>
      </c>
      <c r="BA328" s="136">
        <f t="shared" si="77"/>
        <v>0</v>
      </c>
      <c r="BB328" s="136">
        <f t="shared" si="77"/>
        <v>0</v>
      </c>
      <c r="BC328" s="136">
        <f t="shared" si="77"/>
        <v>0</v>
      </c>
      <c r="BD328" s="136">
        <f t="shared" si="77"/>
        <v>0</v>
      </c>
      <c r="BE328" s="136">
        <f t="shared" si="77"/>
        <v>0</v>
      </c>
      <c r="BF328" s="136">
        <f t="shared" si="77"/>
        <v>0</v>
      </c>
      <c r="BG328" s="136">
        <f t="shared" si="77"/>
        <v>0</v>
      </c>
      <c r="BH328" s="136">
        <f t="shared" si="76"/>
        <v>0</v>
      </c>
      <c r="BI328" s="136">
        <f t="shared" si="76"/>
        <v>0</v>
      </c>
      <c r="BJ328" s="136">
        <f t="shared" si="76"/>
        <v>0</v>
      </c>
      <c r="BK328" s="136">
        <f t="shared" si="76"/>
        <v>0</v>
      </c>
      <c r="BL328" s="136">
        <f t="shared" si="76"/>
        <v>0</v>
      </c>
      <c r="BM328" s="136">
        <f t="shared" si="76"/>
        <v>0</v>
      </c>
      <c r="BN328" s="136">
        <f t="shared" si="76"/>
        <v>0</v>
      </c>
      <c r="BO328" s="136">
        <f t="shared" si="76"/>
        <v>0</v>
      </c>
      <c r="BP328" s="136">
        <f t="shared" si="76"/>
        <v>0</v>
      </c>
      <c r="BQ328" s="136">
        <f t="shared" si="76"/>
        <v>0</v>
      </c>
      <c r="BR328" s="136">
        <f t="shared" si="76"/>
        <v>0</v>
      </c>
      <c r="BS328" s="136">
        <f t="shared" si="76"/>
        <v>0</v>
      </c>
      <c r="BT328" s="136">
        <f t="shared" si="76"/>
        <v>0</v>
      </c>
      <c r="BU328" s="136">
        <f t="shared" si="76"/>
        <v>0</v>
      </c>
      <c r="BV328" s="136">
        <f t="shared" si="76"/>
        <v>0</v>
      </c>
      <c r="BW328" s="136">
        <f t="shared" si="69"/>
        <v>0</v>
      </c>
      <c r="BX328" s="136">
        <f t="shared" si="67"/>
        <v>0</v>
      </c>
      <c r="BZ328" s="136">
        <f t="shared" si="75"/>
        <v>0</v>
      </c>
      <c r="CA328" s="136">
        <f t="shared" si="75"/>
        <v>0</v>
      </c>
    </row>
    <row r="329" spans="12:79" hidden="1" x14ac:dyDescent="0.3">
      <c r="L329" s="136">
        <f t="shared" si="78"/>
        <v>0</v>
      </c>
      <c r="M329" s="136">
        <f t="shared" si="78"/>
        <v>0</v>
      </c>
      <c r="N329" s="136">
        <f t="shared" si="78"/>
        <v>0</v>
      </c>
      <c r="O329" s="136">
        <f t="shared" si="78"/>
        <v>0</v>
      </c>
      <c r="P329" s="136">
        <f t="shared" si="78"/>
        <v>0</v>
      </c>
      <c r="Q329" s="136">
        <f t="shared" si="78"/>
        <v>39629</v>
      </c>
      <c r="R329" s="136">
        <f t="shared" si="78"/>
        <v>0</v>
      </c>
      <c r="S329" s="136">
        <f t="shared" si="78"/>
        <v>0</v>
      </c>
      <c r="T329" s="136">
        <f t="shared" si="78"/>
        <v>0</v>
      </c>
      <c r="U329" s="136">
        <f t="shared" si="78"/>
        <v>0</v>
      </c>
      <c r="V329" s="136">
        <f t="shared" si="78"/>
        <v>0</v>
      </c>
      <c r="W329" s="136">
        <f t="shared" si="78"/>
        <v>0</v>
      </c>
      <c r="X329" s="136">
        <f t="shared" si="78"/>
        <v>0</v>
      </c>
      <c r="Y329" s="136">
        <f t="shared" si="78"/>
        <v>0</v>
      </c>
      <c r="Z329" s="136">
        <f t="shared" si="78"/>
        <v>0</v>
      </c>
      <c r="AA329" s="136">
        <f t="shared" si="78"/>
        <v>0</v>
      </c>
      <c r="AB329" s="136">
        <f t="shared" si="74"/>
        <v>0</v>
      </c>
      <c r="AC329" s="136">
        <f t="shared" si="74"/>
        <v>0</v>
      </c>
      <c r="AD329" s="136">
        <f t="shared" si="74"/>
        <v>0</v>
      </c>
      <c r="AE329" s="136">
        <f t="shared" si="74"/>
        <v>0</v>
      </c>
      <c r="AF329" s="136">
        <f t="shared" si="74"/>
        <v>-83879</v>
      </c>
      <c r="AG329" s="136">
        <f t="shared" si="74"/>
        <v>0</v>
      </c>
      <c r="AH329" s="136">
        <f t="shared" si="74"/>
        <v>0</v>
      </c>
      <c r="AI329" s="136">
        <f t="shared" si="74"/>
        <v>0</v>
      </c>
      <c r="AJ329" s="136">
        <f t="shared" si="74"/>
        <v>0</v>
      </c>
      <c r="AK329" s="136">
        <f t="shared" si="74"/>
        <v>0</v>
      </c>
      <c r="AL329" s="136">
        <f t="shared" si="74"/>
        <v>0</v>
      </c>
      <c r="AM329" s="136">
        <f t="shared" si="74"/>
        <v>0</v>
      </c>
      <c r="AN329" s="136">
        <f t="shared" si="74"/>
        <v>0</v>
      </c>
      <c r="AO329" s="136">
        <f t="shared" si="74"/>
        <v>0</v>
      </c>
      <c r="AP329" s="136">
        <f t="shared" si="74"/>
        <v>0</v>
      </c>
      <c r="AQ329" s="136">
        <f t="shared" si="74"/>
        <v>0</v>
      </c>
      <c r="AR329" s="136">
        <f t="shared" si="77"/>
        <v>0</v>
      </c>
      <c r="AS329" s="136">
        <f t="shared" si="77"/>
        <v>0</v>
      </c>
      <c r="AT329" s="136">
        <f t="shared" si="77"/>
        <v>0</v>
      </c>
      <c r="AU329" s="136">
        <f t="shared" si="77"/>
        <v>0</v>
      </c>
      <c r="AV329" s="136">
        <f t="shared" si="77"/>
        <v>0</v>
      </c>
      <c r="AW329" s="136">
        <f t="shared" si="77"/>
        <v>0</v>
      </c>
      <c r="AX329" s="136">
        <f t="shared" si="77"/>
        <v>0</v>
      </c>
      <c r="AY329" s="136">
        <f t="shared" si="77"/>
        <v>0</v>
      </c>
      <c r="AZ329" s="136">
        <f t="shared" si="77"/>
        <v>0</v>
      </c>
      <c r="BA329" s="136">
        <f t="shared" si="77"/>
        <v>0</v>
      </c>
      <c r="BB329" s="136">
        <f t="shared" si="77"/>
        <v>0</v>
      </c>
      <c r="BC329" s="136">
        <f t="shared" si="77"/>
        <v>0</v>
      </c>
      <c r="BD329" s="136">
        <f t="shared" si="77"/>
        <v>0</v>
      </c>
      <c r="BE329" s="136">
        <f t="shared" si="77"/>
        <v>0</v>
      </c>
      <c r="BF329" s="136">
        <f t="shared" si="77"/>
        <v>0</v>
      </c>
      <c r="BG329" s="136">
        <f t="shared" si="77"/>
        <v>0</v>
      </c>
      <c r="BH329" s="136">
        <f t="shared" si="76"/>
        <v>0</v>
      </c>
      <c r="BI329" s="136">
        <f t="shared" si="76"/>
        <v>0</v>
      </c>
      <c r="BJ329" s="136">
        <f t="shared" si="76"/>
        <v>0</v>
      </c>
      <c r="BK329" s="136">
        <f t="shared" si="76"/>
        <v>0</v>
      </c>
      <c r="BL329" s="136">
        <f t="shared" si="76"/>
        <v>0</v>
      </c>
      <c r="BM329" s="136">
        <f t="shared" si="76"/>
        <v>0</v>
      </c>
      <c r="BN329" s="136">
        <f t="shared" si="76"/>
        <v>0</v>
      </c>
      <c r="BO329" s="136">
        <f t="shared" si="76"/>
        <v>-173102</v>
      </c>
      <c r="BP329" s="136">
        <f t="shared" si="76"/>
        <v>0</v>
      </c>
      <c r="BQ329" s="136">
        <f t="shared" si="76"/>
        <v>0</v>
      </c>
      <c r="BR329" s="136">
        <f t="shared" si="76"/>
        <v>0</v>
      </c>
      <c r="BS329" s="136">
        <f t="shared" si="76"/>
        <v>0</v>
      </c>
      <c r="BT329" s="136">
        <f t="shared" si="76"/>
        <v>-44250</v>
      </c>
      <c r="BU329" s="136">
        <f t="shared" si="76"/>
        <v>0</v>
      </c>
      <c r="BV329" s="136">
        <f t="shared" si="76"/>
        <v>0</v>
      </c>
      <c r="BW329" s="136">
        <f t="shared" si="69"/>
        <v>0</v>
      </c>
      <c r="BX329" s="136">
        <f t="shared" si="67"/>
        <v>0</v>
      </c>
      <c r="BZ329" s="136">
        <f t="shared" si="75"/>
        <v>0</v>
      </c>
      <c r="CA329" s="136">
        <f t="shared" si="75"/>
        <v>0</v>
      </c>
    </row>
    <row r="330" spans="12:79" hidden="1" x14ac:dyDescent="0.3">
      <c r="L330" s="136">
        <f t="shared" si="78"/>
        <v>0</v>
      </c>
      <c r="M330" s="136">
        <f t="shared" si="78"/>
        <v>0</v>
      </c>
      <c r="N330" s="136">
        <f t="shared" si="78"/>
        <v>0</v>
      </c>
      <c r="O330" s="136">
        <f t="shared" si="78"/>
        <v>0</v>
      </c>
      <c r="P330" s="136">
        <f t="shared" si="78"/>
        <v>0</v>
      </c>
      <c r="Q330" s="136">
        <f t="shared" si="78"/>
        <v>39629</v>
      </c>
      <c r="R330" s="136">
        <f t="shared" si="78"/>
        <v>0</v>
      </c>
      <c r="S330" s="136">
        <f t="shared" si="78"/>
        <v>0</v>
      </c>
      <c r="T330" s="136">
        <f t="shared" si="78"/>
        <v>0</v>
      </c>
      <c r="U330" s="136">
        <f t="shared" si="78"/>
        <v>0</v>
      </c>
      <c r="V330" s="136">
        <f t="shared" si="78"/>
        <v>0</v>
      </c>
      <c r="W330" s="136">
        <f t="shared" si="78"/>
        <v>0</v>
      </c>
      <c r="X330" s="136">
        <f t="shared" si="78"/>
        <v>0</v>
      </c>
      <c r="Y330" s="136">
        <f t="shared" si="78"/>
        <v>0</v>
      </c>
      <c r="Z330" s="136">
        <f t="shared" si="78"/>
        <v>0</v>
      </c>
      <c r="AA330" s="136">
        <f t="shared" si="78"/>
        <v>0</v>
      </c>
      <c r="AB330" s="136">
        <f t="shared" si="74"/>
        <v>0</v>
      </c>
      <c r="AC330" s="136">
        <f t="shared" si="74"/>
        <v>0</v>
      </c>
      <c r="AD330" s="136">
        <f t="shared" si="74"/>
        <v>0</v>
      </c>
      <c r="AE330" s="136">
        <f t="shared" si="74"/>
        <v>0</v>
      </c>
      <c r="AF330" s="136">
        <f t="shared" si="74"/>
        <v>-83879</v>
      </c>
      <c r="AG330" s="136">
        <f t="shared" si="74"/>
        <v>0</v>
      </c>
      <c r="AH330" s="136">
        <f t="shared" si="74"/>
        <v>0</v>
      </c>
      <c r="AI330" s="136">
        <f t="shared" si="74"/>
        <v>0</v>
      </c>
      <c r="AJ330" s="136">
        <f t="shared" si="74"/>
        <v>0</v>
      </c>
      <c r="AK330" s="136">
        <f t="shared" si="74"/>
        <v>0</v>
      </c>
      <c r="AL330" s="136">
        <f t="shared" si="74"/>
        <v>0</v>
      </c>
      <c r="AM330" s="136">
        <f t="shared" si="74"/>
        <v>0</v>
      </c>
      <c r="AN330" s="136">
        <f t="shared" si="74"/>
        <v>0</v>
      </c>
      <c r="AO330" s="136">
        <f t="shared" si="74"/>
        <v>0</v>
      </c>
      <c r="AP330" s="136">
        <f t="shared" si="74"/>
        <v>0</v>
      </c>
      <c r="AQ330" s="136">
        <f t="shared" si="74"/>
        <v>0</v>
      </c>
      <c r="AR330" s="136">
        <f t="shared" si="77"/>
        <v>0</v>
      </c>
      <c r="AS330" s="136">
        <f t="shared" si="77"/>
        <v>0</v>
      </c>
      <c r="AT330" s="136">
        <f t="shared" si="77"/>
        <v>0</v>
      </c>
      <c r="AU330" s="136">
        <f t="shared" si="77"/>
        <v>0</v>
      </c>
      <c r="AV330" s="136">
        <f t="shared" si="77"/>
        <v>0</v>
      </c>
      <c r="AW330" s="136">
        <f t="shared" si="77"/>
        <v>0</v>
      </c>
      <c r="AX330" s="136">
        <f t="shared" si="77"/>
        <v>0</v>
      </c>
      <c r="AY330" s="136">
        <f t="shared" si="77"/>
        <v>0</v>
      </c>
      <c r="AZ330" s="136">
        <f t="shared" si="77"/>
        <v>0</v>
      </c>
      <c r="BA330" s="136">
        <f t="shared" si="77"/>
        <v>0</v>
      </c>
      <c r="BB330" s="136">
        <f t="shared" si="77"/>
        <v>0</v>
      </c>
      <c r="BC330" s="136">
        <f t="shared" si="77"/>
        <v>0</v>
      </c>
      <c r="BD330" s="136">
        <f t="shared" si="77"/>
        <v>0</v>
      </c>
      <c r="BE330" s="136">
        <f t="shared" si="77"/>
        <v>0</v>
      </c>
      <c r="BF330" s="136">
        <f t="shared" si="77"/>
        <v>0</v>
      </c>
      <c r="BG330" s="136">
        <f t="shared" si="77"/>
        <v>0</v>
      </c>
      <c r="BH330" s="136">
        <f t="shared" si="76"/>
        <v>0</v>
      </c>
      <c r="BI330" s="136">
        <f t="shared" si="76"/>
        <v>0</v>
      </c>
      <c r="BJ330" s="136">
        <f t="shared" si="76"/>
        <v>0</v>
      </c>
      <c r="BK330" s="136">
        <f t="shared" si="76"/>
        <v>0</v>
      </c>
      <c r="BL330" s="136">
        <f t="shared" si="76"/>
        <v>0</v>
      </c>
      <c r="BM330" s="136">
        <f t="shared" si="76"/>
        <v>0</v>
      </c>
      <c r="BN330" s="136">
        <f t="shared" si="76"/>
        <v>0</v>
      </c>
      <c r="BO330" s="136">
        <f t="shared" si="76"/>
        <v>-173102</v>
      </c>
      <c r="BP330" s="136">
        <f t="shared" si="76"/>
        <v>0</v>
      </c>
      <c r="BQ330" s="136">
        <f t="shared" si="76"/>
        <v>0</v>
      </c>
      <c r="BR330" s="136">
        <f t="shared" si="76"/>
        <v>0</v>
      </c>
      <c r="BS330" s="136">
        <f t="shared" si="76"/>
        <v>0</v>
      </c>
      <c r="BT330" s="136">
        <f t="shared" si="76"/>
        <v>-44250</v>
      </c>
      <c r="BU330" s="136">
        <f t="shared" si="76"/>
        <v>0</v>
      </c>
      <c r="BV330" s="136">
        <f t="shared" si="76"/>
        <v>0</v>
      </c>
      <c r="BW330" s="136">
        <f t="shared" si="69"/>
        <v>0</v>
      </c>
      <c r="BX330" s="136">
        <f t="shared" si="67"/>
        <v>0</v>
      </c>
      <c r="BZ330" s="136">
        <f t="shared" si="75"/>
        <v>0</v>
      </c>
      <c r="CA330" s="136">
        <f t="shared" si="75"/>
        <v>0</v>
      </c>
    </row>
    <row r="331" spans="12:79" hidden="1" x14ac:dyDescent="0.3">
      <c r="L331" s="136">
        <f t="shared" si="78"/>
        <v>0</v>
      </c>
      <c r="M331" s="136">
        <f t="shared" si="78"/>
        <v>0</v>
      </c>
      <c r="N331" s="136">
        <f t="shared" si="78"/>
        <v>0</v>
      </c>
      <c r="O331" s="136">
        <f t="shared" si="78"/>
        <v>0</v>
      </c>
      <c r="P331" s="136">
        <f t="shared" si="78"/>
        <v>0</v>
      </c>
      <c r="Q331" s="136">
        <f t="shared" si="78"/>
        <v>0</v>
      </c>
      <c r="R331" s="136">
        <f t="shared" si="78"/>
        <v>0</v>
      </c>
      <c r="S331" s="136">
        <f t="shared" si="78"/>
        <v>0</v>
      </c>
      <c r="T331" s="136">
        <f t="shared" si="78"/>
        <v>0</v>
      </c>
      <c r="U331" s="136">
        <f t="shared" si="78"/>
        <v>0</v>
      </c>
      <c r="V331" s="136">
        <f t="shared" si="78"/>
        <v>0</v>
      </c>
      <c r="W331" s="136">
        <f t="shared" si="78"/>
        <v>0</v>
      </c>
      <c r="X331" s="136">
        <f t="shared" si="78"/>
        <v>0</v>
      </c>
      <c r="Y331" s="136">
        <f t="shared" si="78"/>
        <v>0</v>
      </c>
      <c r="Z331" s="136">
        <f t="shared" si="78"/>
        <v>0</v>
      </c>
      <c r="AA331" s="136">
        <f t="shared" si="78"/>
        <v>0</v>
      </c>
      <c r="AB331" s="136">
        <f t="shared" ref="AB331:AQ346" si="79">AB180-CT180</f>
        <v>0</v>
      </c>
      <c r="AC331" s="136">
        <f t="shared" si="79"/>
        <v>0</v>
      </c>
      <c r="AD331" s="136">
        <f t="shared" si="79"/>
        <v>0</v>
      </c>
      <c r="AE331" s="136">
        <f t="shared" si="79"/>
        <v>0</v>
      </c>
      <c r="AF331" s="136">
        <f t="shared" si="79"/>
        <v>0</v>
      </c>
      <c r="AG331" s="136">
        <f t="shared" si="79"/>
        <v>0</v>
      </c>
      <c r="AH331" s="136">
        <f t="shared" si="79"/>
        <v>0</v>
      </c>
      <c r="AI331" s="136">
        <f t="shared" si="79"/>
        <v>0</v>
      </c>
      <c r="AJ331" s="136">
        <f t="shared" si="79"/>
        <v>0</v>
      </c>
      <c r="AK331" s="136">
        <f t="shared" si="79"/>
        <v>0</v>
      </c>
      <c r="AL331" s="136">
        <f t="shared" si="79"/>
        <v>0</v>
      </c>
      <c r="AM331" s="136">
        <f t="shared" si="79"/>
        <v>0</v>
      </c>
      <c r="AN331" s="136">
        <f t="shared" si="79"/>
        <v>0</v>
      </c>
      <c r="AO331" s="136">
        <f t="shared" si="79"/>
        <v>0</v>
      </c>
      <c r="AP331" s="136">
        <f t="shared" si="79"/>
        <v>0</v>
      </c>
      <c r="AQ331" s="136">
        <f t="shared" si="79"/>
        <v>0</v>
      </c>
      <c r="AR331" s="136">
        <f t="shared" si="77"/>
        <v>0</v>
      </c>
      <c r="AS331" s="136">
        <f t="shared" si="77"/>
        <v>0</v>
      </c>
      <c r="AT331" s="136">
        <f t="shared" si="77"/>
        <v>0</v>
      </c>
      <c r="AU331" s="136">
        <f t="shared" si="77"/>
        <v>0</v>
      </c>
      <c r="AV331" s="136">
        <f t="shared" si="77"/>
        <v>0</v>
      </c>
      <c r="AW331" s="136">
        <f t="shared" si="77"/>
        <v>0</v>
      </c>
      <c r="AX331" s="136">
        <f t="shared" si="77"/>
        <v>0</v>
      </c>
      <c r="AY331" s="136">
        <f t="shared" si="77"/>
        <v>0</v>
      </c>
      <c r="AZ331" s="136">
        <f t="shared" si="77"/>
        <v>0</v>
      </c>
      <c r="BA331" s="136">
        <f t="shared" si="77"/>
        <v>0</v>
      </c>
      <c r="BB331" s="136">
        <f t="shared" si="77"/>
        <v>0</v>
      </c>
      <c r="BC331" s="136">
        <f t="shared" si="77"/>
        <v>0</v>
      </c>
      <c r="BD331" s="136">
        <f t="shared" si="77"/>
        <v>0</v>
      </c>
      <c r="BE331" s="136">
        <f t="shared" si="77"/>
        <v>0</v>
      </c>
      <c r="BF331" s="136">
        <f t="shared" si="77"/>
        <v>0</v>
      </c>
      <c r="BG331" s="136">
        <f t="shared" si="77"/>
        <v>0</v>
      </c>
      <c r="BH331" s="136">
        <f t="shared" si="76"/>
        <v>0</v>
      </c>
      <c r="BI331" s="136">
        <f t="shared" si="76"/>
        <v>0</v>
      </c>
      <c r="BJ331" s="136">
        <f t="shared" si="76"/>
        <v>0</v>
      </c>
      <c r="BK331" s="136">
        <f t="shared" si="76"/>
        <v>0</v>
      </c>
      <c r="BL331" s="136">
        <f t="shared" si="76"/>
        <v>0</v>
      </c>
      <c r="BM331" s="136">
        <f t="shared" si="76"/>
        <v>0</v>
      </c>
      <c r="BN331" s="136">
        <f t="shared" si="76"/>
        <v>0</v>
      </c>
      <c r="BO331" s="136">
        <f t="shared" si="76"/>
        <v>0</v>
      </c>
      <c r="BP331" s="136">
        <f t="shared" si="76"/>
        <v>0</v>
      </c>
      <c r="BQ331" s="136">
        <f t="shared" si="76"/>
        <v>0</v>
      </c>
      <c r="BR331" s="136">
        <f t="shared" si="76"/>
        <v>0</v>
      </c>
      <c r="BS331" s="136">
        <f t="shared" si="76"/>
        <v>0</v>
      </c>
      <c r="BT331" s="136">
        <f t="shared" si="76"/>
        <v>0</v>
      </c>
      <c r="BU331" s="136">
        <f t="shared" si="76"/>
        <v>0</v>
      </c>
      <c r="BV331" s="136">
        <f t="shared" si="76"/>
        <v>0</v>
      </c>
      <c r="BW331" s="136">
        <f t="shared" si="69"/>
        <v>0</v>
      </c>
      <c r="BX331" s="136">
        <f t="shared" si="67"/>
        <v>0</v>
      </c>
      <c r="BZ331" s="136">
        <f t="shared" si="75"/>
        <v>0</v>
      </c>
      <c r="CA331" s="136">
        <f t="shared" si="75"/>
        <v>0</v>
      </c>
    </row>
    <row r="332" spans="12:79" hidden="1" x14ac:dyDescent="0.3">
      <c r="L332" s="136">
        <f t="shared" si="78"/>
        <v>0</v>
      </c>
      <c r="M332" s="136">
        <f t="shared" si="78"/>
        <v>0</v>
      </c>
      <c r="N332" s="136">
        <f t="shared" si="78"/>
        <v>0</v>
      </c>
      <c r="O332" s="136">
        <f t="shared" si="78"/>
        <v>0</v>
      </c>
      <c r="P332" s="136">
        <f t="shared" si="78"/>
        <v>0</v>
      </c>
      <c r="Q332" s="136">
        <f t="shared" si="78"/>
        <v>88512</v>
      </c>
      <c r="R332" s="136">
        <f t="shared" si="78"/>
        <v>0</v>
      </c>
      <c r="S332" s="136">
        <f t="shared" si="78"/>
        <v>0</v>
      </c>
      <c r="T332" s="136">
        <f t="shared" si="78"/>
        <v>0</v>
      </c>
      <c r="U332" s="136">
        <f t="shared" si="78"/>
        <v>0</v>
      </c>
      <c r="V332" s="136">
        <f t="shared" si="78"/>
        <v>0</v>
      </c>
      <c r="W332" s="136">
        <f t="shared" si="78"/>
        <v>0</v>
      </c>
      <c r="X332" s="136">
        <f t="shared" si="78"/>
        <v>0</v>
      </c>
      <c r="Y332" s="136">
        <f t="shared" si="78"/>
        <v>0</v>
      </c>
      <c r="Z332" s="136">
        <f t="shared" si="78"/>
        <v>0</v>
      </c>
      <c r="AA332" s="136">
        <f t="shared" si="78"/>
        <v>0</v>
      </c>
      <c r="AB332" s="136">
        <f t="shared" si="79"/>
        <v>0</v>
      </c>
      <c r="AC332" s="136">
        <f t="shared" si="79"/>
        <v>0</v>
      </c>
      <c r="AD332" s="136">
        <f t="shared" si="79"/>
        <v>0</v>
      </c>
      <c r="AE332" s="136">
        <f t="shared" si="79"/>
        <v>0</v>
      </c>
      <c r="AF332" s="136">
        <f t="shared" si="79"/>
        <v>0</v>
      </c>
      <c r="AG332" s="136">
        <f t="shared" si="79"/>
        <v>0</v>
      </c>
      <c r="AH332" s="136">
        <f t="shared" si="79"/>
        <v>0</v>
      </c>
      <c r="AI332" s="136">
        <f t="shared" si="79"/>
        <v>0</v>
      </c>
      <c r="AJ332" s="136">
        <f t="shared" si="79"/>
        <v>0</v>
      </c>
      <c r="AK332" s="136">
        <f t="shared" si="79"/>
        <v>0</v>
      </c>
      <c r="AL332" s="136">
        <f t="shared" si="79"/>
        <v>0</v>
      </c>
      <c r="AM332" s="136">
        <f t="shared" si="79"/>
        <v>0</v>
      </c>
      <c r="AN332" s="136">
        <f t="shared" si="79"/>
        <v>0</v>
      </c>
      <c r="AO332" s="136">
        <f t="shared" si="79"/>
        <v>0</v>
      </c>
      <c r="AP332" s="136">
        <f t="shared" si="79"/>
        <v>0</v>
      </c>
      <c r="AQ332" s="136">
        <f t="shared" si="79"/>
        <v>0</v>
      </c>
      <c r="AR332" s="136">
        <f t="shared" si="77"/>
        <v>0</v>
      </c>
      <c r="AS332" s="136">
        <f t="shared" si="77"/>
        <v>0</v>
      </c>
      <c r="AT332" s="136">
        <f t="shared" si="77"/>
        <v>0</v>
      </c>
      <c r="AU332" s="136">
        <f t="shared" si="77"/>
        <v>0</v>
      </c>
      <c r="AV332" s="136">
        <f t="shared" si="77"/>
        <v>0</v>
      </c>
      <c r="AW332" s="136">
        <f t="shared" si="77"/>
        <v>0</v>
      </c>
      <c r="AX332" s="136">
        <f t="shared" si="77"/>
        <v>0</v>
      </c>
      <c r="AY332" s="136">
        <f t="shared" si="77"/>
        <v>0</v>
      </c>
      <c r="AZ332" s="136">
        <f t="shared" si="77"/>
        <v>0</v>
      </c>
      <c r="BA332" s="136">
        <f t="shared" si="77"/>
        <v>0</v>
      </c>
      <c r="BB332" s="136">
        <f t="shared" si="77"/>
        <v>0</v>
      </c>
      <c r="BC332" s="136">
        <f t="shared" si="77"/>
        <v>0</v>
      </c>
      <c r="BD332" s="136">
        <f t="shared" si="77"/>
        <v>0</v>
      </c>
      <c r="BE332" s="136">
        <f t="shared" si="77"/>
        <v>0</v>
      </c>
      <c r="BF332" s="136">
        <f t="shared" si="77"/>
        <v>0</v>
      </c>
      <c r="BG332" s="136">
        <f t="shared" si="77"/>
        <v>0</v>
      </c>
      <c r="BH332" s="136">
        <f t="shared" si="76"/>
        <v>0</v>
      </c>
      <c r="BI332" s="136">
        <f t="shared" si="76"/>
        <v>0</v>
      </c>
      <c r="BJ332" s="136">
        <f t="shared" si="76"/>
        <v>0</v>
      </c>
      <c r="BK332" s="136">
        <f t="shared" si="76"/>
        <v>0</v>
      </c>
      <c r="BL332" s="136">
        <f t="shared" si="76"/>
        <v>0</v>
      </c>
      <c r="BM332" s="136">
        <f t="shared" si="76"/>
        <v>0</v>
      </c>
      <c r="BN332" s="136">
        <f t="shared" si="76"/>
        <v>0</v>
      </c>
      <c r="BO332" s="136">
        <f t="shared" si="76"/>
        <v>-99343</v>
      </c>
      <c r="BP332" s="136">
        <f t="shared" si="76"/>
        <v>0</v>
      </c>
      <c r="BQ332" s="136">
        <f t="shared" si="76"/>
        <v>0</v>
      </c>
      <c r="BR332" s="136">
        <f t="shared" si="76"/>
        <v>0</v>
      </c>
      <c r="BS332" s="136">
        <f t="shared" si="76"/>
        <v>0</v>
      </c>
      <c r="BT332" s="136">
        <f t="shared" si="76"/>
        <v>88512</v>
      </c>
      <c r="BU332" s="136">
        <f t="shared" si="76"/>
        <v>0</v>
      </c>
      <c r="BV332" s="136">
        <f t="shared" si="76"/>
        <v>0</v>
      </c>
      <c r="BW332" s="136">
        <f t="shared" si="69"/>
        <v>0</v>
      </c>
      <c r="BX332" s="136">
        <f t="shared" si="67"/>
        <v>0</v>
      </c>
      <c r="BZ332" s="136">
        <f t="shared" si="75"/>
        <v>0</v>
      </c>
      <c r="CA332" s="136">
        <f t="shared" si="75"/>
        <v>0</v>
      </c>
    </row>
    <row r="333" spans="12:79" hidden="1" x14ac:dyDescent="0.3">
      <c r="L333" s="136">
        <f t="shared" si="78"/>
        <v>0</v>
      </c>
      <c r="M333" s="136">
        <f t="shared" si="78"/>
        <v>0</v>
      </c>
      <c r="N333" s="136">
        <f t="shared" si="78"/>
        <v>0</v>
      </c>
      <c r="O333" s="136">
        <f t="shared" si="78"/>
        <v>0</v>
      </c>
      <c r="P333" s="136">
        <f t="shared" si="78"/>
        <v>0</v>
      </c>
      <c r="Q333" s="136">
        <f t="shared" si="78"/>
        <v>88512</v>
      </c>
      <c r="R333" s="136">
        <f t="shared" si="78"/>
        <v>0</v>
      </c>
      <c r="S333" s="136">
        <f t="shared" si="78"/>
        <v>0</v>
      </c>
      <c r="T333" s="136">
        <f t="shared" si="78"/>
        <v>0</v>
      </c>
      <c r="U333" s="136">
        <f t="shared" si="78"/>
        <v>0</v>
      </c>
      <c r="V333" s="136">
        <f t="shared" si="78"/>
        <v>0</v>
      </c>
      <c r="W333" s="136">
        <f t="shared" si="78"/>
        <v>0</v>
      </c>
      <c r="X333" s="136">
        <f t="shared" si="78"/>
        <v>0</v>
      </c>
      <c r="Y333" s="136">
        <f t="shared" si="78"/>
        <v>0</v>
      </c>
      <c r="Z333" s="136">
        <f t="shared" si="78"/>
        <v>0</v>
      </c>
      <c r="AA333" s="136">
        <f t="shared" si="78"/>
        <v>0</v>
      </c>
      <c r="AB333" s="136">
        <f t="shared" si="79"/>
        <v>0</v>
      </c>
      <c r="AC333" s="136">
        <f t="shared" si="79"/>
        <v>0</v>
      </c>
      <c r="AD333" s="136">
        <f t="shared" si="79"/>
        <v>0</v>
      </c>
      <c r="AE333" s="136">
        <f t="shared" si="79"/>
        <v>0</v>
      </c>
      <c r="AF333" s="136">
        <f t="shared" si="79"/>
        <v>0</v>
      </c>
      <c r="AG333" s="136">
        <f t="shared" si="79"/>
        <v>0</v>
      </c>
      <c r="AH333" s="136">
        <f t="shared" si="79"/>
        <v>0</v>
      </c>
      <c r="AI333" s="136">
        <f t="shared" si="79"/>
        <v>0</v>
      </c>
      <c r="AJ333" s="136">
        <f t="shared" si="79"/>
        <v>0</v>
      </c>
      <c r="AK333" s="136">
        <f t="shared" si="79"/>
        <v>0</v>
      </c>
      <c r="AL333" s="136">
        <f t="shared" si="79"/>
        <v>0</v>
      </c>
      <c r="AM333" s="136">
        <f t="shared" si="79"/>
        <v>0</v>
      </c>
      <c r="AN333" s="136">
        <f t="shared" si="79"/>
        <v>0</v>
      </c>
      <c r="AO333" s="136">
        <f t="shared" si="79"/>
        <v>0</v>
      </c>
      <c r="AP333" s="136">
        <f t="shared" si="79"/>
        <v>0</v>
      </c>
      <c r="AQ333" s="136">
        <f t="shared" si="79"/>
        <v>0</v>
      </c>
      <c r="AR333" s="136">
        <f t="shared" si="77"/>
        <v>0</v>
      </c>
      <c r="AS333" s="136">
        <f t="shared" si="77"/>
        <v>0</v>
      </c>
      <c r="AT333" s="136">
        <f t="shared" si="77"/>
        <v>0</v>
      </c>
      <c r="AU333" s="136">
        <f t="shared" si="77"/>
        <v>0</v>
      </c>
      <c r="AV333" s="136">
        <f t="shared" si="77"/>
        <v>0</v>
      </c>
      <c r="AW333" s="136">
        <f t="shared" si="77"/>
        <v>0</v>
      </c>
      <c r="AX333" s="136">
        <f t="shared" si="77"/>
        <v>0</v>
      </c>
      <c r="AY333" s="136">
        <f t="shared" si="77"/>
        <v>0</v>
      </c>
      <c r="AZ333" s="136">
        <f t="shared" si="77"/>
        <v>0</v>
      </c>
      <c r="BA333" s="136">
        <f t="shared" si="77"/>
        <v>0</v>
      </c>
      <c r="BB333" s="136">
        <f t="shared" si="77"/>
        <v>0</v>
      </c>
      <c r="BC333" s="136">
        <f t="shared" si="77"/>
        <v>0</v>
      </c>
      <c r="BD333" s="136">
        <f t="shared" si="77"/>
        <v>0</v>
      </c>
      <c r="BE333" s="136">
        <f t="shared" si="77"/>
        <v>0</v>
      </c>
      <c r="BF333" s="136">
        <f t="shared" si="77"/>
        <v>0</v>
      </c>
      <c r="BG333" s="136">
        <f t="shared" si="77"/>
        <v>0</v>
      </c>
      <c r="BH333" s="136">
        <f t="shared" si="76"/>
        <v>0</v>
      </c>
      <c r="BI333" s="136">
        <f t="shared" si="76"/>
        <v>0</v>
      </c>
      <c r="BJ333" s="136">
        <f t="shared" si="76"/>
        <v>0</v>
      </c>
      <c r="BK333" s="136">
        <f t="shared" si="76"/>
        <v>0</v>
      </c>
      <c r="BL333" s="136">
        <f t="shared" si="76"/>
        <v>0</v>
      </c>
      <c r="BM333" s="136">
        <f t="shared" si="76"/>
        <v>0</v>
      </c>
      <c r="BN333" s="136">
        <f t="shared" si="76"/>
        <v>0</v>
      </c>
      <c r="BO333" s="136">
        <f t="shared" si="76"/>
        <v>-99343</v>
      </c>
      <c r="BP333" s="136">
        <f t="shared" si="76"/>
        <v>0</v>
      </c>
      <c r="BQ333" s="136">
        <f t="shared" si="76"/>
        <v>0</v>
      </c>
      <c r="BR333" s="136">
        <f t="shared" si="76"/>
        <v>0</v>
      </c>
      <c r="BS333" s="136">
        <f t="shared" si="76"/>
        <v>0</v>
      </c>
      <c r="BT333" s="136">
        <f t="shared" si="76"/>
        <v>88512</v>
      </c>
      <c r="BU333" s="136">
        <f t="shared" si="76"/>
        <v>0</v>
      </c>
      <c r="BV333" s="136">
        <f t="shared" si="76"/>
        <v>0</v>
      </c>
      <c r="BW333" s="136">
        <f t="shared" si="69"/>
        <v>0</v>
      </c>
      <c r="BX333" s="136">
        <f t="shared" si="67"/>
        <v>0</v>
      </c>
      <c r="BZ333" s="136">
        <f t="shared" si="75"/>
        <v>0</v>
      </c>
      <c r="CA333" s="136">
        <f t="shared" si="75"/>
        <v>0</v>
      </c>
    </row>
    <row r="334" spans="12:79" hidden="1" x14ac:dyDescent="0.3">
      <c r="L334" s="136">
        <f t="shared" si="78"/>
        <v>0</v>
      </c>
      <c r="M334" s="136">
        <f t="shared" si="78"/>
        <v>0</v>
      </c>
      <c r="N334" s="136">
        <f t="shared" si="78"/>
        <v>0</v>
      </c>
      <c r="O334" s="136">
        <f t="shared" si="78"/>
        <v>0</v>
      </c>
      <c r="P334" s="136">
        <f t="shared" si="78"/>
        <v>0</v>
      </c>
      <c r="Q334" s="136">
        <f t="shared" si="78"/>
        <v>0</v>
      </c>
      <c r="R334" s="136">
        <f t="shared" si="78"/>
        <v>0</v>
      </c>
      <c r="S334" s="136">
        <f t="shared" si="78"/>
        <v>0</v>
      </c>
      <c r="T334" s="136">
        <f t="shared" si="78"/>
        <v>0</v>
      </c>
      <c r="U334" s="136">
        <f t="shared" si="78"/>
        <v>0</v>
      </c>
      <c r="V334" s="136">
        <f t="shared" si="78"/>
        <v>0</v>
      </c>
      <c r="W334" s="136">
        <f t="shared" si="78"/>
        <v>0</v>
      </c>
      <c r="X334" s="136">
        <f t="shared" si="78"/>
        <v>0</v>
      </c>
      <c r="Y334" s="136">
        <f t="shared" si="78"/>
        <v>0</v>
      </c>
      <c r="Z334" s="136">
        <f t="shared" si="78"/>
        <v>0</v>
      </c>
      <c r="AA334" s="136">
        <f t="shared" si="78"/>
        <v>0</v>
      </c>
      <c r="AB334" s="136">
        <f t="shared" si="79"/>
        <v>0</v>
      </c>
      <c r="AC334" s="136">
        <f t="shared" si="79"/>
        <v>0</v>
      </c>
      <c r="AD334" s="136">
        <f t="shared" si="79"/>
        <v>0</v>
      </c>
      <c r="AE334" s="136">
        <f t="shared" si="79"/>
        <v>0</v>
      </c>
      <c r="AF334" s="136">
        <f t="shared" si="79"/>
        <v>0</v>
      </c>
      <c r="AG334" s="136">
        <f t="shared" si="79"/>
        <v>0</v>
      </c>
      <c r="AH334" s="136">
        <f t="shared" si="79"/>
        <v>0</v>
      </c>
      <c r="AI334" s="136">
        <f t="shared" si="79"/>
        <v>0</v>
      </c>
      <c r="AJ334" s="136">
        <f t="shared" si="79"/>
        <v>0</v>
      </c>
      <c r="AK334" s="136">
        <f t="shared" si="79"/>
        <v>0</v>
      </c>
      <c r="AL334" s="136">
        <f t="shared" si="79"/>
        <v>0</v>
      </c>
      <c r="AM334" s="136">
        <f t="shared" si="79"/>
        <v>0</v>
      </c>
      <c r="AN334" s="136">
        <f t="shared" si="79"/>
        <v>0</v>
      </c>
      <c r="AO334" s="136">
        <f t="shared" si="79"/>
        <v>0</v>
      </c>
      <c r="AP334" s="136">
        <f t="shared" si="79"/>
        <v>0</v>
      </c>
      <c r="AQ334" s="136">
        <f t="shared" si="79"/>
        <v>0</v>
      </c>
      <c r="AR334" s="136">
        <f t="shared" si="77"/>
        <v>0</v>
      </c>
      <c r="AS334" s="136">
        <f t="shared" si="77"/>
        <v>0</v>
      </c>
      <c r="AT334" s="136">
        <f t="shared" si="77"/>
        <v>0</v>
      </c>
      <c r="AU334" s="136">
        <f t="shared" si="77"/>
        <v>0</v>
      </c>
      <c r="AV334" s="136">
        <f t="shared" si="77"/>
        <v>0</v>
      </c>
      <c r="AW334" s="136">
        <f t="shared" si="77"/>
        <v>0</v>
      </c>
      <c r="AX334" s="136">
        <f t="shared" si="77"/>
        <v>0</v>
      </c>
      <c r="AY334" s="136">
        <f t="shared" si="77"/>
        <v>0</v>
      </c>
      <c r="AZ334" s="136">
        <f t="shared" si="77"/>
        <v>0</v>
      </c>
      <c r="BA334" s="136">
        <f t="shared" si="77"/>
        <v>0</v>
      </c>
      <c r="BB334" s="136">
        <f t="shared" si="77"/>
        <v>0</v>
      </c>
      <c r="BC334" s="136">
        <f t="shared" si="77"/>
        <v>0</v>
      </c>
      <c r="BD334" s="136">
        <f t="shared" si="77"/>
        <v>0</v>
      </c>
      <c r="BE334" s="136">
        <f t="shared" si="77"/>
        <v>0</v>
      </c>
      <c r="BF334" s="136">
        <f t="shared" si="77"/>
        <v>0</v>
      </c>
      <c r="BG334" s="136">
        <f t="shared" si="77"/>
        <v>0</v>
      </c>
      <c r="BH334" s="136">
        <f t="shared" si="76"/>
        <v>0</v>
      </c>
      <c r="BI334" s="136">
        <f t="shared" si="76"/>
        <v>0</v>
      </c>
      <c r="BJ334" s="136">
        <f t="shared" si="76"/>
        <v>0</v>
      </c>
      <c r="BK334" s="136">
        <f t="shared" si="76"/>
        <v>0</v>
      </c>
      <c r="BL334" s="136">
        <f t="shared" si="76"/>
        <v>0</v>
      </c>
      <c r="BM334" s="136">
        <f t="shared" si="76"/>
        <v>0</v>
      </c>
      <c r="BN334" s="136">
        <f t="shared" si="76"/>
        <v>0</v>
      </c>
      <c r="BO334" s="136">
        <f t="shared" si="76"/>
        <v>0</v>
      </c>
      <c r="BP334" s="136">
        <f t="shared" si="76"/>
        <v>0</v>
      </c>
      <c r="BQ334" s="136">
        <f t="shared" si="76"/>
        <v>0</v>
      </c>
      <c r="BR334" s="136">
        <f t="shared" si="76"/>
        <v>0</v>
      </c>
      <c r="BS334" s="136">
        <f t="shared" si="76"/>
        <v>0</v>
      </c>
      <c r="BT334" s="136">
        <f t="shared" si="76"/>
        <v>0</v>
      </c>
      <c r="BU334" s="136">
        <f t="shared" si="76"/>
        <v>0</v>
      </c>
      <c r="BV334" s="136">
        <f t="shared" si="76"/>
        <v>0</v>
      </c>
      <c r="BW334" s="136">
        <f t="shared" si="69"/>
        <v>0</v>
      </c>
      <c r="BX334" s="136">
        <f t="shared" si="67"/>
        <v>0</v>
      </c>
      <c r="BZ334" s="136">
        <f t="shared" ref="BZ334:CA349" si="80">BZ183-ER183</f>
        <v>0</v>
      </c>
      <c r="CA334" s="136">
        <f t="shared" si="80"/>
        <v>0</v>
      </c>
    </row>
    <row r="335" spans="12:79" hidden="1" x14ac:dyDescent="0.3">
      <c r="L335" s="136">
        <f t="shared" si="78"/>
        <v>0</v>
      </c>
      <c r="M335" s="136">
        <f t="shared" si="78"/>
        <v>0</v>
      </c>
      <c r="N335" s="136">
        <f t="shared" si="78"/>
        <v>0</v>
      </c>
      <c r="O335" s="136">
        <f t="shared" si="78"/>
        <v>0</v>
      </c>
      <c r="P335" s="136">
        <f t="shared" si="78"/>
        <v>0</v>
      </c>
      <c r="Q335" s="136">
        <f t="shared" si="78"/>
        <v>0</v>
      </c>
      <c r="R335" s="136">
        <f t="shared" si="78"/>
        <v>0</v>
      </c>
      <c r="S335" s="136">
        <f t="shared" si="78"/>
        <v>0</v>
      </c>
      <c r="T335" s="136">
        <f t="shared" si="78"/>
        <v>0</v>
      </c>
      <c r="U335" s="136">
        <f t="shared" si="78"/>
        <v>0</v>
      </c>
      <c r="V335" s="136">
        <f t="shared" si="78"/>
        <v>0</v>
      </c>
      <c r="W335" s="136">
        <f t="shared" si="78"/>
        <v>0</v>
      </c>
      <c r="X335" s="136">
        <f t="shared" si="78"/>
        <v>0</v>
      </c>
      <c r="Y335" s="136">
        <f t="shared" si="78"/>
        <v>0</v>
      </c>
      <c r="Z335" s="136">
        <f t="shared" si="78"/>
        <v>0</v>
      </c>
      <c r="AA335" s="136">
        <f t="shared" si="78"/>
        <v>0</v>
      </c>
      <c r="AB335" s="136">
        <f t="shared" si="79"/>
        <v>0</v>
      </c>
      <c r="AC335" s="136">
        <f t="shared" si="79"/>
        <v>0</v>
      </c>
      <c r="AD335" s="136">
        <f t="shared" si="79"/>
        <v>0</v>
      </c>
      <c r="AE335" s="136">
        <f t="shared" si="79"/>
        <v>0</v>
      </c>
      <c r="AF335" s="136">
        <f t="shared" si="79"/>
        <v>0</v>
      </c>
      <c r="AG335" s="136">
        <f t="shared" si="79"/>
        <v>0</v>
      </c>
      <c r="AH335" s="136">
        <f t="shared" si="79"/>
        <v>0</v>
      </c>
      <c r="AI335" s="136">
        <f t="shared" si="79"/>
        <v>0</v>
      </c>
      <c r="AJ335" s="136">
        <f t="shared" si="79"/>
        <v>0</v>
      </c>
      <c r="AK335" s="136">
        <f t="shared" si="79"/>
        <v>0</v>
      </c>
      <c r="AL335" s="136">
        <f t="shared" si="79"/>
        <v>0</v>
      </c>
      <c r="AM335" s="136">
        <f t="shared" si="79"/>
        <v>0</v>
      </c>
      <c r="AN335" s="136">
        <f t="shared" si="79"/>
        <v>0</v>
      </c>
      <c r="AO335" s="136">
        <f t="shared" si="79"/>
        <v>0</v>
      </c>
      <c r="AP335" s="136">
        <f t="shared" si="79"/>
        <v>0</v>
      </c>
      <c r="AQ335" s="136">
        <f t="shared" si="79"/>
        <v>0</v>
      </c>
      <c r="AR335" s="136">
        <f t="shared" si="77"/>
        <v>0</v>
      </c>
      <c r="AS335" s="136">
        <f t="shared" si="77"/>
        <v>0</v>
      </c>
      <c r="AT335" s="136">
        <f t="shared" si="77"/>
        <v>0</v>
      </c>
      <c r="AU335" s="136">
        <f t="shared" si="77"/>
        <v>0</v>
      </c>
      <c r="AV335" s="136">
        <f t="shared" si="77"/>
        <v>0</v>
      </c>
      <c r="AW335" s="136">
        <f t="shared" si="77"/>
        <v>0</v>
      </c>
      <c r="AX335" s="136">
        <f t="shared" si="77"/>
        <v>0</v>
      </c>
      <c r="AY335" s="136">
        <f t="shared" si="77"/>
        <v>0</v>
      </c>
      <c r="AZ335" s="136">
        <f t="shared" si="77"/>
        <v>0</v>
      </c>
      <c r="BA335" s="136">
        <f t="shared" si="77"/>
        <v>0</v>
      </c>
      <c r="BB335" s="136">
        <f t="shared" si="77"/>
        <v>0</v>
      </c>
      <c r="BC335" s="136">
        <f t="shared" si="77"/>
        <v>0</v>
      </c>
      <c r="BD335" s="136">
        <f t="shared" si="77"/>
        <v>0</v>
      </c>
      <c r="BE335" s="136">
        <f t="shared" si="77"/>
        <v>0</v>
      </c>
      <c r="BF335" s="136">
        <f t="shared" si="77"/>
        <v>0</v>
      </c>
      <c r="BG335" s="136">
        <f t="shared" ref="BG335:BV350" si="81">BG184-DY184</f>
        <v>0</v>
      </c>
      <c r="BH335" s="136">
        <f t="shared" si="81"/>
        <v>0</v>
      </c>
      <c r="BI335" s="136">
        <f t="shared" si="81"/>
        <v>0</v>
      </c>
      <c r="BJ335" s="136">
        <f t="shared" si="81"/>
        <v>0</v>
      </c>
      <c r="BK335" s="136">
        <f t="shared" si="81"/>
        <v>0</v>
      </c>
      <c r="BL335" s="136">
        <f t="shared" si="81"/>
        <v>0</v>
      </c>
      <c r="BM335" s="136">
        <f t="shared" si="81"/>
        <v>0</v>
      </c>
      <c r="BN335" s="136">
        <f t="shared" si="81"/>
        <v>0</v>
      </c>
      <c r="BO335" s="136">
        <f t="shared" si="81"/>
        <v>0</v>
      </c>
      <c r="BP335" s="136">
        <f t="shared" si="81"/>
        <v>0</v>
      </c>
      <c r="BQ335" s="136">
        <f t="shared" si="81"/>
        <v>0</v>
      </c>
      <c r="BR335" s="136">
        <f t="shared" si="81"/>
        <v>0</v>
      </c>
      <c r="BS335" s="136">
        <f t="shared" si="81"/>
        <v>0</v>
      </c>
      <c r="BT335" s="136">
        <f t="shared" si="81"/>
        <v>0</v>
      </c>
      <c r="BU335" s="136">
        <f t="shared" si="81"/>
        <v>0</v>
      </c>
      <c r="BV335" s="136">
        <f t="shared" si="81"/>
        <v>0</v>
      </c>
      <c r="BW335" s="136">
        <f t="shared" si="69"/>
        <v>0</v>
      </c>
      <c r="BX335" s="136">
        <f t="shared" si="67"/>
        <v>0</v>
      </c>
      <c r="BZ335" s="136">
        <f t="shared" si="80"/>
        <v>0</v>
      </c>
      <c r="CA335" s="136">
        <f t="shared" si="80"/>
        <v>0</v>
      </c>
    </row>
    <row r="336" spans="12:79" hidden="1" x14ac:dyDescent="0.3">
      <c r="L336" s="136">
        <f t="shared" si="78"/>
        <v>0</v>
      </c>
      <c r="M336" s="136">
        <f t="shared" si="78"/>
        <v>0</v>
      </c>
      <c r="N336" s="136">
        <f t="shared" si="78"/>
        <v>0</v>
      </c>
      <c r="O336" s="136">
        <f t="shared" si="78"/>
        <v>0</v>
      </c>
      <c r="P336" s="136">
        <f t="shared" si="78"/>
        <v>0</v>
      </c>
      <c r="Q336" s="136">
        <f t="shared" si="78"/>
        <v>0</v>
      </c>
      <c r="R336" s="136">
        <f t="shared" si="78"/>
        <v>0</v>
      </c>
      <c r="S336" s="136">
        <f t="shared" si="78"/>
        <v>0</v>
      </c>
      <c r="T336" s="136">
        <f t="shared" si="78"/>
        <v>0</v>
      </c>
      <c r="U336" s="136">
        <f t="shared" si="78"/>
        <v>0</v>
      </c>
      <c r="V336" s="136">
        <f t="shared" si="78"/>
        <v>0</v>
      </c>
      <c r="W336" s="136">
        <f t="shared" si="78"/>
        <v>0</v>
      </c>
      <c r="X336" s="136">
        <f t="shared" si="78"/>
        <v>0</v>
      </c>
      <c r="Y336" s="136">
        <f t="shared" si="78"/>
        <v>0</v>
      </c>
      <c r="Z336" s="136">
        <f t="shared" si="78"/>
        <v>0</v>
      </c>
      <c r="AA336" s="136">
        <f t="shared" si="78"/>
        <v>0</v>
      </c>
      <c r="AB336" s="136">
        <f t="shared" si="79"/>
        <v>0</v>
      </c>
      <c r="AC336" s="136">
        <f t="shared" si="79"/>
        <v>0</v>
      </c>
      <c r="AD336" s="136">
        <f t="shared" si="79"/>
        <v>0</v>
      </c>
      <c r="AE336" s="136">
        <f t="shared" si="79"/>
        <v>0</v>
      </c>
      <c r="AF336" s="136">
        <f t="shared" si="79"/>
        <v>0</v>
      </c>
      <c r="AG336" s="136">
        <f t="shared" si="79"/>
        <v>0</v>
      </c>
      <c r="AH336" s="136">
        <f t="shared" si="79"/>
        <v>0</v>
      </c>
      <c r="AI336" s="136">
        <f t="shared" si="79"/>
        <v>0</v>
      </c>
      <c r="AJ336" s="136">
        <f t="shared" si="79"/>
        <v>0</v>
      </c>
      <c r="AK336" s="136">
        <f t="shared" si="79"/>
        <v>0</v>
      </c>
      <c r="AL336" s="136">
        <f t="shared" si="79"/>
        <v>0</v>
      </c>
      <c r="AM336" s="136">
        <f t="shared" si="79"/>
        <v>0</v>
      </c>
      <c r="AN336" s="136">
        <f t="shared" si="79"/>
        <v>0</v>
      </c>
      <c r="AO336" s="136">
        <f t="shared" si="79"/>
        <v>0</v>
      </c>
      <c r="AP336" s="136">
        <f t="shared" si="79"/>
        <v>0</v>
      </c>
      <c r="AQ336" s="136">
        <f t="shared" si="79"/>
        <v>0</v>
      </c>
      <c r="AR336" s="136">
        <f t="shared" ref="AR336:BG351" si="82">AR185-DJ185</f>
        <v>0</v>
      </c>
      <c r="AS336" s="136">
        <f t="shared" si="82"/>
        <v>0</v>
      </c>
      <c r="AT336" s="136">
        <f t="shared" si="82"/>
        <v>0</v>
      </c>
      <c r="AU336" s="136">
        <f t="shared" si="82"/>
        <v>0</v>
      </c>
      <c r="AV336" s="136">
        <f t="shared" si="82"/>
        <v>0</v>
      </c>
      <c r="AW336" s="136">
        <f t="shared" si="82"/>
        <v>0</v>
      </c>
      <c r="AX336" s="136">
        <f t="shared" si="82"/>
        <v>0</v>
      </c>
      <c r="AY336" s="136">
        <f t="shared" si="82"/>
        <v>0</v>
      </c>
      <c r="AZ336" s="136">
        <f t="shared" si="82"/>
        <v>0</v>
      </c>
      <c r="BA336" s="136">
        <f t="shared" si="82"/>
        <v>0</v>
      </c>
      <c r="BB336" s="136">
        <f t="shared" si="82"/>
        <v>0</v>
      </c>
      <c r="BC336" s="136">
        <f t="shared" si="82"/>
        <v>0</v>
      </c>
      <c r="BD336" s="136">
        <f t="shared" si="82"/>
        <v>0</v>
      </c>
      <c r="BE336" s="136">
        <f t="shared" si="82"/>
        <v>0</v>
      </c>
      <c r="BF336" s="136">
        <f t="shared" si="82"/>
        <v>0</v>
      </c>
      <c r="BG336" s="136">
        <f t="shared" si="81"/>
        <v>0</v>
      </c>
      <c r="BH336" s="136">
        <f t="shared" si="81"/>
        <v>0</v>
      </c>
      <c r="BI336" s="136">
        <f t="shared" si="81"/>
        <v>0</v>
      </c>
      <c r="BJ336" s="136">
        <f t="shared" si="81"/>
        <v>0</v>
      </c>
      <c r="BK336" s="136">
        <f t="shared" si="81"/>
        <v>0</v>
      </c>
      <c r="BL336" s="136">
        <f t="shared" si="81"/>
        <v>0</v>
      </c>
      <c r="BM336" s="136">
        <f t="shared" si="81"/>
        <v>0</v>
      </c>
      <c r="BN336" s="136">
        <f t="shared" si="81"/>
        <v>0</v>
      </c>
      <c r="BO336" s="136">
        <f t="shared" si="81"/>
        <v>0</v>
      </c>
      <c r="BP336" s="136">
        <f t="shared" si="81"/>
        <v>0</v>
      </c>
      <c r="BQ336" s="136">
        <f t="shared" si="81"/>
        <v>0</v>
      </c>
      <c r="BR336" s="136">
        <f t="shared" si="81"/>
        <v>0</v>
      </c>
      <c r="BS336" s="136">
        <f t="shared" si="81"/>
        <v>0</v>
      </c>
      <c r="BT336" s="136">
        <f t="shared" si="81"/>
        <v>0</v>
      </c>
      <c r="BU336" s="136">
        <f t="shared" si="81"/>
        <v>0</v>
      </c>
      <c r="BV336" s="136">
        <f t="shared" si="81"/>
        <v>0</v>
      </c>
      <c r="BW336" s="136">
        <f t="shared" si="69"/>
        <v>0</v>
      </c>
      <c r="BX336" s="136">
        <f t="shared" si="67"/>
        <v>0</v>
      </c>
      <c r="BZ336" s="136">
        <f t="shared" si="80"/>
        <v>0</v>
      </c>
      <c r="CA336" s="136">
        <f t="shared" si="80"/>
        <v>0</v>
      </c>
    </row>
    <row r="337" spans="12:79" hidden="1" x14ac:dyDescent="0.3">
      <c r="L337" s="136">
        <f t="shared" si="78"/>
        <v>0</v>
      </c>
      <c r="M337" s="136">
        <f t="shared" si="78"/>
        <v>0</v>
      </c>
      <c r="N337" s="136">
        <f t="shared" si="78"/>
        <v>0</v>
      </c>
      <c r="O337" s="136">
        <f t="shared" si="78"/>
        <v>0</v>
      </c>
      <c r="P337" s="136">
        <f t="shared" si="78"/>
        <v>0</v>
      </c>
      <c r="Q337" s="136">
        <f t="shared" si="78"/>
        <v>0</v>
      </c>
      <c r="R337" s="136">
        <f t="shared" si="78"/>
        <v>0</v>
      </c>
      <c r="S337" s="136">
        <f t="shared" si="78"/>
        <v>0</v>
      </c>
      <c r="T337" s="136">
        <f t="shared" si="78"/>
        <v>0</v>
      </c>
      <c r="U337" s="136">
        <f t="shared" si="78"/>
        <v>0</v>
      </c>
      <c r="V337" s="136">
        <f t="shared" si="78"/>
        <v>0</v>
      </c>
      <c r="W337" s="136">
        <f t="shared" si="78"/>
        <v>0</v>
      </c>
      <c r="X337" s="136">
        <f t="shared" si="78"/>
        <v>0</v>
      </c>
      <c r="Y337" s="136">
        <f t="shared" si="78"/>
        <v>0</v>
      </c>
      <c r="Z337" s="136">
        <f t="shared" si="78"/>
        <v>0</v>
      </c>
      <c r="AA337" s="136">
        <f t="shared" si="78"/>
        <v>0</v>
      </c>
      <c r="AB337" s="136">
        <f t="shared" si="79"/>
        <v>0</v>
      </c>
      <c r="AC337" s="136">
        <f t="shared" si="79"/>
        <v>0</v>
      </c>
      <c r="AD337" s="136">
        <f t="shared" si="79"/>
        <v>0</v>
      </c>
      <c r="AE337" s="136">
        <f t="shared" si="79"/>
        <v>0</v>
      </c>
      <c r="AF337" s="136">
        <f t="shared" si="79"/>
        <v>0</v>
      </c>
      <c r="AG337" s="136">
        <f t="shared" si="79"/>
        <v>0</v>
      </c>
      <c r="AH337" s="136">
        <f t="shared" si="79"/>
        <v>0</v>
      </c>
      <c r="AI337" s="136">
        <f t="shared" si="79"/>
        <v>0</v>
      </c>
      <c r="AJ337" s="136">
        <f t="shared" si="79"/>
        <v>0</v>
      </c>
      <c r="AK337" s="136">
        <f t="shared" si="79"/>
        <v>0</v>
      </c>
      <c r="AL337" s="136">
        <f t="shared" si="79"/>
        <v>0</v>
      </c>
      <c r="AM337" s="136">
        <f t="shared" si="79"/>
        <v>0</v>
      </c>
      <c r="AN337" s="136">
        <f t="shared" si="79"/>
        <v>0</v>
      </c>
      <c r="AO337" s="136">
        <f t="shared" si="79"/>
        <v>0</v>
      </c>
      <c r="AP337" s="136">
        <f t="shared" si="79"/>
        <v>0</v>
      </c>
      <c r="AQ337" s="136">
        <f t="shared" si="79"/>
        <v>0</v>
      </c>
      <c r="AR337" s="136">
        <f t="shared" si="82"/>
        <v>0</v>
      </c>
      <c r="AS337" s="136">
        <f t="shared" si="82"/>
        <v>0</v>
      </c>
      <c r="AT337" s="136">
        <f t="shared" si="82"/>
        <v>0</v>
      </c>
      <c r="AU337" s="136">
        <f t="shared" si="82"/>
        <v>0</v>
      </c>
      <c r="AV337" s="136">
        <f t="shared" si="82"/>
        <v>0</v>
      </c>
      <c r="AW337" s="136">
        <f t="shared" si="82"/>
        <v>0</v>
      </c>
      <c r="AX337" s="136">
        <f t="shared" si="82"/>
        <v>0</v>
      </c>
      <c r="AY337" s="136">
        <f t="shared" si="82"/>
        <v>0</v>
      </c>
      <c r="AZ337" s="136">
        <f t="shared" si="82"/>
        <v>0</v>
      </c>
      <c r="BA337" s="136">
        <f t="shared" si="82"/>
        <v>0</v>
      </c>
      <c r="BB337" s="136">
        <f t="shared" si="82"/>
        <v>0</v>
      </c>
      <c r="BC337" s="136">
        <f t="shared" si="82"/>
        <v>0</v>
      </c>
      <c r="BD337" s="136">
        <f t="shared" si="82"/>
        <v>0</v>
      </c>
      <c r="BE337" s="136">
        <f t="shared" si="82"/>
        <v>0</v>
      </c>
      <c r="BF337" s="136">
        <f t="shared" si="82"/>
        <v>0</v>
      </c>
      <c r="BG337" s="136">
        <f t="shared" si="81"/>
        <v>0</v>
      </c>
      <c r="BH337" s="136">
        <f t="shared" si="81"/>
        <v>0</v>
      </c>
      <c r="BI337" s="136">
        <f t="shared" si="81"/>
        <v>0</v>
      </c>
      <c r="BJ337" s="136">
        <f t="shared" si="81"/>
        <v>0</v>
      </c>
      <c r="BK337" s="136">
        <f t="shared" si="81"/>
        <v>0</v>
      </c>
      <c r="BL337" s="136">
        <f t="shared" si="81"/>
        <v>0</v>
      </c>
      <c r="BM337" s="136">
        <f t="shared" si="81"/>
        <v>0</v>
      </c>
      <c r="BN337" s="136">
        <f t="shared" si="81"/>
        <v>0</v>
      </c>
      <c r="BO337" s="136">
        <f t="shared" si="81"/>
        <v>0</v>
      </c>
      <c r="BP337" s="136">
        <f t="shared" si="81"/>
        <v>0</v>
      </c>
      <c r="BQ337" s="136">
        <f t="shared" si="81"/>
        <v>0</v>
      </c>
      <c r="BR337" s="136">
        <f t="shared" si="81"/>
        <v>0</v>
      </c>
      <c r="BS337" s="136">
        <f t="shared" si="81"/>
        <v>0</v>
      </c>
      <c r="BT337" s="136">
        <f t="shared" si="81"/>
        <v>0</v>
      </c>
      <c r="BU337" s="136">
        <f t="shared" si="81"/>
        <v>0</v>
      </c>
      <c r="BV337" s="136">
        <f t="shared" si="81"/>
        <v>0</v>
      </c>
      <c r="BW337" s="136">
        <f t="shared" si="69"/>
        <v>0</v>
      </c>
      <c r="BX337" s="136">
        <f t="shared" si="67"/>
        <v>0</v>
      </c>
      <c r="BZ337" s="136">
        <f t="shared" si="80"/>
        <v>0</v>
      </c>
      <c r="CA337" s="136">
        <f t="shared" si="80"/>
        <v>0</v>
      </c>
    </row>
    <row r="338" spans="12:79" hidden="1" x14ac:dyDescent="0.3">
      <c r="L338" s="136">
        <f t="shared" si="78"/>
        <v>0</v>
      </c>
      <c r="M338" s="136">
        <f t="shared" si="78"/>
        <v>0</v>
      </c>
      <c r="N338" s="136">
        <f t="shared" si="78"/>
        <v>0</v>
      </c>
      <c r="O338" s="136">
        <f t="shared" si="78"/>
        <v>0</v>
      </c>
      <c r="P338" s="136">
        <f t="shared" si="78"/>
        <v>0</v>
      </c>
      <c r="Q338" s="136">
        <f t="shared" si="78"/>
        <v>0</v>
      </c>
      <c r="R338" s="136">
        <f t="shared" si="78"/>
        <v>0</v>
      </c>
      <c r="S338" s="136">
        <f t="shared" si="78"/>
        <v>0</v>
      </c>
      <c r="T338" s="136">
        <f t="shared" si="78"/>
        <v>0</v>
      </c>
      <c r="U338" s="136">
        <f t="shared" si="78"/>
        <v>0</v>
      </c>
      <c r="V338" s="136">
        <f t="shared" si="78"/>
        <v>0</v>
      </c>
      <c r="W338" s="136">
        <f t="shared" si="78"/>
        <v>0</v>
      </c>
      <c r="X338" s="136">
        <f t="shared" si="78"/>
        <v>0</v>
      </c>
      <c r="Y338" s="136">
        <f t="shared" si="78"/>
        <v>0</v>
      </c>
      <c r="Z338" s="136">
        <f t="shared" si="78"/>
        <v>0</v>
      </c>
      <c r="AA338" s="136">
        <f t="shared" si="78"/>
        <v>0</v>
      </c>
      <c r="AB338" s="136">
        <f t="shared" si="79"/>
        <v>0</v>
      </c>
      <c r="AC338" s="136">
        <f t="shared" si="79"/>
        <v>0</v>
      </c>
      <c r="AD338" s="136">
        <f t="shared" si="79"/>
        <v>0</v>
      </c>
      <c r="AE338" s="136">
        <f t="shared" si="79"/>
        <v>0</v>
      </c>
      <c r="AF338" s="136">
        <f t="shared" si="79"/>
        <v>0</v>
      </c>
      <c r="AG338" s="136">
        <f t="shared" si="79"/>
        <v>0</v>
      </c>
      <c r="AH338" s="136">
        <f t="shared" si="79"/>
        <v>0</v>
      </c>
      <c r="AI338" s="136">
        <f t="shared" si="79"/>
        <v>0</v>
      </c>
      <c r="AJ338" s="136">
        <f t="shared" si="79"/>
        <v>0</v>
      </c>
      <c r="AK338" s="136">
        <f t="shared" si="79"/>
        <v>0</v>
      </c>
      <c r="AL338" s="136">
        <f t="shared" si="79"/>
        <v>0</v>
      </c>
      <c r="AM338" s="136">
        <f t="shared" si="79"/>
        <v>0</v>
      </c>
      <c r="AN338" s="136">
        <f t="shared" si="79"/>
        <v>0</v>
      </c>
      <c r="AO338" s="136">
        <f t="shared" si="79"/>
        <v>0</v>
      </c>
      <c r="AP338" s="136">
        <f t="shared" si="79"/>
        <v>0</v>
      </c>
      <c r="AQ338" s="136">
        <f t="shared" si="79"/>
        <v>0</v>
      </c>
      <c r="AR338" s="136">
        <f t="shared" si="82"/>
        <v>0</v>
      </c>
      <c r="AS338" s="136">
        <f t="shared" si="82"/>
        <v>0</v>
      </c>
      <c r="AT338" s="136">
        <f t="shared" si="82"/>
        <v>0</v>
      </c>
      <c r="AU338" s="136">
        <f t="shared" si="82"/>
        <v>0</v>
      </c>
      <c r="AV338" s="136">
        <f t="shared" si="82"/>
        <v>0</v>
      </c>
      <c r="AW338" s="136">
        <f t="shared" si="82"/>
        <v>0</v>
      </c>
      <c r="AX338" s="136">
        <f t="shared" si="82"/>
        <v>0</v>
      </c>
      <c r="AY338" s="136">
        <f t="shared" si="82"/>
        <v>0</v>
      </c>
      <c r="AZ338" s="136">
        <f t="shared" si="82"/>
        <v>0</v>
      </c>
      <c r="BA338" s="136">
        <f t="shared" si="82"/>
        <v>0</v>
      </c>
      <c r="BB338" s="136">
        <f t="shared" si="82"/>
        <v>0</v>
      </c>
      <c r="BC338" s="136">
        <f t="shared" si="82"/>
        <v>0</v>
      </c>
      <c r="BD338" s="136">
        <f t="shared" si="82"/>
        <v>0</v>
      </c>
      <c r="BE338" s="136">
        <f t="shared" si="82"/>
        <v>0</v>
      </c>
      <c r="BF338" s="136">
        <f t="shared" si="82"/>
        <v>0</v>
      </c>
      <c r="BG338" s="136">
        <f t="shared" si="81"/>
        <v>0</v>
      </c>
      <c r="BH338" s="136">
        <f t="shared" si="81"/>
        <v>0</v>
      </c>
      <c r="BI338" s="136">
        <f t="shared" si="81"/>
        <v>0</v>
      </c>
      <c r="BJ338" s="136">
        <f t="shared" si="81"/>
        <v>0</v>
      </c>
      <c r="BK338" s="136">
        <f t="shared" si="81"/>
        <v>0</v>
      </c>
      <c r="BL338" s="136">
        <f t="shared" si="81"/>
        <v>0</v>
      </c>
      <c r="BM338" s="136">
        <f t="shared" si="81"/>
        <v>0</v>
      </c>
      <c r="BN338" s="136">
        <f t="shared" si="81"/>
        <v>0</v>
      </c>
      <c r="BO338" s="136">
        <f t="shared" si="81"/>
        <v>0</v>
      </c>
      <c r="BP338" s="136">
        <f t="shared" si="81"/>
        <v>0</v>
      </c>
      <c r="BQ338" s="136">
        <f t="shared" si="81"/>
        <v>0</v>
      </c>
      <c r="BR338" s="136">
        <f t="shared" si="81"/>
        <v>0</v>
      </c>
      <c r="BS338" s="136">
        <f t="shared" si="81"/>
        <v>0</v>
      </c>
      <c r="BT338" s="136">
        <f t="shared" si="81"/>
        <v>0</v>
      </c>
      <c r="BU338" s="136">
        <f t="shared" si="81"/>
        <v>0</v>
      </c>
      <c r="BV338" s="136">
        <f t="shared" si="81"/>
        <v>0</v>
      </c>
      <c r="BW338" s="136">
        <f t="shared" si="69"/>
        <v>0</v>
      </c>
      <c r="BX338" s="136">
        <f t="shared" si="67"/>
        <v>0</v>
      </c>
      <c r="BZ338" s="136">
        <f t="shared" si="80"/>
        <v>0</v>
      </c>
      <c r="CA338" s="136">
        <f t="shared" si="80"/>
        <v>0</v>
      </c>
    </row>
    <row r="339" spans="12:79" hidden="1" x14ac:dyDescent="0.3">
      <c r="L339" s="136">
        <f t="shared" si="78"/>
        <v>0</v>
      </c>
      <c r="M339" s="136">
        <f t="shared" si="78"/>
        <v>0</v>
      </c>
      <c r="N339" s="136">
        <f t="shared" si="78"/>
        <v>0</v>
      </c>
      <c r="O339" s="136">
        <f t="shared" si="78"/>
        <v>0</v>
      </c>
      <c r="P339" s="136">
        <f t="shared" si="78"/>
        <v>0</v>
      </c>
      <c r="Q339" s="136">
        <f t="shared" si="78"/>
        <v>0</v>
      </c>
      <c r="R339" s="136">
        <f t="shared" si="78"/>
        <v>0</v>
      </c>
      <c r="S339" s="136">
        <f t="shared" si="78"/>
        <v>0</v>
      </c>
      <c r="T339" s="136">
        <f t="shared" si="78"/>
        <v>0</v>
      </c>
      <c r="U339" s="136">
        <f t="shared" si="78"/>
        <v>0</v>
      </c>
      <c r="V339" s="136">
        <f t="shared" si="78"/>
        <v>0</v>
      </c>
      <c r="W339" s="136">
        <f t="shared" si="78"/>
        <v>0</v>
      </c>
      <c r="X339" s="136">
        <f t="shared" si="78"/>
        <v>0</v>
      </c>
      <c r="Y339" s="136">
        <f t="shared" si="78"/>
        <v>0</v>
      </c>
      <c r="Z339" s="136">
        <f t="shared" si="78"/>
        <v>0</v>
      </c>
      <c r="AA339" s="136">
        <f t="shared" si="78"/>
        <v>0</v>
      </c>
      <c r="AB339" s="136">
        <f t="shared" si="79"/>
        <v>0</v>
      </c>
      <c r="AC339" s="136">
        <f t="shared" si="79"/>
        <v>0</v>
      </c>
      <c r="AD339" s="136">
        <f t="shared" si="79"/>
        <v>0</v>
      </c>
      <c r="AE339" s="136">
        <f t="shared" si="79"/>
        <v>0</v>
      </c>
      <c r="AF339" s="136">
        <f t="shared" si="79"/>
        <v>0</v>
      </c>
      <c r="AG339" s="136">
        <f t="shared" si="79"/>
        <v>0</v>
      </c>
      <c r="AH339" s="136">
        <f t="shared" si="79"/>
        <v>0</v>
      </c>
      <c r="AI339" s="136">
        <f t="shared" si="79"/>
        <v>0</v>
      </c>
      <c r="AJ339" s="136">
        <f t="shared" si="79"/>
        <v>0</v>
      </c>
      <c r="AK339" s="136">
        <f t="shared" si="79"/>
        <v>0</v>
      </c>
      <c r="AL339" s="136">
        <f t="shared" si="79"/>
        <v>0</v>
      </c>
      <c r="AM339" s="136">
        <f t="shared" si="79"/>
        <v>0</v>
      </c>
      <c r="AN339" s="136">
        <f t="shared" si="79"/>
        <v>0</v>
      </c>
      <c r="AO339" s="136">
        <f t="shared" si="79"/>
        <v>0</v>
      </c>
      <c r="AP339" s="136">
        <f t="shared" si="79"/>
        <v>0</v>
      </c>
      <c r="AQ339" s="136">
        <f t="shared" si="79"/>
        <v>0</v>
      </c>
      <c r="AR339" s="136">
        <f t="shared" si="82"/>
        <v>0</v>
      </c>
      <c r="AS339" s="136">
        <f t="shared" si="82"/>
        <v>0</v>
      </c>
      <c r="AT339" s="136">
        <f t="shared" si="82"/>
        <v>0</v>
      </c>
      <c r="AU339" s="136">
        <f t="shared" si="82"/>
        <v>0</v>
      </c>
      <c r="AV339" s="136">
        <f t="shared" si="82"/>
        <v>0</v>
      </c>
      <c r="AW339" s="136">
        <f t="shared" si="82"/>
        <v>0</v>
      </c>
      <c r="AX339" s="136">
        <f t="shared" si="82"/>
        <v>0</v>
      </c>
      <c r="AY339" s="136">
        <f t="shared" si="82"/>
        <v>0</v>
      </c>
      <c r="AZ339" s="136">
        <f t="shared" si="82"/>
        <v>0</v>
      </c>
      <c r="BA339" s="136">
        <f t="shared" si="82"/>
        <v>0</v>
      </c>
      <c r="BB339" s="136">
        <f t="shared" si="82"/>
        <v>0</v>
      </c>
      <c r="BC339" s="136">
        <f t="shared" si="82"/>
        <v>0</v>
      </c>
      <c r="BD339" s="136">
        <f t="shared" si="82"/>
        <v>0</v>
      </c>
      <c r="BE339" s="136">
        <f t="shared" si="82"/>
        <v>0</v>
      </c>
      <c r="BF339" s="136">
        <f t="shared" si="82"/>
        <v>0</v>
      </c>
      <c r="BG339" s="136">
        <f t="shared" si="81"/>
        <v>0</v>
      </c>
      <c r="BH339" s="136">
        <f t="shared" si="81"/>
        <v>0</v>
      </c>
      <c r="BI339" s="136">
        <f t="shared" si="81"/>
        <v>0</v>
      </c>
      <c r="BJ339" s="136">
        <f t="shared" si="81"/>
        <v>0</v>
      </c>
      <c r="BK339" s="136">
        <f t="shared" si="81"/>
        <v>0</v>
      </c>
      <c r="BL339" s="136">
        <f t="shared" si="81"/>
        <v>0</v>
      </c>
      <c r="BM339" s="136">
        <f t="shared" si="81"/>
        <v>0</v>
      </c>
      <c r="BN339" s="136">
        <f t="shared" si="81"/>
        <v>0</v>
      </c>
      <c r="BO339" s="136">
        <f t="shared" si="81"/>
        <v>0</v>
      </c>
      <c r="BP339" s="136">
        <f t="shared" si="81"/>
        <v>0</v>
      </c>
      <c r="BQ339" s="136">
        <f t="shared" si="81"/>
        <v>0</v>
      </c>
      <c r="BR339" s="136">
        <f t="shared" si="81"/>
        <v>0</v>
      </c>
      <c r="BS339" s="136">
        <f t="shared" si="81"/>
        <v>0</v>
      </c>
      <c r="BT339" s="136">
        <f t="shared" si="81"/>
        <v>0</v>
      </c>
      <c r="BU339" s="136">
        <f t="shared" si="81"/>
        <v>0</v>
      </c>
      <c r="BV339" s="136">
        <f t="shared" si="81"/>
        <v>0</v>
      </c>
      <c r="BW339" s="136">
        <f t="shared" si="69"/>
        <v>0</v>
      </c>
      <c r="BX339" s="136">
        <f t="shared" si="67"/>
        <v>0</v>
      </c>
      <c r="BZ339" s="136">
        <f t="shared" si="80"/>
        <v>0</v>
      </c>
      <c r="CA339" s="136">
        <f t="shared" si="80"/>
        <v>0</v>
      </c>
    </row>
    <row r="340" spans="12:79" hidden="1" x14ac:dyDescent="0.3">
      <c r="L340" s="136">
        <f t="shared" si="78"/>
        <v>0</v>
      </c>
      <c r="M340" s="136">
        <f t="shared" si="78"/>
        <v>0</v>
      </c>
      <c r="N340" s="136">
        <f t="shared" si="78"/>
        <v>0</v>
      </c>
      <c r="O340" s="136">
        <f t="shared" si="78"/>
        <v>0</v>
      </c>
      <c r="P340" s="136">
        <f t="shared" si="78"/>
        <v>0</v>
      </c>
      <c r="Q340" s="136">
        <f t="shared" si="78"/>
        <v>0</v>
      </c>
      <c r="R340" s="136">
        <f t="shared" si="78"/>
        <v>0</v>
      </c>
      <c r="S340" s="136">
        <f t="shared" si="78"/>
        <v>0</v>
      </c>
      <c r="T340" s="136">
        <f t="shared" si="78"/>
        <v>0</v>
      </c>
      <c r="U340" s="136">
        <f t="shared" si="78"/>
        <v>0</v>
      </c>
      <c r="V340" s="136">
        <f t="shared" si="78"/>
        <v>0</v>
      </c>
      <c r="W340" s="136">
        <f t="shared" si="78"/>
        <v>0</v>
      </c>
      <c r="X340" s="136">
        <f t="shared" si="78"/>
        <v>0</v>
      </c>
      <c r="Y340" s="136">
        <f t="shared" si="78"/>
        <v>0</v>
      </c>
      <c r="Z340" s="136">
        <f t="shared" si="78"/>
        <v>0</v>
      </c>
      <c r="AA340" s="136">
        <f t="shared" si="78"/>
        <v>0</v>
      </c>
      <c r="AB340" s="136">
        <f t="shared" si="79"/>
        <v>0</v>
      </c>
      <c r="AC340" s="136">
        <f t="shared" si="79"/>
        <v>0</v>
      </c>
      <c r="AD340" s="136">
        <f t="shared" si="79"/>
        <v>0</v>
      </c>
      <c r="AE340" s="136">
        <f t="shared" si="79"/>
        <v>0</v>
      </c>
      <c r="AF340" s="136">
        <f t="shared" si="79"/>
        <v>0</v>
      </c>
      <c r="AG340" s="136">
        <f t="shared" si="79"/>
        <v>0</v>
      </c>
      <c r="AH340" s="136">
        <f t="shared" si="79"/>
        <v>0</v>
      </c>
      <c r="AI340" s="136">
        <f t="shared" si="79"/>
        <v>0</v>
      </c>
      <c r="AJ340" s="136">
        <f t="shared" si="79"/>
        <v>0</v>
      </c>
      <c r="AK340" s="136">
        <f t="shared" si="79"/>
        <v>0</v>
      </c>
      <c r="AL340" s="136">
        <f t="shared" si="79"/>
        <v>0</v>
      </c>
      <c r="AM340" s="136">
        <f t="shared" si="79"/>
        <v>0</v>
      </c>
      <c r="AN340" s="136">
        <f t="shared" si="79"/>
        <v>0</v>
      </c>
      <c r="AO340" s="136">
        <f t="shared" si="79"/>
        <v>0</v>
      </c>
      <c r="AP340" s="136">
        <f t="shared" si="79"/>
        <v>0</v>
      </c>
      <c r="AQ340" s="136">
        <f t="shared" si="79"/>
        <v>0</v>
      </c>
      <c r="AR340" s="136">
        <f t="shared" si="82"/>
        <v>0</v>
      </c>
      <c r="AS340" s="136">
        <f t="shared" si="82"/>
        <v>0</v>
      </c>
      <c r="AT340" s="136">
        <f t="shared" si="82"/>
        <v>0</v>
      </c>
      <c r="AU340" s="136">
        <f t="shared" si="82"/>
        <v>0</v>
      </c>
      <c r="AV340" s="136">
        <f t="shared" si="82"/>
        <v>0</v>
      </c>
      <c r="AW340" s="136">
        <f t="shared" si="82"/>
        <v>0</v>
      </c>
      <c r="AX340" s="136">
        <f t="shared" si="82"/>
        <v>0</v>
      </c>
      <c r="AY340" s="136">
        <f t="shared" si="82"/>
        <v>0</v>
      </c>
      <c r="AZ340" s="136">
        <f t="shared" si="82"/>
        <v>0</v>
      </c>
      <c r="BA340" s="136">
        <f t="shared" si="82"/>
        <v>0</v>
      </c>
      <c r="BB340" s="136">
        <f t="shared" si="82"/>
        <v>0</v>
      </c>
      <c r="BC340" s="136">
        <f t="shared" si="82"/>
        <v>0</v>
      </c>
      <c r="BD340" s="136">
        <f t="shared" si="82"/>
        <v>0</v>
      </c>
      <c r="BE340" s="136">
        <f t="shared" si="82"/>
        <v>0</v>
      </c>
      <c r="BF340" s="136">
        <f t="shared" si="82"/>
        <v>0</v>
      </c>
      <c r="BG340" s="136">
        <f t="shared" si="81"/>
        <v>0</v>
      </c>
      <c r="BH340" s="136">
        <f t="shared" si="81"/>
        <v>0</v>
      </c>
      <c r="BI340" s="136">
        <f t="shared" si="81"/>
        <v>0</v>
      </c>
      <c r="BJ340" s="136">
        <f t="shared" si="81"/>
        <v>0</v>
      </c>
      <c r="BK340" s="136">
        <f t="shared" si="81"/>
        <v>0</v>
      </c>
      <c r="BL340" s="136">
        <f t="shared" si="81"/>
        <v>0</v>
      </c>
      <c r="BM340" s="136">
        <f t="shared" si="81"/>
        <v>0</v>
      </c>
      <c r="BN340" s="136">
        <f t="shared" si="81"/>
        <v>0</v>
      </c>
      <c r="BO340" s="136">
        <f t="shared" si="81"/>
        <v>0</v>
      </c>
      <c r="BP340" s="136">
        <f t="shared" si="81"/>
        <v>0</v>
      </c>
      <c r="BQ340" s="136">
        <f t="shared" si="81"/>
        <v>0</v>
      </c>
      <c r="BR340" s="136">
        <f t="shared" si="81"/>
        <v>0</v>
      </c>
      <c r="BS340" s="136">
        <f t="shared" si="81"/>
        <v>0</v>
      </c>
      <c r="BT340" s="136">
        <f t="shared" si="81"/>
        <v>0</v>
      </c>
      <c r="BU340" s="136">
        <f t="shared" si="81"/>
        <v>0</v>
      </c>
      <c r="BV340" s="136">
        <f t="shared" si="81"/>
        <v>0</v>
      </c>
      <c r="BW340" s="136">
        <f t="shared" si="69"/>
        <v>0</v>
      </c>
      <c r="BX340" s="136">
        <f t="shared" si="67"/>
        <v>0</v>
      </c>
      <c r="BZ340" s="136">
        <f t="shared" si="80"/>
        <v>0</v>
      </c>
      <c r="CA340" s="136">
        <f t="shared" si="80"/>
        <v>0</v>
      </c>
    </row>
    <row r="341" spans="12:79" hidden="1" x14ac:dyDescent="0.3">
      <c r="L341" s="136">
        <f t="shared" si="78"/>
        <v>0</v>
      </c>
      <c r="M341" s="136">
        <f t="shared" si="78"/>
        <v>0</v>
      </c>
      <c r="N341" s="136">
        <f t="shared" si="78"/>
        <v>0</v>
      </c>
      <c r="O341" s="136">
        <f t="shared" si="78"/>
        <v>0</v>
      </c>
      <c r="P341" s="136">
        <f t="shared" si="78"/>
        <v>0</v>
      </c>
      <c r="Q341" s="136">
        <f t="shared" si="78"/>
        <v>0</v>
      </c>
      <c r="R341" s="136">
        <f t="shared" si="78"/>
        <v>0</v>
      </c>
      <c r="S341" s="136">
        <f t="shared" si="78"/>
        <v>0</v>
      </c>
      <c r="T341" s="136">
        <f t="shared" si="78"/>
        <v>0</v>
      </c>
      <c r="U341" s="136">
        <f t="shared" si="78"/>
        <v>0</v>
      </c>
      <c r="V341" s="136">
        <f t="shared" si="78"/>
        <v>0</v>
      </c>
      <c r="W341" s="136">
        <f t="shared" si="78"/>
        <v>0</v>
      </c>
      <c r="X341" s="136">
        <f t="shared" si="78"/>
        <v>0</v>
      </c>
      <c r="Y341" s="136">
        <f t="shared" si="78"/>
        <v>0</v>
      </c>
      <c r="Z341" s="136">
        <f t="shared" si="78"/>
        <v>0</v>
      </c>
      <c r="AA341" s="136">
        <f t="shared" si="78"/>
        <v>0</v>
      </c>
      <c r="AB341" s="136">
        <f t="shared" si="79"/>
        <v>0</v>
      </c>
      <c r="AC341" s="136">
        <f t="shared" si="79"/>
        <v>0</v>
      </c>
      <c r="AD341" s="136">
        <f t="shared" si="79"/>
        <v>0</v>
      </c>
      <c r="AE341" s="136">
        <f t="shared" si="79"/>
        <v>0</v>
      </c>
      <c r="AF341" s="136">
        <f t="shared" si="79"/>
        <v>0</v>
      </c>
      <c r="AG341" s="136">
        <f t="shared" si="79"/>
        <v>0</v>
      </c>
      <c r="AH341" s="136">
        <f t="shared" si="79"/>
        <v>0</v>
      </c>
      <c r="AI341" s="136">
        <f t="shared" si="79"/>
        <v>0</v>
      </c>
      <c r="AJ341" s="136">
        <f t="shared" si="79"/>
        <v>0</v>
      </c>
      <c r="AK341" s="136">
        <f t="shared" si="79"/>
        <v>0</v>
      </c>
      <c r="AL341" s="136">
        <f t="shared" si="79"/>
        <v>0</v>
      </c>
      <c r="AM341" s="136">
        <f t="shared" si="79"/>
        <v>0</v>
      </c>
      <c r="AN341" s="136">
        <f t="shared" si="79"/>
        <v>0</v>
      </c>
      <c r="AO341" s="136">
        <f t="shared" si="79"/>
        <v>0</v>
      </c>
      <c r="AP341" s="136">
        <f t="shared" si="79"/>
        <v>0</v>
      </c>
      <c r="AQ341" s="136">
        <f t="shared" si="79"/>
        <v>0</v>
      </c>
      <c r="AR341" s="136">
        <f t="shared" si="82"/>
        <v>0</v>
      </c>
      <c r="AS341" s="136">
        <f t="shared" si="82"/>
        <v>0</v>
      </c>
      <c r="AT341" s="136">
        <f t="shared" si="82"/>
        <v>0</v>
      </c>
      <c r="AU341" s="136">
        <f t="shared" si="82"/>
        <v>0</v>
      </c>
      <c r="AV341" s="136">
        <f t="shared" si="82"/>
        <v>0</v>
      </c>
      <c r="AW341" s="136">
        <f t="shared" si="82"/>
        <v>0</v>
      </c>
      <c r="AX341" s="136">
        <f t="shared" si="82"/>
        <v>0</v>
      </c>
      <c r="AY341" s="136">
        <f t="shared" si="82"/>
        <v>0</v>
      </c>
      <c r="AZ341" s="136">
        <f t="shared" si="82"/>
        <v>0</v>
      </c>
      <c r="BA341" s="136">
        <f t="shared" si="82"/>
        <v>0</v>
      </c>
      <c r="BB341" s="136">
        <f t="shared" si="82"/>
        <v>0</v>
      </c>
      <c r="BC341" s="136">
        <f t="shared" si="82"/>
        <v>0</v>
      </c>
      <c r="BD341" s="136">
        <f t="shared" si="82"/>
        <v>0</v>
      </c>
      <c r="BE341" s="136">
        <f t="shared" si="82"/>
        <v>0</v>
      </c>
      <c r="BF341" s="136">
        <f t="shared" si="82"/>
        <v>0</v>
      </c>
      <c r="BG341" s="136">
        <f t="shared" si="81"/>
        <v>0</v>
      </c>
      <c r="BH341" s="136">
        <f t="shared" si="81"/>
        <v>0</v>
      </c>
      <c r="BI341" s="136">
        <f t="shared" si="81"/>
        <v>0</v>
      </c>
      <c r="BJ341" s="136">
        <f t="shared" si="81"/>
        <v>0</v>
      </c>
      <c r="BK341" s="136">
        <f t="shared" si="81"/>
        <v>0</v>
      </c>
      <c r="BL341" s="136">
        <f t="shared" si="81"/>
        <v>0</v>
      </c>
      <c r="BM341" s="136">
        <f t="shared" si="81"/>
        <v>0</v>
      </c>
      <c r="BN341" s="136">
        <f t="shared" si="81"/>
        <v>0</v>
      </c>
      <c r="BO341" s="136">
        <f t="shared" si="81"/>
        <v>0</v>
      </c>
      <c r="BP341" s="136">
        <f t="shared" si="81"/>
        <v>0</v>
      </c>
      <c r="BQ341" s="136">
        <f t="shared" si="81"/>
        <v>0</v>
      </c>
      <c r="BR341" s="136">
        <f t="shared" si="81"/>
        <v>0</v>
      </c>
      <c r="BS341" s="136">
        <f t="shared" si="81"/>
        <v>0</v>
      </c>
      <c r="BT341" s="136">
        <f t="shared" si="81"/>
        <v>0</v>
      </c>
      <c r="BU341" s="136">
        <f t="shared" si="81"/>
        <v>0</v>
      </c>
      <c r="BV341" s="136">
        <f t="shared" si="81"/>
        <v>0</v>
      </c>
      <c r="BW341" s="136">
        <f t="shared" si="69"/>
        <v>0</v>
      </c>
      <c r="BX341" s="136">
        <f t="shared" si="67"/>
        <v>0</v>
      </c>
      <c r="BZ341" s="136">
        <f t="shared" si="80"/>
        <v>0</v>
      </c>
      <c r="CA341" s="136">
        <f t="shared" si="80"/>
        <v>0</v>
      </c>
    </row>
    <row r="342" spans="12:79" hidden="1" x14ac:dyDescent="0.3">
      <c r="L342" s="136">
        <f t="shared" si="78"/>
        <v>0</v>
      </c>
      <c r="M342" s="136">
        <f t="shared" si="78"/>
        <v>0</v>
      </c>
      <c r="N342" s="136">
        <f t="shared" si="78"/>
        <v>0</v>
      </c>
      <c r="O342" s="136">
        <f t="shared" si="78"/>
        <v>0</v>
      </c>
      <c r="P342" s="136">
        <f t="shared" si="78"/>
        <v>0</v>
      </c>
      <c r="Q342" s="136">
        <f t="shared" si="78"/>
        <v>0</v>
      </c>
      <c r="R342" s="136">
        <f t="shared" si="78"/>
        <v>0</v>
      </c>
      <c r="S342" s="136">
        <f t="shared" si="78"/>
        <v>0</v>
      </c>
      <c r="T342" s="136">
        <f t="shared" si="78"/>
        <v>0</v>
      </c>
      <c r="U342" s="136">
        <f t="shared" si="78"/>
        <v>0</v>
      </c>
      <c r="V342" s="136">
        <f t="shared" si="78"/>
        <v>0</v>
      </c>
      <c r="W342" s="136">
        <f t="shared" si="78"/>
        <v>0</v>
      </c>
      <c r="X342" s="136">
        <f t="shared" si="78"/>
        <v>0</v>
      </c>
      <c r="Y342" s="136">
        <f t="shared" si="78"/>
        <v>0</v>
      </c>
      <c r="Z342" s="136">
        <f t="shared" si="78"/>
        <v>0</v>
      </c>
      <c r="AA342" s="136">
        <f t="shared" ref="AA342:AP357" si="83">AA191-CS191</f>
        <v>0</v>
      </c>
      <c r="AB342" s="136">
        <f t="shared" si="79"/>
        <v>0</v>
      </c>
      <c r="AC342" s="136">
        <f t="shared" si="79"/>
        <v>0</v>
      </c>
      <c r="AD342" s="136">
        <f t="shared" si="79"/>
        <v>0</v>
      </c>
      <c r="AE342" s="136">
        <f t="shared" si="79"/>
        <v>0</v>
      </c>
      <c r="AF342" s="136">
        <f t="shared" si="79"/>
        <v>0</v>
      </c>
      <c r="AG342" s="136">
        <f t="shared" si="79"/>
        <v>0</v>
      </c>
      <c r="AH342" s="136">
        <f t="shared" si="79"/>
        <v>0</v>
      </c>
      <c r="AI342" s="136">
        <f t="shared" si="79"/>
        <v>0</v>
      </c>
      <c r="AJ342" s="136">
        <f t="shared" si="79"/>
        <v>0</v>
      </c>
      <c r="AK342" s="136">
        <f t="shared" si="79"/>
        <v>0</v>
      </c>
      <c r="AL342" s="136">
        <f t="shared" si="79"/>
        <v>0</v>
      </c>
      <c r="AM342" s="136">
        <f t="shared" si="79"/>
        <v>0</v>
      </c>
      <c r="AN342" s="136">
        <f t="shared" si="79"/>
        <v>0</v>
      </c>
      <c r="AO342" s="136">
        <f t="shared" si="79"/>
        <v>0</v>
      </c>
      <c r="AP342" s="136">
        <f t="shared" si="79"/>
        <v>0</v>
      </c>
      <c r="AQ342" s="136">
        <f t="shared" si="79"/>
        <v>0</v>
      </c>
      <c r="AR342" s="136">
        <f t="shared" si="82"/>
        <v>0</v>
      </c>
      <c r="AS342" s="136">
        <f t="shared" si="82"/>
        <v>0</v>
      </c>
      <c r="AT342" s="136">
        <f t="shared" si="82"/>
        <v>0</v>
      </c>
      <c r="AU342" s="136">
        <f t="shared" si="82"/>
        <v>0</v>
      </c>
      <c r="AV342" s="136">
        <f t="shared" si="82"/>
        <v>0</v>
      </c>
      <c r="AW342" s="136">
        <f t="shared" si="82"/>
        <v>0</v>
      </c>
      <c r="AX342" s="136">
        <f t="shared" si="82"/>
        <v>0</v>
      </c>
      <c r="AY342" s="136">
        <f t="shared" si="82"/>
        <v>0</v>
      </c>
      <c r="AZ342" s="136">
        <f t="shared" si="82"/>
        <v>0</v>
      </c>
      <c r="BA342" s="136">
        <f t="shared" si="82"/>
        <v>0</v>
      </c>
      <c r="BB342" s="136">
        <f t="shared" si="82"/>
        <v>0</v>
      </c>
      <c r="BC342" s="136">
        <f t="shared" si="82"/>
        <v>0</v>
      </c>
      <c r="BD342" s="136">
        <f t="shared" si="82"/>
        <v>0</v>
      </c>
      <c r="BE342" s="136">
        <f t="shared" si="82"/>
        <v>0</v>
      </c>
      <c r="BF342" s="136">
        <f t="shared" si="82"/>
        <v>0</v>
      </c>
      <c r="BG342" s="136">
        <f t="shared" si="81"/>
        <v>0</v>
      </c>
      <c r="BH342" s="136">
        <f t="shared" si="81"/>
        <v>0</v>
      </c>
      <c r="BI342" s="136">
        <f t="shared" si="81"/>
        <v>0</v>
      </c>
      <c r="BJ342" s="136">
        <f t="shared" si="81"/>
        <v>0</v>
      </c>
      <c r="BK342" s="136">
        <f t="shared" si="81"/>
        <v>0</v>
      </c>
      <c r="BL342" s="136">
        <f t="shared" si="81"/>
        <v>0</v>
      </c>
      <c r="BM342" s="136">
        <f t="shared" si="81"/>
        <v>0</v>
      </c>
      <c r="BN342" s="136">
        <f t="shared" si="81"/>
        <v>0</v>
      </c>
      <c r="BO342" s="136">
        <f t="shared" si="81"/>
        <v>0</v>
      </c>
      <c r="BP342" s="136">
        <f t="shared" si="81"/>
        <v>0</v>
      </c>
      <c r="BQ342" s="136">
        <f t="shared" si="81"/>
        <v>0</v>
      </c>
      <c r="BR342" s="136">
        <f t="shared" si="81"/>
        <v>0</v>
      </c>
      <c r="BS342" s="136">
        <f t="shared" si="81"/>
        <v>0</v>
      </c>
      <c r="BT342" s="136">
        <f t="shared" si="81"/>
        <v>0</v>
      </c>
      <c r="BU342" s="136">
        <f t="shared" si="81"/>
        <v>0</v>
      </c>
      <c r="BV342" s="136">
        <f t="shared" si="81"/>
        <v>0</v>
      </c>
      <c r="BW342" s="136">
        <f t="shared" si="69"/>
        <v>0</v>
      </c>
      <c r="BX342" s="136">
        <f t="shared" si="67"/>
        <v>0</v>
      </c>
      <c r="BZ342" s="136">
        <f t="shared" si="80"/>
        <v>0</v>
      </c>
      <c r="CA342" s="136">
        <f t="shared" si="80"/>
        <v>0</v>
      </c>
    </row>
    <row r="343" spans="12:79" hidden="1" x14ac:dyDescent="0.3">
      <c r="L343" s="136">
        <f t="shared" ref="L343:AA358" si="84">L192-CD192</f>
        <v>0</v>
      </c>
      <c r="M343" s="136">
        <f t="shared" si="84"/>
        <v>0</v>
      </c>
      <c r="N343" s="136">
        <f t="shared" si="84"/>
        <v>0</v>
      </c>
      <c r="O343" s="136">
        <f t="shared" si="84"/>
        <v>0</v>
      </c>
      <c r="P343" s="136">
        <f t="shared" si="84"/>
        <v>0</v>
      </c>
      <c r="Q343" s="136">
        <f t="shared" si="84"/>
        <v>0</v>
      </c>
      <c r="R343" s="136">
        <f t="shared" si="84"/>
        <v>0</v>
      </c>
      <c r="S343" s="136">
        <f t="shared" si="84"/>
        <v>0</v>
      </c>
      <c r="T343" s="136">
        <f t="shared" si="84"/>
        <v>0</v>
      </c>
      <c r="U343" s="136">
        <f t="shared" si="84"/>
        <v>0</v>
      </c>
      <c r="V343" s="136">
        <f t="shared" si="84"/>
        <v>0</v>
      </c>
      <c r="W343" s="136">
        <f t="shared" si="84"/>
        <v>0</v>
      </c>
      <c r="X343" s="136">
        <f t="shared" si="84"/>
        <v>0</v>
      </c>
      <c r="Y343" s="136">
        <f t="shared" si="84"/>
        <v>0</v>
      </c>
      <c r="Z343" s="136">
        <f t="shared" si="84"/>
        <v>0</v>
      </c>
      <c r="AA343" s="136">
        <f t="shared" si="83"/>
        <v>0</v>
      </c>
      <c r="AB343" s="136">
        <f t="shared" si="79"/>
        <v>0</v>
      </c>
      <c r="AC343" s="136">
        <f t="shared" si="79"/>
        <v>0</v>
      </c>
      <c r="AD343" s="136">
        <f t="shared" si="79"/>
        <v>0</v>
      </c>
      <c r="AE343" s="136">
        <f t="shared" si="79"/>
        <v>0</v>
      </c>
      <c r="AF343" s="136">
        <f t="shared" si="79"/>
        <v>0</v>
      </c>
      <c r="AG343" s="136">
        <f t="shared" si="79"/>
        <v>0</v>
      </c>
      <c r="AH343" s="136">
        <f t="shared" si="79"/>
        <v>0</v>
      </c>
      <c r="AI343" s="136">
        <f t="shared" si="79"/>
        <v>0</v>
      </c>
      <c r="AJ343" s="136">
        <f t="shared" si="79"/>
        <v>0</v>
      </c>
      <c r="AK343" s="136">
        <f t="shared" si="79"/>
        <v>0</v>
      </c>
      <c r="AL343" s="136">
        <f t="shared" si="79"/>
        <v>0</v>
      </c>
      <c r="AM343" s="136">
        <f t="shared" si="79"/>
        <v>0</v>
      </c>
      <c r="AN343" s="136">
        <f t="shared" si="79"/>
        <v>0</v>
      </c>
      <c r="AO343" s="136">
        <f t="shared" si="79"/>
        <v>0</v>
      </c>
      <c r="AP343" s="136">
        <f t="shared" si="79"/>
        <v>0</v>
      </c>
      <c r="AQ343" s="136">
        <f t="shared" si="79"/>
        <v>0</v>
      </c>
      <c r="AR343" s="136">
        <f t="shared" si="82"/>
        <v>0</v>
      </c>
      <c r="AS343" s="136">
        <f t="shared" si="82"/>
        <v>0</v>
      </c>
      <c r="AT343" s="136">
        <f t="shared" si="82"/>
        <v>0</v>
      </c>
      <c r="AU343" s="136">
        <f t="shared" si="82"/>
        <v>0</v>
      </c>
      <c r="AV343" s="136">
        <f t="shared" si="82"/>
        <v>0</v>
      </c>
      <c r="AW343" s="136">
        <f t="shared" si="82"/>
        <v>0</v>
      </c>
      <c r="AX343" s="136">
        <f t="shared" si="82"/>
        <v>0</v>
      </c>
      <c r="AY343" s="136">
        <f t="shared" si="82"/>
        <v>0</v>
      </c>
      <c r="AZ343" s="136">
        <f t="shared" si="82"/>
        <v>0</v>
      </c>
      <c r="BA343" s="136">
        <f t="shared" si="82"/>
        <v>0</v>
      </c>
      <c r="BB343" s="136">
        <f t="shared" si="82"/>
        <v>0</v>
      </c>
      <c r="BC343" s="136">
        <f t="shared" si="82"/>
        <v>0</v>
      </c>
      <c r="BD343" s="136">
        <f t="shared" si="82"/>
        <v>0</v>
      </c>
      <c r="BE343" s="136">
        <f t="shared" si="82"/>
        <v>0</v>
      </c>
      <c r="BF343" s="136">
        <f t="shared" si="82"/>
        <v>0</v>
      </c>
      <c r="BG343" s="136">
        <f t="shared" si="81"/>
        <v>0</v>
      </c>
      <c r="BH343" s="136">
        <f t="shared" si="81"/>
        <v>0</v>
      </c>
      <c r="BI343" s="136">
        <f t="shared" si="81"/>
        <v>0</v>
      </c>
      <c r="BJ343" s="136">
        <f t="shared" si="81"/>
        <v>0</v>
      </c>
      <c r="BK343" s="136">
        <f t="shared" si="81"/>
        <v>0</v>
      </c>
      <c r="BL343" s="136">
        <f t="shared" si="81"/>
        <v>0</v>
      </c>
      <c r="BM343" s="136">
        <f t="shared" si="81"/>
        <v>0</v>
      </c>
      <c r="BN343" s="136">
        <f t="shared" si="81"/>
        <v>0</v>
      </c>
      <c r="BO343" s="136">
        <f t="shared" si="81"/>
        <v>0</v>
      </c>
      <c r="BP343" s="136">
        <f t="shared" si="81"/>
        <v>0</v>
      </c>
      <c r="BQ343" s="136">
        <f t="shared" si="81"/>
        <v>0</v>
      </c>
      <c r="BR343" s="136">
        <f t="shared" si="81"/>
        <v>0</v>
      </c>
      <c r="BS343" s="136">
        <f t="shared" si="81"/>
        <v>0</v>
      </c>
      <c r="BT343" s="136">
        <f t="shared" si="81"/>
        <v>0</v>
      </c>
      <c r="BU343" s="136">
        <f t="shared" si="81"/>
        <v>0</v>
      </c>
      <c r="BV343" s="136">
        <f t="shared" si="81"/>
        <v>0</v>
      </c>
      <c r="BW343" s="136">
        <f t="shared" si="69"/>
        <v>0</v>
      </c>
      <c r="BX343" s="136">
        <f t="shared" si="67"/>
        <v>0</v>
      </c>
      <c r="BZ343" s="136">
        <f t="shared" si="80"/>
        <v>0</v>
      </c>
      <c r="CA343" s="136">
        <f t="shared" si="80"/>
        <v>0</v>
      </c>
    </row>
    <row r="344" spans="12:79" hidden="1" x14ac:dyDescent="0.3">
      <c r="L344" s="136">
        <f t="shared" si="84"/>
        <v>0</v>
      </c>
      <c r="M344" s="136">
        <f t="shared" si="84"/>
        <v>0</v>
      </c>
      <c r="N344" s="136">
        <f t="shared" si="84"/>
        <v>0</v>
      </c>
      <c r="O344" s="136">
        <f t="shared" si="84"/>
        <v>0</v>
      </c>
      <c r="P344" s="136">
        <f t="shared" si="84"/>
        <v>0</v>
      </c>
      <c r="Q344" s="136">
        <f t="shared" si="84"/>
        <v>0</v>
      </c>
      <c r="R344" s="136">
        <f t="shared" si="84"/>
        <v>0</v>
      </c>
      <c r="S344" s="136">
        <f t="shared" si="84"/>
        <v>0</v>
      </c>
      <c r="T344" s="136">
        <f t="shared" si="84"/>
        <v>0</v>
      </c>
      <c r="U344" s="136">
        <f t="shared" si="84"/>
        <v>0</v>
      </c>
      <c r="V344" s="136">
        <f t="shared" si="84"/>
        <v>0</v>
      </c>
      <c r="W344" s="136">
        <f t="shared" si="84"/>
        <v>0</v>
      </c>
      <c r="X344" s="136">
        <f t="shared" si="84"/>
        <v>0</v>
      </c>
      <c r="Y344" s="136">
        <f t="shared" si="84"/>
        <v>0</v>
      </c>
      <c r="Z344" s="136">
        <f t="shared" si="84"/>
        <v>0</v>
      </c>
      <c r="AA344" s="136">
        <f t="shared" si="83"/>
        <v>0</v>
      </c>
      <c r="AB344" s="136">
        <f t="shared" si="79"/>
        <v>0</v>
      </c>
      <c r="AC344" s="136">
        <f t="shared" si="79"/>
        <v>0</v>
      </c>
      <c r="AD344" s="136">
        <f t="shared" si="79"/>
        <v>0</v>
      </c>
      <c r="AE344" s="136">
        <f t="shared" si="79"/>
        <v>0</v>
      </c>
      <c r="AF344" s="136">
        <f t="shared" si="79"/>
        <v>0</v>
      </c>
      <c r="AG344" s="136">
        <f t="shared" si="79"/>
        <v>0</v>
      </c>
      <c r="AH344" s="136">
        <f t="shared" si="79"/>
        <v>0</v>
      </c>
      <c r="AI344" s="136">
        <f t="shared" si="79"/>
        <v>0</v>
      </c>
      <c r="AJ344" s="136">
        <f t="shared" si="79"/>
        <v>0</v>
      </c>
      <c r="AK344" s="136">
        <f t="shared" si="79"/>
        <v>0</v>
      </c>
      <c r="AL344" s="136">
        <f t="shared" si="79"/>
        <v>0</v>
      </c>
      <c r="AM344" s="136">
        <f t="shared" si="79"/>
        <v>0</v>
      </c>
      <c r="AN344" s="136">
        <f t="shared" si="79"/>
        <v>0</v>
      </c>
      <c r="AO344" s="136">
        <f t="shared" si="79"/>
        <v>0</v>
      </c>
      <c r="AP344" s="136">
        <f t="shared" si="79"/>
        <v>0</v>
      </c>
      <c r="AQ344" s="136">
        <f t="shared" si="79"/>
        <v>0</v>
      </c>
      <c r="AR344" s="136">
        <f t="shared" si="82"/>
        <v>0</v>
      </c>
      <c r="AS344" s="136">
        <f t="shared" si="82"/>
        <v>0</v>
      </c>
      <c r="AT344" s="136">
        <f t="shared" si="82"/>
        <v>0</v>
      </c>
      <c r="AU344" s="136">
        <f t="shared" si="82"/>
        <v>0</v>
      </c>
      <c r="AV344" s="136">
        <f t="shared" si="82"/>
        <v>0</v>
      </c>
      <c r="AW344" s="136">
        <f t="shared" si="82"/>
        <v>0</v>
      </c>
      <c r="AX344" s="136">
        <f t="shared" si="82"/>
        <v>0</v>
      </c>
      <c r="AY344" s="136">
        <f t="shared" si="82"/>
        <v>0</v>
      </c>
      <c r="AZ344" s="136">
        <f t="shared" si="82"/>
        <v>0</v>
      </c>
      <c r="BA344" s="136">
        <f t="shared" si="82"/>
        <v>0</v>
      </c>
      <c r="BB344" s="136">
        <f t="shared" si="82"/>
        <v>0</v>
      </c>
      <c r="BC344" s="136">
        <f t="shared" si="82"/>
        <v>0</v>
      </c>
      <c r="BD344" s="136">
        <f t="shared" si="82"/>
        <v>0</v>
      </c>
      <c r="BE344" s="136">
        <f t="shared" si="82"/>
        <v>0</v>
      </c>
      <c r="BF344" s="136">
        <f t="shared" si="82"/>
        <v>0</v>
      </c>
      <c r="BG344" s="136">
        <f t="shared" si="81"/>
        <v>0</v>
      </c>
      <c r="BH344" s="136">
        <f t="shared" si="81"/>
        <v>0</v>
      </c>
      <c r="BI344" s="136">
        <f t="shared" si="81"/>
        <v>0</v>
      </c>
      <c r="BJ344" s="136">
        <f t="shared" si="81"/>
        <v>0</v>
      </c>
      <c r="BK344" s="136">
        <f t="shared" si="81"/>
        <v>0</v>
      </c>
      <c r="BL344" s="136">
        <f t="shared" si="81"/>
        <v>0</v>
      </c>
      <c r="BM344" s="136">
        <f t="shared" si="81"/>
        <v>0</v>
      </c>
      <c r="BN344" s="136">
        <f t="shared" si="81"/>
        <v>0</v>
      </c>
      <c r="BO344" s="136">
        <f t="shared" si="81"/>
        <v>0</v>
      </c>
      <c r="BP344" s="136">
        <f t="shared" si="81"/>
        <v>0</v>
      </c>
      <c r="BQ344" s="136">
        <f t="shared" si="81"/>
        <v>0</v>
      </c>
      <c r="BR344" s="136">
        <f t="shared" si="81"/>
        <v>0</v>
      </c>
      <c r="BS344" s="136">
        <f t="shared" si="81"/>
        <v>0</v>
      </c>
      <c r="BT344" s="136">
        <f t="shared" si="81"/>
        <v>0</v>
      </c>
      <c r="BU344" s="136">
        <f t="shared" si="81"/>
        <v>0</v>
      </c>
      <c r="BV344" s="136">
        <f t="shared" si="81"/>
        <v>0</v>
      </c>
      <c r="BW344" s="136">
        <f t="shared" si="69"/>
        <v>0</v>
      </c>
      <c r="BX344" s="136">
        <f t="shared" si="67"/>
        <v>0</v>
      </c>
      <c r="BZ344" s="136">
        <f t="shared" si="80"/>
        <v>0</v>
      </c>
      <c r="CA344" s="136">
        <f t="shared" si="80"/>
        <v>0</v>
      </c>
    </row>
    <row r="345" spans="12:79" hidden="1" x14ac:dyDescent="0.3">
      <c r="L345" s="136">
        <f t="shared" si="84"/>
        <v>0</v>
      </c>
      <c r="M345" s="136">
        <f t="shared" si="84"/>
        <v>0</v>
      </c>
      <c r="N345" s="136">
        <f t="shared" si="84"/>
        <v>0</v>
      </c>
      <c r="O345" s="136">
        <f t="shared" si="84"/>
        <v>0</v>
      </c>
      <c r="P345" s="136">
        <f t="shared" si="84"/>
        <v>0</v>
      </c>
      <c r="Q345" s="136">
        <f t="shared" si="84"/>
        <v>0</v>
      </c>
      <c r="R345" s="136">
        <f t="shared" si="84"/>
        <v>0</v>
      </c>
      <c r="S345" s="136">
        <f t="shared" si="84"/>
        <v>0</v>
      </c>
      <c r="T345" s="136">
        <f t="shared" si="84"/>
        <v>0</v>
      </c>
      <c r="U345" s="136">
        <f t="shared" si="84"/>
        <v>0</v>
      </c>
      <c r="V345" s="136">
        <f t="shared" si="84"/>
        <v>0</v>
      </c>
      <c r="W345" s="136">
        <f t="shared" si="84"/>
        <v>0</v>
      </c>
      <c r="X345" s="136">
        <f t="shared" si="84"/>
        <v>0</v>
      </c>
      <c r="Y345" s="136">
        <f t="shared" si="84"/>
        <v>0</v>
      </c>
      <c r="Z345" s="136">
        <f t="shared" si="84"/>
        <v>0</v>
      </c>
      <c r="AA345" s="136">
        <f t="shared" si="83"/>
        <v>0</v>
      </c>
      <c r="AB345" s="136">
        <f t="shared" si="79"/>
        <v>0</v>
      </c>
      <c r="AC345" s="136">
        <f t="shared" si="79"/>
        <v>0</v>
      </c>
      <c r="AD345" s="136">
        <f t="shared" si="79"/>
        <v>0</v>
      </c>
      <c r="AE345" s="136">
        <f t="shared" si="79"/>
        <v>0</v>
      </c>
      <c r="AF345" s="136">
        <f t="shared" si="79"/>
        <v>0</v>
      </c>
      <c r="AG345" s="136">
        <f t="shared" si="79"/>
        <v>0</v>
      </c>
      <c r="AH345" s="136">
        <f t="shared" si="79"/>
        <v>0</v>
      </c>
      <c r="AI345" s="136">
        <f t="shared" si="79"/>
        <v>0</v>
      </c>
      <c r="AJ345" s="136">
        <f t="shared" si="79"/>
        <v>0</v>
      </c>
      <c r="AK345" s="136">
        <f t="shared" si="79"/>
        <v>0</v>
      </c>
      <c r="AL345" s="136">
        <f t="shared" si="79"/>
        <v>0</v>
      </c>
      <c r="AM345" s="136">
        <f t="shared" si="79"/>
        <v>0</v>
      </c>
      <c r="AN345" s="136">
        <f t="shared" si="79"/>
        <v>0</v>
      </c>
      <c r="AO345" s="136">
        <f t="shared" si="79"/>
        <v>0</v>
      </c>
      <c r="AP345" s="136">
        <f t="shared" si="79"/>
        <v>0</v>
      </c>
      <c r="AQ345" s="136">
        <f t="shared" si="79"/>
        <v>0</v>
      </c>
      <c r="AR345" s="136">
        <f t="shared" si="82"/>
        <v>0</v>
      </c>
      <c r="AS345" s="136">
        <f t="shared" si="82"/>
        <v>0</v>
      </c>
      <c r="AT345" s="136">
        <f t="shared" si="82"/>
        <v>0</v>
      </c>
      <c r="AU345" s="136">
        <f t="shared" si="82"/>
        <v>0</v>
      </c>
      <c r="AV345" s="136">
        <f t="shared" si="82"/>
        <v>0</v>
      </c>
      <c r="AW345" s="136">
        <f t="shared" si="82"/>
        <v>0</v>
      </c>
      <c r="AX345" s="136">
        <f t="shared" si="82"/>
        <v>0</v>
      </c>
      <c r="AY345" s="136">
        <f t="shared" si="82"/>
        <v>0</v>
      </c>
      <c r="AZ345" s="136">
        <f t="shared" si="82"/>
        <v>0</v>
      </c>
      <c r="BA345" s="136">
        <f t="shared" si="82"/>
        <v>0</v>
      </c>
      <c r="BB345" s="136">
        <f t="shared" si="82"/>
        <v>0</v>
      </c>
      <c r="BC345" s="136">
        <f t="shared" si="82"/>
        <v>0</v>
      </c>
      <c r="BD345" s="136">
        <f t="shared" si="82"/>
        <v>0</v>
      </c>
      <c r="BE345" s="136">
        <f t="shared" si="82"/>
        <v>0</v>
      </c>
      <c r="BF345" s="136">
        <f t="shared" si="82"/>
        <v>0</v>
      </c>
      <c r="BG345" s="136">
        <f t="shared" si="81"/>
        <v>0</v>
      </c>
      <c r="BH345" s="136">
        <f t="shared" si="81"/>
        <v>0</v>
      </c>
      <c r="BI345" s="136">
        <f t="shared" si="81"/>
        <v>0</v>
      </c>
      <c r="BJ345" s="136">
        <f t="shared" si="81"/>
        <v>0</v>
      </c>
      <c r="BK345" s="136">
        <f t="shared" si="81"/>
        <v>0</v>
      </c>
      <c r="BL345" s="136">
        <f t="shared" si="81"/>
        <v>0</v>
      </c>
      <c r="BM345" s="136">
        <f t="shared" si="81"/>
        <v>0</v>
      </c>
      <c r="BN345" s="136">
        <f t="shared" si="81"/>
        <v>0</v>
      </c>
      <c r="BO345" s="136">
        <f t="shared" si="81"/>
        <v>0</v>
      </c>
      <c r="BP345" s="136">
        <f t="shared" si="81"/>
        <v>0</v>
      </c>
      <c r="BQ345" s="136">
        <f t="shared" si="81"/>
        <v>0</v>
      </c>
      <c r="BR345" s="136">
        <f t="shared" si="81"/>
        <v>0</v>
      </c>
      <c r="BS345" s="136">
        <f t="shared" si="81"/>
        <v>0</v>
      </c>
      <c r="BT345" s="136">
        <f t="shared" si="81"/>
        <v>0</v>
      </c>
      <c r="BU345" s="136">
        <f t="shared" si="81"/>
        <v>0</v>
      </c>
      <c r="BV345" s="136">
        <f t="shared" si="81"/>
        <v>0</v>
      </c>
      <c r="BW345" s="136">
        <f t="shared" si="69"/>
        <v>0</v>
      </c>
      <c r="BX345" s="136">
        <f t="shared" si="67"/>
        <v>0</v>
      </c>
      <c r="BZ345" s="136">
        <f t="shared" si="80"/>
        <v>0</v>
      </c>
      <c r="CA345" s="136">
        <f t="shared" si="80"/>
        <v>0</v>
      </c>
    </row>
    <row r="346" spans="12:79" hidden="1" x14ac:dyDescent="0.3">
      <c r="L346" s="136">
        <f t="shared" si="84"/>
        <v>0</v>
      </c>
      <c r="M346" s="136">
        <f t="shared" si="84"/>
        <v>0</v>
      </c>
      <c r="N346" s="136">
        <f t="shared" si="84"/>
        <v>0</v>
      </c>
      <c r="O346" s="136">
        <f t="shared" si="84"/>
        <v>0</v>
      </c>
      <c r="P346" s="136">
        <f t="shared" si="84"/>
        <v>0</v>
      </c>
      <c r="Q346" s="136">
        <f t="shared" si="84"/>
        <v>0</v>
      </c>
      <c r="R346" s="136">
        <f t="shared" si="84"/>
        <v>0</v>
      </c>
      <c r="S346" s="136">
        <f t="shared" si="84"/>
        <v>0</v>
      </c>
      <c r="T346" s="136">
        <f t="shared" si="84"/>
        <v>0</v>
      </c>
      <c r="U346" s="136">
        <f t="shared" si="84"/>
        <v>0</v>
      </c>
      <c r="V346" s="136">
        <f t="shared" si="84"/>
        <v>0</v>
      </c>
      <c r="W346" s="136">
        <f t="shared" si="84"/>
        <v>0</v>
      </c>
      <c r="X346" s="136">
        <f t="shared" si="84"/>
        <v>0</v>
      </c>
      <c r="Y346" s="136">
        <f t="shared" si="84"/>
        <v>0</v>
      </c>
      <c r="Z346" s="136">
        <f t="shared" si="84"/>
        <v>0</v>
      </c>
      <c r="AA346" s="136">
        <f t="shared" si="83"/>
        <v>0</v>
      </c>
      <c r="AB346" s="136">
        <f t="shared" si="79"/>
        <v>0</v>
      </c>
      <c r="AC346" s="136">
        <f t="shared" si="79"/>
        <v>0</v>
      </c>
      <c r="AD346" s="136">
        <f t="shared" si="79"/>
        <v>0</v>
      </c>
      <c r="AE346" s="136">
        <f t="shared" si="79"/>
        <v>0</v>
      </c>
      <c r="AF346" s="136">
        <f t="shared" si="79"/>
        <v>0</v>
      </c>
      <c r="AG346" s="136">
        <f t="shared" si="79"/>
        <v>0</v>
      </c>
      <c r="AH346" s="136">
        <f t="shared" si="79"/>
        <v>0</v>
      </c>
      <c r="AI346" s="136">
        <f t="shared" si="79"/>
        <v>0</v>
      </c>
      <c r="AJ346" s="136">
        <f t="shared" si="79"/>
        <v>0</v>
      </c>
      <c r="AK346" s="136">
        <f t="shared" si="79"/>
        <v>0</v>
      </c>
      <c r="AL346" s="136">
        <f t="shared" si="79"/>
        <v>0</v>
      </c>
      <c r="AM346" s="136">
        <f t="shared" si="79"/>
        <v>0</v>
      </c>
      <c r="AN346" s="136">
        <f t="shared" si="79"/>
        <v>0</v>
      </c>
      <c r="AO346" s="136">
        <f t="shared" si="79"/>
        <v>0</v>
      </c>
      <c r="AP346" s="136">
        <f t="shared" si="79"/>
        <v>0</v>
      </c>
      <c r="AQ346" s="136">
        <f t="shared" ref="AQ346:BF361" si="85">AQ195-DI195</f>
        <v>0</v>
      </c>
      <c r="AR346" s="136">
        <f t="shared" si="82"/>
        <v>0</v>
      </c>
      <c r="AS346" s="136">
        <f t="shared" si="82"/>
        <v>0</v>
      </c>
      <c r="AT346" s="136">
        <f t="shared" si="82"/>
        <v>0</v>
      </c>
      <c r="AU346" s="136">
        <f t="shared" si="82"/>
        <v>0</v>
      </c>
      <c r="AV346" s="136">
        <f t="shared" si="82"/>
        <v>0</v>
      </c>
      <c r="AW346" s="136">
        <f t="shared" si="82"/>
        <v>0</v>
      </c>
      <c r="AX346" s="136">
        <f t="shared" si="82"/>
        <v>0</v>
      </c>
      <c r="AY346" s="136">
        <f t="shared" si="82"/>
        <v>0</v>
      </c>
      <c r="AZ346" s="136">
        <f t="shared" si="82"/>
        <v>0</v>
      </c>
      <c r="BA346" s="136">
        <f t="shared" si="82"/>
        <v>0</v>
      </c>
      <c r="BB346" s="136">
        <f t="shared" si="82"/>
        <v>0</v>
      </c>
      <c r="BC346" s="136">
        <f t="shared" si="82"/>
        <v>0</v>
      </c>
      <c r="BD346" s="136">
        <f t="shared" si="82"/>
        <v>0</v>
      </c>
      <c r="BE346" s="136">
        <f t="shared" si="82"/>
        <v>0</v>
      </c>
      <c r="BF346" s="136">
        <f t="shared" si="82"/>
        <v>0</v>
      </c>
      <c r="BG346" s="136">
        <f t="shared" si="81"/>
        <v>0</v>
      </c>
      <c r="BH346" s="136">
        <f t="shared" si="81"/>
        <v>0</v>
      </c>
      <c r="BI346" s="136">
        <f t="shared" si="81"/>
        <v>0</v>
      </c>
      <c r="BJ346" s="136">
        <f t="shared" si="81"/>
        <v>0</v>
      </c>
      <c r="BK346" s="136">
        <f t="shared" si="81"/>
        <v>0</v>
      </c>
      <c r="BL346" s="136">
        <f t="shared" si="81"/>
        <v>0</v>
      </c>
      <c r="BM346" s="136">
        <f t="shared" si="81"/>
        <v>0</v>
      </c>
      <c r="BN346" s="136">
        <f t="shared" si="81"/>
        <v>0</v>
      </c>
      <c r="BO346" s="136">
        <f t="shared" si="81"/>
        <v>0</v>
      </c>
      <c r="BP346" s="136">
        <f t="shared" si="81"/>
        <v>0</v>
      </c>
      <c r="BQ346" s="136">
        <f t="shared" si="81"/>
        <v>0</v>
      </c>
      <c r="BR346" s="136">
        <f t="shared" si="81"/>
        <v>0</v>
      </c>
      <c r="BS346" s="136">
        <f t="shared" si="81"/>
        <v>0</v>
      </c>
      <c r="BT346" s="136">
        <f t="shared" si="81"/>
        <v>0</v>
      </c>
      <c r="BU346" s="136">
        <f t="shared" si="81"/>
        <v>0</v>
      </c>
      <c r="BV346" s="136">
        <f t="shared" si="81"/>
        <v>0</v>
      </c>
      <c r="BW346" s="136">
        <f t="shared" si="69"/>
        <v>0</v>
      </c>
      <c r="BX346" s="136">
        <f t="shared" si="67"/>
        <v>0</v>
      </c>
      <c r="BZ346" s="136">
        <f t="shared" si="80"/>
        <v>0</v>
      </c>
      <c r="CA346" s="136">
        <f t="shared" si="80"/>
        <v>0</v>
      </c>
    </row>
    <row r="347" spans="12:79" hidden="1" x14ac:dyDescent="0.3">
      <c r="L347" s="136">
        <f t="shared" si="84"/>
        <v>0</v>
      </c>
      <c r="M347" s="136">
        <f t="shared" si="84"/>
        <v>0</v>
      </c>
      <c r="N347" s="136">
        <f t="shared" si="84"/>
        <v>0</v>
      </c>
      <c r="O347" s="136">
        <f t="shared" si="84"/>
        <v>0</v>
      </c>
      <c r="P347" s="136">
        <f t="shared" si="84"/>
        <v>0</v>
      </c>
      <c r="Q347" s="136">
        <f t="shared" si="84"/>
        <v>0</v>
      </c>
      <c r="R347" s="136">
        <f t="shared" si="84"/>
        <v>0</v>
      </c>
      <c r="S347" s="136">
        <f t="shared" si="84"/>
        <v>0</v>
      </c>
      <c r="T347" s="136">
        <f t="shared" si="84"/>
        <v>0</v>
      </c>
      <c r="U347" s="136">
        <f t="shared" si="84"/>
        <v>0</v>
      </c>
      <c r="V347" s="136">
        <f t="shared" si="84"/>
        <v>0</v>
      </c>
      <c r="W347" s="136">
        <f t="shared" si="84"/>
        <v>0</v>
      </c>
      <c r="X347" s="136">
        <f t="shared" si="84"/>
        <v>0</v>
      </c>
      <c r="Y347" s="136">
        <f t="shared" si="84"/>
        <v>0</v>
      </c>
      <c r="Z347" s="136">
        <f t="shared" si="84"/>
        <v>0</v>
      </c>
      <c r="AA347" s="136">
        <f t="shared" si="83"/>
        <v>0</v>
      </c>
      <c r="AB347" s="136">
        <f t="shared" si="83"/>
        <v>0</v>
      </c>
      <c r="AC347" s="136">
        <f t="shared" si="83"/>
        <v>0</v>
      </c>
      <c r="AD347" s="136">
        <f t="shared" si="83"/>
        <v>0</v>
      </c>
      <c r="AE347" s="136">
        <f t="shared" si="83"/>
        <v>0</v>
      </c>
      <c r="AF347" s="136">
        <f t="shared" si="83"/>
        <v>0</v>
      </c>
      <c r="AG347" s="136">
        <f t="shared" si="83"/>
        <v>0</v>
      </c>
      <c r="AH347" s="136">
        <f t="shared" si="83"/>
        <v>0</v>
      </c>
      <c r="AI347" s="136">
        <f t="shared" si="83"/>
        <v>0</v>
      </c>
      <c r="AJ347" s="136">
        <f t="shared" si="83"/>
        <v>0</v>
      </c>
      <c r="AK347" s="136">
        <f t="shared" si="83"/>
        <v>0</v>
      </c>
      <c r="AL347" s="136">
        <f t="shared" si="83"/>
        <v>0</v>
      </c>
      <c r="AM347" s="136">
        <f t="shared" si="83"/>
        <v>0</v>
      </c>
      <c r="AN347" s="136">
        <f t="shared" si="83"/>
        <v>0</v>
      </c>
      <c r="AO347" s="136">
        <f t="shared" si="83"/>
        <v>0</v>
      </c>
      <c r="AP347" s="136">
        <f t="shared" si="83"/>
        <v>0</v>
      </c>
      <c r="AQ347" s="136">
        <f t="shared" si="85"/>
        <v>0</v>
      </c>
      <c r="AR347" s="136">
        <f t="shared" si="82"/>
        <v>0</v>
      </c>
      <c r="AS347" s="136">
        <f t="shared" si="82"/>
        <v>0</v>
      </c>
      <c r="AT347" s="136">
        <f t="shared" si="82"/>
        <v>0</v>
      </c>
      <c r="AU347" s="136">
        <f t="shared" si="82"/>
        <v>0</v>
      </c>
      <c r="AV347" s="136">
        <f t="shared" si="82"/>
        <v>0</v>
      </c>
      <c r="AW347" s="136">
        <f t="shared" si="82"/>
        <v>0</v>
      </c>
      <c r="AX347" s="136">
        <f t="shared" si="82"/>
        <v>0</v>
      </c>
      <c r="AY347" s="136">
        <f t="shared" si="82"/>
        <v>0</v>
      </c>
      <c r="AZ347" s="136">
        <f t="shared" si="82"/>
        <v>0</v>
      </c>
      <c r="BA347" s="136">
        <f t="shared" si="82"/>
        <v>0</v>
      </c>
      <c r="BB347" s="136">
        <f t="shared" si="82"/>
        <v>0</v>
      </c>
      <c r="BC347" s="136">
        <f t="shared" si="82"/>
        <v>0</v>
      </c>
      <c r="BD347" s="136">
        <f t="shared" si="82"/>
        <v>0</v>
      </c>
      <c r="BE347" s="136">
        <f t="shared" si="82"/>
        <v>0</v>
      </c>
      <c r="BF347" s="136">
        <f t="shared" si="82"/>
        <v>0</v>
      </c>
      <c r="BG347" s="136">
        <f t="shared" si="81"/>
        <v>0</v>
      </c>
      <c r="BH347" s="136">
        <f t="shared" si="81"/>
        <v>0</v>
      </c>
      <c r="BI347" s="136">
        <f t="shared" si="81"/>
        <v>0</v>
      </c>
      <c r="BJ347" s="136">
        <f t="shared" si="81"/>
        <v>0</v>
      </c>
      <c r="BK347" s="136">
        <f t="shared" si="81"/>
        <v>0</v>
      </c>
      <c r="BL347" s="136">
        <f t="shared" si="81"/>
        <v>0</v>
      </c>
      <c r="BM347" s="136">
        <f t="shared" si="81"/>
        <v>0</v>
      </c>
      <c r="BN347" s="136">
        <f t="shared" si="81"/>
        <v>0</v>
      </c>
      <c r="BO347" s="136">
        <f t="shared" si="81"/>
        <v>0</v>
      </c>
      <c r="BP347" s="136">
        <f t="shared" si="81"/>
        <v>0</v>
      </c>
      <c r="BQ347" s="136">
        <f t="shared" si="81"/>
        <v>0</v>
      </c>
      <c r="BR347" s="136">
        <f t="shared" si="81"/>
        <v>0</v>
      </c>
      <c r="BS347" s="136">
        <f t="shared" si="81"/>
        <v>0</v>
      </c>
      <c r="BT347" s="136">
        <f t="shared" si="81"/>
        <v>0</v>
      </c>
      <c r="BU347" s="136">
        <f t="shared" si="81"/>
        <v>0</v>
      </c>
      <c r="BV347" s="136">
        <f t="shared" si="81"/>
        <v>0</v>
      </c>
      <c r="BW347" s="136">
        <f t="shared" si="69"/>
        <v>0</v>
      </c>
      <c r="BX347" s="136">
        <f t="shared" si="67"/>
        <v>0</v>
      </c>
      <c r="BZ347" s="136">
        <f t="shared" si="80"/>
        <v>0</v>
      </c>
      <c r="CA347" s="136">
        <f t="shared" si="80"/>
        <v>0</v>
      </c>
    </row>
    <row r="348" spans="12:79" hidden="1" x14ac:dyDescent="0.3">
      <c r="L348" s="136">
        <f t="shared" si="84"/>
        <v>0</v>
      </c>
      <c r="M348" s="136">
        <f t="shared" si="84"/>
        <v>0</v>
      </c>
      <c r="N348" s="136">
        <f t="shared" si="84"/>
        <v>0</v>
      </c>
      <c r="O348" s="136">
        <f t="shared" si="84"/>
        <v>0</v>
      </c>
      <c r="P348" s="136">
        <f t="shared" si="84"/>
        <v>0</v>
      </c>
      <c r="Q348" s="136">
        <f t="shared" si="84"/>
        <v>0</v>
      </c>
      <c r="R348" s="136">
        <f t="shared" si="84"/>
        <v>0</v>
      </c>
      <c r="S348" s="136">
        <f t="shared" si="84"/>
        <v>0</v>
      </c>
      <c r="T348" s="136">
        <f t="shared" si="84"/>
        <v>0</v>
      </c>
      <c r="U348" s="136">
        <f t="shared" si="84"/>
        <v>0</v>
      </c>
      <c r="V348" s="136">
        <f t="shared" si="84"/>
        <v>0</v>
      </c>
      <c r="W348" s="136">
        <f t="shared" si="84"/>
        <v>0</v>
      </c>
      <c r="X348" s="136">
        <f t="shared" si="84"/>
        <v>0</v>
      </c>
      <c r="Y348" s="136">
        <f t="shared" si="84"/>
        <v>0</v>
      </c>
      <c r="Z348" s="136">
        <f t="shared" si="84"/>
        <v>0</v>
      </c>
      <c r="AA348" s="136">
        <f t="shared" si="83"/>
        <v>0</v>
      </c>
      <c r="AB348" s="136">
        <f t="shared" si="83"/>
        <v>0</v>
      </c>
      <c r="AC348" s="136">
        <f t="shared" si="83"/>
        <v>0</v>
      </c>
      <c r="AD348" s="136">
        <f t="shared" si="83"/>
        <v>0</v>
      </c>
      <c r="AE348" s="136">
        <f t="shared" si="83"/>
        <v>0</v>
      </c>
      <c r="AF348" s="136">
        <f t="shared" si="83"/>
        <v>0</v>
      </c>
      <c r="AG348" s="136">
        <f t="shared" si="83"/>
        <v>0</v>
      </c>
      <c r="AH348" s="136">
        <f t="shared" si="83"/>
        <v>0</v>
      </c>
      <c r="AI348" s="136">
        <f t="shared" si="83"/>
        <v>0</v>
      </c>
      <c r="AJ348" s="136">
        <f t="shared" si="83"/>
        <v>0</v>
      </c>
      <c r="AK348" s="136">
        <f t="shared" si="83"/>
        <v>0</v>
      </c>
      <c r="AL348" s="136">
        <f t="shared" si="83"/>
        <v>0</v>
      </c>
      <c r="AM348" s="136">
        <f t="shared" si="83"/>
        <v>0</v>
      </c>
      <c r="AN348" s="136">
        <f t="shared" si="83"/>
        <v>0</v>
      </c>
      <c r="AO348" s="136">
        <f t="shared" si="83"/>
        <v>0</v>
      </c>
      <c r="AP348" s="136">
        <f t="shared" si="83"/>
        <v>0</v>
      </c>
      <c r="AQ348" s="136">
        <f t="shared" si="85"/>
        <v>0</v>
      </c>
      <c r="AR348" s="136">
        <f t="shared" si="82"/>
        <v>0</v>
      </c>
      <c r="AS348" s="136">
        <f t="shared" si="82"/>
        <v>0</v>
      </c>
      <c r="AT348" s="136">
        <f t="shared" si="82"/>
        <v>0</v>
      </c>
      <c r="AU348" s="136">
        <f t="shared" si="82"/>
        <v>0</v>
      </c>
      <c r="AV348" s="136">
        <f t="shared" si="82"/>
        <v>0</v>
      </c>
      <c r="AW348" s="136">
        <f t="shared" si="82"/>
        <v>0</v>
      </c>
      <c r="AX348" s="136">
        <f t="shared" si="82"/>
        <v>0</v>
      </c>
      <c r="AY348" s="136">
        <f t="shared" si="82"/>
        <v>0</v>
      </c>
      <c r="AZ348" s="136">
        <f t="shared" si="82"/>
        <v>0</v>
      </c>
      <c r="BA348" s="136">
        <f t="shared" si="82"/>
        <v>0</v>
      </c>
      <c r="BB348" s="136">
        <f t="shared" si="82"/>
        <v>0</v>
      </c>
      <c r="BC348" s="136">
        <f t="shared" si="82"/>
        <v>0</v>
      </c>
      <c r="BD348" s="136">
        <f t="shared" si="82"/>
        <v>0</v>
      </c>
      <c r="BE348" s="136">
        <f t="shared" si="82"/>
        <v>0</v>
      </c>
      <c r="BF348" s="136">
        <f t="shared" si="82"/>
        <v>0</v>
      </c>
      <c r="BG348" s="136">
        <f t="shared" si="81"/>
        <v>0</v>
      </c>
      <c r="BH348" s="136">
        <f t="shared" si="81"/>
        <v>0</v>
      </c>
      <c r="BI348" s="136">
        <f t="shared" si="81"/>
        <v>0</v>
      </c>
      <c r="BJ348" s="136">
        <f t="shared" si="81"/>
        <v>0</v>
      </c>
      <c r="BK348" s="136">
        <f t="shared" si="81"/>
        <v>0</v>
      </c>
      <c r="BL348" s="136">
        <f t="shared" si="81"/>
        <v>0</v>
      </c>
      <c r="BM348" s="136">
        <f t="shared" si="81"/>
        <v>0</v>
      </c>
      <c r="BN348" s="136">
        <f t="shared" si="81"/>
        <v>0</v>
      </c>
      <c r="BO348" s="136">
        <f t="shared" si="81"/>
        <v>0</v>
      </c>
      <c r="BP348" s="136">
        <f t="shared" si="81"/>
        <v>0</v>
      </c>
      <c r="BQ348" s="136">
        <f t="shared" si="81"/>
        <v>0</v>
      </c>
      <c r="BR348" s="136">
        <f t="shared" si="81"/>
        <v>0</v>
      </c>
      <c r="BS348" s="136">
        <f t="shared" si="81"/>
        <v>0</v>
      </c>
      <c r="BT348" s="136">
        <f t="shared" si="81"/>
        <v>0</v>
      </c>
      <c r="BU348" s="136">
        <f t="shared" si="81"/>
        <v>0</v>
      </c>
      <c r="BV348" s="136">
        <f t="shared" si="81"/>
        <v>0</v>
      </c>
      <c r="BW348" s="136">
        <f t="shared" si="69"/>
        <v>0</v>
      </c>
      <c r="BX348" s="136">
        <f t="shared" si="67"/>
        <v>0</v>
      </c>
      <c r="BZ348" s="136">
        <f t="shared" si="80"/>
        <v>0</v>
      </c>
      <c r="CA348" s="136">
        <f t="shared" si="80"/>
        <v>0</v>
      </c>
    </row>
    <row r="349" spans="12:79" hidden="1" x14ac:dyDescent="0.3">
      <c r="L349" s="136">
        <f t="shared" si="84"/>
        <v>0</v>
      </c>
      <c r="M349" s="136">
        <f t="shared" si="84"/>
        <v>0</v>
      </c>
      <c r="N349" s="136">
        <f t="shared" si="84"/>
        <v>0</v>
      </c>
      <c r="O349" s="136">
        <f t="shared" si="84"/>
        <v>0</v>
      </c>
      <c r="P349" s="136">
        <f t="shared" si="84"/>
        <v>0</v>
      </c>
      <c r="Q349" s="136">
        <f t="shared" si="84"/>
        <v>0</v>
      </c>
      <c r="R349" s="136">
        <f t="shared" si="84"/>
        <v>0</v>
      </c>
      <c r="S349" s="136">
        <f t="shared" si="84"/>
        <v>0</v>
      </c>
      <c r="T349" s="136">
        <f t="shared" si="84"/>
        <v>0</v>
      </c>
      <c r="U349" s="136">
        <f t="shared" si="84"/>
        <v>0</v>
      </c>
      <c r="V349" s="136">
        <f t="shared" si="84"/>
        <v>0</v>
      </c>
      <c r="W349" s="136">
        <f t="shared" si="84"/>
        <v>0</v>
      </c>
      <c r="X349" s="136">
        <f t="shared" si="84"/>
        <v>0</v>
      </c>
      <c r="Y349" s="136">
        <f t="shared" si="84"/>
        <v>0</v>
      </c>
      <c r="Z349" s="136">
        <f t="shared" si="84"/>
        <v>0</v>
      </c>
      <c r="AA349" s="136">
        <f t="shared" si="83"/>
        <v>0</v>
      </c>
      <c r="AB349" s="136">
        <f t="shared" si="83"/>
        <v>0</v>
      </c>
      <c r="AC349" s="136">
        <f t="shared" si="83"/>
        <v>0</v>
      </c>
      <c r="AD349" s="136">
        <f t="shared" si="83"/>
        <v>0</v>
      </c>
      <c r="AE349" s="136">
        <f t="shared" si="83"/>
        <v>0</v>
      </c>
      <c r="AF349" s="136">
        <f t="shared" si="83"/>
        <v>0</v>
      </c>
      <c r="AG349" s="136">
        <f t="shared" si="83"/>
        <v>0</v>
      </c>
      <c r="AH349" s="136">
        <f t="shared" si="83"/>
        <v>0</v>
      </c>
      <c r="AI349" s="136">
        <f t="shared" si="83"/>
        <v>0</v>
      </c>
      <c r="AJ349" s="136">
        <f t="shared" si="83"/>
        <v>0</v>
      </c>
      <c r="AK349" s="136">
        <f t="shared" si="83"/>
        <v>0</v>
      </c>
      <c r="AL349" s="136">
        <f t="shared" si="83"/>
        <v>0</v>
      </c>
      <c r="AM349" s="136">
        <f t="shared" si="83"/>
        <v>0</v>
      </c>
      <c r="AN349" s="136">
        <f t="shared" si="83"/>
        <v>0</v>
      </c>
      <c r="AO349" s="136">
        <f t="shared" si="83"/>
        <v>0</v>
      </c>
      <c r="AP349" s="136">
        <f t="shared" si="83"/>
        <v>0</v>
      </c>
      <c r="AQ349" s="136">
        <f t="shared" si="85"/>
        <v>0</v>
      </c>
      <c r="AR349" s="136">
        <f t="shared" si="82"/>
        <v>0</v>
      </c>
      <c r="AS349" s="136">
        <f t="shared" si="82"/>
        <v>0</v>
      </c>
      <c r="AT349" s="136">
        <f t="shared" si="82"/>
        <v>0</v>
      </c>
      <c r="AU349" s="136">
        <f t="shared" si="82"/>
        <v>0</v>
      </c>
      <c r="AV349" s="136">
        <f t="shared" si="82"/>
        <v>0</v>
      </c>
      <c r="AW349" s="136">
        <f t="shared" si="82"/>
        <v>0</v>
      </c>
      <c r="AX349" s="136">
        <f t="shared" si="82"/>
        <v>0</v>
      </c>
      <c r="AY349" s="136">
        <f t="shared" si="82"/>
        <v>0</v>
      </c>
      <c r="AZ349" s="136">
        <f t="shared" si="82"/>
        <v>0</v>
      </c>
      <c r="BA349" s="136">
        <f t="shared" si="82"/>
        <v>0</v>
      </c>
      <c r="BB349" s="136">
        <f t="shared" si="82"/>
        <v>0</v>
      </c>
      <c r="BC349" s="136">
        <f t="shared" si="82"/>
        <v>0</v>
      </c>
      <c r="BD349" s="136">
        <f t="shared" si="82"/>
        <v>0</v>
      </c>
      <c r="BE349" s="136">
        <f t="shared" si="82"/>
        <v>0</v>
      </c>
      <c r="BF349" s="136">
        <f t="shared" si="82"/>
        <v>0</v>
      </c>
      <c r="BG349" s="136">
        <f t="shared" si="81"/>
        <v>0</v>
      </c>
      <c r="BH349" s="136">
        <f t="shared" si="81"/>
        <v>0</v>
      </c>
      <c r="BI349" s="136">
        <f t="shared" si="81"/>
        <v>0</v>
      </c>
      <c r="BJ349" s="136">
        <f t="shared" si="81"/>
        <v>0</v>
      </c>
      <c r="BK349" s="136">
        <f t="shared" si="81"/>
        <v>0</v>
      </c>
      <c r="BL349" s="136">
        <f t="shared" si="81"/>
        <v>0</v>
      </c>
      <c r="BM349" s="136">
        <f t="shared" si="81"/>
        <v>0</v>
      </c>
      <c r="BN349" s="136">
        <f t="shared" si="81"/>
        <v>0</v>
      </c>
      <c r="BO349" s="136">
        <f t="shared" si="81"/>
        <v>0</v>
      </c>
      <c r="BP349" s="136">
        <f t="shared" si="81"/>
        <v>0</v>
      </c>
      <c r="BQ349" s="136">
        <f t="shared" si="81"/>
        <v>0</v>
      </c>
      <c r="BR349" s="136">
        <f t="shared" si="81"/>
        <v>0</v>
      </c>
      <c r="BS349" s="136">
        <f t="shared" si="81"/>
        <v>0</v>
      </c>
      <c r="BT349" s="136">
        <f t="shared" si="81"/>
        <v>0</v>
      </c>
      <c r="BU349" s="136">
        <f t="shared" si="81"/>
        <v>0</v>
      </c>
      <c r="BV349" s="136">
        <f t="shared" si="81"/>
        <v>0</v>
      </c>
      <c r="BW349" s="136">
        <f t="shared" si="69"/>
        <v>0</v>
      </c>
      <c r="BX349" s="136">
        <f t="shared" si="67"/>
        <v>0</v>
      </c>
      <c r="BZ349" s="136">
        <f t="shared" si="80"/>
        <v>0</v>
      </c>
      <c r="CA349" s="136">
        <f t="shared" si="80"/>
        <v>0</v>
      </c>
    </row>
    <row r="350" spans="12:79" hidden="1" x14ac:dyDescent="0.3">
      <c r="L350" s="136">
        <f t="shared" si="84"/>
        <v>0</v>
      </c>
      <c r="M350" s="136">
        <f t="shared" si="84"/>
        <v>0</v>
      </c>
      <c r="N350" s="136">
        <f t="shared" si="84"/>
        <v>0</v>
      </c>
      <c r="O350" s="136">
        <f t="shared" si="84"/>
        <v>0</v>
      </c>
      <c r="P350" s="136">
        <f t="shared" si="84"/>
        <v>0</v>
      </c>
      <c r="Q350" s="136">
        <f t="shared" si="84"/>
        <v>0</v>
      </c>
      <c r="R350" s="136">
        <f t="shared" si="84"/>
        <v>0</v>
      </c>
      <c r="S350" s="136">
        <f t="shared" si="84"/>
        <v>0</v>
      </c>
      <c r="T350" s="136">
        <f t="shared" si="84"/>
        <v>0</v>
      </c>
      <c r="U350" s="136">
        <f t="shared" si="84"/>
        <v>0</v>
      </c>
      <c r="V350" s="136">
        <f t="shared" si="84"/>
        <v>0</v>
      </c>
      <c r="W350" s="136">
        <f t="shared" si="84"/>
        <v>0</v>
      </c>
      <c r="X350" s="136">
        <f t="shared" si="84"/>
        <v>0</v>
      </c>
      <c r="Y350" s="136">
        <f t="shared" si="84"/>
        <v>0</v>
      </c>
      <c r="Z350" s="136">
        <f t="shared" si="84"/>
        <v>0</v>
      </c>
      <c r="AA350" s="136">
        <f t="shared" si="83"/>
        <v>0</v>
      </c>
      <c r="AB350" s="136">
        <f t="shared" si="83"/>
        <v>0</v>
      </c>
      <c r="AC350" s="136">
        <f t="shared" si="83"/>
        <v>0</v>
      </c>
      <c r="AD350" s="136">
        <f t="shared" si="83"/>
        <v>0</v>
      </c>
      <c r="AE350" s="136">
        <f t="shared" si="83"/>
        <v>0</v>
      </c>
      <c r="AF350" s="136">
        <f t="shared" si="83"/>
        <v>0</v>
      </c>
      <c r="AG350" s="136">
        <f t="shared" si="83"/>
        <v>0</v>
      </c>
      <c r="AH350" s="136">
        <f t="shared" si="83"/>
        <v>0</v>
      </c>
      <c r="AI350" s="136">
        <f t="shared" si="83"/>
        <v>0</v>
      </c>
      <c r="AJ350" s="136">
        <f t="shared" si="83"/>
        <v>0</v>
      </c>
      <c r="AK350" s="136">
        <f t="shared" si="83"/>
        <v>0</v>
      </c>
      <c r="AL350" s="136">
        <f t="shared" si="83"/>
        <v>0</v>
      </c>
      <c r="AM350" s="136">
        <f t="shared" si="83"/>
        <v>0</v>
      </c>
      <c r="AN350" s="136">
        <f t="shared" si="83"/>
        <v>0</v>
      </c>
      <c r="AO350" s="136">
        <f t="shared" si="83"/>
        <v>0</v>
      </c>
      <c r="AP350" s="136">
        <f t="shared" si="83"/>
        <v>0</v>
      </c>
      <c r="AQ350" s="136">
        <f t="shared" si="85"/>
        <v>0</v>
      </c>
      <c r="AR350" s="136">
        <f t="shared" si="82"/>
        <v>0</v>
      </c>
      <c r="AS350" s="136">
        <f t="shared" si="82"/>
        <v>0</v>
      </c>
      <c r="AT350" s="136">
        <f t="shared" si="82"/>
        <v>0</v>
      </c>
      <c r="AU350" s="136">
        <f t="shared" si="82"/>
        <v>0</v>
      </c>
      <c r="AV350" s="136">
        <f t="shared" si="82"/>
        <v>0</v>
      </c>
      <c r="AW350" s="136">
        <f t="shared" si="82"/>
        <v>0</v>
      </c>
      <c r="AX350" s="136">
        <f t="shared" si="82"/>
        <v>0</v>
      </c>
      <c r="AY350" s="136">
        <f t="shared" si="82"/>
        <v>0</v>
      </c>
      <c r="AZ350" s="136">
        <f t="shared" si="82"/>
        <v>0</v>
      </c>
      <c r="BA350" s="136">
        <f t="shared" si="82"/>
        <v>0</v>
      </c>
      <c r="BB350" s="136">
        <f t="shared" si="82"/>
        <v>0</v>
      </c>
      <c r="BC350" s="136">
        <f t="shared" si="82"/>
        <v>0</v>
      </c>
      <c r="BD350" s="136">
        <f t="shared" si="82"/>
        <v>0</v>
      </c>
      <c r="BE350" s="136">
        <f t="shared" si="82"/>
        <v>0</v>
      </c>
      <c r="BF350" s="136">
        <f t="shared" si="82"/>
        <v>0</v>
      </c>
      <c r="BG350" s="136">
        <f t="shared" si="81"/>
        <v>0</v>
      </c>
      <c r="BH350" s="136">
        <f t="shared" si="81"/>
        <v>0</v>
      </c>
      <c r="BI350" s="136">
        <f t="shared" si="81"/>
        <v>0</v>
      </c>
      <c r="BJ350" s="136">
        <f t="shared" si="81"/>
        <v>0</v>
      </c>
      <c r="BK350" s="136">
        <f t="shared" si="81"/>
        <v>0</v>
      </c>
      <c r="BL350" s="136">
        <f t="shared" si="81"/>
        <v>0</v>
      </c>
      <c r="BM350" s="136">
        <f t="shared" si="81"/>
        <v>0</v>
      </c>
      <c r="BN350" s="136">
        <f t="shared" si="81"/>
        <v>0</v>
      </c>
      <c r="BO350" s="136">
        <f t="shared" si="81"/>
        <v>0</v>
      </c>
      <c r="BP350" s="136">
        <f t="shared" si="81"/>
        <v>0</v>
      </c>
      <c r="BQ350" s="136">
        <f t="shared" si="81"/>
        <v>0</v>
      </c>
      <c r="BR350" s="136">
        <f t="shared" si="81"/>
        <v>0</v>
      </c>
      <c r="BS350" s="136">
        <f t="shared" si="81"/>
        <v>0</v>
      </c>
      <c r="BT350" s="136">
        <f t="shared" si="81"/>
        <v>0</v>
      </c>
      <c r="BU350" s="136">
        <f t="shared" si="81"/>
        <v>0</v>
      </c>
      <c r="BV350" s="136">
        <f t="shared" ref="BV350:BX367" si="86">BV199-EN199</f>
        <v>0</v>
      </c>
      <c r="BW350" s="136">
        <f t="shared" si="69"/>
        <v>0</v>
      </c>
      <c r="BX350" s="136">
        <f t="shared" si="67"/>
        <v>0</v>
      </c>
      <c r="BZ350" s="136">
        <f t="shared" ref="BZ350:CA365" si="87">BZ199-ER199</f>
        <v>0</v>
      </c>
      <c r="CA350" s="136">
        <f t="shared" si="87"/>
        <v>0</v>
      </c>
    </row>
    <row r="351" spans="12:79" hidden="1" x14ac:dyDescent="0.3">
      <c r="L351" s="136">
        <f t="shared" si="84"/>
        <v>0</v>
      </c>
      <c r="M351" s="136">
        <f t="shared" si="84"/>
        <v>0</v>
      </c>
      <c r="N351" s="136">
        <f t="shared" si="84"/>
        <v>0</v>
      </c>
      <c r="O351" s="136">
        <f t="shared" si="84"/>
        <v>0</v>
      </c>
      <c r="P351" s="136">
        <f t="shared" si="84"/>
        <v>0</v>
      </c>
      <c r="Q351" s="136">
        <f t="shared" si="84"/>
        <v>0</v>
      </c>
      <c r="R351" s="136">
        <f t="shared" si="84"/>
        <v>0</v>
      </c>
      <c r="S351" s="136">
        <f t="shared" si="84"/>
        <v>0</v>
      </c>
      <c r="T351" s="136">
        <f t="shared" si="84"/>
        <v>0</v>
      </c>
      <c r="U351" s="136">
        <f t="shared" si="84"/>
        <v>0</v>
      </c>
      <c r="V351" s="136">
        <f t="shared" si="84"/>
        <v>0</v>
      </c>
      <c r="W351" s="136">
        <f t="shared" si="84"/>
        <v>0</v>
      </c>
      <c r="X351" s="136">
        <f t="shared" si="84"/>
        <v>0</v>
      </c>
      <c r="Y351" s="136">
        <f t="shared" si="84"/>
        <v>0</v>
      </c>
      <c r="Z351" s="136">
        <f t="shared" si="84"/>
        <v>0</v>
      </c>
      <c r="AA351" s="136">
        <f t="shared" si="83"/>
        <v>0</v>
      </c>
      <c r="AB351" s="136">
        <f t="shared" si="83"/>
        <v>0</v>
      </c>
      <c r="AC351" s="136">
        <f t="shared" si="83"/>
        <v>0</v>
      </c>
      <c r="AD351" s="136">
        <f t="shared" si="83"/>
        <v>0</v>
      </c>
      <c r="AE351" s="136">
        <f t="shared" si="83"/>
        <v>0</v>
      </c>
      <c r="AF351" s="136">
        <f t="shared" si="83"/>
        <v>0</v>
      </c>
      <c r="AG351" s="136">
        <f t="shared" si="83"/>
        <v>0</v>
      </c>
      <c r="AH351" s="136">
        <f t="shared" si="83"/>
        <v>0</v>
      </c>
      <c r="AI351" s="136">
        <f t="shared" si="83"/>
        <v>0</v>
      </c>
      <c r="AJ351" s="136">
        <f t="shared" si="83"/>
        <v>0</v>
      </c>
      <c r="AK351" s="136">
        <f t="shared" si="83"/>
        <v>0</v>
      </c>
      <c r="AL351" s="136">
        <f t="shared" si="83"/>
        <v>0</v>
      </c>
      <c r="AM351" s="136">
        <f t="shared" si="83"/>
        <v>0</v>
      </c>
      <c r="AN351" s="136">
        <f t="shared" si="83"/>
        <v>0</v>
      </c>
      <c r="AO351" s="136">
        <f t="shared" si="83"/>
        <v>0</v>
      </c>
      <c r="AP351" s="136">
        <f t="shared" si="83"/>
        <v>0</v>
      </c>
      <c r="AQ351" s="136">
        <f t="shared" si="85"/>
        <v>0</v>
      </c>
      <c r="AR351" s="136">
        <f t="shared" si="82"/>
        <v>0</v>
      </c>
      <c r="AS351" s="136">
        <f t="shared" si="82"/>
        <v>0</v>
      </c>
      <c r="AT351" s="136">
        <f t="shared" si="82"/>
        <v>0</v>
      </c>
      <c r="AU351" s="136">
        <f t="shared" si="82"/>
        <v>0</v>
      </c>
      <c r="AV351" s="136">
        <f t="shared" si="82"/>
        <v>0</v>
      </c>
      <c r="AW351" s="136">
        <f t="shared" si="82"/>
        <v>0</v>
      </c>
      <c r="AX351" s="136">
        <f t="shared" si="82"/>
        <v>0</v>
      </c>
      <c r="AY351" s="136">
        <f t="shared" si="82"/>
        <v>0</v>
      </c>
      <c r="AZ351" s="136">
        <f t="shared" si="82"/>
        <v>0</v>
      </c>
      <c r="BA351" s="136">
        <f t="shared" si="82"/>
        <v>0</v>
      </c>
      <c r="BB351" s="136">
        <f t="shared" si="82"/>
        <v>0</v>
      </c>
      <c r="BC351" s="136">
        <f t="shared" si="82"/>
        <v>0</v>
      </c>
      <c r="BD351" s="136">
        <f t="shared" si="82"/>
        <v>0</v>
      </c>
      <c r="BE351" s="136">
        <f t="shared" si="82"/>
        <v>0</v>
      </c>
      <c r="BF351" s="136">
        <f t="shared" si="82"/>
        <v>0</v>
      </c>
      <c r="BG351" s="136">
        <f t="shared" si="82"/>
        <v>0</v>
      </c>
      <c r="BH351" s="136">
        <f t="shared" ref="BH351:BU366" si="88">BH200-DZ200</f>
        <v>0</v>
      </c>
      <c r="BI351" s="136">
        <f t="shared" si="88"/>
        <v>0</v>
      </c>
      <c r="BJ351" s="136">
        <f t="shared" si="88"/>
        <v>0</v>
      </c>
      <c r="BK351" s="136">
        <f t="shared" si="88"/>
        <v>0</v>
      </c>
      <c r="BL351" s="136">
        <f t="shared" si="88"/>
        <v>0</v>
      </c>
      <c r="BM351" s="136">
        <f t="shared" si="88"/>
        <v>0</v>
      </c>
      <c r="BN351" s="136">
        <f t="shared" si="88"/>
        <v>0</v>
      </c>
      <c r="BO351" s="136">
        <f t="shared" si="88"/>
        <v>0</v>
      </c>
      <c r="BP351" s="136">
        <f t="shared" si="88"/>
        <v>0</v>
      </c>
      <c r="BQ351" s="136">
        <f t="shared" si="88"/>
        <v>0</v>
      </c>
      <c r="BR351" s="136">
        <f t="shared" si="88"/>
        <v>0</v>
      </c>
      <c r="BS351" s="136">
        <f t="shared" si="88"/>
        <v>0</v>
      </c>
      <c r="BT351" s="136">
        <f t="shared" si="88"/>
        <v>0</v>
      </c>
      <c r="BU351" s="136">
        <f t="shared" si="88"/>
        <v>0</v>
      </c>
      <c r="BV351" s="136">
        <f t="shared" si="86"/>
        <v>0</v>
      </c>
      <c r="BW351" s="136">
        <f t="shared" si="69"/>
        <v>0</v>
      </c>
      <c r="BX351" s="136">
        <f t="shared" si="67"/>
        <v>0</v>
      </c>
      <c r="BZ351" s="136">
        <f t="shared" si="87"/>
        <v>0</v>
      </c>
      <c r="CA351" s="136">
        <f t="shared" si="87"/>
        <v>0</v>
      </c>
    </row>
    <row r="352" spans="12:79" hidden="1" x14ac:dyDescent="0.3">
      <c r="L352" s="136">
        <f t="shared" si="84"/>
        <v>0</v>
      </c>
      <c r="M352" s="136">
        <f t="shared" si="84"/>
        <v>0</v>
      </c>
      <c r="N352" s="136">
        <f t="shared" si="84"/>
        <v>0</v>
      </c>
      <c r="O352" s="136">
        <f t="shared" si="84"/>
        <v>0</v>
      </c>
      <c r="P352" s="136">
        <f t="shared" si="84"/>
        <v>0</v>
      </c>
      <c r="Q352" s="136">
        <f t="shared" si="84"/>
        <v>0</v>
      </c>
      <c r="R352" s="136">
        <f t="shared" si="84"/>
        <v>0</v>
      </c>
      <c r="S352" s="136">
        <f t="shared" si="84"/>
        <v>0</v>
      </c>
      <c r="T352" s="136">
        <f t="shared" si="84"/>
        <v>0</v>
      </c>
      <c r="U352" s="136">
        <f t="shared" si="84"/>
        <v>0</v>
      </c>
      <c r="V352" s="136">
        <f t="shared" si="84"/>
        <v>0</v>
      </c>
      <c r="W352" s="136">
        <f t="shared" si="84"/>
        <v>0</v>
      </c>
      <c r="X352" s="136">
        <f t="shared" si="84"/>
        <v>0</v>
      </c>
      <c r="Y352" s="136">
        <f t="shared" si="84"/>
        <v>0</v>
      </c>
      <c r="Z352" s="136">
        <f t="shared" si="84"/>
        <v>0</v>
      </c>
      <c r="AA352" s="136">
        <f t="shared" si="83"/>
        <v>0</v>
      </c>
      <c r="AB352" s="136">
        <f t="shared" si="83"/>
        <v>0</v>
      </c>
      <c r="AC352" s="136">
        <f t="shared" si="83"/>
        <v>0</v>
      </c>
      <c r="AD352" s="136">
        <f t="shared" si="83"/>
        <v>0</v>
      </c>
      <c r="AE352" s="136">
        <f t="shared" si="83"/>
        <v>0</v>
      </c>
      <c r="AF352" s="136">
        <f t="shared" si="83"/>
        <v>0</v>
      </c>
      <c r="AG352" s="136">
        <f t="shared" si="83"/>
        <v>0</v>
      </c>
      <c r="AH352" s="136">
        <f t="shared" si="83"/>
        <v>0</v>
      </c>
      <c r="AI352" s="136">
        <f t="shared" si="83"/>
        <v>0</v>
      </c>
      <c r="AJ352" s="136">
        <f t="shared" si="83"/>
        <v>0</v>
      </c>
      <c r="AK352" s="136">
        <f t="shared" si="83"/>
        <v>0</v>
      </c>
      <c r="AL352" s="136">
        <f t="shared" si="83"/>
        <v>0</v>
      </c>
      <c r="AM352" s="136">
        <f t="shared" si="83"/>
        <v>0</v>
      </c>
      <c r="AN352" s="136">
        <f t="shared" si="83"/>
        <v>0</v>
      </c>
      <c r="AO352" s="136">
        <f t="shared" si="83"/>
        <v>0</v>
      </c>
      <c r="AP352" s="136">
        <f t="shared" si="83"/>
        <v>0</v>
      </c>
      <c r="AQ352" s="136">
        <f t="shared" si="85"/>
        <v>0</v>
      </c>
      <c r="AR352" s="136">
        <f t="shared" si="85"/>
        <v>0</v>
      </c>
      <c r="AS352" s="136">
        <f t="shared" si="85"/>
        <v>0</v>
      </c>
      <c r="AT352" s="136">
        <f t="shared" si="85"/>
        <v>0</v>
      </c>
      <c r="AU352" s="136">
        <f t="shared" si="85"/>
        <v>0</v>
      </c>
      <c r="AV352" s="136">
        <f t="shared" si="85"/>
        <v>0</v>
      </c>
      <c r="AW352" s="136">
        <f t="shared" si="85"/>
        <v>0</v>
      </c>
      <c r="AX352" s="136">
        <f t="shared" si="85"/>
        <v>0</v>
      </c>
      <c r="AY352" s="136">
        <f t="shared" si="85"/>
        <v>0</v>
      </c>
      <c r="AZ352" s="136">
        <f t="shared" si="85"/>
        <v>0</v>
      </c>
      <c r="BA352" s="136">
        <f t="shared" si="85"/>
        <v>0</v>
      </c>
      <c r="BB352" s="136">
        <f t="shared" si="85"/>
        <v>0</v>
      </c>
      <c r="BC352" s="136">
        <f t="shared" si="85"/>
        <v>0</v>
      </c>
      <c r="BD352" s="136">
        <f t="shared" si="85"/>
        <v>0</v>
      </c>
      <c r="BE352" s="136">
        <f t="shared" si="85"/>
        <v>0</v>
      </c>
      <c r="BF352" s="136">
        <f t="shared" si="85"/>
        <v>0</v>
      </c>
      <c r="BG352" s="136">
        <f t="shared" ref="BG352:BU367" si="89">BG201-DY201</f>
        <v>0</v>
      </c>
      <c r="BH352" s="136">
        <f t="shared" si="88"/>
        <v>0</v>
      </c>
      <c r="BI352" s="136">
        <f t="shared" si="88"/>
        <v>0</v>
      </c>
      <c r="BJ352" s="136">
        <f t="shared" si="88"/>
        <v>0</v>
      </c>
      <c r="BK352" s="136">
        <f t="shared" si="88"/>
        <v>0</v>
      </c>
      <c r="BL352" s="136">
        <f t="shared" si="88"/>
        <v>0</v>
      </c>
      <c r="BM352" s="136">
        <f t="shared" si="88"/>
        <v>0</v>
      </c>
      <c r="BN352" s="136">
        <f t="shared" si="88"/>
        <v>0</v>
      </c>
      <c r="BO352" s="136">
        <f t="shared" si="88"/>
        <v>0</v>
      </c>
      <c r="BP352" s="136">
        <f t="shared" si="88"/>
        <v>0</v>
      </c>
      <c r="BQ352" s="136">
        <f t="shared" si="88"/>
        <v>0</v>
      </c>
      <c r="BR352" s="136">
        <f t="shared" si="88"/>
        <v>0</v>
      </c>
      <c r="BS352" s="136">
        <f t="shared" si="88"/>
        <v>0</v>
      </c>
      <c r="BT352" s="136">
        <f t="shared" si="88"/>
        <v>0</v>
      </c>
      <c r="BU352" s="136">
        <f t="shared" si="88"/>
        <v>0</v>
      </c>
      <c r="BV352" s="136">
        <f t="shared" si="86"/>
        <v>0</v>
      </c>
      <c r="BW352" s="136">
        <f t="shared" si="69"/>
        <v>0</v>
      </c>
      <c r="BX352" s="136">
        <f t="shared" si="67"/>
        <v>0</v>
      </c>
      <c r="BZ352" s="136">
        <f t="shared" si="87"/>
        <v>0</v>
      </c>
      <c r="CA352" s="136">
        <f t="shared" si="87"/>
        <v>0</v>
      </c>
    </row>
    <row r="353" spans="12:79" hidden="1" x14ac:dyDescent="0.3">
      <c r="L353" s="136">
        <f t="shared" si="84"/>
        <v>0</v>
      </c>
      <c r="M353" s="136">
        <f t="shared" si="84"/>
        <v>0</v>
      </c>
      <c r="N353" s="136">
        <f t="shared" si="84"/>
        <v>0</v>
      </c>
      <c r="O353" s="136">
        <f t="shared" si="84"/>
        <v>0</v>
      </c>
      <c r="P353" s="136">
        <f t="shared" si="84"/>
        <v>0</v>
      </c>
      <c r="Q353" s="136">
        <f t="shared" si="84"/>
        <v>0</v>
      </c>
      <c r="R353" s="136">
        <f t="shared" si="84"/>
        <v>0</v>
      </c>
      <c r="S353" s="136">
        <f t="shared" si="84"/>
        <v>0</v>
      </c>
      <c r="T353" s="136">
        <f t="shared" si="84"/>
        <v>0</v>
      </c>
      <c r="U353" s="136">
        <f t="shared" si="84"/>
        <v>0</v>
      </c>
      <c r="V353" s="136">
        <f t="shared" si="84"/>
        <v>0</v>
      </c>
      <c r="W353" s="136">
        <f t="shared" si="84"/>
        <v>0</v>
      </c>
      <c r="X353" s="136">
        <f t="shared" si="84"/>
        <v>0</v>
      </c>
      <c r="Y353" s="136">
        <f t="shared" si="84"/>
        <v>0</v>
      </c>
      <c r="Z353" s="136">
        <f t="shared" si="84"/>
        <v>0</v>
      </c>
      <c r="AA353" s="136">
        <f t="shared" si="83"/>
        <v>0</v>
      </c>
      <c r="AB353" s="136">
        <f t="shared" si="83"/>
        <v>0</v>
      </c>
      <c r="AC353" s="136">
        <f t="shared" si="83"/>
        <v>0</v>
      </c>
      <c r="AD353" s="136">
        <f t="shared" si="83"/>
        <v>0</v>
      </c>
      <c r="AE353" s="136">
        <f t="shared" si="83"/>
        <v>0</v>
      </c>
      <c r="AF353" s="136">
        <f t="shared" si="83"/>
        <v>0</v>
      </c>
      <c r="AG353" s="136">
        <f t="shared" si="83"/>
        <v>0</v>
      </c>
      <c r="AH353" s="136">
        <f t="shared" si="83"/>
        <v>0</v>
      </c>
      <c r="AI353" s="136">
        <f t="shared" si="83"/>
        <v>0</v>
      </c>
      <c r="AJ353" s="136">
        <f t="shared" si="83"/>
        <v>0</v>
      </c>
      <c r="AK353" s="136">
        <f t="shared" si="83"/>
        <v>0</v>
      </c>
      <c r="AL353" s="136">
        <f t="shared" si="83"/>
        <v>0</v>
      </c>
      <c r="AM353" s="136">
        <f t="shared" si="83"/>
        <v>0</v>
      </c>
      <c r="AN353" s="136">
        <f t="shared" si="83"/>
        <v>0</v>
      </c>
      <c r="AO353" s="136">
        <f t="shared" si="83"/>
        <v>0</v>
      </c>
      <c r="AP353" s="136">
        <f t="shared" si="83"/>
        <v>0</v>
      </c>
      <c r="AQ353" s="136">
        <f t="shared" si="85"/>
        <v>0</v>
      </c>
      <c r="AR353" s="136">
        <f t="shared" si="85"/>
        <v>0</v>
      </c>
      <c r="AS353" s="136">
        <f t="shared" si="85"/>
        <v>0</v>
      </c>
      <c r="AT353" s="136">
        <f t="shared" si="85"/>
        <v>0</v>
      </c>
      <c r="AU353" s="136">
        <f t="shared" si="85"/>
        <v>0</v>
      </c>
      <c r="AV353" s="136">
        <f t="shared" si="85"/>
        <v>0</v>
      </c>
      <c r="AW353" s="136">
        <f t="shared" si="85"/>
        <v>0</v>
      </c>
      <c r="AX353" s="136">
        <f t="shared" si="85"/>
        <v>0</v>
      </c>
      <c r="AY353" s="136">
        <f t="shared" si="85"/>
        <v>0</v>
      </c>
      <c r="AZ353" s="136">
        <f t="shared" si="85"/>
        <v>0</v>
      </c>
      <c r="BA353" s="136">
        <f t="shared" si="85"/>
        <v>0</v>
      </c>
      <c r="BB353" s="136">
        <f t="shared" si="85"/>
        <v>0</v>
      </c>
      <c r="BC353" s="136">
        <f t="shared" si="85"/>
        <v>0</v>
      </c>
      <c r="BD353" s="136">
        <f t="shared" si="85"/>
        <v>0</v>
      </c>
      <c r="BE353" s="136">
        <f t="shared" si="85"/>
        <v>0</v>
      </c>
      <c r="BF353" s="136">
        <f t="shared" si="85"/>
        <v>0</v>
      </c>
      <c r="BG353" s="136">
        <f t="shared" si="89"/>
        <v>0</v>
      </c>
      <c r="BH353" s="136">
        <f t="shared" si="88"/>
        <v>0</v>
      </c>
      <c r="BI353" s="136">
        <f t="shared" si="88"/>
        <v>0</v>
      </c>
      <c r="BJ353" s="136">
        <f t="shared" si="88"/>
        <v>0</v>
      </c>
      <c r="BK353" s="136">
        <f t="shared" si="88"/>
        <v>0</v>
      </c>
      <c r="BL353" s="136">
        <f t="shared" si="88"/>
        <v>0</v>
      </c>
      <c r="BM353" s="136">
        <f t="shared" si="88"/>
        <v>0</v>
      </c>
      <c r="BN353" s="136">
        <f t="shared" si="88"/>
        <v>0</v>
      </c>
      <c r="BO353" s="136">
        <f t="shared" si="88"/>
        <v>0</v>
      </c>
      <c r="BP353" s="136">
        <f t="shared" si="88"/>
        <v>0</v>
      </c>
      <c r="BQ353" s="136">
        <f t="shared" si="88"/>
        <v>0</v>
      </c>
      <c r="BR353" s="136">
        <f t="shared" si="88"/>
        <v>0</v>
      </c>
      <c r="BS353" s="136">
        <f t="shared" si="88"/>
        <v>0</v>
      </c>
      <c r="BT353" s="136">
        <f t="shared" si="88"/>
        <v>0</v>
      </c>
      <c r="BU353" s="136">
        <f t="shared" si="88"/>
        <v>0</v>
      </c>
      <c r="BV353" s="136">
        <f t="shared" si="86"/>
        <v>0</v>
      </c>
      <c r="BW353" s="136">
        <f t="shared" si="69"/>
        <v>0</v>
      </c>
      <c r="BX353" s="136">
        <f t="shared" si="67"/>
        <v>0</v>
      </c>
      <c r="BZ353" s="136">
        <f t="shared" si="87"/>
        <v>0</v>
      </c>
      <c r="CA353" s="136">
        <f t="shared" si="87"/>
        <v>0</v>
      </c>
    </row>
    <row r="354" spans="12:79" hidden="1" x14ac:dyDescent="0.3">
      <c r="L354" s="136">
        <f t="shared" si="84"/>
        <v>0</v>
      </c>
      <c r="M354" s="136">
        <f t="shared" si="84"/>
        <v>0</v>
      </c>
      <c r="N354" s="136">
        <f t="shared" si="84"/>
        <v>0</v>
      </c>
      <c r="O354" s="136">
        <f t="shared" si="84"/>
        <v>0</v>
      </c>
      <c r="P354" s="136">
        <f t="shared" si="84"/>
        <v>0</v>
      </c>
      <c r="Q354" s="136">
        <f t="shared" si="84"/>
        <v>0</v>
      </c>
      <c r="R354" s="136">
        <f t="shared" si="84"/>
        <v>0</v>
      </c>
      <c r="S354" s="136">
        <f t="shared" si="84"/>
        <v>0</v>
      </c>
      <c r="T354" s="136">
        <f t="shared" si="84"/>
        <v>0</v>
      </c>
      <c r="U354" s="136">
        <f t="shared" si="84"/>
        <v>0</v>
      </c>
      <c r="V354" s="136">
        <f t="shared" si="84"/>
        <v>0</v>
      </c>
      <c r="W354" s="136">
        <f t="shared" si="84"/>
        <v>0</v>
      </c>
      <c r="X354" s="136">
        <f t="shared" si="84"/>
        <v>0</v>
      </c>
      <c r="Y354" s="136">
        <f t="shared" si="84"/>
        <v>0</v>
      </c>
      <c r="Z354" s="136">
        <f t="shared" si="84"/>
        <v>0</v>
      </c>
      <c r="AA354" s="136">
        <f t="shared" si="83"/>
        <v>0</v>
      </c>
      <c r="AB354" s="136">
        <f t="shared" si="83"/>
        <v>0</v>
      </c>
      <c r="AC354" s="136">
        <f t="shared" si="83"/>
        <v>0</v>
      </c>
      <c r="AD354" s="136">
        <f t="shared" si="83"/>
        <v>0</v>
      </c>
      <c r="AE354" s="136">
        <f t="shared" si="83"/>
        <v>0</v>
      </c>
      <c r="AF354" s="136">
        <f t="shared" si="83"/>
        <v>0</v>
      </c>
      <c r="AG354" s="136">
        <f t="shared" si="83"/>
        <v>0</v>
      </c>
      <c r="AH354" s="136">
        <f t="shared" si="83"/>
        <v>0</v>
      </c>
      <c r="AI354" s="136">
        <f t="shared" si="83"/>
        <v>0</v>
      </c>
      <c r="AJ354" s="136">
        <f t="shared" si="83"/>
        <v>0</v>
      </c>
      <c r="AK354" s="136">
        <f t="shared" si="83"/>
        <v>0</v>
      </c>
      <c r="AL354" s="136">
        <f t="shared" si="83"/>
        <v>0</v>
      </c>
      <c r="AM354" s="136">
        <f t="shared" si="83"/>
        <v>0</v>
      </c>
      <c r="AN354" s="136">
        <f t="shared" si="83"/>
        <v>0</v>
      </c>
      <c r="AO354" s="136">
        <f t="shared" si="83"/>
        <v>0</v>
      </c>
      <c r="AP354" s="136">
        <f t="shared" si="83"/>
        <v>0</v>
      </c>
      <c r="AQ354" s="136">
        <f t="shared" si="85"/>
        <v>0</v>
      </c>
      <c r="AR354" s="136">
        <f t="shared" si="85"/>
        <v>0</v>
      </c>
      <c r="AS354" s="136">
        <f t="shared" si="85"/>
        <v>0</v>
      </c>
      <c r="AT354" s="136">
        <f t="shared" si="85"/>
        <v>0</v>
      </c>
      <c r="AU354" s="136">
        <f t="shared" si="85"/>
        <v>0</v>
      </c>
      <c r="AV354" s="136">
        <f t="shared" si="85"/>
        <v>0</v>
      </c>
      <c r="AW354" s="136">
        <f t="shared" si="85"/>
        <v>0</v>
      </c>
      <c r="AX354" s="136">
        <f t="shared" si="85"/>
        <v>0</v>
      </c>
      <c r="AY354" s="136">
        <f t="shared" si="85"/>
        <v>0</v>
      </c>
      <c r="AZ354" s="136">
        <f t="shared" si="85"/>
        <v>0</v>
      </c>
      <c r="BA354" s="136">
        <f t="shared" si="85"/>
        <v>0</v>
      </c>
      <c r="BB354" s="136">
        <f t="shared" si="85"/>
        <v>0</v>
      </c>
      <c r="BC354" s="136">
        <f t="shared" si="85"/>
        <v>0</v>
      </c>
      <c r="BD354" s="136">
        <f t="shared" si="85"/>
        <v>0</v>
      </c>
      <c r="BE354" s="136">
        <f t="shared" si="85"/>
        <v>0</v>
      </c>
      <c r="BF354" s="136">
        <f t="shared" si="85"/>
        <v>0</v>
      </c>
      <c r="BG354" s="136">
        <f t="shared" si="89"/>
        <v>0</v>
      </c>
      <c r="BH354" s="136">
        <f t="shared" si="88"/>
        <v>0</v>
      </c>
      <c r="BI354" s="136">
        <f t="shared" si="88"/>
        <v>0</v>
      </c>
      <c r="BJ354" s="136">
        <f t="shared" si="88"/>
        <v>0</v>
      </c>
      <c r="BK354" s="136">
        <f t="shared" si="88"/>
        <v>0</v>
      </c>
      <c r="BL354" s="136">
        <f t="shared" si="88"/>
        <v>0</v>
      </c>
      <c r="BM354" s="136">
        <f t="shared" si="88"/>
        <v>0</v>
      </c>
      <c r="BN354" s="136">
        <f t="shared" si="88"/>
        <v>0</v>
      </c>
      <c r="BO354" s="136">
        <f t="shared" si="88"/>
        <v>0</v>
      </c>
      <c r="BP354" s="136">
        <f t="shared" si="88"/>
        <v>0</v>
      </c>
      <c r="BQ354" s="136">
        <f t="shared" si="88"/>
        <v>0</v>
      </c>
      <c r="BR354" s="136">
        <f t="shared" si="88"/>
        <v>0</v>
      </c>
      <c r="BS354" s="136">
        <f t="shared" si="88"/>
        <v>0</v>
      </c>
      <c r="BT354" s="136">
        <f t="shared" si="88"/>
        <v>0</v>
      </c>
      <c r="BU354" s="136">
        <f t="shared" si="88"/>
        <v>0</v>
      </c>
      <c r="BV354" s="136">
        <f t="shared" si="86"/>
        <v>0</v>
      </c>
      <c r="BW354" s="136">
        <f t="shared" si="69"/>
        <v>0</v>
      </c>
      <c r="BX354" s="136">
        <f t="shared" si="67"/>
        <v>0</v>
      </c>
      <c r="BZ354" s="136">
        <f t="shared" si="87"/>
        <v>0</v>
      </c>
      <c r="CA354" s="136">
        <f t="shared" si="87"/>
        <v>0</v>
      </c>
    </row>
    <row r="355" spans="12:79" hidden="1" x14ac:dyDescent="0.3">
      <c r="L355" s="136">
        <f t="shared" si="84"/>
        <v>0</v>
      </c>
      <c r="M355" s="136">
        <f t="shared" si="84"/>
        <v>0</v>
      </c>
      <c r="N355" s="136">
        <f t="shared" si="84"/>
        <v>0</v>
      </c>
      <c r="O355" s="136">
        <f t="shared" si="84"/>
        <v>0</v>
      </c>
      <c r="P355" s="136">
        <f t="shared" si="84"/>
        <v>0</v>
      </c>
      <c r="Q355" s="136">
        <f t="shared" si="84"/>
        <v>0</v>
      </c>
      <c r="R355" s="136">
        <f t="shared" si="84"/>
        <v>0</v>
      </c>
      <c r="S355" s="136">
        <f t="shared" si="84"/>
        <v>0</v>
      </c>
      <c r="T355" s="136">
        <f t="shared" si="84"/>
        <v>0</v>
      </c>
      <c r="U355" s="136">
        <f t="shared" si="84"/>
        <v>0</v>
      </c>
      <c r="V355" s="136">
        <f t="shared" si="84"/>
        <v>0</v>
      </c>
      <c r="W355" s="136">
        <f t="shared" si="84"/>
        <v>0</v>
      </c>
      <c r="X355" s="136">
        <f t="shared" si="84"/>
        <v>0</v>
      </c>
      <c r="Y355" s="136">
        <f t="shared" si="84"/>
        <v>0</v>
      </c>
      <c r="Z355" s="136">
        <f t="shared" si="84"/>
        <v>0</v>
      </c>
      <c r="AA355" s="136">
        <f t="shared" si="83"/>
        <v>0</v>
      </c>
      <c r="AB355" s="136">
        <f t="shared" si="83"/>
        <v>0</v>
      </c>
      <c r="AC355" s="136">
        <f t="shared" si="83"/>
        <v>0</v>
      </c>
      <c r="AD355" s="136">
        <f t="shared" si="83"/>
        <v>0</v>
      </c>
      <c r="AE355" s="136">
        <f t="shared" si="83"/>
        <v>0</v>
      </c>
      <c r="AF355" s="136">
        <f t="shared" si="83"/>
        <v>0</v>
      </c>
      <c r="AG355" s="136">
        <f t="shared" si="83"/>
        <v>0</v>
      </c>
      <c r="AH355" s="136">
        <f t="shared" si="83"/>
        <v>0</v>
      </c>
      <c r="AI355" s="136">
        <f t="shared" si="83"/>
        <v>0</v>
      </c>
      <c r="AJ355" s="136">
        <f t="shared" si="83"/>
        <v>0</v>
      </c>
      <c r="AK355" s="136">
        <f t="shared" si="83"/>
        <v>0</v>
      </c>
      <c r="AL355" s="136">
        <f t="shared" si="83"/>
        <v>0</v>
      </c>
      <c r="AM355" s="136">
        <f t="shared" si="83"/>
        <v>0</v>
      </c>
      <c r="AN355" s="136">
        <f t="shared" si="83"/>
        <v>0</v>
      </c>
      <c r="AO355" s="136">
        <f t="shared" si="83"/>
        <v>0</v>
      </c>
      <c r="AP355" s="136">
        <f t="shared" si="83"/>
        <v>0</v>
      </c>
      <c r="AQ355" s="136">
        <f t="shared" si="85"/>
        <v>0</v>
      </c>
      <c r="AR355" s="136">
        <f t="shared" si="85"/>
        <v>0</v>
      </c>
      <c r="AS355" s="136">
        <f t="shared" si="85"/>
        <v>0</v>
      </c>
      <c r="AT355" s="136">
        <f t="shared" si="85"/>
        <v>0</v>
      </c>
      <c r="AU355" s="136">
        <f t="shared" si="85"/>
        <v>0</v>
      </c>
      <c r="AV355" s="136">
        <f t="shared" si="85"/>
        <v>0</v>
      </c>
      <c r="AW355" s="136">
        <f t="shared" si="85"/>
        <v>0</v>
      </c>
      <c r="AX355" s="136">
        <f t="shared" si="85"/>
        <v>0</v>
      </c>
      <c r="AY355" s="136">
        <f t="shared" si="85"/>
        <v>0</v>
      </c>
      <c r="AZ355" s="136">
        <f t="shared" si="85"/>
        <v>0</v>
      </c>
      <c r="BA355" s="136">
        <f t="shared" si="85"/>
        <v>0</v>
      </c>
      <c r="BB355" s="136">
        <f t="shared" si="85"/>
        <v>0</v>
      </c>
      <c r="BC355" s="136">
        <f t="shared" si="85"/>
        <v>0</v>
      </c>
      <c r="BD355" s="136">
        <f t="shared" si="85"/>
        <v>0</v>
      </c>
      <c r="BE355" s="136">
        <f t="shared" si="85"/>
        <v>0</v>
      </c>
      <c r="BF355" s="136">
        <f t="shared" si="85"/>
        <v>0</v>
      </c>
      <c r="BG355" s="136">
        <f t="shared" si="89"/>
        <v>0</v>
      </c>
      <c r="BH355" s="136">
        <f t="shared" si="88"/>
        <v>0</v>
      </c>
      <c r="BI355" s="136">
        <f t="shared" si="88"/>
        <v>0</v>
      </c>
      <c r="BJ355" s="136">
        <f t="shared" si="88"/>
        <v>0</v>
      </c>
      <c r="BK355" s="136">
        <f t="shared" si="88"/>
        <v>0</v>
      </c>
      <c r="BL355" s="136">
        <f t="shared" si="88"/>
        <v>0</v>
      </c>
      <c r="BM355" s="136">
        <f t="shared" si="88"/>
        <v>0</v>
      </c>
      <c r="BN355" s="136">
        <f t="shared" si="88"/>
        <v>0</v>
      </c>
      <c r="BO355" s="136">
        <f t="shared" si="88"/>
        <v>0</v>
      </c>
      <c r="BP355" s="136">
        <f t="shared" si="88"/>
        <v>0</v>
      </c>
      <c r="BQ355" s="136">
        <f t="shared" si="88"/>
        <v>0</v>
      </c>
      <c r="BR355" s="136">
        <f t="shared" si="88"/>
        <v>0</v>
      </c>
      <c r="BS355" s="136">
        <f t="shared" si="88"/>
        <v>0</v>
      </c>
      <c r="BT355" s="136">
        <f t="shared" si="88"/>
        <v>0</v>
      </c>
      <c r="BU355" s="136">
        <f t="shared" si="88"/>
        <v>0</v>
      </c>
      <c r="BV355" s="136">
        <f t="shared" si="86"/>
        <v>0</v>
      </c>
      <c r="BW355" s="136">
        <f t="shared" si="69"/>
        <v>0</v>
      </c>
      <c r="BX355" s="136">
        <f t="shared" si="67"/>
        <v>0</v>
      </c>
      <c r="BZ355" s="136">
        <f t="shared" si="87"/>
        <v>0</v>
      </c>
      <c r="CA355" s="136">
        <f t="shared" si="87"/>
        <v>0</v>
      </c>
    </row>
    <row r="356" spans="12:79" hidden="1" x14ac:dyDescent="0.3">
      <c r="L356" s="136">
        <f t="shared" si="84"/>
        <v>0</v>
      </c>
      <c r="M356" s="136">
        <f t="shared" si="84"/>
        <v>0</v>
      </c>
      <c r="N356" s="136">
        <f t="shared" si="84"/>
        <v>0</v>
      </c>
      <c r="O356" s="136">
        <f t="shared" si="84"/>
        <v>0</v>
      </c>
      <c r="P356" s="136">
        <f t="shared" si="84"/>
        <v>0</v>
      </c>
      <c r="Q356" s="136">
        <f t="shared" si="84"/>
        <v>0</v>
      </c>
      <c r="R356" s="136">
        <f t="shared" si="84"/>
        <v>0</v>
      </c>
      <c r="S356" s="136">
        <f t="shared" si="84"/>
        <v>0</v>
      </c>
      <c r="T356" s="136">
        <f t="shared" si="84"/>
        <v>0</v>
      </c>
      <c r="U356" s="136">
        <f t="shared" si="84"/>
        <v>0</v>
      </c>
      <c r="V356" s="136">
        <f t="shared" si="84"/>
        <v>0</v>
      </c>
      <c r="W356" s="136">
        <f t="shared" si="84"/>
        <v>0</v>
      </c>
      <c r="X356" s="136">
        <f t="shared" si="84"/>
        <v>0</v>
      </c>
      <c r="Y356" s="136">
        <f t="shared" si="84"/>
        <v>0</v>
      </c>
      <c r="Z356" s="136">
        <f t="shared" si="84"/>
        <v>0</v>
      </c>
      <c r="AA356" s="136">
        <f t="shared" si="83"/>
        <v>0</v>
      </c>
      <c r="AB356" s="136">
        <f t="shared" si="83"/>
        <v>0</v>
      </c>
      <c r="AC356" s="136">
        <f t="shared" si="83"/>
        <v>0</v>
      </c>
      <c r="AD356" s="136">
        <f t="shared" si="83"/>
        <v>0</v>
      </c>
      <c r="AE356" s="136">
        <f t="shared" si="83"/>
        <v>0</v>
      </c>
      <c r="AF356" s="136">
        <f t="shared" si="83"/>
        <v>0</v>
      </c>
      <c r="AG356" s="136">
        <f t="shared" si="83"/>
        <v>0</v>
      </c>
      <c r="AH356" s="136">
        <f t="shared" si="83"/>
        <v>0</v>
      </c>
      <c r="AI356" s="136">
        <f t="shared" si="83"/>
        <v>0</v>
      </c>
      <c r="AJ356" s="136">
        <f t="shared" si="83"/>
        <v>0</v>
      </c>
      <c r="AK356" s="136">
        <f t="shared" si="83"/>
        <v>0</v>
      </c>
      <c r="AL356" s="136">
        <f t="shared" si="83"/>
        <v>0</v>
      </c>
      <c r="AM356" s="136">
        <f t="shared" si="83"/>
        <v>0</v>
      </c>
      <c r="AN356" s="136">
        <f t="shared" si="83"/>
        <v>0</v>
      </c>
      <c r="AO356" s="136">
        <f t="shared" si="83"/>
        <v>0</v>
      </c>
      <c r="AP356" s="136">
        <f t="shared" si="83"/>
        <v>0</v>
      </c>
      <c r="AQ356" s="136">
        <f t="shared" si="85"/>
        <v>0</v>
      </c>
      <c r="AR356" s="136">
        <f t="shared" si="85"/>
        <v>0</v>
      </c>
      <c r="AS356" s="136">
        <f t="shared" si="85"/>
        <v>0</v>
      </c>
      <c r="AT356" s="136">
        <f t="shared" si="85"/>
        <v>0</v>
      </c>
      <c r="AU356" s="136">
        <f t="shared" si="85"/>
        <v>0</v>
      </c>
      <c r="AV356" s="136">
        <f t="shared" si="85"/>
        <v>0</v>
      </c>
      <c r="AW356" s="136">
        <f t="shared" si="85"/>
        <v>0</v>
      </c>
      <c r="AX356" s="136">
        <f t="shared" si="85"/>
        <v>0</v>
      </c>
      <c r="AY356" s="136">
        <f t="shared" si="85"/>
        <v>0</v>
      </c>
      <c r="AZ356" s="136">
        <f t="shared" si="85"/>
        <v>0</v>
      </c>
      <c r="BA356" s="136">
        <f t="shared" si="85"/>
        <v>0</v>
      </c>
      <c r="BB356" s="136">
        <f t="shared" si="85"/>
        <v>0</v>
      </c>
      <c r="BC356" s="136">
        <f t="shared" si="85"/>
        <v>0</v>
      </c>
      <c r="BD356" s="136">
        <f t="shared" si="85"/>
        <v>0</v>
      </c>
      <c r="BE356" s="136">
        <f t="shared" si="85"/>
        <v>0</v>
      </c>
      <c r="BF356" s="136">
        <f t="shared" si="85"/>
        <v>0</v>
      </c>
      <c r="BG356" s="136">
        <f t="shared" si="89"/>
        <v>0</v>
      </c>
      <c r="BH356" s="136">
        <f t="shared" si="88"/>
        <v>0</v>
      </c>
      <c r="BI356" s="136">
        <f t="shared" si="88"/>
        <v>0</v>
      </c>
      <c r="BJ356" s="136">
        <f t="shared" si="88"/>
        <v>0</v>
      </c>
      <c r="BK356" s="136">
        <f t="shared" si="88"/>
        <v>0</v>
      </c>
      <c r="BL356" s="136">
        <f t="shared" si="88"/>
        <v>0</v>
      </c>
      <c r="BM356" s="136">
        <f t="shared" si="88"/>
        <v>0</v>
      </c>
      <c r="BN356" s="136">
        <f t="shared" si="88"/>
        <v>0</v>
      </c>
      <c r="BO356" s="136">
        <f t="shared" si="88"/>
        <v>0</v>
      </c>
      <c r="BP356" s="136">
        <f t="shared" si="88"/>
        <v>0</v>
      </c>
      <c r="BQ356" s="136">
        <f t="shared" si="88"/>
        <v>0</v>
      </c>
      <c r="BR356" s="136">
        <f t="shared" si="88"/>
        <v>0</v>
      </c>
      <c r="BS356" s="136">
        <f t="shared" si="88"/>
        <v>0</v>
      </c>
      <c r="BT356" s="136">
        <f t="shared" si="88"/>
        <v>0</v>
      </c>
      <c r="BU356" s="136">
        <f t="shared" si="88"/>
        <v>0</v>
      </c>
      <c r="BV356" s="136">
        <f t="shared" si="86"/>
        <v>0</v>
      </c>
      <c r="BW356" s="136">
        <f t="shared" si="69"/>
        <v>0</v>
      </c>
      <c r="BX356" s="136">
        <f t="shared" si="67"/>
        <v>0</v>
      </c>
      <c r="BZ356" s="136">
        <f t="shared" si="87"/>
        <v>0</v>
      </c>
      <c r="CA356" s="136">
        <f t="shared" si="87"/>
        <v>0</v>
      </c>
    </row>
    <row r="357" spans="12:79" hidden="1" x14ac:dyDescent="0.3">
      <c r="L357" s="136">
        <f t="shared" si="84"/>
        <v>0</v>
      </c>
      <c r="M357" s="136">
        <f t="shared" si="84"/>
        <v>0</v>
      </c>
      <c r="N357" s="136">
        <f t="shared" si="84"/>
        <v>0</v>
      </c>
      <c r="O357" s="136">
        <f t="shared" si="84"/>
        <v>0</v>
      </c>
      <c r="P357" s="136">
        <f t="shared" si="84"/>
        <v>0</v>
      </c>
      <c r="Q357" s="136">
        <f t="shared" si="84"/>
        <v>0</v>
      </c>
      <c r="R357" s="136">
        <f t="shared" si="84"/>
        <v>0</v>
      </c>
      <c r="S357" s="136">
        <f t="shared" si="84"/>
        <v>0</v>
      </c>
      <c r="T357" s="136">
        <f t="shared" si="84"/>
        <v>0</v>
      </c>
      <c r="U357" s="136">
        <f t="shared" si="84"/>
        <v>0</v>
      </c>
      <c r="V357" s="136">
        <f t="shared" si="84"/>
        <v>0</v>
      </c>
      <c r="W357" s="136">
        <f t="shared" si="84"/>
        <v>0</v>
      </c>
      <c r="X357" s="136">
        <f t="shared" si="84"/>
        <v>0</v>
      </c>
      <c r="Y357" s="136">
        <f t="shared" si="84"/>
        <v>0</v>
      </c>
      <c r="Z357" s="136">
        <f t="shared" si="84"/>
        <v>0</v>
      </c>
      <c r="AA357" s="136">
        <f t="shared" si="83"/>
        <v>0</v>
      </c>
      <c r="AB357" s="136">
        <f t="shared" si="83"/>
        <v>0</v>
      </c>
      <c r="AC357" s="136">
        <f t="shared" si="83"/>
        <v>0</v>
      </c>
      <c r="AD357" s="136">
        <f t="shared" si="83"/>
        <v>0</v>
      </c>
      <c r="AE357" s="136">
        <f t="shared" si="83"/>
        <v>0</v>
      </c>
      <c r="AF357" s="136">
        <f t="shared" si="83"/>
        <v>0</v>
      </c>
      <c r="AG357" s="136">
        <f t="shared" si="83"/>
        <v>0</v>
      </c>
      <c r="AH357" s="136">
        <f t="shared" si="83"/>
        <v>0</v>
      </c>
      <c r="AI357" s="136">
        <f t="shared" si="83"/>
        <v>0</v>
      </c>
      <c r="AJ357" s="136">
        <f t="shared" si="83"/>
        <v>0</v>
      </c>
      <c r="AK357" s="136">
        <f t="shared" si="83"/>
        <v>0</v>
      </c>
      <c r="AL357" s="136">
        <f t="shared" si="83"/>
        <v>0</v>
      </c>
      <c r="AM357" s="136">
        <f t="shared" si="83"/>
        <v>0</v>
      </c>
      <c r="AN357" s="136">
        <f t="shared" si="83"/>
        <v>0</v>
      </c>
      <c r="AO357" s="136">
        <f t="shared" si="83"/>
        <v>0</v>
      </c>
      <c r="AP357" s="136">
        <f t="shared" si="83"/>
        <v>0</v>
      </c>
      <c r="AQ357" s="136">
        <f t="shared" si="85"/>
        <v>0</v>
      </c>
      <c r="AR357" s="136">
        <f t="shared" si="85"/>
        <v>0</v>
      </c>
      <c r="AS357" s="136">
        <f t="shared" si="85"/>
        <v>0</v>
      </c>
      <c r="AT357" s="136">
        <f t="shared" si="85"/>
        <v>0</v>
      </c>
      <c r="AU357" s="136">
        <f t="shared" si="85"/>
        <v>0</v>
      </c>
      <c r="AV357" s="136">
        <f t="shared" si="85"/>
        <v>0</v>
      </c>
      <c r="AW357" s="136">
        <f t="shared" si="85"/>
        <v>0</v>
      </c>
      <c r="AX357" s="136">
        <f t="shared" si="85"/>
        <v>0</v>
      </c>
      <c r="AY357" s="136">
        <f t="shared" si="85"/>
        <v>0</v>
      </c>
      <c r="AZ357" s="136">
        <f t="shared" si="85"/>
        <v>0</v>
      </c>
      <c r="BA357" s="136">
        <f t="shared" si="85"/>
        <v>0</v>
      </c>
      <c r="BB357" s="136">
        <f t="shared" si="85"/>
        <v>0</v>
      </c>
      <c r="BC357" s="136">
        <f t="shared" si="85"/>
        <v>0</v>
      </c>
      <c r="BD357" s="136">
        <f t="shared" si="85"/>
        <v>0</v>
      </c>
      <c r="BE357" s="136">
        <f t="shared" si="85"/>
        <v>0</v>
      </c>
      <c r="BF357" s="136">
        <f t="shared" si="85"/>
        <v>0</v>
      </c>
      <c r="BG357" s="136">
        <f t="shared" si="89"/>
        <v>0</v>
      </c>
      <c r="BH357" s="136">
        <f t="shared" si="88"/>
        <v>0</v>
      </c>
      <c r="BI357" s="136">
        <f t="shared" si="88"/>
        <v>0</v>
      </c>
      <c r="BJ357" s="136">
        <f t="shared" si="88"/>
        <v>0</v>
      </c>
      <c r="BK357" s="136">
        <f t="shared" si="88"/>
        <v>0</v>
      </c>
      <c r="BL357" s="136">
        <f t="shared" si="88"/>
        <v>0</v>
      </c>
      <c r="BM357" s="136">
        <f t="shared" si="88"/>
        <v>0</v>
      </c>
      <c r="BN357" s="136">
        <f t="shared" si="88"/>
        <v>0</v>
      </c>
      <c r="BO357" s="136">
        <f t="shared" si="88"/>
        <v>0</v>
      </c>
      <c r="BP357" s="136">
        <f t="shared" si="88"/>
        <v>0</v>
      </c>
      <c r="BQ357" s="136">
        <f t="shared" si="88"/>
        <v>0</v>
      </c>
      <c r="BR357" s="136">
        <f t="shared" si="88"/>
        <v>0</v>
      </c>
      <c r="BS357" s="136">
        <f t="shared" si="88"/>
        <v>0</v>
      </c>
      <c r="BT357" s="136">
        <f t="shared" si="88"/>
        <v>0</v>
      </c>
      <c r="BU357" s="136">
        <f t="shared" si="88"/>
        <v>0</v>
      </c>
      <c r="BV357" s="136">
        <f t="shared" si="86"/>
        <v>0</v>
      </c>
      <c r="BW357" s="136">
        <f t="shared" si="69"/>
        <v>0</v>
      </c>
      <c r="BX357" s="136">
        <f t="shared" si="67"/>
        <v>0</v>
      </c>
      <c r="BZ357" s="136">
        <f t="shared" si="87"/>
        <v>0</v>
      </c>
      <c r="CA357" s="136">
        <f t="shared" si="87"/>
        <v>0</v>
      </c>
    </row>
    <row r="358" spans="12:79" hidden="1" x14ac:dyDescent="0.3">
      <c r="L358" s="136">
        <f t="shared" si="84"/>
        <v>0</v>
      </c>
      <c r="M358" s="136">
        <f t="shared" si="84"/>
        <v>0</v>
      </c>
      <c r="N358" s="136">
        <f t="shared" si="84"/>
        <v>0</v>
      </c>
      <c r="O358" s="136">
        <f t="shared" si="84"/>
        <v>0</v>
      </c>
      <c r="P358" s="136">
        <f t="shared" si="84"/>
        <v>0</v>
      </c>
      <c r="Q358" s="136">
        <f t="shared" si="84"/>
        <v>0</v>
      </c>
      <c r="R358" s="136">
        <f t="shared" si="84"/>
        <v>0</v>
      </c>
      <c r="S358" s="136">
        <f t="shared" si="84"/>
        <v>0</v>
      </c>
      <c r="T358" s="136">
        <f t="shared" si="84"/>
        <v>0</v>
      </c>
      <c r="U358" s="136">
        <f t="shared" si="84"/>
        <v>0</v>
      </c>
      <c r="V358" s="136">
        <f t="shared" si="84"/>
        <v>0</v>
      </c>
      <c r="W358" s="136">
        <f t="shared" si="84"/>
        <v>0</v>
      </c>
      <c r="X358" s="136">
        <f t="shared" si="84"/>
        <v>0</v>
      </c>
      <c r="Y358" s="136">
        <f t="shared" si="84"/>
        <v>0</v>
      </c>
      <c r="Z358" s="136">
        <f t="shared" si="84"/>
        <v>0</v>
      </c>
      <c r="AA358" s="136">
        <f t="shared" si="84"/>
        <v>0</v>
      </c>
      <c r="AB358" s="136">
        <f t="shared" ref="AB358:AQ373" si="90">AB207-CT207</f>
        <v>0</v>
      </c>
      <c r="AC358" s="136">
        <f t="shared" si="90"/>
        <v>0</v>
      </c>
      <c r="AD358" s="136">
        <f t="shared" si="90"/>
        <v>0</v>
      </c>
      <c r="AE358" s="136">
        <f t="shared" si="90"/>
        <v>0</v>
      </c>
      <c r="AF358" s="136">
        <f t="shared" si="90"/>
        <v>0</v>
      </c>
      <c r="AG358" s="136">
        <f t="shared" si="90"/>
        <v>0</v>
      </c>
      <c r="AH358" s="136">
        <f t="shared" si="90"/>
        <v>0</v>
      </c>
      <c r="AI358" s="136">
        <f t="shared" si="90"/>
        <v>0</v>
      </c>
      <c r="AJ358" s="136">
        <f t="shared" si="90"/>
        <v>0</v>
      </c>
      <c r="AK358" s="136">
        <f t="shared" si="90"/>
        <v>0</v>
      </c>
      <c r="AL358" s="136">
        <f t="shared" si="90"/>
        <v>0</v>
      </c>
      <c r="AM358" s="136">
        <f t="shared" si="90"/>
        <v>0</v>
      </c>
      <c r="AN358" s="136">
        <f t="shared" si="90"/>
        <v>0</v>
      </c>
      <c r="AO358" s="136">
        <f t="shared" si="90"/>
        <v>0</v>
      </c>
      <c r="AP358" s="136">
        <f t="shared" si="90"/>
        <v>0</v>
      </c>
      <c r="AQ358" s="136">
        <f t="shared" si="85"/>
        <v>0</v>
      </c>
      <c r="AR358" s="136">
        <f t="shared" si="85"/>
        <v>0</v>
      </c>
      <c r="AS358" s="136">
        <f t="shared" si="85"/>
        <v>0</v>
      </c>
      <c r="AT358" s="136">
        <f t="shared" si="85"/>
        <v>0</v>
      </c>
      <c r="AU358" s="136">
        <f t="shared" si="85"/>
        <v>0</v>
      </c>
      <c r="AV358" s="136">
        <f t="shared" si="85"/>
        <v>0</v>
      </c>
      <c r="AW358" s="136">
        <f t="shared" si="85"/>
        <v>0</v>
      </c>
      <c r="AX358" s="136">
        <f t="shared" si="85"/>
        <v>0</v>
      </c>
      <c r="AY358" s="136">
        <f t="shared" si="85"/>
        <v>0</v>
      </c>
      <c r="AZ358" s="136">
        <f t="shared" si="85"/>
        <v>0</v>
      </c>
      <c r="BA358" s="136">
        <f t="shared" si="85"/>
        <v>0</v>
      </c>
      <c r="BB358" s="136">
        <f t="shared" si="85"/>
        <v>0</v>
      </c>
      <c r="BC358" s="136">
        <f t="shared" si="85"/>
        <v>0</v>
      </c>
      <c r="BD358" s="136">
        <f t="shared" si="85"/>
        <v>0</v>
      </c>
      <c r="BE358" s="136">
        <f t="shared" si="85"/>
        <v>0</v>
      </c>
      <c r="BF358" s="136">
        <f t="shared" si="85"/>
        <v>0</v>
      </c>
      <c r="BG358" s="136">
        <f t="shared" si="89"/>
        <v>0</v>
      </c>
      <c r="BH358" s="136">
        <f t="shared" si="88"/>
        <v>0</v>
      </c>
      <c r="BI358" s="136">
        <f t="shared" si="88"/>
        <v>0</v>
      </c>
      <c r="BJ358" s="136">
        <f t="shared" si="88"/>
        <v>0</v>
      </c>
      <c r="BK358" s="136">
        <f t="shared" si="88"/>
        <v>0</v>
      </c>
      <c r="BL358" s="136">
        <f t="shared" si="88"/>
        <v>0</v>
      </c>
      <c r="BM358" s="136">
        <f t="shared" si="88"/>
        <v>0</v>
      </c>
      <c r="BN358" s="136">
        <f t="shared" si="88"/>
        <v>0</v>
      </c>
      <c r="BO358" s="136">
        <f t="shared" si="88"/>
        <v>0</v>
      </c>
      <c r="BP358" s="136">
        <f t="shared" si="88"/>
        <v>0</v>
      </c>
      <c r="BQ358" s="136">
        <f t="shared" si="88"/>
        <v>0</v>
      </c>
      <c r="BR358" s="136">
        <f t="shared" si="88"/>
        <v>0</v>
      </c>
      <c r="BS358" s="136">
        <f t="shared" si="88"/>
        <v>0</v>
      </c>
      <c r="BT358" s="136">
        <f t="shared" si="88"/>
        <v>0</v>
      </c>
      <c r="BU358" s="136">
        <f t="shared" si="88"/>
        <v>0</v>
      </c>
      <c r="BV358" s="136">
        <f t="shared" si="86"/>
        <v>0</v>
      </c>
      <c r="BW358" s="136">
        <f t="shared" si="69"/>
        <v>0</v>
      </c>
      <c r="BX358" s="136">
        <f t="shared" si="67"/>
        <v>0</v>
      </c>
      <c r="BZ358" s="136">
        <f t="shared" si="87"/>
        <v>0</v>
      </c>
      <c r="CA358" s="136">
        <f t="shared" si="87"/>
        <v>0</v>
      </c>
    </row>
    <row r="359" spans="12:79" hidden="1" x14ac:dyDescent="0.3">
      <c r="L359" s="136">
        <f t="shared" ref="L359:AA374" si="91">L208-CD208</f>
        <v>0</v>
      </c>
      <c r="M359" s="136">
        <f t="shared" si="91"/>
        <v>0</v>
      </c>
      <c r="N359" s="136">
        <f t="shared" si="91"/>
        <v>0</v>
      </c>
      <c r="O359" s="136">
        <f t="shared" si="91"/>
        <v>0</v>
      </c>
      <c r="P359" s="136">
        <f t="shared" si="91"/>
        <v>0</v>
      </c>
      <c r="Q359" s="136">
        <f t="shared" si="91"/>
        <v>0</v>
      </c>
      <c r="R359" s="136">
        <f t="shared" si="91"/>
        <v>0</v>
      </c>
      <c r="S359" s="136">
        <f t="shared" si="91"/>
        <v>0</v>
      </c>
      <c r="T359" s="136">
        <f t="shared" si="91"/>
        <v>0</v>
      </c>
      <c r="U359" s="136">
        <f t="shared" si="91"/>
        <v>0</v>
      </c>
      <c r="V359" s="136">
        <f t="shared" si="91"/>
        <v>0</v>
      </c>
      <c r="W359" s="136">
        <f t="shared" si="91"/>
        <v>0</v>
      </c>
      <c r="X359" s="136">
        <f t="shared" si="91"/>
        <v>0</v>
      </c>
      <c r="Y359" s="136">
        <f t="shared" si="91"/>
        <v>0</v>
      </c>
      <c r="Z359" s="136">
        <f t="shared" si="91"/>
        <v>0</v>
      </c>
      <c r="AA359" s="136">
        <f t="shared" si="91"/>
        <v>0</v>
      </c>
      <c r="AB359" s="136">
        <f t="shared" si="90"/>
        <v>0</v>
      </c>
      <c r="AC359" s="136">
        <f t="shared" si="90"/>
        <v>0</v>
      </c>
      <c r="AD359" s="136">
        <f t="shared" si="90"/>
        <v>0</v>
      </c>
      <c r="AE359" s="136">
        <f t="shared" si="90"/>
        <v>0</v>
      </c>
      <c r="AF359" s="136">
        <f t="shared" si="90"/>
        <v>0</v>
      </c>
      <c r="AG359" s="136">
        <f t="shared" si="90"/>
        <v>0</v>
      </c>
      <c r="AH359" s="136">
        <f t="shared" si="90"/>
        <v>0</v>
      </c>
      <c r="AI359" s="136">
        <f t="shared" si="90"/>
        <v>0</v>
      </c>
      <c r="AJ359" s="136">
        <f t="shared" si="90"/>
        <v>0</v>
      </c>
      <c r="AK359" s="136">
        <f t="shared" si="90"/>
        <v>0</v>
      </c>
      <c r="AL359" s="136">
        <f t="shared" si="90"/>
        <v>0</v>
      </c>
      <c r="AM359" s="136">
        <f t="shared" si="90"/>
        <v>0</v>
      </c>
      <c r="AN359" s="136">
        <f t="shared" si="90"/>
        <v>0</v>
      </c>
      <c r="AO359" s="136">
        <f t="shared" si="90"/>
        <v>0</v>
      </c>
      <c r="AP359" s="136">
        <f t="shared" si="90"/>
        <v>0</v>
      </c>
      <c r="AQ359" s="136">
        <f t="shared" si="85"/>
        <v>0</v>
      </c>
      <c r="AR359" s="136">
        <f t="shared" si="85"/>
        <v>0</v>
      </c>
      <c r="AS359" s="136">
        <f t="shared" si="85"/>
        <v>0</v>
      </c>
      <c r="AT359" s="136">
        <f t="shared" si="85"/>
        <v>0</v>
      </c>
      <c r="AU359" s="136">
        <f t="shared" si="85"/>
        <v>0</v>
      </c>
      <c r="AV359" s="136">
        <f t="shared" si="85"/>
        <v>0</v>
      </c>
      <c r="AW359" s="136">
        <f t="shared" si="85"/>
        <v>0</v>
      </c>
      <c r="AX359" s="136">
        <f t="shared" si="85"/>
        <v>0</v>
      </c>
      <c r="AY359" s="136">
        <f t="shared" si="85"/>
        <v>0</v>
      </c>
      <c r="AZ359" s="136">
        <f t="shared" si="85"/>
        <v>0</v>
      </c>
      <c r="BA359" s="136">
        <f t="shared" si="85"/>
        <v>0</v>
      </c>
      <c r="BB359" s="136">
        <f t="shared" si="85"/>
        <v>0</v>
      </c>
      <c r="BC359" s="136">
        <f t="shared" si="85"/>
        <v>0</v>
      </c>
      <c r="BD359" s="136">
        <f t="shared" si="85"/>
        <v>0</v>
      </c>
      <c r="BE359" s="136">
        <f t="shared" si="85"/>
        <v>0</v>
      </c>
      <c r="BF359" s="136">
        <f t="shared" si="85"/>
        <v>0</v>
      </c>
      <c r="BG359" s="136">
        <f t="shared" si="89"/>
        <v>0</v>
      </c>
      <c r="BH359" s="136">
        <f t="shared" si="88"/>
        <v>0</v>
      </c>
      <c r="BI359" s="136">
        <f t="shared" si="88"/>
        <v>0</v>
      </c>
      <c r="BJ359" s="136">
        <f t="shared" si="88"/>
        <v>0</v>
      </c>
      <c r="BK359" s="136">
        <f t="shared" si="88"/>
        <v>0</v>
      </c>
      <c r="BL359" s="136">
        <f t="shared" si="88"/>
        <v>0</v>
      </c>
      <c r="BM359" s="136">
        <f t="shared" si="88"/>
        <v>0</v>
      </c>
      <c r="BN359" s="136">
        <f t="shared" si="88"/>
        <v>0</v>
      </c>
      <c r="BO359" s="136">
        <f t="shared" si="88"/>
        <v>0</v>
      </c>
      <c r="BP359" s="136">
        <f t="shared" si="88"/>
        <v>0</v>
      </c>
      <c r="BQ359" s="136">
        <f t="shared" si="88"/>
        <v>0</v>
      </c>
      <c r="BR359" s="136">
        <f t="shared" si="88"/>
        <v>0</v>
      </c>
      <c r="BS359" s="136">
        <f t="shared" si="88"/>
        <v>0</v>
      </c>
      <c r="BT359" s="136">
        <f t="shared" si="88"/>
        <v>0</v>
      </c>
      <c r="BU359" s="136">
        <f t="shared" si="88"/>
        <v>0</v>
      </c>
      <c r="BV359" s="136">
        <f t="shared" si="86"/>
        <v>0</v>
      </c>
      <c r="BW359" s="136">
        <f t="shared" si="69"/>
        <v>0</v>
      </c>
      <c r="BX359" s="136">
        <f t="shared" si="67"/>
        <v>0</v>
      </c>
      <c r="BZ359" s="136">
        <f t="shared" si="87"/>
        <v>0</v>
      </c>
      <c r="CA359" s="136">
        <f t="shared" si="87"/>
        <v>0</v>
      </c>
    </row>
    <row r="360" spans="12:79" hidden="1" x14ac:dyDescent="0.3">
      <c r="L360" s="136">
        <f t="shared" si="91"/>
        <v>0</v>
      </c>
      <c r="M360" s="136">
        <f t="shared" si="91"/>
        <v>0</v>
      </c>
      <c r="N360" s="136">
        <f t="shared" si="91"/>
        <v>0</v>
      </c>
      <c r="O360" s="136">
        <f t="shared" si="91"/>
        <v>0</v>
      </c>
      <c r="P360" s="136">
        <f t="shared" si="91"/>
        <v>0</v>
      </c>
      <c r="Q360" s="136">
        <f t="shared" si="91"/>
        <v>0</v>
      </c>
      <c r="R360" s="136">
        <f t="shared" si="91"/>
        <v>0</v>
      </c>
      <c r="S360" s="136">
        <f t="shared" si="91"/>
        <v>0</v>
      </c>
      <c r="T360" s="136">
        <f t="shared" si="91"/>
        <v>0</v>
      </c>
      <c r="U360" s="136">
        <f t="shared" si="91"/>
        <v>0</v>
      </c>
      <c r="V360" s="136">
        <f t="shared" si="91"/>
        <v>0</v>
      </c>
      <c r="W360" s="136">
        <f t="shared" si="91"/>
        <v>0</v>
      </c>
      <c r="X360" s="136">
        <f t="shared" si="91"/>
        <v>0</v>
      </c>
      <c r="Y360" s="136">
        <f t="shared" si="91"/>
        <v>0</v>
      </c>
      <c r="Z360" s="136">
        <f t="shared" si="91"/>
        <v>0</v>
      </c>
      <c r="AA360" s="136">
        <f t="shared" si="91"/>
        <v>0</v>
      </c>
      <c r="AB360" s="136">
        <f t="shared" si="90"/>
        <v>0</v>
      </c>
      <c r="AC360" s="136">
        <f t="shared" si="90"/>
        <v>0</v>
      </c>
      <c r="AD360" s="136">
        <f t="shared" si="90"/>
        <v>0</v>
      </c>
      <c r="AE360" s="136">
        <f t="shared" si="90"/>
        <v>0</v>
      </c>
      <c r="AF360" s="136">
        <f t="shared" si="90"/>
        <v>0</v>
      </c>
      <c r="AG360" s="136">
        <f t="shared" si="90"/>
        <v>0</v>
      </c>
      <c r="AH360" s="136">
        <f t="shared" si="90"/>
        <v>0</v>
      </c>
      <c r="AI360" s="136">
        <f t="shared" si="90"/>
        <v>0</v>
      </c>
      <c r="AJ360" s="136">
        <f t="shared" si="90"/>
        <v>0</v>
      </c>
      <c r="AK360" s="136">
        <f t="shared" si="90"/>
        <v>0</v>
      </c>
      <c r="AL360" s="136">
        <f t="shared" si="90"/>
        <v>0</v>
      </c>
      <c r="AM360" s="136">
        <f t="shared" si="90"/>
        <v>0</v>
      </c>
      <c r="AN360" s="136">
        <f t="shared" si="90"/>
        <v>0</v>
      </c>
      <c r="AO360" s="136">
        <f t="shared" si="90"/>
        <v>0</v>
      </c>
      <c r="AP360" s="136">
        <f t="shared" si="90"/>
        <v>0</v>
      </c>
      <c r="AQ360" s="136">
        <f t="shared" si="85"/>
        <v>0</v>
      </c>
      <c r="AR360" s="136">
        <f t="shared" si="85"/>
        <v>0</v>
      </c>
      <c r="AS360" s="136">
        <f t="shared" si="85"/>
        <v>0</v>
      </c>
      <c r="AT360" s="136">
        <f t="shared" si="85"/>
        <v>0</v>
      </c>
      <c r="AU360" s="136">
        <f t="shared" si="85"/>
        <v>0</v>
      </c>
      <c r="AV360" s="136">
        <f t="shared" si="85"/>
        <v>0</v>
      </c>
      <c r="AW360" s="136">
        <f t="shared" si="85"/>
        <v>0</v>
      </c>
      <c r="AX360" s="136">
        <f t="shared" si="85"/>
        <v>0</v>
      </c>
      <c r="AY360" s="136">
        <f t="shared" si="85"/>
        <v>0</v>
      </c>
      <c r="AZ360" s="136">
        <f t="shared" si="85"/>
        <v>0</v>
      </c>
      <c r="BA360" s="136">
        <f t="shared" si="85"/>
        <v>0</v>
      </c>
      <c r="BB360" s="136">
        <f t="shared" si="85"/>
        <v>0</v>
      </c>
      <c r="BC360" s="136">
        <f t="shared" si="85"/>
        <v>0</v>
      </c>
      <c r="BD360" s="136">
        <f t="shared" si="85"/>
        <v>0</v>
      </c>
      <c r="BE360" s="136">
        <f t="shared" si="85"/>
        <v>0</v>
      </c>
      <c r="BF360" s="136">
        <f t="shared" si="85"/>
        <v>0</v>
      </c>
      <c r="BG360" s="136">
        <f t="shared" si="89"/>
        <v>0</v>
      </c>
      <c r="BH360" s="136">
        <f t="shared" si="88"/>
        <v>0</v>
      </c>
      <c r="BI360" s="136">
        <f t="shared" si="88"/>
        <v>0</v>
      </c>
      <c r="BJ360" s="136">
        <f t="shared" si="88"/>
        <v>0</v>
      </c>
      <c r="BK360" s="136">
        <f t="shared" si="88"/>
        <v>0</v>
      </c>
      <c r="BL360" s="136">
        <f t="shared" si="88"/>
        <v>0</v>
      </c>
      <c r="BM360" s="136">
        <f t="shared" si="88"/>
        <v>0</v>
      </c>
      <c r="BN360" s="136">
        <f t="shared" si="88"/>
        <v>0</v>
      </c>
      <c r="BO360" s="136">
        <f t="shared" si="88"/>
        <v>0</v>
      </c>
      <c r="BP360" s="136">
        <f t="shared" si="88"/>
        <v>0</v>
      </c>
      <c r="BQ360" s="136">
        <f t="shared" si="88"/>
        <v>0</v>
      </c>
      <c r="BR360" s="136">
        <f t="shared" si="88"/>
        <v>0</v>
      </c>
      <c r="BS360" s="136">
        <f t="shared" si="88"/>
        <v>0</v>
      </c>
      <c r="BT360" s="136">
        <f t="shared" si="88"/>
        <v>0</v>
      </c>
      <c r="BU360" s="136">
        <f t="shared" si="88"/>
        <v>0</v>
      </c>
      <c r="BV360" s="136">
        <f t="shared" si="86"/>
        <v>0</v>
      </c>
      <c r="BW360" s="136">
        <f t="shared" si="69"/>
        <v>0</v>
      </c>
      <c r="BX360" s="136">
        <f t="shared" si="67"/>
        <v>0</v>
      </c>
      <c r="BZ360" s="136">
        <f t="shared" si="87"/>
        <v>0</v>
      </c>
      <c r="CA360" s="136">
        <f t="shared" si="87"/>
        <v>0</v>
      </c>
    </row>
    <row r="361" spans="12:79" hidden="1" x14ac:dyDescent="0.3">
      <c r="L361" s="136">
        <f t="shared" si="91"/>
        <v>0</v>
      </c>
      <c r="M361" s="136">
        <f t="shared" si="91"/>
        <v>0</v>
      </c>
      <c r="N361" s="136">
        <f t="shared" si="91"/>
        <v>0</v>
      </c>
      <c r="O361" s="136">
        <f t="shared" si="91"/>
        <v>0</v>
      </c>
      <c r="P361" s="136">
        <f t="shared" si="91"/>
        <v>0</v>
      </c>
      <c r="Q361" s="136">
        <f t="shared" si="91"/>
        <v>0</v>
      </c>
      <c r="R361" s="136">
        <f t="shared" si="91"/>
        <v>0</v>
      </c>
      <c r="S361" s="136">
        <f t="shared" si="91"/>
        <v>0</v>
      </c>
      <c r="T361" s="136">
        <f t="shared" si="91"/>
        <v>0</v>
      </c>
      <c r="U361" s="136">
        <f t="shared" si="91"/>
        <v>0</v>
      </c>
      <c r="V361" s="136">
        <f t="shared" si="91"/>
        <v>0</v>
      </c>
      <c r="W361" s="136">
        <f t="shared" si="91"/>
        <v>0</v>
      </c>
      <c r="X361" s="136">
        <f t="shared" si="91"/>
        <v>0</v>
      </c>
      <c r="Y361" s="136">
        <f t="shared" si="91"/>
        <v>0</v>
      </c>
      <c r="Z361" s="136">
        <f t="shared" si="91"/>
        <v>0</v>
      </c>
      <c r="AA361" s="136">
        <f t="shared" si="91"/>
        <v>0</v>
      </c>
      <c r="AB361" s="136">
        <f t="shared" si="90"/>
        <v>0</v>
      </c>
      <c r="AC361" s="136">
        <f t="shared" si="90"/>
        <v>0</v>
      </c>
      <c r="AD361" s="136">
        <f t="shared" si="90"/>
        <v>0</v>
      </c>
      <c r="AE361" s="136">
        <f t="shared" si="90"/>
        <v>0</v>
      </c>
      <c r="AF361" s="136">
        <f t="shared" si="90"/>
        <v>0</v>
      </c>
      <c r="AG361" s="136">
        <f t="shared" si="90"/>
        <v>0</v>
      </c>
      <c r="AH361" s="136">
        <f t="shared" si="90"/>
        <v>0</v>
      </c>
      <c r="AI361" s="136">
        <f t="shared" si="90"/>
        <v>0</v>
      </c>
      <c r="AJ361" s="136">
        <f t="shared" si="90"/>
        <v>0</v>
      </c>
      <c r="AK361" s="136">
        <f t="shared" si="90"/>
        <v>0</v>
      </c>
      <c r="AL361" s="136">
        <f t="shared" si="90"/>
        <v>0</v>
      </c>
      <c r="AM361" s="136">
        <f t="shared" si="90"/>
        <v>0</v>
      </c>
      <c r="AN361" s="136">
        <f t="shared" si="90"/>
        <v>0</v>
      </c>
      <c r="AO361" s="136">
        <f t="shared" si="90"/>
        <v>0</v>
      </c>
      <c r="AP361" s="136">
        <f t="shared" si="90"/>
        <v>0</v>
      </c>
      <c r="AQ361" s="136">
        <f t="shared" si="85"/>
        <v>0</v>
      </c>
      <c r="AR361" s="136">
        <f t="shared" si="85"/>
        <v>0</v>
      </c>
      <c r="AS361" s="136">
        <f t="shared" si="85"/>
        <v>0</v>
      </c>
      <c r="AT361" s="136">
        <f t="shared" si="85"/>
        <v>0</v>
      </c>
      <c r="AU361" s="136">
        <f t="shared" si="85"/>
        <v>0</v>
      </c>
      <c r="AV361" s="136">
        <f t="shared" si="85"/>
        <v>0</v>
      </c>
      <c r="AW361" s="136">
        <f t="shared" si="85"/>
        <v>0</v>
      </c>
      <c r="AX361" s="136">
        <f t="shared" si="85"/>
        <v>0</v>
      </c>
      <c r="AY361" s="136">
        <f t="shared" si="85"/>
        <v>0</v>
      </c>
      <c r="AZ361" s="136">
        <f t="shared" si="85"/>
        <v>0</v>
      </c>
      <c r="BA361" s="136">
        <f t="shared" si="85"/>
        <v>0</v>
      </c>
      <c r="BB361" s="136">
        <f t="shared" si="85"/>
        <v>0</v>
      </c>
      <c r="BC361" s="136">
        <f t="shared" si="85"/>
        <v>0</v>
      </c>
      <c r="BD361" s="136">
        <f t="shared" si="85"/>
        <v>0</v>
      </c>
      <c r="BE361" s="136">
        <f t="shared" si="85"/>
        <v>0</v>
      </c>
      <c r="BF361" s="136">
        <f t="shared" si="85"/>
        <v>0</v>
      </c>
      <c r="BG361" s="136">
        <f t="shared" si="89"/>
        <v>0</v>
      </c>
      <c r="BH361" s="136">
        <f t="shared" si="88"/>
        <v>0</v>
      </c>
      <c r="BI361" s="136">
        <f t="shared" si="88"/>
        <v>0</v>
      </c>
      <c r="BJ361" s="136">
        <f t="shared" si="88"/>
        <v>0</v>
      </c>
      <c r="BK361" s="136">
        <f t="shared" si="88"/>
        <v>0</v>
      </c>
      <c r="BL361" s="136">
        <f t="shared" si="88"/>
        <v>0</v>
      </c>
      <c r="BM361" s="136">
        <f t="shared" si="88"/>
        <v>0</v>
      </c>
      <c r="BN361" s="136">
        <f t="shared" si="88"/>
        <v>0</v>
      </c>
      <c r="BO361" s="136">
        <f t="shared" si="88"/>
        <v>0</v>
      </c>
      <c r="BP361" s="136">
        <f t="shared" si="88"/>
        <v>0</v>
      </c>
      <c r="BQ361" s="136">
        <f t="shared" si="88"/>
        <v>0</v>
      </c>
      <c r="BR361" s="136">
        <f t="shared" si="88"/>
        <v>0</v>
      </c>
      <c r="BS361" s="136">
        <f t="shared" si="88"/>
        <v>0</v>
      </c>
      <c r="BT361" s="136">
        <f t="shared" si="88"/>
        <v>0</v>
      </c>
      <c r="BU361" s="136">
        <f t="shared" si="88"/>
        <v>0</v>
      </c>
      <c r="BV361" s="136">
        <f t="shared" si="86"/>
        <v>0</v>
      </c>
      <c r="BW361" s="136">
        <f t="shared" si="69"/>
        <v>0</v>
      </c>
      <c r="BX361" s="136">
        <f t="shared" si="67"/>
        <v>0</v>
      </c>
      <c r="BZ361" s="136">
        <f t="shared" si="87"/>
        <v>0</v>
      </c>
      <c r="CA361" s="136">
        <f t="shared" si="87"/>
        <v>0</v>
      </c>
    </row>
    <row r="362" spans="12:79" hidden="1" x14ac:dyDescent="0.3">
      <c r="L362" s="136">
        <f t="shared" si="91"/>
        <v>0</v>
      </c>
      <c r="M362" s="136">
        <f t="shared" si="91"/>
        <v>0</v>
      </c>
      <c r="N362" s="136">
        <f t="shared" si="91"/>
        <v>0</v>
      </c>
      <c r="O362" s="136">
        <f t="shared" si="91"/>
        <v>0</v>
      </c>
      <c r="P362" s="136">
        <f t="shared" si="91"/>
        <v>0</v>
      </c>
      <c r="Q362" s="136">
        <f t="shared" si="91"/>
        <v>0</v>
      </c>
      <c r="R362" s="136">
        <f t="shared" si="91"/>
        <v>0</v>
      </c>
      <c r="S362" s="136">
        <f t="shared" si="91"/>
        <v>0</v>
      </c>
      <c r="T362" s="136">
        <f t="shared" si="91"/>
        <v>0</v>
      </c>
      <c r="U362" s="136">
        <f t="shared" si="91"/>
        <v>0</v>
      </c>
      <c r="V362" s="136">
        <f t="shared" si="91"/>
        <v>0</v>
      </c>
      <c r="W362" s="136">
        <f t="shared" si="91"/>
        <v>0</v>
      </c>
      <c r="X362" s="136">
        <f t="shared" si="91"/>
        <v>0</v>
      </c>
      <c r="Y362" s="136">
        <f t="shared" si="91"/>
        <v>0</v>
      </c>
      <c r="Z362" s="136">
        <f t="shared" si="91"/>
        <v>0</v>
      </c>
      <c r="AA362" s="136">
        <f t="shared" si="91"/>
        <v>0</v>
      </c>
      <c r="AB362" s="136">
        <f t="shared" si="90"/>
        <v>0</v>
      </c>
      <c r="AC362" s="136">
        <f t="shared" si="90"/>
        <v>0</v>
      </c>
      <c r="AD362" s="136">
        <f t="shared" si="90"/>
        <v>0</v>
      </c>
      <c r="AE362" s="136">
        <f t="shared" si="90"/>
        <v>0</v>
      </c>
      <c r="AF362" s="136">
        <f t="shared" si="90"/>
        <v>0</v>
      </c>
      <c r="AG362" s="136">
        <f t="shared" si="90"/>
        <v>0</v>
      </c>
      <c r="AH362" s="136">
        <f t="shared" si="90"/>
        <v>0</v>
      </c>
      <c r="AI362" s="136">
        <f t="shared" si="90"/>
        <v>0</v>
      </c>
      <c r="AJ362" s="136">
        <f t="shared" si="90"/>
        <v>0</v>
      </c>
      <c r="AK362" s="136">
        <f t="shared" si="90"/>
        <v>0</v>
      </c>
      <c r="AL362" s="136">
        <f t="shared" si="90"/>
        <v>0</v>
      </c>
      <c r="AM362" s="136">
        <f t="shared" si="90"/>
        <v>0</v>
      </c>
      <c r="AN362" s="136">
        <f t="shared" si="90"/>
        <v>0</v>
      </c>
      <c r="AO362" s="136">
        <f t="shared" si="90"/>
        <v>0</v>
      </c>
      <c r="AP362" s="136">
        <f t="shared" si="90"/>
        <v>0</v>
      </c>
      <c r="AQ362" s="136">
        <f t="shared" si="90"/>
        <v>0</v>
      </c>
      <c r="AR362" s="136">
        <f t="shared" ref="AR362:BG374" si="92">AR211-DJ211</f>
        <v>0</v>
      </c>
      <c r="AS362" s="136">
        <f t="shared" si="92"/>
        <v>0</v>
      </c>
      <c r="AT362" s="136">
        <f t="shared" si="92"/>
        <v>0</v>
      </c>
      <c r="AU362" s="136">
        <f t="shared" si="92"/>
        <v>0</v>
      </c>
      <c r="AV362" s="136">
        <f t="shared" si="92"/>
        <v>0</v>
      </c>
      <c r="AW362" s="136">
        <f t="shared" si="92"/>
        <v>0</v>
      </c>
      <c r="AX362" s="136">
        <f t="shared" si="92"/>
        <v>0</v>
      </c>
      <c r="AY362" s="136">
        <f t="shared" si="92"/>
        <v>0</v>
      </c>
      <c r="AZ362" s="136">
        <f t="shared" si="92"/>
        <v>0</v>
      </c>
      <c r="BA362" s="136">
        <f t="shared" si="92"/>
        <v>0</v>
      </c>
      <c r="BB362" s="136">
        <f t="shared" si="92"/>
        <v>0</v>
      </c>
      <c r="BC362" s="136">
        <f t="shared" si="92"/>
        <v>0</v>
      </c>
      <c r="BD362" s="136">
        <f t="shared" si="92"/>
        <v>0</v>
      </c>
      <c r="BE362" s="136">
        <f t="shared" si="92"/>
        <v>0</v>
      </c>
      <c r="BF362" s="136">
        <f t="shared" si="92"/>
        <v>0</v>
      </c>
      <c r="BG362" s="136">
        <f t="shared" si="89"/>
        <v>0</v>
      </c>
      <c r="BH362" s="136">
        <f t="shared" si="88"/>
        <v>0</v>
      </c>
      <c r="BI362" s="136">
        <f t="shared" si="88"/>
        <v>0</v>
      </c>
      <c r="BJ362" s="136">
        <f t="shared" si="88"/>
        <v>0</v>
      </c>
      <c r="BK362" s="136">
        <f t="shared" si="88"/>
        <v>0</v>
      </c>
      <c r="BL362" s="136">
        <f t="shared" si="88"/>
        <v>0</v>
      </c>
      <c r="BM362" s="136">
        <f t="shared" si="88"/>
        <v>0</v>
      </c>
      <c r="BN362" s="136">
        <f t="shared" si="88"/>
        <v>0</v>
      </c>
      <c r="BO362" s="136">
        <f t="shared" si="88"/>
        <v>0</v>
      </c>
      <c r="BP362" s="136">
        <f t="shared" si="88"/>
        <v>0</v>
      </c>
      <c r="BQ362" s="136">
        <f t="shared" si="88"/>
        <v>0</v>
      </c>
      <c r="BR362" s="136">
        <f t="shared" si="88"/>
        <v>0</v>
      </c>
      <c r="BS362" s="136">
        <f t="shared" si="88"/>
        <v>0</v>
      </c>
      <c r="BT362" s="136">
        <f t="shared" si="88"/>
        <v>0</v>
      </c>
      <c r="BU362" s="136">
        <f t="shared" si="88"/>
        <v>0</v>
      </c>
      <c r="BV362" s="136">
        <f t="shared" si="86"/>
        <v>0</v>
      </c>
      <c r="BW362" s="136">
        <f t="shared" si="69"/>
        <v>0</v>
      </c>
      <c r="BX362" s="136">
        <f t="shared" si="67"/>
        <v>0</v>
      </c>
      <c r="BZ362" s="136">
        <f t="shared" si="87"/>
        <v>0</v>
      </c>
      <c r="CA362" s="136">
        <f t="shared" si="87"/>
        <v>0</v>
      </c>
    </row>
    <row r="363" spans="12:79" hidden="1" x14ac:dyDescent="0.3">
      <c r="L363" s="136">
        <f t="shared" si="91"/>
        <v>0</v>
      </c>
      <c r="M363" s="136">
        <f t="shared" si="91"/>
        <v>0</v>
      </c>
      <c r="N363" s="136">
        <f t="shared" si="91"/>
        <v>0</v>
      </c>
      <c r="O363" s="136">
        <f t="shared" si="91"/>
        <v>0</v>
      </c>
      <c r="P363" s="136">
        <f t="shared" si="91"/>
        <v>0</v>
      </c>
      <c r="Q363" s="136">
        <f t="shared" si="91"/>
        <v>0</v>
      </c>
      <c r="R363" s="136">
        <f t="shared" si="91"/>
        <v>0</v>
      </c>
      <c r="S363" s="136">
        <f t="shared" si="91"/>
        <v>0</v>
      </c>
      <c r="T363" s="136">
        <f t="shared" si="91"/>
        <v>0</v>
      </c>
      <c r="U363" s="136">
        <f t="shared" si="91"/>
        <v>0</v>
      </c>
      <c r="V363" s="136">
        <f t="shared" si="91"/>
        <v>0</v>
      </c>
      <c r="W363" s="136">
        <f t="shared" si="91"/>
        <v>0</v>
      </c>
      <c r="X363" s="136">
        <f t="shared" si="91"/>
        <v>0</v>
      </c>
      <c r="Y363" s="136">
        <f t="shared" si="91"/>
        <v>0</v>
      </c>
      <c r="Z363" s="136">
        <f t="shared" si="91"/>
        <v>0</v>
      </c>
      <c r="AA363" s="136">
        <f t="shared" si="91"/>
        <v>0</v>
      </c>
      <c r="AB363" s="136">
        <f t="shared" si="90"/>
        <v>0</v>
      </c>
      <c r="AC363" s="136">
        <f t="shared" si="90"/>
        <v>0</v>
      </c>
      <c r="AD363" s="136">
        <f t="shared" si="90"/>
        <v>0</v>
      </c>
      <c r="AE363" s="136">
        <f t="shared" si="90"/>
        <v>0</v>
      </c>
      <c r="AF363" s="136">
        <f t="shared" si="90"/>
        <v>0</v>
      </c>
      <c r="AG363" s="136">
        <f t="shared" si="90"/>
        <v>0</v>
      </c>
      <c r="AH363" s="136">
        <f t="shared" si="90"/>
        <v>0</v>
      </c>
      <c r="AI363" s="136">
        <f t="shared" si="90"/>
        <v>0</v>
      </c>
      <c r="AJ363" s="136">
        <f t="shared" si="90"/>
        <v>0</v>
      </c>
      <c r="AK363" s="136">
        <f t="shared" si="90"/>
        <v>0</v>
      </c>
      <c r="AL363" s="136">
        <f t="shared" si="90"/>
        <v>0</v>
      </c>
      <c r="AM363" s="136">
        <f t="shared" si="90"/>
        <v>0</v>
      </c>
      <c r="AN363" s="136">
        <f t="shared" si="90"/>
        <v>0</v>
      </c>
      <c r="AO363" s="136">
        <f t="shared" si="90"/>
        <v>0</v>
      </c>
      <c r="AP363" s="136">
        <f t="shared" si="90"/>
        <v>0</v>
      </c>
      <c r="AQ363" s="136">
        <f t="shared" si="90"/>
        <v>0</v>
      </c>
      <c r="AR363" s="136">
        <f t="shared" si="92"/>
        <v>0</v>
      </c>
      <c r="AS363" s="136">
        <f t="shared" si="92"/>
        <v>0</v>
      </c>
      <c r="AT363" s="136">
        <f t="shared" si="92"/>
        <v>0</v>
      </c>
      <c r="AU363" s="136">
        <f t="shared" si="92"/>
        <v>0</v>
      </c>
      <c r="AV363" s="136">
        <f t="shared" si="92"/>
        <v>0</v>
      </c>
      <c r="AW363" s="136">
        <f t="shared" si="92"/>
        <v>0</v>
      </c>
      <c r="AX363" s="136">
        <f t="shared" si="92"/>
        <v>0</v>
      </c>
      <c r="AY363" s="136">
        <f t="shared" si="92"/>
        <v>0</v>
      </c>
      <c r="AZ363" s="136">
        <f t="shared" si="92"/>
        <v>0</v>
      </c>
      <c r="BA363" s="136">
        <f t="shared" si="92"/>
        <v>0</v>
      </c>
      <c r="BB363" s="136">
        <f t="shared" si="92"/>
        <v>0</v>
      </c>
      <c r="BC363" s="136">
        <f t="shared" si="92"/>
        <v>0</v>
      </c>
      <c r="BD363" s="136">
        <f t="shared" si="92"/>
        <v>0</v>
      </c>
      <c r="BE363" s="136">
        <f t="shared" si="92"/>
        <v>0</v>
      </c>
      <c r="BF363" s="136">
        <f t="shared" si="92"/>
        <v>0</v>
      </c>
      <c r="BG363" s="136">
        <f t="shared" si="89"/>
        <v>0</v>
      </c>
      <c r="BH363" s="136">
        <f t="shared" si="88"/>
        <v>0</v>
      </c>
      <c r="BI363" s="136">
        <f t="shared" si="88"/>
        <v>0</v>
      </c>
      <c r="BJ363" s="136">
        <f t="shared" si="88"/>
        <v>0</v>
      </c>
      <c r="BK363" s="136">
        <f t="shared" si="88"/>
        <v>0</v>
      </c>
      <c r="BL363" s="136">
        <f t="shared" si="88"/>
        <v>0</v>
      </c>
      <c r="BM363" s="136">
        <f t="shared" si="88"/>
        <v>0</v>
      </c>
      <c r="BN363" s="136">
        <f t="shared" si="88"/>
        <v>0</v>
      </c>
      <c r="BO363" s="136">
        <f t="shared" si="88"/>
        <v>0</v>
      </c>
      <c r="BP363" s="136">
        <f t="shared" si="88"/>
        <v>0</v>
      </c>
      <c r="BQ363" s="136">
        <f t="shared" si="88"/>
        <v>0</v>
      </c>
      <c r="BR363" s="136">
        <f t="shared" si="88"/>
        <v>0</v>
      </c>
      <c r="BS363" s="136">
        <f t="shared" si="88"/>
        <v>0</v>
      </c>
      <c r="BT363" s="136">
        <f t="shared" si="88"/>
        <v>0</v>
      </c>
      <c r="BU363" s="136">
        <f t="shared" si="88"/>
        <v>0</v>
      </c>
      <c r="BV363" s="136">
        <f t="shared" si="86"/>
        <v>0</v>
      </c>
      <c r="BW363" s="136">
        <f t="shared" si="69"/>
        <v>0</v>
      </c>
      <c r="BX363" s="136">
        <f t="shared" si="67"/>
        <v>0</v>
      </c>
      <c r="BZ363" s="136">
        <f t="shared" si="87"/>
        <v>0</v>
      </c>
      <c r="CA363" s="136">
        <f t="shared" si="87"/>
        <v>0</v>
      </c>
    </row>
    <row r="364" spans="12:79" hidden="1" x14ac:dyDescent="0.3">
      <c r="L364" s="136">
        <f t="shared" si="91"/>
        <v>0</v>
      </c>
      <c r="M364" s="136">
        <f t="shared" si="91"/>
        <v>0</v>
      </c>
      <c r="N364" s="136">
        <f t="shared" si="91"/>
        <v>0</v>
      </c>
      <c r="O364" s="136">
        <f t="shared" si="91"/>
        <v>0</v>
      </c>
      <c r="P364" s="136">
        <f t="shared" si="91"/>
        <v>0</v>
      </c>
      <c r="Q364" s="136">
        <f t="shared" si="91"/>
        <v>0</v>
      </c>
      <c r="R364" s="136">
        <f t="shared" si="91"/>
        <v>0</v>
      </c>
      <c r="S364" s="136">
        <f t="shared" si="91"/>
        <v>0</v>
      </c>
      <c r="T364" s="136">
        <f t="shared" si="91"/>
        <v>0</v>
      </c>
      <c r="U364" s="136">
        <f t="shared" si="91"/>
        <v>0</v>
      </c>
      <c r="V364" s="136">
        <f t="shared" si="91"/>
        <v>0</v>
      </c>
      <c r="W364" s="136">
        <f t="shared" si="91"/>
        <v>0</v>
      </c>
      <c r="X364" s="136">
        <f t="shared" si="91"/>
        <v>0</v>
      </c>
      <c r="Y364" s="136">
        <f t="shared" si="91"/>
        <v>0</v>
      </c>
      <c r="Z364" s="136">
        <f t="shared" si="91"/>
        <v>0</v>
      </c>
      <c r="AA364" s="136">
        <f t="shared" si="91"/>
        <v>0</v>
      </c>
      <c r="AB364" s="136">
        <f t="shared" si="90"/>
        <v>0</v>
      </c>
      <c r="AC364" s="136">
        <f t="shared" si="90"/>
        <v>0</v>
      </c>
      <c r="AD364" s="136">
        <f t="shared" si="90"/>
        <v>0</v>
      </c>
      <c r="AE364" s="136">
        <f t="shared" si="90"/>
        <v>0</v>
      </c>
      <c r="AF364" s="136">
        <f t="shared" si="90"/>
        <v>0</v>
      </c>
      <c r="AG364" s="136">
        <f t="shared" si="90"/>
        <v>0</v>
      </c>
      <c r="AH364" s="136">
        <f t="shared" si="90"/>
        <v>0</v>
      </c>
      <c r="AI364" s="136">
        <f t="shared" si="90"/>
        <v>0</v>
      </c>
      <c r="AJ364" s="136">
        <f t="shared" si="90"/>
        <v>0</v>
      </c>
      <c r="AK364" s="136">
        <f t="shared" si="90"/>
        <v>0</v>
      </c>
      <c r="AL364" s="136">
        <f t="shared" si="90"/>
        <v>0</v>
      </c>
      <c r="AM364" s="136">
        <f t="shared" si="90"/>
        <v>0</v>
      </c>
      <c r="AN364" s="136">
        <f t="shared" si="90"/>
        <v>0</v>
      </c>
      <c r="AO364" s="136">
        <f t="shared" si="90"/>
        <v>0</v>
      </c>
      <c r="AP364" s="136">
        <f t="shared" si="90"/>
        <v>0</v>
      </c>
      <c r="AQ364" s="136">
        <f t="shared" si="90"/>
        <v>0</v>
      </c>
      <c r="AR364" s="136">
        <f t="shared" si="92"/>
        <v>0</v>
      </c>
      <c r="AS364" s="136">
        <f t="shared" si="92"/>
        <v>0</v>
      </c>
      <c r="AT364" s="136">
        <f t="shared" si="92"/>
        <v>0</v>
      </c>
      <c r="AU364" s="136">
        <f t="shared" si="92"/>
        <v>0</v>
      </c>
      <c r="AV364" s="136">
        <f t="shared" si="92"/>
        <v>0</v>
      </c>
      <c r="AW364" s="136">
        <f t="shared" si="92"/>
        <v>0</v>
      </c>
      <c r="AX364" s="136">
        <f t="shared" si="92"/>
        <v>0</v>
      </c>
      <c r="AY364" s="136">
        <f t="shared" si="92"/>
        <v>0</v>
      </c>
      <c r="AZ364" s="136">
        <f t="shared" si="92"/>
        <v>0</v>
      </c>
      <c r="BA364" s="136">
        <f t="shared" si="92"/>
        <v>0</v>
      </c>
      <c r="BB364" s="136">
        <f t="shared" si="92"/>
        <v>0</v>
      </c>
      <c r="BC364" s="136">
        <f t="shared" si="92"/>
        <v>0</v>
      </c>
      <c r="BD364" s="136">
        <f t="shared" si="92"/>
        <v>0</v>
      </c>
      <c r="BE364" s="136">
        <f t="shared" si="92"/>
        <v>0</v>
      </c>
      <c r="BF364" s="136">
        <f t="shared" si="92"/>
        <v>0</v>
      </c>
      <c r="BG364" s="136">
        <f t="shared" si="89"/>
        <v>0</v>
      </c>
      <c r="BH364" s="136">
        <f t="shared" si="88"/>
        <v>0</v>
      </c>
      <c r="BI364" s="136">
        <f t="shared" si="88"/>
        <v>0</v>
      </c>
      <c r="BJ364" s="136">
        <f t="shared" si="88"/>
        <v>0</v>
      </c>
      <c r="BK364" s="136">
        <f t="shared" si="88"/>
        <v>0</v>
      </c>
      <c r="BL364" s="136">
        <f t="shared" si="88"/>
        <v>0</v>
      </c>
      <c r="BM364" s="136">
        <f t="shared" si="88"/>
        <v>0</v>
      </c>
      <c r="BN364" s="136">
        <f t="shared" si="88"/>
        <v>0</v>
      </c>
      <c r="BO364" s="136">
        <f t="shared" si="88"/>
        <v>0</v>
      </c>
      <c r="BP364" s="136">
        <f t="shared" si="88"/>
        <v>0</v>
      </c>
      <c r="BQ364" s="136">
        <f t="shared" si="88"/>
        <v>0</v>
      </c>
      <c r="BR364" s="136">
        <f t="shared" si="88"/>
        <v>0</v>
      </c>
      <c r="BS364" s="136">
        <f t="shared" si="88"/>
        <v>0</v>
      </c>
      <c r="BT364" s="136">
        <f t="shared" si="88"/>
        <v>0</v>
      </c>
      <c r="BU364" s="136">
        <f t="shared" si="88"/>
        <v>0</v>
      </c>
      <c r="BV364" s="136">
        <f t="shared" si="86"/>
        <v>0</v>
      </c>
      <c r="BW364" s="136">
        <f t="shared" si="69"/>
        <v>0</v>
      </c>
      <c r="BX364" s="136">
        <f t="shared" si="67"/>
        <v>0</v>
      </c>
      <c r="BZ364" s="136">
        <f t="shared" si="87"/>
        <v>0</v>
      </c>
      <c r="CA364" s="136">
        <f t="shared" si="87"/>
        <v>0</v>
      </c>
    </row>
    <row r="365" spans="12:79" hidden="1" x14ac:dyDescent="0.3">
      <c r="L365" s="136">
        <f t="shared" si="91"/>
        <v>0</v>
      </c>
      <c r="M365" s="136">
        <f t="shared" si="91"/>
        <v>0</v>
      </c>
      <c r="N365" s="136">
        <f t="shared" si="91"/>
        <v>0</v>
      </c>
      <c r="O365" s="136">
        <f t="shared" si="91"/>
        <v>0</v>
      </c>
      <c r="P365" s="136">
        <f t="shared" si="91"/>
        <v>0</v>
      </c>
      <c r="Q365" s="136">
        <f t="shared" si="91"/>
        <v>0</v>
      </c>
      <c r="R365" s="136">
        <f t="shared" si="91"/>
        <v>0</v>
      </c>
      <c r="S365" s="136">
        <f t="shared" si="91"/>
        <v>0</v>
      </c>
      <c r="T365" s="136">
        <f t="shared" si="91"/>
        <v>0</v>
      </c>
      <c r="U365" s="136">
        <f t="shared" si="91"/>
        <v>0</v>
      </c>
      <c r="V365" s="136">
        <f t="shared" si="91"/>
        <v>0</v>
      </c>
      <c r="W365" s="136">
        <f t="shared" si="91"/>
        <v>0</v>
      </c>
      <c r="X365" s="136">
        <f t="shared" si="91"/>
        <v>0</v>
      </c>
      <c r="Y365" s="136">
        <f t="shared" si="91"/>
        <v>0</v>
      </c>
      <c r="Z365" s="136">
        <f t="shared" si="91"/>
        <v>0</v>
      </c>
      <c r="AA365" s="136">
        <f t="shared" si="91"/>
        <v>0</v>
      </c>
      <c r="AB365" s="136">
        <f t="shared" si="90"/>
        <v>0</v>
      </c>
      <c r="AC365" s="136">
        <f t="shared" si="90"/>
        <v>0</v>
      </c>
      <c r="AD365" s="136">
        <f t="shared" si="90"/>
        <v>0</v>
      </c>
      <c r="AE365" s="136">
        <f t="shared" si="90"/>
        <v>0</v>
      </c>
      <c r="AF365" s="136">
        <f t="shared" si="90"/>
        <v>0</v>
      </c>
      <c r="AG365" s="136">
        <f t="shared" si="90"/>
        <v>0</v>
      </c>
      <c r="AH365" s="136">
        <f t="shared" si="90"/>
        <v>0</v>
      </c>
      <c r="AI365" s="136">
        <f t="shared" si="90"/>
        <v>0</v>
      </c>
      <c r="AJ365" s="136">
        <f t="shared" si="90"/>
        <v>0</v>
      </c>
      <c r="AK365" s="136">
        <f t="shared" si="90"/>
        <v>0</v>
      </c>
      <c r="AL365" s="136">
        <f t="shared" si="90"/>
        <v>0</v>
      </c>
      <c r="AM365" s="136">
        <f t="shared" si="90"/>
        <v>0</v>
      </c>
      <c r="AN365" s="136">
        <f t="shared" si="90"/>
        <v>0</v>
      </c>
      <c r="AO365" s="136">
        <f t="shared" si="90"/>
        <v>0</v>
      </c>
      <c r="AP365" s="136">
        <f t="shared" si="90"/>
        <v>0</v>
      </c>
      <c r="AQ365" s="136">
        <f t="shared" si="90"/>
        <v>0</v>
      </c>
      <c r="AR365" s="136">
        <f t="shared" si="92"/>
        <v>0</v>
      </c>
      <c r="AS365" s="136">
        <f t="shared" si="92"/>
        <v>0</v>
      </c>
      <c r="AT365" s="136">
        <f t="shared" si="92"/>
        <v>0</v>
      </c>
      <c r="AU365" s="136">
        <f t="shared" si="92"/>
        <v>0</v>
      </c>
      <c r="AV365" s="136">
        <f t="shared" si="92"/>
        <v>0</v>
      </c>
      <c r="AW365" s="136">
        <f t="shared" si="92"/>
        <v>0</v>
      </c>
      <c r="AX365" s="136">
        <f t="shared" si="92"/>
        <v>0</v>
      </c>
      <c r="AY365" s="136">
        <f t="shared" si="92"/>
        <v>0</v>
      </c>
      <c r="AZ365" s="136">
        <f t="shared" si="92"/>
        <v>0</v>
      </c>
      <c r="BA365" s="136">
        <f t="shared" si="92"/>
        <v>0</v>
      </c>
      <c r="BB365" s="136">
        <f t="shared" si="92"/>
        <v>0</v>
      </c>
      <c r="BC365" s="136">
        <f t="shared" si="92"/>
        <v>0</v>
      </c>
      <c r="BD365" s="136">
        <f t="shared" si="92"/>
        <v>0</v>
      </c>
      <c r="BE365" s="136">
        <f t="shared" si="92"/>
        <v>0</v>
      </c>
      <c r="BF365" s="136">
        <f t="shared" si="92"/>
        <v>0</v>
      </c>
      <c r="BG365" s="136">
        <f t="shared" si="89"/>
        <v>0</v>
      </c>
      <c r="BH365" s="136">
        <f t="shared" si="88"/>
        <v>0</v>
      </c>
      <c r="BI365" s="136">
        <f t="shared" si="88"/>
        <v>0</v>
      </c>
      <c r="BJ365" s="136">
        <f t="shared" si="88"/>
        <v>0</v>
      </c>
      <c r="BK365" s="136">
        <f t="shared" si="88"/>
        <v>0</v>
      </c>
      <c r="BL365" s="136">
        <f t="shared" si="88"/>
        <v>0</v>
      </c>
      <c r="BM365" s="136">
        <f t="shared" si="88"/>
        <v>0</v>
      </c>
      <c r="BN365" s="136">
        <f t="shared" si="88"/>
        <v>0</v>
      </c>
      <c r="BO365" s="136">
        <f t="shared" si="88"/>
        <v>0</v>
      </c>
      <c r="BP365" s="136">
        <f t="shared" si="88"/>
        <v>0</v>
      </c>
      <c r="BQ365" s="136">
        <f t="shared" si="88"/>
        <v>0</v>
      </c>
      <c r="BR365" s="136">
        <f t="shared" si="88"/>
        <v>0</v>
      </c>
      <c r="BS365" s="136">
        <f t="shared" si="88"/>
        <v>0</v>
      </c>
      <c r="BT365" s="136">
        <f t="shared" si="88"/>
        <v>0</v>
      </c>
      <c r="BU365" s="136">
        <f t="shared" si="88"/>
        <v>0</v>
      </c>
      <c r="BV365" s="136">
        <f t="shared" si="86"/>
        <v>0</v>
      </c>
      <c r="BW365" s="136">
        <f t="shared" si="69"/>
        <v>0</v>
      </c>
      <c r="BX365" s="136">
        <f t="shared" si="67"/>
        <v>0</v>
      </c>
      <c r="BZ365" s="136">
        <f t="shared" si="87"/>
        <v>0</v>
      </c>
      <c r="CA365" s="136">
        <f t="shared" si="87"/>
        <v>0</v>
      </c>
    </row>
    <row r="366" spans="12:79" hidden="1" x14ac:dyDescent="0.3">
      <c r="L366" s="136">
        <f t="shared" si="91"/>
        <v>0</v>
      </c>
      <c r="M366" s="136">
        <f t="shared" si="91"/>
        <v>0</v>
      </c>
      <c r="N366" s="136">
        <f t="shared" si="91"/>
        <v>0</v>
      </c>
      <c r="O366" s="136">
        <f t="shared" si="91"/>
        <v>0</v>
      </c>
      <c r="P366" s="136">
        <f t="shared" si="91"/>
        <v>0</v>
      </c>
      <c r="Q366" s="136">
        <f t="shared" si="91"/>
        <v>0</v>
      </c>
      <c r="R366" s="136">
        <f t="shared" si="91"/>
        <v>0</v>
      </c>
      <c r="S366" s="136">
        <f t="shared" si="91"/>
        <v>0</v>
      </c>
      <c r="T366" s="136">
        <f t="shared" si="91"/>
        <v>0</v>
      </c>
      <c r="U366" s="136">
        <f t="shared" si="91"/>
        <v>0</v>
      </c>
      <c r="V366" s="136">
        <f t="shared" si="91"/>
        <v>0</v>
      </c>
      <c r="W366" s="136">
        <f t="shared" si="91"/>
        <v>0</v>
      </c>
      <c r="X366" s="136">
        <f t="shared" si="91"/>
        <v>0</v>
      </c>
      <c r="Y366" s="136">
        <f t="shared" si="91"/>
        <v>0</v>
      </c>
      <c r="Z366" s="136">
        <f t="shared" si="91"/>
        <v>0</v>
      </c>
      <c r="AA366" s="136">
        <f t="shared" si="91"/>
        <v>0</v>
      </c>
      <c r="AB366" s="136">
        <f t="shared" si="90"/>
        <v>0</v>
      </c>
      <c r="AC366" s="136">
        <f t="shared" si="90"/>
        <v>0</v>
      </c>
      <c r="AD366" s="136">
        <f t="shared" si="90"/>
        <v>0</v>
      </c>
      <c r="AE366" s="136">
        <f t="shared" si="90"/>
        <v>0</v>
      </c>
      <c r="AF366" s="136">
        <f t="shared" si="90"/>
        <v>0</v>
      </c>
      <c r="AG366" s="136">
        <f t="shared" si="90"/>
        <v>0</v>
      </c>
      <c r="AH366" s="136">
        <f t="shared" si="90"/>
        <v>0</v>
      </c>
      <c r="AI366" s="136">
        <f t="shared" si="90"/>
        <v>0</v>
      </c>
      <c r="AJ366" s="136">
        <f t="shared" si="90"/>
        <v>0</v>
      </c>
      <c r="AK366" s="136">
        <f t="shared" si="90"/>
        <v>0</v>
      </c>
      <c r="AL366" s="136">
        <f t="shared" si="90"/>
        <v>0</v>
      </c>
      <c r="AM366" s="136">
        <f t="shared" si="90"/>
        <v>0</v>
      </c>
      <c r="AN366" s="136">
        <f t="shared" si="90"/>
        <v>0</v>
      </c>
      <c r="AO366" s="136">
        <f t="shared" si="90"/>
        <v>0</v>
      </c>
      <c r="AP366" s="136">
        <f t="shared" si="90"/>
        <v>0</v>
      </c>
      <c r="AQ366" s="136">
        <f t="shared" si="90"/>
        <v>0</v>
      </c>
      <c r="AR366" s="136">
        <f t="shared" si="92"/>
        <v>0</v>
      </c>
      <c r="AS366" s="136">
        <f t="shared" si="92"/>
        <v>0</v>
      </c>
      <c r="AT366" s="136">
        <f t="shared" si="92"/>
        <v>0</v>
      </c>
      <c r="AU366" s="136">
        <f t="shared" si="92"/>
        <v>0</v>
      </c>
      <c r="AV366" s="136">
        <f t="shared" si="92"/>
        <v>0</v>
      </c>
      <c r="AW366" s="136">
        <f t="shared" si="92"/>
        <v>0</v>
      </c>
      <c r="AX366" s="136">
        <f t="shared" si="92"/>
        <v>0</v>
      </c>
      <c r="AY366" s="136">
        <f t="shared" si="92"/>
        <v>0</v>
      </c>
      <c r="AZ366" s="136">
        <f t="shared" si="92"/>
        <v>0</v>
      </c>
      <c r="BA366" s="136">
        <f t="shared" si="92"/>
        <v>0</v>
      </c>
      <c r="BB366" s="136">
        <f t="shared" si="92"/>
        <v>0</v>
      </c>
      <c r="BC366" s="136">
        <f t="shared" si="92"/>
        <v>0</v>
      </c>
      <c r="BD366" s="136">
        <f t="shared" si="92"/>
        <v>0</v>
      </c>
      <c r="BE366" s="136">
        <f t="shared" si="92"/>
        <v>0</v>
      </c>
      <c r="BF366" s="136">
        <f t="shared" si="92"/>
        <v>0</v>
      </c>
      <c r="BG366" s="136">
        <f t="shared" si="89"/>
        <v>0</v>
      </c>
      <c r="BH366" s="136">
        <f t="shared" si="88"/>
        <v>0</v>
      </c>
      <c r="BI366" s="136">
        <f t="shared" si="88"/>
        <v>0</v>
      </c>
      <c r="BJ366" s="136">
        <f t="shared" si="88"/>
        <v>0</v>
      </c>
      <c r="BK366" s="136">
        <f t="shared" si="88"/>
        <v>0</v>
      </c>
      <c r="BL366" s="136">
        <f t="shared" si="88"/>
        <v>0</v>
      </c>
      <c r="BM366" s="136">
        <f t="shared" si="88"/>
        <v>0</v>
      </c>
      <c r="BN366" s="136">
        <f t="shared" si="88"/>
        <v>0</v>
      </c>
      <c r="BO366" s="136">
        <f t="shared" si="88"/>
        <v>0</v>
      </c>
      <c r="BP366" s="136">
        <f t="shared" si="88"/>
        <v>0</v>
      </c>
      <c r="BQ366" s="136">
        <f t="shared" si="88"/>
        <v>0</v>
      </c>
      <c r="BR366" s="136">
        <f t="shared" si="88"/>
        <v>0</v>
      </c>
      <c r="BS366" s="136">
        <f t="shared" si="88"/>
        <v>0</v>
      </c>
      <c r="BT366" s="136">
        <f t="shared" si="88"/>
        <v>0</v>
      </c>
      <c r="BU366" s="136">
        <f t="shared" si="88"/>
        <v>0</v>
      </c>
      <c r="BV366" s="136">
        <f t="shared" si="86"/>
        <v>0</v>
      </c>
      <c r="BW366" s="136">
        <f t="shared" si="69"/>
        <v>0</v>
      </c>
      <c r="BX366" s="136">
        <f t="shared" si="69"/>
        <v>0</v>
      </c>
      <c r="BZ366" s="136">
        <f t="shared" ref="BZ366:CA374" si="93">BZ215-ER215</f>
        <v>0</v>
      </c>
      <c r="CA366" s="136">
        <f t="shared" si="93"/>
        <v>0</v>
      </c>
    </row>
    <row r="367" spans="12:79" hidden="1" x14ac:dyDescent="0.3">
      <c r="L367" s="136">
        <f t="shared" si="91"/>
        <v>0</v>
      </c>
      <c r="M367" s="136">
        <f t="shared" si="91"/>
        <v>0</v>
      </c>
      <c r="N367" s="136">
        <f t="shared" si="91"/>
        <v>0</v>
      </c>
      <c r="O367" s="136">
        <f t="shared" si="91"/>
        <v>0</v>
      </c>
      <c r="P367" s="136">
        <f t="shared" si="91"/>
        <v>0</v>
      </c>
      <c r="Q367" s="136">
        <f t="shared" si="91"/>
        <v>0</v>
      </c>
      <c r="R367" s="136">
        <f t="shared" si="91"/>
        <v>0</v>
      </c>
      <c r="S367" s="136">
        <f t="shared" si="91"/>
        <v>0</v>
      </c>
      <c r="T367" s="136">
        <f t="shared" si="91"/>
        <v>0</v>
      </c>
      <c r="U367" s="136">
        <f t="shared" si="91"/>
        <v>0</v>
      </c>
      <c r="V367" s="136">
        <f t="shared" si="91"/>
        <v>0</v>
      </c>
      <c r="W367" s="136">
        <f t="shared" si="91"/>
        <v>0</v>
      </c>
      <c r="X367" s="136">
        <f t="shared" si="91"/>
        <v>0</v>
      </c>
      <c r="Y367" s="136">
        <f t="shared" si="91"/>
        <v>0</v>
      </c>
      <c r="Z367" s="136">
        <f t="shared" si="91"/>
        <v>0</v>
      </c>
      <c r="AA367" s="136">
        <f t="shared" si="91"/>
        <v>0</v>
      </c>
      <c r="AB367" s="136">
        <f t="shared" si="90"/>
        <v>0</v>
      </c>
      <c r="AC367" s="136">
        <f t="shared" si="90"/>
        <v>0</v>
      </c>
      <c r="AD367" s="136">
        <f t="shared" si="90"/>
        <v>0</v>
      </c>
      <c r="AE367" s="136">
        <f t="shared" si="90"/>
        <v>0</v>
      </c>
      <c r="AF367" s="136">
        <f t="shared" si="90"/>
        <v>0</v>
      </c>
      <c r="AG367" s="136">
        <f t="shared" si="90"/>
        <v>0</v>
      </c>
      <c r="AH367" s="136">
        <f t="shared" si="90"/>
        <v>0</v>
      </c>
      <c r="AI367" s="136">
        <f t="shared" si="90"/>
        <v>0</v>
      </c>
      <c r="AJ367" s="136">
        <f t="shared" si="90"/>
        <v>0</v>
      </c>
      <c r="AK367" s="136">
        <f t="shared" si="90"/>
        <v>0</v>
      </c>
      <c r="AL367" s="136">
        <f t="shared" si="90"/>
        <v>0</v>
      </c>
      <c r="AM367" s="136">
        <f t="shared" si="90"/>
        <v>0</v>
      </c>
      <c r="AN367" s="136">
        <f t="shared" si="90"/>
        <v>0</v>
      </c>
      <c r="AO367" s="136">
        <f t="shared" si="90"/>
        <v>0</v>
      </c>
      <c r="AP367" s="136">
        <f t="shared" si="90"/>
        <v>0</v>
      </c>
      <c r="AQ367" s="136">
        <f t="shared" si="90"/>
        <v>0</v>
      </c>
      <c r="AR367" s="136">
        <f t="shared" si="92"/>
        <v>0</v>
      </c>
      <c r="AS367" s="136">
        <f t="shared" si="92"/>
        <v>0</v>
      </c>
      <c r="AT367" s="136">
        <f t="shared" si="92"/>
        <v>0</v>
      </c>
      <c r="AU367" s="136">
        <f t="shared" si="92"/>
        <v>0</v>
      </c>
      <c r="AV367" s="136">
        <f t="shared" si="92"/>
        <v>0</v>
      </c>
      <c r="AW367" s="136">
        <f t="shared" si="92"/>
        <v>0</v>
      </c>
      <c r="AX367" s="136">
        <f t="shared" si="92"/>
        <v>0</v>
      </c>
      <c r="AY367" s="136">
        <f t="shared" si="92"/>
        <v>0</v>
      </c>
      <c r="AZ367" s="136">
        <f t="shared" si="92"/>
        <v>0</v>
      </c>
      <c r="BA367" s="136">
        <f t="shared" si="92"/>
        <v>0</v>
      </c>
      <c r="BB367" s="136">
        <f t="shared" si="92"/>
        <v>0</v>
      </c>
      <c r="BC367" s="136">
        <f t="shared" si="92"/>
        <v>0</v>
      </c>
      <c r="BD367" s="136">
        <f t="shared" si="92"/>
        <v>0</v>
      </c>
      <c r="BE367" s="136">
        <f t="shared" si="92"/>
        <v>0</v>
      </c>
      <c r="BF367" s="136">
        <f t="shared" si="92"/>
        <v>0</v>
      </c>
      <c r="BG367" s="136">
        <f t="shared" si="89"/>
        <v>0</v>
      </c>
      <c r="BH367" s="136">
        <f t="shared" si="89"/>
        <v>0</v>
      </c>
      <c r="BI367" s="136">
        <f t="shared" si="89"/>
        <v>0</v>
      </c>
      <c r="BJ367" s="136">
        <f t="shared" si="89"/>
        <v>0</v>
      </c>
      <c r="BK367" s="136">
        <f t="shared" si="89"/>
        <v>0</v>
      </c>
      <c r="BL367" s="136">
        <f t="shared" si="89"/>
        <v>0</v>
      </c>
      <c r="BM367" s="136">
        <f t="shared" si="89"/>
        <v>0</v>
      </c>
      <c r="BN367" s="136">
        <f t="shared" si="89"/>
        <v>0</v>
      </c>
      <c r="BO367" s="136">
        <f t="shared" si="89"/>
        <v>0</v>
      </c>
      <c r="BP367" s="136">
        <f t="shared" si="89"/>
        <v>0</v>
      </c>
      <c r="BQ367" s="136">
        <f t="shared" si="89"/>
        <v>0</v>
      </c>
      <c r="BR367" s="136">
        <f t="shared" si="89"/>
        <v>0</v>
      </c>
      <c r="BS367" s="136">
        <f t="shared" si="89"/>
        <v>0</v>
      </c>
      <c r="BT367" s="136">
        <f t="shared" si="89"/>
        <v>0</v>
      </c>
      <c r="BU367" s="136">
        <f t="shared" si="89"/>
        <v>0</v>
      </c>
      <c r="BV367" s="136">
        <f t="shared" si="86"/>
        <v>0</v>
      </c>
      <c r="BW367" s="136">
        <f t="shared" si="86"/>
        <v>0</v>
      </c>
      <c r="BX367" s="136">
        <f t="shared" si="86"/>
        <v>0</v>
      </c>
      <c r="BZ367" s="136">
        <f t="shared" si="93"/>
        <v>0</v>
      </c>
      <c r="CA367" s="136">
        <f t="shared" si="93"/>
        <v>0</v>
      </c>
    </row>
    <row r="368" spans="12:79" hidden="1" x14ac:dyDescent="0.3">
      <c r="L368" s="136">
        <f t="shared" si="91"/>
        <v>0</v>
      </c>
      <c r="M368" s="136">
        <f t="shared" si="91"/>
        <v>0</v>
      </c>
      <c r="N368" s="136">
        <f t="shared" si="91"/>
        <v>0</v>
      </c>
      <c r="O368" s="136">
        <f t="shared" si="91"/>
        <v>0</v>
      </c>
      <c r="P368" s="136">
        <f t="shared" si="91"/>
        <v>0</v>
      </c>
      <c r="Q368" s="136">
        <f t="shared" si="91"/>
        <v>0</v>
      </c>
      <c r="R368" s="136">
        <f t="shared" si="91"/>
        <v>0</v>
      </c>
      <c r="S368" s="136">
        <f t="shared" si="91"/>
        <v>0</v>
      </c>
      <c r="T368" s="136">
        <f t="shared" si="91"/>
        <v>0</v>
      </c>
      <c r="U368" s="136">
        <f t="shared" si="91"/>
        <v>0</v>
      </c>
      <c r="V368" s="136">
        <f t="shared" si="91"/>
        <v>0</v>
      </c>
      <c r="W368" s="136">
        <f t="shared" si="91"/>
        <v>0</v>
      </c>
      <c r="X368" s="136">
        <f t="shared" si="91"/>
        <v>0</v>
      </c>
      <c r="Y368" s="136">
        <f t="shared" si="91"/>
        <v>0</v>
      </c>
      <c r="Z368" s="136">
        <f t="shared" si="91"/>
        <v>0</v>
      </c>
      <c r="AA368" s="136">
        <f t="shared" si="91"/>
        <v>0</v>
      </c>
      <c r="AB368" s="136">
        <f t="shared" si="90"/>
        <v>0</v>
      </c>
      <c r="AC368" s="136">
        <f t="shared" si="90"/>
        <v>0</v>
      </c>
      <c r="AD368" s="136">
        <f t="shared" si="90"/>
        <v>0</v>
      </c>
      <c r="AE368" s="136">
        <f t="shared" si="90"/>
        <v>0</v>
      </c>
      <c r="AF368" s="136">
        <f t="shared" si="90"/>
        <v>0</v>
      </c>
      <c r="AG368" s="136">
        <f t="shared" si="90"/>
        <v>0</v>
      </c>
      <c r="AH368" s="136">
        <f t="shared" si="90"/>
        <v>0</v>
      </c>
      <c r="AI368" s="136">
        <f t="shared" si="90"/>
        <v>0</v>
      </c>
      <c r="AJ368" s="136">
        <f t="shared" si="90"/>
        <v>0</v>
      </c>
      <c r="AK368" s="136">
        <f t="shared" si="90"/>
        <v>0</v>
      </c>
      <c r="AL368" s="136">
        <f t="shared" si="90"/>
        <v>0</v>
      </c>
      <c r="AM368" s="136">
        <f t="shared" si="90"/>
        <v>0</v>
      </c>
      <c r="AN368" s="136">
        <f t="shared" si="90"/>
        <v>0</v>
      </c>
      <c r="AO368" s="136">
        <f t="shared" si="90"/>
        <v>0</v>
      </c>
      <c r="AP368" s="136">
        <f t="shared" si="90"/>
        <v>0</v>
      </c>
      <c r="AQ368" s="136">
        <f t="shared" si="90"/>
        <v>0</v>
      </c>
      <c r="AR368" s="136">
        <f t="shared" si="92"/>
        <v>0</v>
      </c>
      <c r="AS368" s="136">
        <f t="shared" si="92"/>
        <v>0</v>
      </c>
      <c r="AT368" s="136">
        <f t="shared" si="92"/>
        <v>0</v>
      </c>
      <c r="AU368" s="136">
        <f t="shared" si="92"/>
        <v>0</v>
      </c>
      <c r="AV368" s="136">
        <f t="shared" si="92"/>
        <v>0</v>
      </c>
      <c r="AW368" s="136">
        <f t="shared" si="92"/>
        <v>0</v>
      </c>
      <c r="AX368" s="136">
        <f t="shared" si="92"/>
        <v>0</v>
      </c>
      <c r="AY368" s="136">
        <f t="shared" si="92"/>
        <v>0</v>
      </c>
      <c r="AZ368" s="136">
        <f t="shared" si="92"/>
        <v>0</v>
      </c>
      <c r="BA368" s="136">
        <f t="shared" si="92"/>
        <v>0</v>
      </c>
      <c r="BB368" s="136">
        <f t="shared" si="92"/>
        <v>0</v>
      </c>
      <c r="BC368" s="136">
        <f t="shared" si="92"/>
        <v>0</v>
      </c>
      <c r="BD368" s="136">
        <f t="shared" si="92"/>
        <v>0</v>
      </c>
      <c r="BE368" s="136">
        <f t="shared" si="92"/>
        <v>0</v>
      </c>
      <c r="BF368" s="136">
        <f t="shared" si="92"/>
        <v>0</v>
      </c>
      <c r="BG368" s="136">
        <f t="shared" si="92"/>
        <v>0</v>
      </c>
      <c r="BH368" s="136">
        <f t="shared" ref="BH368:BX374" si="94">BH217-DZ217</f>
        <v>0</v>
      </c>
      <c r="BI368" s="136">
        <f t="shared" si="94"/>
        <v>0</v>
      </c>
      <c r="BJ368" s="136">
        <f t="shared" si="94"/>
        <v>0</v>
      </c>
      <c r="BK368" s="136">
        <f t="shared" si="94"/>
        <v>0</v>
      </c>
      <c r="BL368" s="136">
        <f t="shared" si="94"/>
        <v>0</v>
      </c>
      <c r="BM368" s="136">
        <f t="shared" si="94"/>
        <v>0</v>
      </c>
      <c r="BN368" s="136">
        <f t="shared" si="94"/>
        <v>0</v>
      </c>
      <c r="BO368" s="136">
        <f t="shared" si="94"/>
        <v>0</v>
      </c>
      <c r="BP368" s="136">
        <f t="shared" si="94"/>
        <v>0</v>
      </c>
      <c r="BQ368" s="136">
        <f t="shared" si="94"/>
        <v>0</v>
      </c>
      <c r="BR368" s="136">
        <f t="shared" si="94"/>
        <v>0</v>
      </c>
      <c r="BS368" s="136">
        <f t="shared" si="94"/>
        <v>0</v>
      </c>
      <c r="BT368" s="136">
        <f t="shared" si="94"/>
        <v>0</v>
      </c>
      <c r="BU368" s="136">
        <f t="shared" si="94"/>
        <v>0</v>
      </c>
      <c r="BV368" s="136">
        <f t="shared" si="94"/>
        <v>0</v>
      </c>
      <c r="BW368" s="136">
        <f t="shared" si="94"/>
        <v>0</v>
      </c>
      <c r="BX368" s="136">
        <f t="shared" si="94"/>
        <v>0</v>
      </c>
      <c r="BZ368" s="136">
        <f t="shared" si="93"/>
        <v>0</v>
      </c>
      <c r="CA368" s="136">
        <f t="shared" si="93"/>
        <v>0</v>
      </c>
    </row>
    <row r="369" spans="12:79" hidden="1" x14ac:dyDescent="0.3">
      <c r="L369" s="136">
        <f t="shared" si="91"/>
        <v>0</v>
      </c>
      <c r="M369" s="136">
        <f t="shared" si="91"/>
        <v>0</v>
      </c>
      <c r="N369" s="136">
        <f t="shared" si="91"/>
        <v>0</v>
      </c>
      <c r="O369" s="136">
        <f t="shared" si="91"/>
        <v>0</v>
      </c>
      <c r="P369" s="136">
        <f t="shared" si="91"/>
        <v>0</v>
      </c>
      <c r="Q369" s="136">
        <f t="shared" si="91"/>
        <v>0</v>
      </c>
      <c r="R369" s="136">
        <f t="shared" si="91"/>
        <v>0</v>
      </c>
      <c r="S369" s="136">
        <f t="shared" si="91"/>
        <v>0</v>
      </c>
      <c r="T369" s="136">
        <f t="shared" si="91"/>
        <v>0</v>
      </c>
      <c r="U369" s="136">
        <f t="shared" si="91"/>
        <v>0</v>
      </c>
      <c r="V369" s="136">
        <f t="shared" si="91"/>
        <v>0</v>
      </c>
      <c r="W369" s="136">
        <f t="shared" si="91"/>
        <v>0</v>
      </c>
      <c r="X369" s="136">
        <f t="shared" si="91"/>
        <v>0</v>
      </c>
      <c r="Y369" s="136">
        <f t="shared" si="91"/>
        <v>0</v>
      </c>
      <c r="Z369" s="136">
        <f t="shared" si="91"/>
        <v>0</v>
      </c>
      <c r="AA369" s="136">
        <f t="shared" si="91"/>
        <v>0</v>
      </c>
      <c r="AB369" s="136">
        <f t="shared" si="90"/>
        <v>0</v>
      </c>
      <c r="AC369" s="136">
        <f t="shared" si="90"/>
        <v>0</v>
      </c>
      <c r="AD369" s="136">
        <f t="shared" si="90"/>
        <v>0</v>
      </c>
      <c r="AE369" s="136">
        <f t="shared" si="90"/>
        <v>0</v>
      </c>
      <c r="AF369" s="136">
        <f t="shared" si="90"/>
        <v>0</v>
      </c>
      <c r="AG369" s="136">
        <f t="shared" si="90"/>
        <v>0</v>
      </c>
      <c r="AH369" s="136">
        <f t="shared" si="90"/>
        <v>0</v>
      </c>
      <c r="AI369" s="136">
        <f t="shared" si="90"/>
        <v>0</v>
      </c>
      <c r="AJ369" s="136">
        <f t="shared" si="90"/>
        <v>0</v>
      </c>
      <c r="AK369" s="136">
        <f t="shared" si="90"/>
        <v>0</v>
      </c>
      <c r="AL369" s="136">
        <f t="shared" si="90"/>
        <v>0</v>
      </c>
      <c r="AM369" s="136">
        <f t="shared" si="90"/>
        <v>0</v>
      </c>
      <c r="AN369" s="136">
        <f t="shared" si="90"/>
        <v>0</v>
      </c>
      <c r="AO369" s="136">
        <f t="shared" si="90"/>
        <v>0</v>
      </c>
      <c r="AP369" s="136">
        <f t="shared" si="90"/>
        <v>0</v>
      </c>
      <c r="AQ369" s="136">
        <f t="shared" si="90"/>
        <v>0</v>
      </c>
      <c r="AR369" s="136">
        <f t="shared" si="92"/>
        <v>0</v>
      </c>
      <c r="AS369" s="136">
        <f t="shared" si="92"/>
        <v>0</v>
      </c>
      <c r="AT369" s="136">
        <f t="shared" si="92"/>
        <v>0</v>
      </c>
      <c r="AU369" s="136">
        <f t="shared" si="92"/>
        <v>0</v>
      </c>
      <c r="AV369" s="136">
        <f t="shared" si="92"/>
        <v>0</v>
      </c>
      <c r="AW369" s="136">
        <f t="shared" si="92"/>
        <v>0</v>
      </c>
      <c r="AX369" s="136">
        <f t="shared" si="92"/>
        <v>0</v>
      </c>
      <c r="AY369" s="136">
        <f t="shared" si="92"/>
        <v>0</v>
      </c>
      <c r="AZ369" s="136">
        <f t="shared" si="92"/>
        <v>0</v>
      </c>
      <c r="BA369" s="136">
        <f t="shared" si="92"/>
        <v>0</v>
      </c>
      <c r="BB369" s="136">
        <f t="shared" si="92"/>
        <v>0</v>
      </c>
      <c r="BC369" s="136">
        <f t="shared" si="92"/>
        <v>0</v>
      </c>
      <c r="BD369" s="136">
        <f t="shared" si="92"/>
        <v>0</v>
      </c>
      <c r="BE369" s="136">
        <f t="shared" si="92"/>
        <v>0</v>
      </c>
      <c r="BF369" s="136">
        <f t="shared" si="92"/>
        <v>0</v>
      </c>
      <c r="BG369" s="136">
        <f t="shared" si="92"/>
        <v>0</v>
      </c>
      <c r="BH369" s="136">
        <f t="shared" si="94"/>
        <v>0</v>
      </c>
      <c r="BI369" s="136">
        <f t="shared" si="94"/>
        <v>0</v>
      </c>
      <c r="BJ369" s="136">
        <f t="shared" si="94"/>
        <v>0</v>
      </c>
      <c r="BK369" s="136">
        <f t="shared" si="94"/>
        <v>0</v>
      </c>
      <c r="BL369" s="136">
        <f t="shared" si="94"/>
        <v>0</v>
      </c>
      <c r="BM369" s="136">
        <f t="shared" si="94"/>
        <v>0</v>
      </c>
      <c r="BN369" s="136">
        <f t="shared" si="94"/>
        <v>0</v>
      </c>
      <c r="BO369" s="136">
        <f t="shared" si="94"/>
        <v>0</v>
      </c>
      <c r="BP369" s="136">
        <f t="shared" si="94"/>
        <v>0</v>
      </c>
      <c r="BQ369" s="136">
        <f t="shared" si="94"/>
        <v>0</v>
      </c>
      <c r="BR369" s="136">
        <f t="shared" si="94"/>
        <v>0</v>
      </c>
      <c r="BS369" s="136">
        <f t="shared" si="94"/>
        <v>0</v>
      </c>
      <c r="BT369" s="136">
        <f t="shared" si="94"/>
        <v>0</v>
      </c>
      <c r="BU369" s="136">
        <f t="shared" si="94"/>
        <v>0</v>
      </c>
      <c r="BV369" s="136">
        <f t="shared" si="94"/>
        <v>0</v>
      </c>
      <c r="BW369" s="136">
        <f t="shared" si="94"/>
        <v>0</v>
      </c>
      <c r="BX369" s="136">
        <f t="shared" si="94"/>
        <v>0</v>
      </c>
      <c r="BZ369" s="136">
        <f t="shared" si="93"/>
        <v>0</v>
      </c>
      <c r="CA369" s="136">
        <f t="shared" si="93"/>
        <v>0</v>
      </c>
    </row>
    <row r="370" spans="12:79" hidden="1" x14ac:dyDescent="0.3">
      <c r="L370" s="136">
        <f t="shared" si="91"/>
        <v>0</v>
      </c>
      <c r="M370" s="136">
        <f t="shared" si="91"/>
        <v>0</v>
      </c>
      <c r="N370" s="136">
        <f t="shared" si="91"/>
        <v>0</v>
      </c>
      <c r="O370" s="136">
        <f t="shared" si="91"/>
        <v>0</v>
      </c>
      <c r="P370" s="136">
        <f t="shared" si="91"/>
        <v>0</v>
      </c>
      <c r="Q370" s="136">
        <f t="shared" si="91"/>
        <v>0</v>
      </c>
      <c r="R370" s="136">
        <f t="shared" si="91"/>
        <v>0</v>
      </c>
      <c r="S370" s="136">
        <f t="shared" si="91"/>
        <v>0</v>
      </c>
      <c r="T370" s="136">
        <f t="shared" si="91"/>
        <v>0</v>
      </c>
      <c r="U370" s="136">
        <f t="shared" si="91"/>
        <v>0</v>
      </c>
      <c r="V370" s="136">
        <f t="shared" si="91"/>
        <v>0</v>
      </c>
      <c r="W370" s="136">
        <f t="shared" si="91"/>
        <v>0</v>
      </c>
      <c r="X370" s="136">
        <f t="shared" si="91"/>
        <v>0</v>
      </c>
      <c r="Y370" s="136">
        <f t="shared" si="91"/>
        <v>0</v>
      </c>
      <c r="Z370" s="136">
        <f t="shared" si="91"/>
        <v>0</v>
      </c>
      <c r="AA370" s="136">
        <f t="shared" si="91"/>
        <v>0</v>
      </c>
      <c r="AB370" s="136">
        <f t="shared" si="90"/>
        <v>0</v>
      </c>
      <c r="AC370" s="136">
        <f t="shared" si="90"/>
        <v>0</v>
      </c>
      <c r="AD370" s="136">
        <f t="shared" si="90"/>
        <v>0</v>
      </c>
      <c r="AE370" s="136">
        <f t="shared" si="90"/>
        <v>0</v>
      </c>
      <c r="AF370" s="136">
        <f t="shared" si="90"/>
        <v>0</v>
      </c>
      <c r="AG370" s="136">
        <f t="shared" si="90"/>
        <v>0</v>
      </c>
      <c r="AH370" s="136">
        <f t="shared" si="90"/>
        <v>0</v>
      </c>
      <c r="AI370" s="136">
        <f t="shared" si="90"/>
        <v>0</v>
      </c>
      <c r="AJ370" s="136">
        <f t="shared" si="90"/>
        <v>0</v>
      </c>
      <c r="AK370" s="136">
        <f t="shared" si="90"/>
        <v>0</v>
      </c>
      <c r="AL370" s="136">
        <f t="shared" si="90"/>
        <v>0</v>
      </c>
      <c r="AM370" s="136">
        <f t="shared" si="90"/>
        <v>0</v>
      </c>
      <c r="AN370" s="136">
        <f t="shared" si="90"/>
        <v>0</v>
      </c>
      <c r="AO370" s="136">
        <f t="shared" si="90"/>
        <v>0</v>
      </c>
      <c r="AP370" s="136">
        <f t="shared" si="90"/>
        <v>0</v>
      </c>
      <c r="AQ370" s="136">
        <f t="shared" si="90"/>
        <v>0</v>
      </c>
      <c r="AR370" s="136">
        <f t="shared" si="92"/>
        <v>0</v>
      </c>
      <c r="AS370" s="136">
        <f t="shared" si="92"/>
        <v>0</v>
      </c>
      <c r="AT370" s="136">
        <f t="shared" si="92"/>
        <v>0</v>
      </c>
      <c r="AU370" s="136">
        <f t="shared" si="92"/>
        <v>0</v>
      </c>
      <c r="AV370" s="136">
        <f t="shared" si="92"/>
        <v>0</v>
      </c>
      <c r="AW370" s="136">
        <f t="shared" si="92"/>
        <v>0</v>
      </c>
      <c r="AX370" s="136">
        <f t="shared" si="92"/>
        <v>0</v>
      </c>
      <c r="AY370" s="136">
        <f t="shared" si="92"/>
        <v>0</v>
      </c>
      <c r="AZ370" s="136">
        <f t="shared" si="92"/>
        <v>0</v>
      </c>
      <c r="BA370" s="136">
        <f t="shared" si="92"/>
        <v>0</v>
      </c>
      <c r="BB370" s="136">
        <f t="shared" si="92"/>
        <v>0</v>
      </c>
      <c r="BC370" s="136">
        <f t="shared" si="92"/>
        <v>0</v>
      </c>
      <c r="BD370" s="136">
        <f t="shared" si="92"/>
        <v>0</v>
      </c>
      <c r="BE370" s="136">
        <f t="shared" si="92"/>
        <v>0</v>
      </c>
      <c r="BF370" s="136">
        <f t="shared" si="92"/>
        <v>0</v>
      </c>
      <c r="BG370" s="136">
        <f t="shared" si="92"/>
        <v>0</v>
      </c>
      <c r="BH370" s="136">
        <f t="shared" si="94"/>
        <v>0</v>
      </c>
      <c r="BI370" s="136">
        <f t="shared" si="94"/>
        <v>0</v>
      </c>
      <c r="BJ370" s="136">
        <f t="shared" si="94"/>
        <v>0</v>
      </c>
      <c r="BK370" s="136">
        <f t="shared" si="94"/>
        <v>0</v>
      </c>
      <c r="BL370" s="136">
        <f t="shared" si="94"/>
        <v>0</v>
      </c>
      <c r="BM370" s="136">
        <f t="shared" si="94"/>
        <v>0</v>
      </c>
      <c r="BN370" s="136">
        <f t="shared" si="94"/>
        <v>0</v>
      </c>
      <c r="BO370" s="136">
        <f t="shared" si="94"/>
        <v>0</v>
      </c>
      <c r="BP370" s="136">
        <f t="shared" si="94"/>
        <v>0</v>
      </c>
      <c r="BQ370" s="136">
        <f t="shared" si="94"/>
        <v>0</v>
      </c>
      <c r="BR370" s="136">
        <f t="shared" si="94"/>
        <v>0</v>
      </c>
      <c r="BS370" s="136">
        <f t="shared" si="94"/>
        <v>0</v>
      </c>
      <c r="BT370" s="136">
        <f t="shared" si="94"/>
        <v>0</v>
      </c>
      <c r="BU370" s="136">
        <f t="shared" si="94"/>
        <v>0</v>
      </c>
      <c r="BV370" s="136">
        <f t="shared" si="94"/>
        <v>0</v>
      </c>
      <c r="BW370" s="136">
        <f t="shared" si="94"/>
        <v>0</v>
      </c>
      <c r="BX370" s="136">
        <f t="shared" si="94"/>
        <v>0</v>
      </c>
      <c r="BZ370" s="136">
        <f t="shared" si="93"/>
        <v>0</v>
      </c>
      <c r="CA370" s="136">
        <f t="shared" si="93"/>
        <v>0</v>
      </c>
    </row>
    <row r="371" spans="12:79" hidden="1" x14ac:dyDescent="0.3">
      <c r="L371" s="136">
        <f t="shared" si="91"/>
        <v>0</v>
      </c>
      <c r="M371" s="136">
        <f t="shared" si="91"/>
        <v>0</v>
      </c>
      <c r="N371" s="136">
        <f t="shared" si="91"/>
        <v>0</v>
      </c>
      <c r="O371" s="136">
        <f t="shared" si="91"/>
        <v>0</v>
      </c>
      <c r="P371" s="136">
        <f t="shared" si="91"/>
        <v>0</v>
      </c>
      <c r="Q371" s="136">
        <f t="shared" si="91"/>
        <v>0</v>
      </c>
      <c r="R371" s="136">
        <f t="shared" si="91"/>
        <v>0</v>
      </c>
      <c r="S371" s="136">
        <f t="shared" si="91"/>
        <v>0</v>
      </c>
      <c r="T371" s="136">
        <f t="shared" si="91"/>
        <v>0</v>
      </c>
      <c r="U371" s="136">
        <f t="shared" si="91"/>
        <v>0</v>
      </c>
      <c r="V371" s="136">
        <f t="shared" si="91"/>
        <v>0</v>
      </c>
      <c r="W371" s="136">
        <f t="shared" si="91"/>
        <v>0</v>
      </c>
      <c r="X371" s="136">
        <f t="shared" si="91"/>
        <v>0</v>
      </c>
      <c r="Y371" s="136">
        <f t="shared" si="91"/>
        <v>0</v>
      </c>
      <c r="Z371" s="136">
        <f t="shared" si="91"/>
        <v>0</v>
      </c>
      <c r="AA371" s="136">
        <f t="shared" si="91"/>
        <v>0</v>
      </c>
      <c r="AB371" s="136">
        <f t="shared" si="90"/>
        <v>0</v>
      </c>
      <c r="AC371" s="136">
        <f t="shared" si="90"/>
        <v>0</v>
      </c>
      <c r="AD371" s="136">
        <f t="shared" si="90"/>
        <v>0</v>
      </c>
      <c r="AE371" s="136">
        <f t="shared" si="90"/>
        <v>0</v>
      </c>
      <c r="AF371" s="136">
        <f t="shared" si="90"/>
        <v>0</v>
      </c>
      <c r="AG371" s="136">
        <f t="shared" si="90"/>
        <v>0</v>
      </c>
      <c r="AH371" s="136">
        <f t="shared" si="90"/>
        <v>0</v>
      </c>
      <c r="AI371" s="136">
        <f t="shared" si="90"/>
        <v>0</v>
      </c>
      <c r="AJ371" s="136">
        <f t="shared" si="90"/>
        <v>0</v>
      </c>
      <c r="AK371" s="136">
        <f t="shared" si="90"/>
        <v>0</v>
      </c>
      <c r="AL371" s="136">
        <f t="shared" si="90"/>
        <v>0</v>
      </c>
      <c r="AM371" s="136">
        <f t="shared" si="90"/>
        <v>0</v>
      </c>
      <c r="AN371" s="136">
        <f t="shared" si="90"/>
        <v>0</v>
      </c>
      <c r="AO371" s="136">
        <f t="shared" si="90"/>
        <v>0</v>
      </c>
      <c r="AP371" s="136">
        <f t="shared" si="90"/>
        <v>0</v>
      </c>
      <c r="AQ371" s="136">
        <f t="shared" si="90"/>
        <v>0</v>
      </c>
      <c r="AR371" s="136">
        <f t="shared" si="92"/>
        <v>0</v>
      </c>
      <c r="AS371" s="136">
        <f t="shared" si="92"/>
        <v>0</v>
      </c>
      <c r="AT371" s="136">
        <f t="shared" si="92"/>
        <v>0</v>
      </c>
      <c r="AU371" s="136">
        <f t="shared" si="92"/>
        <v>0</v>
      </c>
      <c r="AV371" s="136">
        <f t="shared" si="92"/>
        <v>0</v>
      </c>
      <c r="AW371" s="136">
        <f t="shared" si="92"/>
        <v>0</v>
      </c>
      <c r="AX371" s="136">
        <f t="shared" si="92"/>
        <v>0</v>
      </c>
      <c r="AY371" s="136">
        <f t="shared" si="92"/>
        <v>0</v>
      </c>
      <c r="AZ371" s="136">
        <f t="shared" si="92"/>
        <v>0</v>
      </c>
      <c r="BA371" s="136">
        <f t="shared" si="92"/>
        <v>0</v>
      </c>
      <c r="BB371" s="136">
        <f t="shared" si="92"/>
        <v>0</v>
      </c>
      <c r="BC371" s="136">
        <f t="shared" si="92"/>
        <v>0</v>
      </c>
      <c r="BD371" s="136">
        <f t="shared" si="92"/>
        <v>0</v>
      </c>
      <c r="BE371" s="136">
        <f t="shared" si="92"/>
        <v>0</v>
      </c>
      <c r="BF371" s="136">
        <f t="shared" si="92"/>
        <v>0</v>
      </c>
      <c r="BG371" s="136">
        <f t="shared" si="92"/>
        <v>0</v>
      </c>
      <c r="BH371" s="136">
        <f t="shared" si="94"/>
        <v>0</v>
      </c>
      <c r="BI371" s="136">
        <f t="shared" si="94"/>
        <v>0</v>
      </c>
      <c r="BJ371" s="136">
        <f t="shared" si="94"/>
        <v>0</v>
      </c>
      <c r="BK371" s="136">
        <f t="shared" si="94"/>
        <v>0</v>
      </c>
      <c r="BL371" s="136">
        <f t="shared" si="94"/>
        <v>0</v>
      </c>
      <c r="BM371" s="136">
        <f t="shared" si="94"/>
        <v>0</v>
      </c>
      <c r="BN371" s="136">
        <f t="shared" si="94"/>
        <v>0</v>
      </c>
      <c r="BO371" s="136">
        <f t="shared" si="94"/>
        <v>0</v>
      </c>
      <c r="BP371" s="136">
        <f t="shared" si="94"/>
        <v>0</v>
      </c>
      <c r="BQ371" s="136">
        <f t="shared" si="94"/>
        <v>0</v>
      </c>
      <c r="BR371" s="136">
        <f t="shared" si="94"/>
        <v>0</v>
      </c>
      <c r="BS371" s="136">
        <f t="shared" si="94"/>
        <v>0</v>
      </c>
      <c r="BT371" s="136">
        <f t="shared" si="94"/>
        <v>0</v>
      </c>
      <c r="BU371" s="136">
        <f t="shared" si="94"/>
        <v>0</v>
      </c>
      <c r="BV371" s="136">
        <f t="shared" si="94"/>
        <v>0</v>
      </c>
      <c r="BW371" s="136">
        <f t="shared" si="94"/>
        <v>0</v>
      </c>
      <c r="BX371" s="136">
        <f t="shared" si="94"/>
        <v>0</v>
      </c>
      <c r="BZ371" s="136">
        <f t="shared" si="93"/>
        <v>0</v>
      </c>
      <c r="CA371" s="136">
        <f t="shared" si="93"/>
        <v>0</v>
      </c>
    </row>
    <row r="372" spans="12:79" hidden="1" x14ac:dyDescent="0.3">
      <c r="L372" s="136">
        <f t="shared" si="91"/>
        <v>0</v>
      </c>
      <c r="M372" s="136">
        <f t="shared" si="91"/>
        <v>0</v>
      </c>
      <c r="N372" s="136">
        <f t="shared" si="91"/>
        <v>0</v>
      </c>
      <c r="O372" s="136">
        <f t="shared" si="91"/>
        <v>0</v>
      </c>
      <c r="P372" s="136">
        <f t="shared" si="91"/>
        <v>0</v>
      </c>
      <c r="Q372" s="136">
        <f t="shared" si="91"/>
        <v>0</v>
      </c>
      <c r="R372" s="136">
        <f t="shared" si="91"/>
        <v>0</v>
      </c>
      <c r="S372" s="136">
        <f t="shared" si="91"/>
        <v>0</v>
      </c>
      <c r="T372" s="136">
        <f t="shared" si="91"/>
        <v>0</v>
      </c>
      <c r="U372" s="136">
        <f t="shared" si="91"/>
        <v>0</v>
      </c>
      <c r="V372" s="136">
        <f t="shared" si="91"/>
        <v>0</v>
      </c>
      <c r="W372" s="136">
        <f t="shared" si="91"/>
        <v>0</v>
      </c>
      <c r="X372" s="136">
        <f t="shared" si="91"/>
        <v>0</v>
      </c>
      <c r="Y372" s="136">
        <f t="shared" si="91"/>
        <v>0</v>
      </c>
      <c r="Z372" s="136">
        <f t="shared" si="91"/>
        <v>0</v>
      </c>
      <c r="AA372" s="136">
        <f t="shared" si="91"/>
        <v>0</v>
      </c>
      <c r="AB372" s="136">
        <f t="shared" si="90"/>
        <v>0</v>
      </c>
      <c r="AC372" s="136">
        <f t="shared" si="90"/>
        <v>0</v>
      </c>
      <c r="AD372" s="136">
        <f t="shared" si="90"/>
        <v>0</v>
      </c>
      <c r="AE372" s="136">
        <f t="shared" si="90"/>
        <v>0</v>
      </c>
      <c r="AF372" s="136">
        <f t="shared" si="90"/>
        <v>0</v>
      </c>
      <c r="AG372" s="136">
        <f t="shared" si="90"/>
        <v>0</v>
      </c>
      <c r="AH372" s="136">
        <f t="shared" si="90"/>
        <v>0</v>
      </c>
      <c r="AI372" s="136">
        <f t="shared" si="90"/>
        <v>0</v>
      </c>
      <c r="AJ372" s="136">
        <f t="shared" si="90"/>
        <v>0</v>
      </c>
      <c r="AK372" s="136">
        <f t="shared" si="90"/>
        <v>0</v>
      </c>
      <c r="AL372" s="136">
        <f t="shared" si="90"/>
        <v>0</v>
      </c>
      <c r="AM372" s="136">
        <f t="shared" si="90"/>
        <v>0</v>
      </c>
      <c r="AN372" s="136">
        <f t="shared" si="90"/>
        <v>0</v>
      </c>
      <c r="AO372" s="136">
        <f t="shared" si="90"/>
        <v>0</v>
      </c>
      <c r="AP372" s="136">
        <f t="shared" si="90"/>
        <v>0</v>
      </c>
      <c r="AQ372" s="136">
        <f t="shared" si="90"/>
        <v>0</v>
      </c>
      <c r="AR372" s="136">
        <f t="shared" si="92"/>
        <v>0</v>
      </c>
      <c r="AS372" s="136">
        <f t="shared" si="92"/>
        <v>0</v>
      </c>
      <c r="AT372" s="136">
        <f t="shared" si="92"/>
        <v>0</v>
      </c>
      <c r="AU372" s="136">
        <f t="shared" si="92"/>
        <v>0</v>
      </c>
      <c r="AV372" s="136">
        <f t="shared" si="92"/>
        <v>0</v>
      </c>
      <c r="AW372" s="136">
        <f t="shared" si="92"/>
        <v>0</v>
      </c>
      <c r="AX372" s="136">
        <f t="shared" si="92"/>
        <v>0</v>
      </c>
      <c r="AY372" s="136">
        <f t="shared" si="92"/>
        <v>0</v>
      </c>
      <c r="AZ372" s="136">
        <f t="shared" si="92"/>
        <v>0</v>
      </c>
      <c r="BA372" s="136">
        <f t="shared" si="92"/>
        <v>0</v>
      </c>
      <c r="BB372" s="136">
        <f t="shared" si="92"/>
        <v>0</v>
      </c>
      <c r="BC372" s="136">
        <f t="shared" si="92"/>
        <v>0</v>
      </c>
      <c r="BD372" s="136">
        <f t="shared" si="92"/>
        <v>0</v>
      </c>
      <c r="BE372" s="136">
        <f t="shared" si="92"/>
        <v>0</v>
      </c>
      <c r="BF372" s="136">
        <f t="shared" si="92"/>
        <v>0</v>
      </c>
      <c r="BG372" s="136">
        <f t="shared" si="92"/>
        <v>0</v>
      </c>
      <c r="BH372" s="136">
        <f t="shared" si="94"/>
        <v>0</v>
      </c>
      <c r="BI372" s="136">
        <f t="shared" si="94"/>
        <v>0</v>
      </c>
      <c r="BJ372" s="136">
        <f t="shared" si="94"/>
        <v>0</v>
      </c>
      <c r="BK372" s="136">
        <f t="shared" si="94"/>
        <v>0</v>
      </c>
      <c r="BL372" s="136">
        <f t="shared" si="94"/>
        <v>0</v>
      </c>
      <c r="BM372" s="136">
        <f t="shared" si="94"/>
        <v>0</v>
      </c>
      <c r="BN372" s="136">
        <f t="shared" si="94"/>
        <v>0</v>
      </c>
      <c r="BO372" s="136">
        <f t="shared" si="94"/>
        <v>0</v>
      </c>
      <c r="BP372" s="136">
        <f t="shared" si="94"/>
        <v>0</v>
      </c>
      <c r="BQ372" s="136">
        <f t="shared" si="94"/>
        <v>0</v>
      </c>
      <c r="BR372" s="136">
        <f t="shared" si="94"/>
        <v>0</v>
      </c>
      <c r="BS372" s="136">
        <f t="shared" si="94"/>
        <v>0</v>
      </c>
      <c r="BT372" s="136">
        <f t="shared" si="94"/>
        <v>0</v>
      </c>
      <c r="BU372" s="136">
        <f t="shared" si="94"/>
        <v>0</v>
      </c>
      <c r="BV372" s="136">
        <f t="shared" si="94"/>
        <v>0</v>
      </c>
      <c r="BW372" s="136">
        <f t="shared" si="94"/>
        <v>0</v>
      </c>
      <c r="BX372" s="136">
        <f t="shared" si="94"/>
        <v>0</v>
      </c>
      <c r="BZ372" s="136">
        <f t="shared" si="93"/>
        <v>0</v>
      </c>
      <c r="CA372" s="136">
        <f t="shared" si="93"/>
        <v>0</v>
      </c>
    </row>
    <row r="373" spans="12:79" hidden="1" x14ac:dyDescent="0.3">
      <c r="L373" s="136">
        <f t="shared" si="91"/>
        <v>0</v>
      </c>
      <c r="M373" s="136">
        <f t="shared" si="91"/>
        <v>0</v>
      </c>
      <c r="N373" s="136">
        <f t="shared" si="91"/>
        <v>0</v>
      </c>
      <c r="O373" s="136">
        <f t="shared" si="91"/>
        <v>0</v>
      </c>
      <c r="P373" s="136">
        <f t="shared" si="91"/>
        <v>0</v>
      </c>
      <c r="Q373" s="136">
        <f t="shared" si="91"/>
        <v>0</v>
      </c>
      <c r="R373" s="136">
        <f t="shared" si="91"/>
        <v>0</v>
      </c>
      <c r="S373" s="136">
        <f t="shared" si="91"/>
        <v>0</v>
      </c>
      <c r="T373" s="136">
        <f t="shared" si="91"/>
        <v>0</v>
      </c>
      <c r="U373" s="136">
        <f t="shared" si="91"/>
        <v>0</v>
      </c>
      <c r="V373" s="136">
        <f t="shared" si="91"/>
        <v>0</v>
      </c>
      <c r="W373" s="136">
        <f t="shared" si="91"/>
        <v>0</v>
      </c>
      <c r="X373" s="136">
        <f t="shared" si="91"/>
        <v>0</v>
      </c>
      <c r="Y373" s="136">
        <f t="shared" si="91"/>
        <v>0</v>
      </c>
      <c r="Z373" s="136">
        <f t="shared" si="91"/>
        <v>0</v>
      </c>
      <c r="AA373" s="136">
        <f t="shared" si="91"/>
        <v>0</v>
      </c>
      <c r="AB373" s="136">
        <f t="shared" si="90"/>
        <v>0</v>
      </c>
      <c r="AC373" s="136">
        <f t="shared" si="90"/>
        <v>0</v>
      </c>
      <c r="AD373" s="136">
        <f t="shared" si="90"/>
        <v>0</v>
      </c>
      <c r="AE373" s="136">
        <f t="shared" si="90"/>
        <v>0</v>
      </c>
      <c r="AF373" s="136">
        <f t="shared" si="90"/>
        <v>0</v>
      </c>
      <c r="AG373" s="136">
        <f t="shared" si="90"/>
        <v>0</v>
      </c>
      <c r="AH373" s="136">
        <f t="shared" si="90"/>
        <v>0</v>
      </c>
      <c r="AI373" s="136">
        <f t="shared" si="90"/>
        <v>0</v>
      </c>
      <c r="AJ373" s="136">
        <f t="shared" si="90"/>
        <v>0</v>
      </c>
      <c r="AK373" s="136">
        <f t="shared" si="90"/>
        <v>0</v>
      </c>
      <c r="AL373" s="136">
        <f t="shared" si="90"/>
        <v>0</v>
      </c>
      <c r="AM373" s="136">
        <f t="shared" si="90"/>
        <v>0</v>
      </c>
      <c r="AN373" s="136">
        <f t="shared" si="90"/>
        <v>0</v>
      </c>
      <c r="AO373" s="136">
        <f t="shared" si="90"/>
        <v>0</v>
      </c>
      <c r="AP373" s="136">
        <f t="shared" si="90"/>
        <v>0</v>
      </c>
      <c r="AQ373" s="136">
        <f t="shared" si="90"/>
        <v>0</v>
      </c>
      <c r="AR373" s="136">
        <f t="shared" si="92"/>
        <v>0</v>
      </c>
      <c r="AS373" s="136">
        <f t="shared" si="92"/>
        <v>0</v>
      </c>
      <c r="AT373" s="136">
        <f t="shared" si="92"/>
        <v>0</v>
      </c>
      <c r="AU373" s="136">
        <f t="shared" si="92"/>
        <v>0</v>
      </c>
      <c r="AV373" s="136">
        <f t="shared" si="92"/>
        <v>0</v>
      </c>
      <c r="AW373" s="136">
        <f t="shared" si="92"/>
        <v>0</v>
      </c>
      <c r="AX373" s="136">
        <f t="shared" si="92"/>
        <v>0</v>
      </c>
      <c r="AY373" s="136">
        <f t="shared" si="92"/>
        <v>0</v>
      </c>
      <c r="AZ373" s="136">
        <f t="shared" si="92"/>
        <v>0</v>
      </c>
      <c r="BA373" s="136">
        <f t="shared" si="92"/>
        <v>0</v>
      </c>
      <c r="BB373" s="136">
        <f t="shared" si="92"/>
        <v>0</v>
      </c>
      <c r="BC373" s="136">
        <f t="shared" si="92"/>
        <v>0</v>
      </c>
      <c r="BD373" s="136">
        <f t="shared" si="92"/>
        <v>0</v>
      </c>
      <c r="BE373" s="136">
        <f t="shared" si="92"/>
        <v>0</v>
      </c>
      <c r="BF373" s="136">
        <f t="shared" si="92"/>
        <v>0</v>
      </c>
      <c r="BG373" s="136">
        <f t="shared" si="92"/>
        <v>0</v>
      </c>
      <c r="BH373" s="136">
        <f t="shared" si="94"/>
        <v>0</v>
      </c>
      <c r="BI373" s="136">
        <f t="shared" si="94"/>
        <v>0</v>
      </c>
      <c r="BJ373" s="136">
        <f t="shared" si="94"/>
        <v>0</v>
      </c>
      <c r="BK373" s="136">
        <f t="shared" si="94"/>
        <v>0</v>
      </c>
      <c r="BL373" s="136">
        <f t="shared" si="94"/>
        <v>0</v>
      </c>
      <c r="BM373" s="136">
        <f t="shared" si="94"/>
        <v>0</v>
      </c>
      <c r="BN373" s="136">
        <f t="shared" si="94"/>
        <v>0</v>
      </c>
      <c r="BO373" s="136">
        <f t="shared" si="94"/>
        <v>0</v>
      </c>
      <c r="BP373" s="136">
        <f t="shared" si="94"/>
        <v>0</v>
      </c>
      <c r="BQ373" s="136">
        <f t="shared" si="94"/>
        <v>0</v>
      </c>
      <c r="BR373" s="136">
        <f t="shared" si="94"/>
        <v>0</v>
      </c>
      <c r="BS373" s="136">
        <f t="shared" si="94"/>
        <v>0</v>
      </c>
      <c r="BT373" s="136">
        <f t="shared" si="94"/>
        <v>0</v>
      </c>
      <c r="BU373" s="136">
        <f t="shared" si="94"/>
        <v>0</v>
      </c>
      <c r="BV373" s="136">
        <f t="shared" si="94"/>
        <v>0</v>
      </c>
      <c r="BW373" s="136">
        <f t="shared" si="94"/>
        <v>0</v>
      </c>
      <c r="BX373" s="136">
        <f t="shared" si="94"/>
        <v>0</v>
      </c>
      <c r="BZ373" s="136">
        <f t="shared" si="93"/>
        <v>0</v>
      </c>
      <c r="CA373" s="136">
        <f t="shared" si="93"/>
        <v>0</v>
      </c>
    </row>
    <row r="374" spans="12:79" hidden="1" x14ac:dyDescent="0.3">
      <c r="L374" s="136">
        <f t="shared" si="91"/>
        <v>0</v>
      </c>
      <c r="M374" s="136">
        <f t="shared" si="91"/>
        <v>0</v>
      </c>
      <c r="N374" s="136">
        <f t="shared" si="91"/>
        <v>0</v>
      </c>
      <c r="O374" s="136">
        <f t="shared" si="91"/>
        <v>0</v>
      </c>
      <c r="P374" s="136">
        <f t="shared" si="91"/>
        <v>0</v>
      </c>
      <c r="Q374" s="136">
        <f t="shared" si="91"/>
        <v>0</v>
      </c>
      <c r="R374" s="136">
        <f t="shared" si="91"/>
        <v>0</v>
      </c>
      <c r="S374" s="136">
        <f t="shared" si="91"/>
        <v>0</v>
      </c>
      <c r="T374" s="136">
        <f t="shared" si="91"/>
        <v>0</v>
      </c>
      <c r="U374" s="136">
        <f t="shared" si="91"/>
        <v>0</v>
      </c>
      <c r="V374" s="136">
        <f t="shared" si="91"/>
        <v>0</v>
      </c>
      <c r="W374" s="136">
        <f t="shared" si="91"/>
        <v>0</v>
      </c>
      <c r="X374" s="136">
        <f t="shared" si="91"/>
        <v>0</v>
      </c>
      <c r="Y374" s="136">
        <f t="shared" si="91"/>
        <v>0</v>
      </c>
      <c r="Z374" s="136">
        <f t="shared" si="91"/>
        <v>0</v>
      </c>
      <c r="AA374" s="136">
        <f t="shared" ref="AA374:AQ374" si="95">AA223-CS223</f>
        <v>0</v>
      </c>
      <c r="AB374" s="136">
        <f t="shared" si="95"/>
        <v>0</v>
      </c>
      <c r="AC374" s="136">
        <f t="shared" si="95"/>
        <v>0</v>
      </c>
      <c r="AD374" s="136">
        <f t="shared" si="95"/>
        <v>0</v>
      </c>
      <c r="AE374" s="136">
        <f t="shared" si="95"/>
        <v>0</v>
      </c>
      <c r="AF374" s="136">
        <f t="shared" si="95"/>
        <v>0</v>
      </c>
      <c r="AG374" s="136">
        <f t="shared" si="95"/>
        <v>0</v>
      </c>
      <c r="AH374" s="136">
        <f t="shared" si="95"/>
        <v>0</v>
      </c>
      <c r="AI374" s="136">
        <f t="shared" si="95"/>
        <v>0</v>
      </c>
      <c r="AJ374" s="136">
        <f t="shared" si="95"/>
        <v>0</v>
      </c>
      <c r="AK374" s="136">
        <f t="shared" si="95"/>
        <v>0</v>
      </c>
      <c r="AL374" s="136">
        <f t="shared" si="95"/>
        <v>0</v>
      </c>
      <c r="AM374" s="136">
        <f t="shared" si="95"/>
        <v>0</v>
      </c>
      <c r="AN374" s="136">
        <f t="shared" si="95"/>
        <v>0</v>
      </c>
      <c r="AO374" s="136">
        <f t="shared" si="95"/>
        <v>0</v>
      </c>
      <c r="AP374" s="136">
        <f t="shared" si="95"/>
        <v>0</v>
      </c>
      <c r="AQ374" s="136">
        <f t="shared" si="95"/>
        <v>0</v>
      </c>
      <c r="AR374" s="136">
        <f t="shared" si="92"/>
        <v>0</v>
      </c>
      <c r="AS374" s="136">
        <f t="shared" si="92"/>
        <v>0</v>
      </c>
      <c r="AT374" s="136">
        <f t="shared" si="92"/>
        <v>0</v>
      </c>
      <c r="AU374" s="136">
        <f t="shared" si="92"/>
        <v>0</v>
      </c>
      <c r="AV374" s="136">
        <f t="shared" si="92"/>
        <v>0</v>
      </c>
      <c r="AW374" s="136">
        <f t="shared" si="92"/>
        <v>0</v>
      </c>
      <c r="AX374" s="136">
        <f t="shared" si="92"/>
        <v>0</v>
      </c>
      <c r="AY374" s="136">
        <f t="shared" si="92"/>
        <v>0</v>
      </c>
      <c r="AZ374" s="136">
        <f t="shared" si="92"/>
        <v>0</v>
      </c>
      <c r="BA374" s="136">
        <f t="shared" si="92"/>
        <v>0</v>
      </c>
      <c r="BB374" s="136">
        <f t="shared" si="92"/>
        <v>0</v>
      </c>
      <c r="BC374" s="136">
        <f t="shared" si="92"/>
        <v>0</v>
      </c>
      <c r="BD374" s="136">
        <f t="shared" si="92"/>
        <v>0</v>
      </c>
      <c r="BE374" s="136">
        <f t="shared" si="92"/>
        <v>0</v>
      </c>
      <c r="BF374" s="136">
        <f t="shared" si="92"/>
        <v>0</v>
      </c>
      <c r="BG374" s="136">
        <f t="shared" si="92"/>
        <v>0</v>
      </c>
      <c r="BH374" s="136">
        <f t="shared" si="94"/>
        <v>0</v>
      </c>
      <c r="BI374" s="136">
        <f t="shared" si="94"/>
        <v>0</v>
      </c>
      <c r="BJ374" s="136">
        <f t="shared" si="94"/>
        <v>0</v>
      </c>
      <c r="BK374" s="136">
        <f t="shared" si="94"/>
        <v>0</v>
      </c>
      <c r="BL374" s="136">
        <f t="shared" si="94"/>
        <v>0</v>
      </c>
      <c r="BM374" s="136">
        <f t="shared" si="94"/>
        <v>0</v>
      </c>
      <c r="BN374" s="136">
        <f t="shared" si="94"/>
        <v>0</v>
      </c>
      <c r="BO374" s="136">
        <f t="shared" si="94"/>
        <v>0</v>
      </c>
      <c r="BP374" s="136">
        <f t="shared" si="94"/>
        <v>0</v>
      </c>
      <c r="BQ374" s="136">
        <f t="shared" si="94"/>
        <v>0</v>
      </c>
      <c r="BR374" s="136">
        <f t="shared" si="94"/>
        <v>0</v>
      </c>
      <c r="BS374" s="136">
        <f t="shared" si="94"/>
        <v>0</v>
      </c>
      <c r="BT374" s="136">
        <f t="shared" si="94"/>
        <v>0</v>
      </c>
      <c r="BU374" s="136">
        <f t="shared" si="94"/>
        <v>0</v>
      </c>
      <c r="BV374" s="136">
        <f t="shared" si="94"/>
        <v>0</v>
      </c>
      <c r="BW374" s="136">
        <f t="shared" si="94"/>
        <v>0</v>
      </c>
      <c r="BX374" s="136">
        <f t="shared" si="94"/>
        <v>0</v>
      </c>
      <c r="BZ374" s="136">
        <f t="shared" si="93"/>
        <v>0</v>
      </c>
      <c r="CA374" s="136">
        <f t="shared" si="93"/>
        <v>0</v>
      </c>
    </row>
    <row r="375" spans="12:79" hidden="1" x14ac:dyDescent="0.3">
      <c r="L375" s="136" t="e">
        <f>#REF!-#REF!</f>
        <v>#REF!</v>
      </c>
      <c r="M375" s="136" t="e">
        <f>#REF!-#REF!</f>
        <v>#REF!</v>
      </c>
      <c r="N375" s="136" t="e">
        <f>#REF!-#REF!</f>
        <v>#REF!</v>
      </c>
      <c r="O375" s="136" t="e">
        <f>#REF!-#REF!</f>
        <v>#REF!</v>
      </c>
      <c r="P375" s="136" t="e">
        <f>#REF!-#REF!</f>
        <v>#REF!</v>
      </c>
      <c r="Q375" s="136" t="e">
        <f>#REF!-#REF!</f>
        <v>#REF!</v>
      </c>
      <c r="R375" s="136" t="e">
        <f>#REF!-#REF!</f>
        <v>#REF!</v>
      </c>
      <c r="S375" s="136" t="e">
        <f>#REF!-#REF!</f>
        <v>#REF!</v>
      </c>
      <c r="T375" s="136" t="e">
        <f>#REF!-#REF!</f>
        <v>#REF!</v>
      </c>
      <c r="U375" s="136" t="e">
        <f>#REF!-#REF!</f>
        <v>#REF!</v>
      </c>
      <c r="V375" s="136" t="e">
        <f>#REF!-#REF!</f>
        <v>#REF!</v>
      </c>
      <c r="W375" s="136" t="e">
        <f>#REF!-#REF!</f>
        <v>#REF!</v>
      </c>
      <c r="X375" s="136" t="e">
        <f>#REF!-#REF!</f>
        <v>#REF!</v>
      </c>
      <c r="Y375" s="136" t="e">
        <f>#REF!-#REF!</f>
        <v>#REF!</v>
      </c>
      <c r="Z375" s="136" t="e">
        <f>#REF!-#REF!</f>
        <v>#REF!</v>
      </c>
      <c r="AA375" s="136" t="e">
        <f>#REF!-#REF!</f>
        <v>#REF!</v>
      </c>
      <c r="AB375" s="136" t="e">
        <f>#REF!-#REF!</f>
        <v>#REF!</v>
      </c>
      <c r="AC375" s="136" t="e">
        <f>#REF!-#REF!</f>
        <v>#REF!</v>
      </c>
      <c r="AD375" s="136" t="e">
        <f>#REF!-#REF!</f>
        <v>#REF!</v>
      </c>
      <c r="AE375" s="136" t="e">
        <f>#REF!-#REF!</f>
        <v>#REF!</v>
      </c>
      <c r="AF375" s="136" t="e">
        <f>#REF!-#REF!</f>
        <v>#REF!</v>
      </c>
      <c r="AG375" s="136" t="e">
        <f>#REF!-#REF!</f>
        <v>#REF!</v>
      </c>
      <c r="AH375" s="136" t="e">
        <f>#REF!-#REF!</f>
        <v>#REF!</v>
      </c>
      <c r="AI375" s="136" t="e">
        <f>#REF!-#REF!</f>
        <v>#REF!</v>
      </c>
      <c r="AJ375" s="136" t="e">
        <f>#REF!-#REF!</f>
        <v>#REF!</v>
      </c>
      <c r="AK375" s="136" t="e">
        <f>#REF!-#REF!</f>
        <v>#REF!</v>
      </c>
      <c r="AL375" s="136" t="e">
        <f>#REF!-#REF!</f>
        <v>#REF!</v>
      </c>
      <c r="AM375" s="136" t="e">
        <f>#REF!-#REF!</f>
        <v>#REF!</v>
      </c>
      <c r="AN375" s="136" t="e">
        <f>#REF!-#REF!</f>
        <v>#REF!</v>
      </c>
      <c r="AO375" s="136" t="e">
        <f>#REF!-#REF!</f>
        <v>#REF!</v>
      </c>
      <c r="AP375" s="136" t="e">
        <f>#REF!-#REF!</f>
        <v>#REF!</v>
      </c>
      <c r="AQ375" s="136" t="e">
        <f>#REF!-#REF!</f>
        <v>#REF!</v>
      </c>
      <c r="AR375" s="136" t="e">
        <f>#REF!-#REF!</f>
        <v>#REF!</v>
      </c>
      <c r="AS375" s="136" t="e">
        <f>#REF!-#REF!</f>
        <v>#REF!</v>
      </c>
      <c r="AT375" s="136" t="e">
        <f>#REF!-#REF!</f>
        <v>#REF!</v>
      </c>
      <c r="AU375" s="136" t="e">
        <f>#REF!-#REF!</f>
        <v>#REF!</v>
      </c>
      <c r="AV375" s="136" t="e">
        <f>#REF!-#REF!</f>
        <v>#REF!</v>
      </c>
      <c r="AW375" s="136" t="e">
        <f>#REF!-#REF!</f>
        <v>#REF!</v>
      </c>
      <c r="AX375" s="136" t="e">
        <f>#REF!-#REF!</f>
        <v>#REF!</v>
      </c>
      <c r="AY375" s="136" t="e">
        <f>#REF!-#REF!</f>
        <v>#REF!</v>
      </c>
      <c r="AZ375" s="136" t="e">
        <f>#REF!-#REF!</f>
        <v>#REF!</v>
      </c>
      <c r="BA375" s="136" t="e">
        <f>#REF!-#REF!</f>
        <v>#REF!</v>
      </c>
      <c r="BB375" s="136" t="e">
        <f>#REF!-#REF!</f>
        <v>#REF!</v>
      </c>
      <c r="BC375" s="136" t="e">
        <f>#REF!-#REF!</f>
        <v>#REF!</v>
      </c>
      <c r="BD375" s="136" t="e">
        <f>#REF!-#REF!</f>
        <v>#REF!</v>
      </c>
      <c r="BE375" s="136" t="e">
        <f>#REF!-#REF!</f>
        <v>#REF!</v>
      </c>
      <c r="BF375" s="136" t="e">
        <f>#REF!-#REF!</f>
        <v>#REF!</v>
      </c>
      <c r="BG375" s="136" t="e">
        <f>#REF!-#REF!</f>
        <v>#REF!</v>
      </c>
      <c r="BH375" s="136" t="e">
        <f>#REF!-#REF!</f>
        <v>#REF!</v>
      </c>
      <c r="BI375" s="136" t="e">
        <f>#REF!-#REF!</f>
        <v>#REF!</v>
      </c>
      <c r="BJ375" s="136" t="e">
        <f>#REF!-#REF!</f>
        <v>#REF!</v>
      </c>
      <c r="BK375" s="136" t="e">
        <f>#REF!-#REF!</f>
        <v>#REF!</v>
      </c>
      <c r="BL375" s="136" t="e">
        <f>#REF!-#REF!</f>
        <v>#REF!</v>
      </c>
      <c r="BM375" s="136" t="e">
        <f>#REF!-#REF!</f>
        <v>#REF!</v>
      </c>
      <c r="BN375" s="136" t="e">
        <f>#REF!-#REF!</f>
        <v>#REF!</v>
      </c>
      <c r="BO375" s="136" t="e">
        <f>#REF!-#REF!</f>
        <v>#REF!</v>
      </c>
      <c r="BP375" s="136" t="e">
        <f>#REF!-#REF!</f>
        <v>#REF!</v>
      </c>
      <c r="BQ375" s="136" t="e">
        <f>#REF!-#REF!</f>
        <v>#REF!</v>
      </c>
      <c r="BR375" s="136" t="e">
        <f>#REF!-#REF!</f>
        <v>#REF!</v>
      </c>
      <c r="BS375" s="136" t="e">
        <f>#REF!-#REF!</f>
        <v>#REF!</v>
      </c>
      <c r="BT375" s="136" t="e">
        <f>#REF!-#REF!</f>
        <v>#REF!</v>
      </c>
      <c r="BU375" s="136" t="e">
        <f>#REF!-#REF!</f>
        <v>#REF!</v>
      </c>
      <c r="BV375" s="136" t="e">
        <f>#REF!-#REF!</f>
        <v>#REF!</v>
      </c>
      <c r="BW375" s="136" t="e">
        <f>#REF!-#REF!</f>
        <v>#REF!</v>
      </c>
      <c r="BX375" s="136" t="e">
        <f>#REF!-#REF!</f>
        <v>#REF!</v>
      </c>
      <c r="BZ375" s="136" t="e">
        <f>#REF!-#REF!</f>
        <v>#REF!</v>
      </c>
      <c r="CA375" s="136" t="e">
        <f>#REF!-#REF!</f>
        <v>#REF!</v>
      </c>
    </row>
    <row r="376" spans="12:79" hidden="1" x14ac:dyDescent="0.3">
      <c r="L376" s="136">
        <f t="shared" ref="L376:BW376" si="96">L224-CD224</f>
        <v>0</v>
      </c>
      <c r="M376" s="136">
        <f t="shared" si="96"/>
        <v>0</v>
      </c>
      <c r="N376" s="136">
        <f t="shared" si="96"/>
        <v>0</v>
      </c>
      <c r="O376" s="136">
        <f t="shared" si="96"/>
        <v>0</v>
      </c>
      <c r="P376" s="136">
        <f t="shared" si="96"/>
        <v>0</v>
      </c>
      <c r="Q376" s="136">
        <f t="shared" si="96"/>
        <v>0</v>
      </c>
      <c r="R376" s="136">
        <f t="shared" si="96"/>
        <v>0</v>
      </c>
      <c r="S376" s="136">
        <f t="shared" si="96"/>
        <v>0</v>
      </c>
      <c r="T376" s="136">
        <f t="shared" si="96"/>
        <v>0</v>
      </c>
      <c r="U376" s="136">
        <f t="shared" si="96"/>
        <v>0</v>
      </c>
      <c r="V376" s="136">
        <f t="shared" si="96"/>
        <v>0</v>
      </c>
      <c r="W376" s="136">
        <f t="shared" si="96"/>
        <v>0</v>
      </c>
      <c r="X376" s="136">
        <f t="shared" si="96"/>
        <v>0</v>
      </c>
      <c r="Y376" s="136">
        <f t="shared" si="96"/>
        <v>0</v>
      </c>
      <c r="Z376" s="136">
        <f t="shared" si="96"/>
        <v>0</v>
      </c>
      <c r="AA376" s="136">
        <f t="shared" si="96"/>
        <v>0</v>
      </c>
      <c r="AB376" s="136">
        <f t="shared" si="96"/>
        <v>0</v>
      </c>
      <c r="AC376" s="136">
        <f t="shared" si="96"/>
        <v>0</v>
      </c>
      <c r="AD376" s="136">
        <f t="shared" si="96"/>
        <v>0</v>
      </c>
      <c r="AE376" s="136">
        <f t="shared" si="96"/>
        <v>0</v>
      </c>
      <c r="AF376" s="136">
        <f t="shared" si="96"/>
        <v>0</v>
      </c>
      <c r="AG376" s="136">
        <f t="shared" si="96"/>
        <v>0</v>
      </c>
      <c r="AH376" s="136">
        <f t="shared" si="96"/>
        <v>0</v>
      </c>
      <c r="AI376" s="136">
        <f t="shared" si="96"/>
        <v>0</v>
      </c>
      <c r="AJ376" s="136">
        <f t="shared" si="96"/>
        <v>0</v>
      </c>
      <c r="AK376" s="136">
        <f t="shared" si="96"/>
        <v>0</v>
      </c>
      <c r="AL376" s="136">
        <f t="shared" si="96"/>
        <v>0</v>
      </c>
      <c r="AM376" s="136">
        <f t="shared" si="96"/>
        <v>0</v>
      </c>
      <c r="AN376" s="136">
        <f t="shared" si="96"/>
        <v>0</v>
      </c>
      <c r="AO376" s="136">
        <f t="shared" si="96"/>
        <v>0</v>
      </c>
      <c r="AP376" s="136">
        <f t="shared" si="96"/>
        <v>0</v>
      </c>
      <c r="AQ376" s="136">
        <f t="shared" si="96"/>
        <v>0</v>
      </c>
      <c r="AR376" s="136">
        <f t="shared" si="96"/>
        <v>0</v>
      </c>
      <c r="AS376" s="136">
        <f t="shared" si="96"/>
        <v>0</v>
      </c>
      <c r="AT376" s="136">
        <f t="shared" si="96"/>
        <v>0</v>
      </c>
      <c r="AU376" s="136">
        <f t="shared" si="96"/>
        <v>0</v>
      </c>
      <c r="AV376" s="136">
        <f t="shared" si="96"/>
        <v>0</v>
      </c>
      <c r="AW376" s="136">
        <f t="shared" si="96"/>
        <v>0</v>
      </c>
      <c r="AX376" s="136">
        <f t="shared" si="96"/>
        <v>0</v>
      </c>
      <c r="AY376" s="136">
        <f t="shared" si="96"/>
        <v>0</v>
      </c>
      <c r="AZ376" s="136">
        <f t="shared" si="96"/>
        <v>0</v>
      </c>
      <c r="BA376" s="136">
        <f t="shared" si="96"/>
        <v>0</v>
      </c>
      <c r="BB376" s="136">
        <f t="shared" si="96"/>
        <v>0</v>
      </c>
      <c r="BC376" s="136">
        <f t="shared" si="96"/>
        <v>0</v>
      </c>
      <c r="BD376" s="136">
        <f t="shared" si="96"/>
        <v>0</v>
      </c>
      <c r="BE376" s="136">
        <f t="shared" si="96"/>
        <v>0</v>
      </c>
      <c r="BF376" s="136">
        <f t="shared" si="96"/>
        <v>0</v>
      </c>
      <c r="BG376" s="136">
        <f t="shared" si="96"/>
        <v>0</v>
      </c>
      <c r="BH376" s="136">
        <f t="shared" si="96"/>
        <v>0</v>
      </c>
      <c r="BI376" s="136">
        <f t="shared" si="96"/>
        <v>0</v>
      </c>
      <c r="BJ376" s="136">
        <f t="shared" si="96"/>
        <v>0</v>
      </c>
      <c r="BK376" s="136">
        <f t="shared" si="96"/>
        <v>0</v>
      </c>
      <c r="BL376" s="136">
        <f t="shared" si="96"/>
        <v>0</v>
      </c>
      <c r="BM376" s="136">
        <f t="shared" si="96"/>
        <v>0</v>
      </c>
      <c r="BN376" s="136">
        <f t="shared" si="96"/>
        <v>0</v>
      </c>
      <c r="BO376" s="136">
        <f t="shared" si="96"/>
        <v>0</v>
      </c>
      <c r="BP376" s="136">
        <f t="shared" si="96"/>
        <v>0</v>
      </c>
      <c r="BQ376" s="136">
        <f t="shared" si="96"/>
        <v>0</v>
      </c>
      <c r="BR376" s="136">
        <f t="shared" si="96"/>
        <v>0</v>
      </c>
      <c r="BS376" s="136">
        <f t="shared" si="96"/>
        <v>0</v>
      </c>
      <c r="BT376" s="136">
        <f t="shared" si="96"/>
        <v>0</v>
      </c>
      <c r="BU376" s="136">
        <f t="shared" si="96"/>
        <v>0</v>
      </c>
      <c r="BV376" s="136">
        <f t="shared" si="96"/>
        <v>0</v>
      </c>
      <c r="BW376" s="136">
        <f t="shared" si="96"/>
        <v>0</v>
      </c>
      <c r="BX376" s="136">
        <f t="shared" ref="BX376" si="97">BX224-EP224</f>
        <v>0</v>
      </c>
      <c r="BZ376" s="136">
        <f>BZ224-ER224</f>
        <v>0</v>
      </c>
      <c r="CA376" s="136">
        <f>CA224-ES224</f>
        <v>0</v>
      </c>
    </row>
    <row r="377" spans="12:79" hidden="1" x14ac:dyDescent="0.3"/>
    <row r="378" spans="12:79" hidden="1" x14ac:dyDescent="0.3"/>
    <row r="379" spans="12:79" hidden="1" x14ac:dyDescent="0.3"/>
    <row r="380" spans="12:79" hidden="1" x14ac:dyDescent="0.3"/>
    <row r="381" spans="12:79" hidden="1" x14ac:dyDescent="0.3"/>
    <row r="382" spans="12:79" hidden="1" x14ac:dyDescent="0.3"/>
    <row r="383" spans="12:79" hidden="1" x14ac:dyDescent="0.3"/>
    <row r="384" spans="12:79" hidden="1" x14ac:dyDescent="0.3"/>
  </sheetData>
  <mergeCells count="2">
    <mergeCell ref="G8:BT8"/>
    <mergeCell ref="BY8:EL8"/>
  </mergeCells>
  <pageMargins left="0.7" right="0.7" top="0.75" bottom="0.75" header="0.3" footer="0.3"/>
  <pageSetup paperSize="9" scale="52" orientation="portrait" r:id="rId1"/>
  <colBreaks count="1" manualBreakCount="1">
    <brk id="145" max="2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A11C-EB8B-4FC9-850E-E7101ACC12B6}">
  <sheetPr>
    <pageSetUpPr fitToPage="1"/>
  </sheetPr>
  <dimension ref="C1:ER378"/>
  <sheetViews>
    <sheetView view="pageBreakPreview" topLeftCell="A6" zoomScale="99" zoomScaleNormal="100" zoomScaleSheetLayoutView="99" workbookViewId="0">
      <selection activeCell="DV35" sqref="DV35"/>
    </sheetView>
  </sheetViews>
  <sheetFormatPr defaultColWidth="9.54296875" defaultRowHeight="13" x14ac:dyDescent="0.3"/>
  <cols>
    <col min="1" max="1" width="1.7265625" style="136" customWidth="1"/>
    <col min="2" max="2" width="0.90625" style="136" customWidth="1"/>
    <col min="3" max="3" width="0.81640625" style="136" customWidth="1"/>
    <col min="4" max="4" width="60.81640625" style="136" customWidth="1"/>
    <col min="5" max="6" width="0.90625" style="136" customWidth="1"/>
    <col min="7" max="7" width="17" style="136" customWidth="1"/>
    <col min="8" max="9" width="0.90625" style="136" customWidth="1"/>
    <col min="10" max="11" width="0.90625" style="136" hidden="1" customWidth="1"/>
    <col min="12" max="12" width="17" style="136" hidden="1" customWidth="1"/>
    <col min="13" max="16" width="0.90625" style="136" hidden="1" customWidth="1"/>
    <col min="17" max="17" width="17" style="136" hidden="1" customWidth="1"/>
    <col min="18" max="21" width="0.90625" style="136" hidden="1" customWidth="1"/>
    <col min="22" max="22" width="17" style="136" hidden="1" customWidth="1"/>
    <col min="23" max="26" width="0.90625" style="136" hidden="1" customWidth="1"/>
    <col min="27" max="27" width="17" style="136" hidden="1" customWidth="1"/>
    <col min="28" max="31" width="0.90625" style="136" hidden="1" customWidth="1"/>
    <col min="32" max="32" width="17" style="136" hidden="1" customWidth="1"/>
    <col min="33" max="36" width="0.90625" style="136" hidden="1" customWidth="1"/>
    <col min="37" max="37" width="17" style="136" hidden="1" customWidth="1"/>
    <col min="38" max="41" width="0.90625" style="136" hidden="1" customWidth="1"/>
    <col min="42" max="42" width="17" style="136" hidden="1" customWidth="1"/>
    <col min="43" max="46" width="0.90625" style="136" hidden="1" customWidth="1"/>
    <col min="47" max="47" width="15" style="136" hidden="1" customWidth="1"/>
    <col min="48" max="51" width="0.90625" style="136" hidden="1" customWidth="1"/>
    <col min="52" max="52" width="17" style="136" hidden="1" customWidth="1"/>
    <col min="53" max="54" width="0.90625" style="136" hidden="1" customWidth="1"/>
    <col min="55" max="56" width="0.90625" style="136" customWidth="1"/>
    <col min="57" max="57" width="17" style="136" customWidth="1"/>
    <col min="58" max="59" width="0.90625" style="136" customWidth="1"/>
    <col min="60" max="61" width="0.90625" style="136" hidden="1" customWidth="1"/>
    <col min="62" max="62" width="17" style="136" hidden="1" customWidth="1"/>
    <col min="63" max="66" width="0.90625" style="136" hidden="1" customWidth="1"/>
    <col min="67" max="67" width="17" style="136" hidden="1" customWidth="1"/>
    <col min="68" max="69" width="0.90625" style="136" hidden="1" customWidth="1"/>
    <col min="70" max="71" width="0.90625" style="136" customWidth="1"/>
    <col min="72" max="72" width="17" style="136" customWidth="1"/>
    <col min="73" max="76" width="0.90625" style="136" customWidth="1"/>
    <col min="77" max="77" width="17" style="136" customWidth="1"/>
    <col min="78" max="79" width="0.90625" style="136" customWidth="1"/>
    <col min="80" max="81" width="0.90625" style="136" hidden="1" customWidth="1"/>
    <col min="82" max="82" width="17" style="136" hidden="1" customWidth="1"/>
    <col min="83" max="86" width="0.90625" style="136" hidden="1" customWidth="1"/>
    <col min="87" max="87" width="17" style="136" hidden="1" customWidth="1"/>
    <col min="88" max="91" width="0.90625" style="136" hidden="1" customWidth="1"/>
    <col min="92" max="92" width="17" style="136" hidden="1" customWidth="1"/>
    <col min="93" max="96" width="0.90625" style="136" hidden="1" customWidth="1"/>
    <col min="97" max="97" width="17" style="136" hidden="1" customWidth="1"/>
    <col min="98" max="101" width="0.90625" style="136" hidden="1" customWidth="1"/>
    <col min="102" max="102" width="17" style="136" hidden="1" customWidth="1"/>
    <col min="103" max="106" width="0.90625" style="136" hidden="1" customWidth="1"/>
    <col min="107" max="107" width="17" style="136" hidden="1" customWidth="1"/>
    <col min="108" max="111" width="0.90625" style="136" hidden="1" customWidth="1"/>
    <col min="112" max="112" width="17" style="136" hidden="1" customWidth="1"/>
    <col min="113" max="116" width="0.90625" style="136" hidden="1" customWidth="1"/>
    <col min="117" max="117" width="15.26953125" style="136" hidden="1" customWidth="1"/>
    <col min="118" max="121" width="0.90625" style="136" hidden="1" customWidth="1"/>
    <col min="122" max="122" width="17" style="136" hidden="1" customWidth="1"/>
    <col min="123" max="124" width="0.90625" style="136" hidden="1" customWidth="1"/>
    <col min="125" max="126" width="0.90625" style="136" customWidth="1"/>
    <col min="127" max="127" width="17" style="136" customWidth="1"/>
    <col min="128" max="129" width="0.90625" style="136" customWidth="1"/>
    <col min="130" max="131" width="0.90625" style="136" hidden="1" customWidth="1"/>
    <col min="132" max="132" width="17" style="136" hidden="1" customWidth="1"/>
    <col min="133" max="136" width="0.90625" style="136" hidden="1" customWidth="1"/>
    <col min="137" max="137" width="17" style="136" hidden="1" customWidth="1"/>
    <col min="138" max="139" width="0.90625" style="136" hidden="1" customWidth="1"/>
    <col min="140" max="141" width="0.90625" style="136" customWidth="1"/>
    <col min="142" max="142" width="17" style="136" customWidth="1"/>
    <col min="143" max="144" width="0.90625" style="136" customWidth="1"/>
    <col min="145" max="145" width="0.6328125" style="136" customWidth="1"/>
    <col min="146" max="146" width="3.08984375" style="136" customWidth="1"/>
    <col min="147" max="147" width="9.54296875" style="136"/>
    <col min="148" max="148" width="9.90625" style="136" customWidth="1"/>
    <col min="149" max="16384" width="9.54296875" style="136"/>
  </cols>
  <sheetData>
    <row r="1" spans="3:145" hidden="1" x14ac:dyDescent="0.3"/>
    <row r="2" spans="3:145" ht="6" hidden="1" customHeight="1" x14ac:dyDescent="0.3"/>
    <row r="3" spans="3:145" hidden="1" x14ac:dyDescent="0.3"/>
    <row r="4" spans="3:145" hidden="1" x14ac:dyDescent="0.3">
      <c r="D4" s="42"/>
      <c r="E4" s="42"/>
      <c r="F4" s="42"/>
    </row>
    <row r="5" spans="3:145" hidden="1" x14ac:dyDescent="0.3"/>
    <row r="7" spans="3:145" ht="15.5" x14ac:dyDescent="0.35">
      <c r="D7" s="589" t="s">
        <v>416</v>
      </c>
      <c r="E7" s="589"/>
      <c r="F7" s="58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3:145" x14ac:dyDescent="0.3">
      <c r="C8" s="625"/>
      <c r="D8" s="234"/>
      <c r="E8" s="590"/>
      <c r="F8" s="591"/>
      <c r="G8" s="575" t="str">
        <f>[40]Summary!H8</f>
        <v>2022/23</v>
      </c>
      <c r="H8" s="575"/>
      <c r="I8" s="575"/>
      <c r="J8" s="575"/>
      <c r="K8" s="575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660"/>
      <c r="BE8" s="660"/>
      <c r="BF8" s="660"/>
      <c r="BG8" s="660"/>
      <c r="BH8" s="660"/>
      <c r="BI8" s="660"/>
      <c r="BJ8" s="660"/>
      <c r="BK8" s="660"/>
      <c r="BL8" s="660"/>
      <c r="BM8" s="660"/>
      <c r="BN8" s="660"/>
      <c r="BO8" s="660"/>
      <c r="BP8" s="660"/>
      <c r="BQ8" s="660"/>
      <c r="BR8" s="660"/>
      <c r="BS8" s="660"/>
      <c r="BT8" s="660"/>
      <c r="BU8" s="490"/>
      <c r="BV8" s="490"/>
      <c r="BW8" s="599"/>
      <c r="BX8" s="490"/>
      <c r="BY8" s="576" t="str">
        <f>[40]Summary!BZ8</f>
        <v>2021/22</v>
      </c>
      <c r="BZ8" s="575"/>
      <c r="CA8" s="575"/>
      <c r="CB8" s="575"/>
      <c r="CC8" s="575"/>
      <c r="CD8" s="575"/>
      <c r="CE8" s="575"/>
      <c r="CF8" s="575"/>
      <c r="CG8" s="575"/>
      <c r="CH8" s="575"/>
      <c r="CI8" s="575"/>
      <c r="CJ8" s="575"/>
      <c r="CK8" s="575"/>
      <c r="CL8" s="575"/>
      <c r="CM8" s="575"/>
      <c r="CN8" s="575"/>
      <c r="CO8" s="575"/>
      <c r="CP8" s="575"/>
      <c r="CQ8" s="575"/>
      <c r="CR8" s="575"/>
      <c r="CS8" s="575"/>
      <c r="CT8" s="575"/>
      <c r="CU8" s="575"/>
      <c r="CV8" s="575"/>
      <c r="CW8" s="575"/>
      <c r="CX8" s="575"/>
      <c r="CY8" s="575"/>
      <c r="CZ8" s="575"/>
      <c r="DA8" s="575"/>
      <c r="DB8" s="575"/>
      <c r="DC8" s="575"/>
      <c r="DD8" s="575"/>
      <c r="DE8" s="575"/>
      <c r="DF8" s="575"/>
      <c r="DG8" s="575"/>
      <c r="DH8" s="575"/>
      <c r="DI8" s="575"/>
      <c r="DJ8" s="575"/>
      <c r="DK8" s="575"/>
      <c r="DL8" s="575"/>
      <c r="DM8" s="575"/>
      <c r="DN8" s="575"/>
      <c r="DO8" s="575"/>
      <c r="DP8" s="575"/>
      <c r="DQ8" s="575"/>
      <c r="DR8" s="575"/>
      <c r="DS8" s="575"/>
      <c r="DT8" s="575"/>
      <c r="DU8" s="575"/>
      <c r="DV8" s="575"/>
      <c r="DW8" s="575"/>
      <c r="DX8" s="575"/>
      <c r="DY8" s="575"/>
      <c r="DZ8" s="575"/>
      <c r="EA8" s="575"/>
      <c r="EB8" s="575"/>
      <c r="EC8" s="575"/>
      <c r="ED8" s="575"/>
      <c r="EE8" s="575"/>
      <c r="EF8" s="575"/>
      <c r="EG8" s="575"/>
      <c r="EH8" s="575"/>
      <c r="EI8" s="575"/>
      <c r="EJ8" s="575"/>
      <c r="EK8" s="575"/>
      <c r="EL8" s="575"/>
      <c r="EM8" s="142"/>
      <c r="EN8" s="143"/>
      <c r="EO8" s="144"/>
    </row>
    <row r="9" spans="3:145" ht="18" customHeight="1" x14ac:dyDescent="0.3">
      <c r="D9" s="144"/>
      <c r="E9" s="494"/>
      <c r="G9" s="47" t="str">
        <f>[40]Domredemp!G9</f>
        <v>Revised</v>
      </c>
      <c r="H9" s="47"/>
      <c r="I9" s="47"/>
      <c r="J9" s="474"/>
      <c r="K9" s="47"/>
      <c r="L9" s="47" t="s">
        <v>4</v>
      </c>
      <c r="M9" s="47"/>
      <c r="N9" s="47"/>
      <c r="O9" s="474"/>
      <c r="P9" s="47"/>
      <c r="Q9" s="47" t="s">
        <v>5</v>
      </c>
      <c r="R9" s="47"/>
      <c r="S9" s="47"/>
      <c r="T9" s="474"/>
      <c r="U9" s="47"/>
      <c r="V9" s="47" t="s">
        <v>6</v>
      </c>
      <c r="W9" s="47"/>
      <c r="X9" s="47"/>
      <c r="Y9" s="474"/>
      <c r="Z9" s="47"/>
      <c r="AA9" s="47" t="s">
        <v>7</v>
      </c>
      <c r="AB9" s="47"/>
      <c r="AC9" s="47"/>
      <c r="AD9" s="474"/>
      <c r="AE9" s="47"/>
      <c r="AF9" s="47" t="s">
        <v>8</v>
      </c>
      <c r="AG9" s="47"/>
      <c r="AH9" s="47"/>
      <c r="AI9" s="474"/>
      <c r="AJ9" s="47"/>
      <c r="AK9" s="47" t="s">
        <v>9</v>
      </c>
      <c r="AL9" s="47"/>
      <c r="AM9" s="47"/>
      <c r="AN9" s="474"/>
      <c r="AO9" s="47"/>
      <c r="AP9" s="47" t="s">
        <v>10</v>
      </c>
      <c r="AQ9" s="47"/>
      <c r="AR9" s="47"/>
      <c r="AS9" s="474"/>
      <c r="AT9" s="47"/>
      <c r="AU9" s="47" t="s">
        <v>11</v>
      </c>
      <c r="AV9" s="47"/>
      <c r="AW9" s="47"/>
      <c r="AX9" s="474"/>
      <c r="AY9" s="47"/>
      <c r="AZ9" s="47" t="s">
        <v>12</v>
      </c>
      <c r="BA9" s="47"/>
      <c r="BB9" s="47"/>
      <c r="BC9" s="474"/>
      <c r="BD9" s="47"/>
      <c r="BE9" s="47" t="s">
        <v>13</v>
      </c>
      <c r="BF9" s="47"/>
      <c r="BG9" s="47"/>
      <c r="BH9" s="474"/>
      <c r="BI9" s="47"/>
      <c r="BJ9" s="47" t="s">
        <v>14</v>
      </c>
      <c r="BK9" s="47"/>
      <c r="BL9" s="47"/>
      <c r="BM9" s="474"/>
      <c r="BN9" s="47"/>
      <c r="BO9" s="47" t="s">
        <v>15</v>
      </c>
      <c r="BP9" s="47"/>
      <c r="BQ9" s="47"/>
      <c r="BR9" s="474"/>
      <c r="BS9" s="47"/>
      <c r="BT9" s="47" t="s">
        <v>16</v>
      </c>
      <c r="BU9" s="47"/>
      <c r="BV9" s="47"/>
      <c r="BW9" s="274"/>
      <c r="BX9" s="47"/>
      <c r="BY9" s="148" t="str">
        <f>+[40]Domredemp!BY9:BY10</f>
        <v>Audited</v>
      </c>
      <c r="BZ9" s="47"/>
      <c r="CA9" s="47"/>
      <c r="CB9" s="474"/>
      <c r="CC9" s="47"/>
      <c r="CD9" s="47" t="s">
        <v>4</v>
      </c>
      <c r="CE9" s="47"/>
      <c r="CF9" s="47"/>
      <c r="CG9" s="474"/>
      <c r="CH9" s="47"/>
      <c r="CI9" s="47" t="s">
        <v>5</v>
      </c>
      <c r="CJ9" s="47"/>
      <c r="CK9" s="47"/>
      <c r="CL9" s="474"/>
      <c r="CM9" s="47"/>
      <c r="CN9" s="47" t="s">
        <v>6</v>
      </c>
      <c r="CO9" s="47"/>
      <c r="CP9" s="47"/>
      <c r="CQ9" s="474"/>
      <c r="CR9" s="47"/>
      <c r="CS9" s="47" t="s">
        <v>7</v>
      </c>
      <c r="CT9" s="47"/>
      <c r="CU9" s="47"/>
      <c r="CV9" s="474"/>
      <c r="CW9" s="47"/>
      <c r="CX9" s="47" t="s">
        <v>8</v>
      </c>
      <c r="CY9" s="47"/>
      <c r="CZ9" s="47"/>
      <c r="DA9" s="474"/>
      <c r="DB9" s="47"/>
      <c r="DC9" s="47" t="s">
        <v>9</v>
      </c>
      <c r="DD9" s="47"/>
      <c r="DE9" s="47"/>
      <c r="DF9" s="474"/>
      <c r="DG9" s="47"/>
      <c r="DH9" s="47" t="s">
        <v>10</v>
      </c>
      <c r="DI9" s="47"/>
      <c r="DJ9" s="47"/>
      <c r="DK9" s="474"/>
      <c r="DL9" s="47"/>
      <c r="DM9" s="47" t="s">
        <v>11</v>
      </c>
      <c r="DN9" s="47"/>
      <c r="DO9" s="47"/>
      <c r="DP9" s="474"/>
      <c r="DQ9" s="47"/>
      <c r="DR9" s="47" t="s">
        <v>12</v>
      </c>
      <c r="DS9" s="47"/>
      <c r="DT9" s="47"/>
      <c r="DU9" s="474"/>
      <c r="DV9" s="47"/>
      <c r="DW9" s="47" t="s">
        <v>13</v>
      </c>
      <c r="DX9" s="47"/>
      <c r="DY9" s="47"/>
      <c r="DZ9" s="474"/>
      <c r="EA9" s="47"/>
      <c r="EB9" s="47" t="s">
        <v>14</v>
      </c>
      <c r="EC9" s="47"/>
      <c r="ED9" s="47"/>
      <c r="EE9" s="474"/>
      <c r="EF9" s="47"/>
      <c r="EG9" s="47" t="s">
        <v>15</v>
      </c>
      <c r="EH9" s="47"/>
      <c r="EI9" s="47"/>
      <c r="EJ9" s="474"/>
      <c r="EK9" s="47"/>
      <c r="EL9" s="47" t="s">
        <v>16</v>
      </c>
      <c r="EM9" s="47"/>
      <c r="EN9" s="47"/>
      <c r="EO9" s="144"/>
    </row>
    <row r="10" spans="3:145" x14ac:dyDescent="0.3">
      <c r="D10" s="489" t="s">
        <v>18</v>
      </c>
      <c r="E10" s="597"/>
      <c r="F10" s="598"/>
      <c r="G10" s="491" t="s">
        <v>20</v>
      </c>
      <c r="H10" s="491"/>
      <c r="I10" s="491"/>
      <c r="J10" s="220"/>
      <c r="K10" s="491"/>
      <c r="L10" s="490"/>
      <c r="M10" s="490"/>
      <c r="N10" s="490"/>
      <c r="O10" s="599"/>
      <c r="P10" s="490"/>
      <c r="Q10" s="490"/>
      <c r="R10" s="490"/>
      <c r="S10" s="490"/>
      <c r="T10" s="599"/>
      <c r="U10" s="490"/>
      <c r="V10" s="490"/>
      <c r="W10" s="490"/>
      <c r="X10" s="490"/>
      <c r="Y10" s="599"/>
      <c r="Z10" s="490"/>
      <c r="AA10" s="490"/>
      <c r="AB10" s="490"/>
      <c r="AC10" s="490"/>
      <c r="AD10" s="599"/>
      <c r="AE10" s="490"/>
      <c r="AF10" s="490"/>
      <c r="AG10" s="490"/>
      <c r="AH10" s="490"/>
      <c r="AI10" s="599"/>
      <c r="AJ10" s="490"/>
      <c r="AK10" s="490"/>
      <c r="AL10" s="490"/>
      <c r="AM10" s="490"/>
      <c r="AN10" s="599"/>
      <c r="AO10" s="490"/>
      <c r="AP10" s="490"/>
      <c r="AQ10" s="490"/>
      <c r="AR10" s="490"/>
      <c r="AS10" s="599"/>
      <c r="AT10" s="490"/>
      <c r="AU10" s="490"/>
      <c r="AV10" s="490"/>
      <c r="AW10" s="490"/>
      <c r="AX10" s="599"/>
      <c r="AY10" s="490"/>
      <c r="AZ10" s="490"/>
      <c r="BA10" s="490"/>
      <c r="BB10" s="490"/>
      <c r="BC10" s="599"/>
      <c r="BD10" s="490"/>
      <c r="BE10" s="490"/>
      <c r="BF10" s="490"/>
      <c r="BG10" s="490"/>
      <c r="BH10" s="599"/>
      <c r="BI10" s="490"/>
      <c r="BJ10" s="490"/>
      <c r="BK10" s="490"/>
      <c r="BL10" s="490"/>
      <c r="BM10" s="599"/>
      <c r="BN10" s="490"/>
      <c r="BO10" s="490"/>
      <c r="BP10" s="490"/>
      <c r="BQ10" s="490"/>
      <c r="BR10" s="599"/>
      <c r="BS10" s="490"/>
      <c r="BT10" s="490"/>
      <c r="BU10" s="490"/>
      <c r="BV10" s="490"/>
      <c r="BW10" s="599"/>
      <c r="BX10" s="490"/>
      <c r="BY10" s="491" t="s">
        <v>417</v>
      </c>
      <c r="BZ10" s="491"/>
      <c r="CA10" s="491"/>
      <c r="CB10" s="220"/>
      <c r="CC10" s="491"/>
      <c r="CD10" s="490"/>
      <c r="CE10" s="490"/>
      <c r="CF10" s="490"/>
      <c r="CG10" s="599"/>
      <c r="CH10" s="490"/>
      <c r="CI10" s="490"/>
      <c r="CJ10" s="490"/>
      <c r="CK10" s="490"/>
      <c r="CL10" s="599"/>
      <c r="CM10" s="490"/>
      <c r="CN10" s="490"/>
      <c r="CO10" s="490"/>
      <c r="CP10" s="490"/>
      <c r="CQ10" s="599"/>
      <c r="CR10" s="490"/>
      <c r="CS10" s="490"/>
      <c r="CT10" s="490"/>
      <c r="CU10" s="490"/>
      <c r="CV10" s="599"/>
      <c r="CW10" s="490"/>
      <c r="CX10" s="490"/>
      <c r="CY10" s="490"/>
      <c r="CZ10" s="490"/>
      <c r="DA10" s="599"/>
      <c r="DB10" s="490"/>
      <c r="DC10" s="490"/>
      <c r="DD10" s="490"/>
      <c r="DE10" s="490"/>
      <c r="DF10" s="599"/>
      <c r="DG10" s="490"/>
      <c r="DH10" s="490"/>
      <c r="DI10" s="490"/>
      <c r="DJ10" s="490"/>
      <c r="DK10" s="599"/>
      <c r="DL10" s="490"/>
      <c r="DM10" s="490"/>
      <c r="DN10" s="490"/>
      <c r="DO10" s="490"/>
      <c r="DP10" s="599"/>
      <c r="DQ10" s="490"/>
      <c r="DR10" s="490"/>
      <c r="DS10" s="490"/>
      <c r="DT10" s="490"/>
      <c r="DU10" s="599"/>
      <c r="DV10" s="490"/>
      <c r="DW10" s="490"/>
      <c r="DX10" s="490"/>
      <c r="DY10" s="490"/>
      <c r="DZ10" s="599"/>
      <c r="EA10" s="490"/>
      <c r="EB10" s="490"/>
      <c r="EC10" s="490"/>
      <c r="ED10" s="490"/>
      <c r="EE10" s="599"/>
      <c r="EF10" s="490"/>
      <c r="EG10" s="490"/>
      <c r="EH10" s="490"/>
      <c r="EI10" s="490"/>
      <c r="EJ10" s="599"/>
      <c r="EK10" s="490"/>
      <c r="EL10" s="490"/>
      <c r="EM10" s="490"/>
      <c r="EN10" s="661"/>
      <c r="EO10" s="144"/>
    </row>
    <row r="11" spans="3:145" x14ac:dyDescent="0.3">
      <c r="D11" s="144"/>
      <c r="E11" s="494"/>
      <c r="J11" s="494"/>
      <c r="O11" s="494"/>
      <c r="T11" s="494"/>
      <c r="Y11" s="494"/>
      <c r="AD11" s="494"/>
      <c r="AI11" s="494"/>
      <c r="AN11" s="494"/>
      <c r="AS11" s="494"/>
      <c r="AX11" s="494"/>
      <c r="BC11" s="494"/>
      <c r="BH11" s="494"/>
      <c r="BM11" s="494"/>
      <c r="BR11" s="494"/>
      <c r="BW11" s="494"/>
      <c r="CB11" s="494"/>
      <c r="CG11" s="494"/>
      <c r="CL11" s="494"/>
      <c r="CQ11" s="494"/>
      <c r="CV11" s="494"/>
      <c r="DA11" s="494"/>
      <c r="DF11" s="494"/>
      <c r="DK11" s="494"/>
      <c r="DP11" s="494"/>
      <c r="DU11" s="494"/>
      <c r="DZ11" s="494"/>
      <c r="EE11" s="494"/>
      <c r="EJ11" s="494"/>
      <c r="EO11" s="144"/>
    </row>
    <row r="12" spans="3:145" x14ac:dyDescent="0.3">
      <c r="D12" s="234" t="s">
        <v>418</v>
      </c>
      <c r="E12" s="494"/>
      <c r="G12" s="44">
        <f>SUM(G13:G15)</f>
        <v>73821000</v>
      </c>
      <c r="H12" s="56"/>
      <c r="I12" s="56"/>
      <c r="J12" s="611"/>
      <c r="L12" s="44">
        <f>SUM(L13:L15)</f>
        <v>46626420</v>
      </c>
      <c r="M12" s="56"/>
      <c r="N12" s="56"/>
      <c r="O12" s="611"/>
      <c r="Q12" s="44">
        <f>SUM(Q13:Q15)</f>
        <v>0</v>
      </c>
      <c r="R12" s="56"/>
      <c r="S12" s="56"/>
      <c r="T12" s="611"/>
      <c r="V12" s="44">
        <f>SUM(V13:V15)</f>
        <v>0</v>
      </c>
      <c r="W12" s="56"/>
      <c r="X12" s="56"/>
      <c r="Y12" s="611"/>
      <c r="AA12" s="44">
        <f>SUM(AA13:AA15)</f>
        <v>0</v>
      </c>
      <c r="AB12" s="56"/>
      <c r="AC12" s="56"/>
      <c r="AD12" s="611"/>
      <c r="AF12" s="44">
        <f>SUM(AF13:AF15)</f>
        <v>0</v>
      </c>
      <c r="AG12" s="56"/>
      <c r="AH12" s="56"/>
      <c r="AI12" s="611"/>
      <c r="AK12" s="44">
        <f>SUM(AK13:AK15)</f>
        <v>6790681</v>
      </c>
      <c r="AL12" s="56"/>
      <c r="AM12" s="56"/>
      <c r="AN12" s="611"/>
      <c r="AP12" s="44">
        <f>SUM(AP13:AP15)</f>
        <v>0</v>
      </c>
      <c r="AQ12" s="56"/>
      <c r="AR12" s="56"/>
      <c r="AS12" s="611"/>
      <c r="AU12" s="44">
        <f>SUM(AU13:AU15)</f>
        <v>0</v>
      </c>
      <c r="AV12" s="56"/>
      <c r="AW12" s="56"/>
      <c r="AX12" s="611"/>
      <c r="AZ12" s="44">
        <f>SUM(AZ13:AZ15)</f>
        <v>5451574</v>
      </c>
      <c r="BA12" s="56"/>
      <c r="BB12" s="56"/>
      <c r="BC12" s="611"/>
      <c r="BE12" s="44">
        <f>SUM(BE13:BE15)</f>
        <v>5596913</v>
      </c>
      <c r="BF12" s="56"/>
      <c r="BG12" s="56"/>
      <c r="BH12" s="611"/>
      <c r="BJ12" s="44">
        <f>SUM(BJ13:BJ15)</f>
        <v>0</v>
      </c>
      <c r="BK12" s="56"/>
      <c r="BL12" s="56"/>
      <c r="BM12" s="611"/>
      <c r="BO12" s="44">
        <f>SUM(BO13:BO15)</f>
        <v>0</v>
      </c>
      <c r="BP12" s="56"/>
      <c r="BQ12" s="56"/>
      <c r="BR12" s="611"/>
      <c r="BT12" s="44">
        <f>SUM(BT13:BT15)</f>
        <v>64465588</v>
      </c>
      <c r="BU12" s="56"/>
      <c r="BV12" s="56"/>
      <c r="BW12" s="611"/>
      <c r="BY12" s="44">
        <f>SUM(BY13:BY15)</f>
        <v>31315515</v>
      </c>
      <c r="BZ12" s="56"/>
      <c r="CA12" s="56"/>
      <c r="CB12" s="611"/>
      <c r="CD12" s="44">
        <f>SUM(CD13:CD15)</f>
        <v>0</v>
      </c>
      <c r="CE12" s="56"/>
      <c r="CF12" s="56"/>
      <c r="CG12" s="611"/>
      <c r="CI12" s="44">
        <f>SUM(CI13:CI15)</f>
        <v>0</v>
      </c>
      <c r="CJ12" s="56"/>
      <c r="CK12" s="56"/>
      <c r="CL12" s="611"/>
      <c r="CN12" s="44">
        <f>SUM(CN13:CN15)</f>
        <v>14088400</v>
      </c>
      <c r="CO12" s="56"/>
      <c r="CP12" s="56"/>
      <c r="CQ12" s="611"/>
      <c r="CS12" s="44">
        <f>SUM(CS13:CS15)</f>
        <v>0</v>
      </c>
      <c r="CT12" s="56"/>
      <c r="CU12" s="56"/>
      <c r="CV12" s="611"/>
      <c r="CX12" s="44">
        <f>SUM(CX13:CX15)</f>
        <v>0</v>
      </c>
      <c r="CY12" s="56"/>
      <c r="CZ12" s="56"/>
      <c r="DA12" s="611"/>
      <c r="DC12" s="44">
        <f>SUM(DC13:DC15)</f>
        <v>0</v>
      </c>
      <c r="DD12" s="56"/>
      <c r="DE12" s="56"/>
      <c r="DF12" s="611"/>
      <c r="DH12" s="44">
        <f>SUM(DH13:DH15)</f>
        <v>0</v>
      </c>
      <c r="DI12" s="56"/>
      <c r="DJ12" s="56"/>
      <c r="DK12" s="611"/>
      <c r="DM12" s="44">
        <f>SUM(DM13:DM15)</f>
        <v>6098240</v>
      </c>
      <c r="DN12" s="56"/>
      <c r="DO12" s="56"/>
      <c r="DP12" s="611"/>
      <c r="DR12" s="44">
        <f>SUM(DR13:DR15)</f>
        <v>0</v>
      </c>
      <c r="DS12" s="56"/>
      <c r="DT12" s="56"/>
      <c r="DU12" s="611"/>
      <c r="DW12" s="44">
        <f>SUM(DW13:DW15)</f>
        <v>0</v>
      </c>
      <c r="DX12" s="56"/>
      <c r="DY12" s="56"/>
      <c r="DZ12" s="611"/>
      <c r="EB12" s="44">
        <f>SUM(EB13:EB15)</f>
        <v>0</v>
      </c>
      <c r="EC12" s="56"/>
      <c r="ED12" s="56"/>
      <c r="EE12" s="611"/>
      <c r="EG12" s="44">
        <f>SUM(EG13:EG15)</f>
        <v>11128875</v>
      </c>
      <c r="EH12" s="56"/>
      <c r="EI12" s="56"/>
      <c r="EJ12" s="611"/>
      <c r="EL12" s="44">
        <f>SUM(EL13:EL15)</f>
        <v>20186640</v>
      </c>
      <c r="EM12" s="56"/>
      <c r="EN12" s="56"/>
      <c r="EO12" s="144"/>
    </row>
    <row r="13" spans="3:145" x14ac:dyDescent="0.3">
      <c r="D13" s="144" t="s">
        <v>419</v>
      </c>
      <c r="E13" s="494"/>
      <c r="F13" s="612"/>
      <c r="G13" s="609">
        <f>G17</f>
        <v>73821000</v>
      </c>
      <c r="H13" s="610"/>
      <c r="I13" s="56"/>
      <c r="J13" s="611"/>
      <c r="K13" s="612"/>
      <c r="L13" s="609">
        <f>L17</f>
        <v>46626420</v>
      </c>
      <c r="M13" s="610"/>
      <c r="N13" s="56"/>
      <c r="O13" s="611"/>
      <c r="P13" s="612"/>
      <c r="Q13" s="609">
        <f>Q17</f>
        <v>0</v>
      </c>
      <c r="R13" s="610"/>
      <c r="S13" s="56"/>
      <c r="T13" s="611"/>
      <c r="U13" s="612"/>
      <c r="V13" s="609">
        <f>V17</f>
        <v>0</v>
      </c>
      <c r="W13" s="610"/>
      <c r="X13" s="56"/>
      <c r="Y13" s="611"/>
      <c r="Z13" s="612"/>
      <c r="AA13" s="609">
        <f>AA17</f>
        <v>0</v>
      </c>
      <c r="AB13" s="610"/>
      <c r="AC13" s="56"/>
      <c r="AD13" s="611"/>
      <c r="AE13" s="612"/>
      <c r="AF13" s="609">
        <f>AF17</f>
        <v>0</v>
      </c>
      <c r="AG13" s="610"/>
      <c r="AH13" s="56"/>
      <c r="AI13" s="611"/>
      <c r="AJ13" s="612"/>
      <c r="AK13" s="609">
        <f>AK17</f>
        <v>6790681</v>
      </c>
      <c r="AL13" s="610"/>
      <c r="AM13" s="56"/>
      <c r="AN13" s="611"/>
      <c r="AO13" s="612"/>
      <c r="AP13" s="609">
        <f>AP17</f>
        <v>0</v>
      </c>
      <c r="AQ13" s="610"/>
      <c r="AR13" s="56"/>
      <c r="AS13" s="611"/>
      <c r="AT13" s="612"/>
      <c r="AU13" s="609">
        <f>AU17</f>
        <v>0</v>
      </c>
      <c r="AV13" s="610"/>
      <c r="AW13" s="56"/>
      <c r="AX13" s="611"/>
      <c r="AY13" s="612"/>
      <c r="AZ13" s="609">
        <f>AZ17</f>
        <v>5451574</v>
      </c>
      <c r="BA13" s="610"/>
      <c r="BB13" s="56"/>
      <c r="BC13" s="611"/>
      <c r="BD13" s="612"/>
      <c r="BE13" s="609">
        <f>BE17</f>
        <v>5596913</v>
      </c>
      <c r="BF13" s="610"/>
      <c r="BG13" s="56"/>
      <c r="BH13" s="611"/>
      <c r="BI13" s="612"/>
      <c r="BJ13" s="609">
        <f>BJ17</f>
        <v>0</v>
      </c>
      <c r="BK13" s="610"/>
      <c r="BL13" s="56"/>
      <c r="BM13" s="611"/>
      <c r="BN13" s="612"/>
      <c r="BO13" s="609">
        <f>BO17</f>
        <v>0</v>
      </c>
      <c r="BP13" s="610"/>
      <c r="BQ13" s="56"/>
      <c r="BR13" s="611"/>
      <c r="BS13" s="612"/>
      <c r="BT13" s="609">
        <f>BT17</f>
        <v>64465588</v>
      </c>
      <c r="BU13" s="610"/>
      <c r="BV13" s="56"/>
      <c r="BW13" s="611"/>
      <c r="BX13" s="612"/>
      <c r="BY13" s="609">
        <f>BY17</f>
        <v>31315515</v>
      </c>
      <c r="BZ13" s="610"/>
      <c r="CA13" s="56"/>
      <c r="CB13" s="611"/>
      <c r="CC13" s="612"/>
      <c r="CD13" s="609">
        <f>CD17</f>
        <v>0</v>
      </c>
      <c r="CE13" s="610"/>
      <c r="CF13" s="56"/>
      <c r="CG13" s="611"/>
      <c r="CH13" s="612"/>
      <c r="CI13" s="609">
        <f>CI17</f>
        <v>0</v>
      </c>
      <c r="CJ13" s="610"/>
      <c r="CK13" s="56"/>
      <c r="CL13" s="611"/>
      <c r="CM13" s="612"/>
      <c r="CN13" s="609">
        <f>CN17</f>
        <v>14088400</v>
      </c>
      <c r="CO13" s="610"/>
      <c r="CP13" s="56"/>
      <c r="CQ13" s="611"/>
      <c r="CR13" s="612"/>
      <c r="CS13" s="609">
        <f>CS17</f>
        <v>0</v>
      </c>
      <c r="CT13" s="610"/>
      <c r="CU13" s="56"/>
      <c r="CV13" s="611"/>
      <c r="CW13" s="612"/>
      <c r="CX13" s="609">
        <f>CX17</f>
        <v>0</v>
      </c>
      <c r="CY13" s="610"/>
      <c r="CZ13" s="56"/>
      <c r="DA13" s="611"/>
      <c r="DB13" s="612"/>
      <c r="DC13" s="609">
        <f>DC17</f>
        <v>0</v>
      </c>
      <c r="DD13" s="610"/>
      <c r="DE13" s="56"/>
      <c r="DF13" s="611"/>
      <c r="DG13" s="612"/>
      <c r="DH13" s="609">
        <f>DH17</f>
        <v>0</v>
      </c>
      <c r="DI13" s="610"/>
      <c r="DJ13" s="56"/>
      <c r="DK13" s="611"/>
      <c r="DL13" s="612"/>
      <c r="DM13" s="609">
        <f>DM17</f>
        <v>6098240</v>
      </c>
      <c r="DN13" s="610"/>
      <c r="DO13" s="56"/>
      <c r="DP13" s="611"/>
      <c r="DQ13" s="612"/>
      <c r="DR13" s="609">
        <f>DR17</f>
        <v>0</v>
      </c>
      <c r="DS13" s="610"/>
      <c r="DT13" s="56"/>
      <c r="DU13" s="611"/>
      <c r="DV13" s="612"/>
      <c r="DW13" s="609">
        <f>DW17</f>
        <v>0</v>
      </c>
      <c r="DX13" s="610"/>
      <c r="DY13" s="56"/>
      <c r="DZ13" s="611"/>
      <c r="EA13" s="612"/>
      <c r="EB13" s="609">
        <f>EB17</f>
        <v>0</v>
      </c>
      <c r="EC13" s="610"/>
      <c r="ED13" s="56"/>
      <c r="EE13" s="611"/>
      <c r="EF13" s="612"/>
      <c r="EG13" s="609">
        <f>EG17</f>
        <v>11128875</v>
      </c>
      <c r="EH13" s="610"/>
      <c r="EI13" s="56"/>
      <c r="EJ13" s="611"/>
      <c r="EK13" s="612"/>
      <c r="EL13" s="609">
        <f>EL17</f>
        <v>20186640</v>
      </c>
      <c r="EM13" s="610"/>
      <c r="EN13" s="56"/>
      <c r="EO13" s="144"/>
    </row>
    <row r="14" spans="3:145" x14ac:dyDescent="0.3">
      <c r="D14" s="144" t="s">
        <v>420</v>
      </c>
      <c r="E14" s="494"/>
      <c r="F14" s="611"/>
      <c r="G14" s="56">
        <f>+G72</f>
        <v>0</v>
      </c>
      <c r="H14" s="55"/>
      <c r="I14" s="56"/>
      <c r="J14" s="611"/>
      <c r="K14" s="611"/>
      <c r="L14" s="56">
        <f>L72</f>
        <v>0</v>
      </c>
      <c r="M14" s="55"/>
      <c r="N14" s="56"/>
      <c r="O14" s="611"/>
      <c r="P14" s="611"/>
      <c r="Q14" s="56">
        <f>Q72</f>
        <v>0</v>
      </c>
      <c r="R14" s="55"/>
      <c r="S14" s="56"/>
      <c r="T14" s="611"/>
      <c r="U14" s="611"/>
      <c r="V14" s="56">
        <f>V72</f>
        <v>0</v>
      </c>
      <c r="W14" s="55"/>
      <c r="X14" s="56"/>
      <c r="Y14" s="611"/>
      <c r="Z14" s="611"/>
      <c r="AA14" s="56">
        <f>AA72</f>
        <v>0</v>
      </c>
      <c r="AB14" s="55"/>
      <c r="AC14" s="56"/>
      <c r="AD14" s="611"/>
      <c r="AE14" s="611"/>
      <c r="AF14" s="56">
        <f>AF72</f>
        <v>0</v>
      </c>
      <c r="AG14" s="55"/>
      <c r="AH14" s="56"/>
      <c r="AI14" s="611"/>
      <c r="AJ14" s="611"/>
      <c r="AK14" s="56">
        <f>AK72</f>
        <v>0</v>
      </c>
      <c r="AL14" s="55"/>
      <c r="AM14" s="56"/>
      <c r="AN14" s="611"/>
      <c r="AO14" s="611"/>
      <c r="AP14" s="56">
        <f>AP72</f>
        <v>0</v>
      </c>
      <c r="AQ14" s="55"/>
      <c r="AR14" s="56"/>
      <c r="AS14" s="611"/>
      <c r="AT14" s="611"/>
      <c r="AU14" s="56">
        <f>AU72</f>
        <v>0</v>
      </c>
      <c r="AV14" s="55"/>
      <c r="AW14" s="56"/>
      <c r="AX14" s="611"/>
      <c r="AY14" s="611"/>
      <c r="AZ14" s="56">
        <f>AZ72</f>
        <v>0</v>
      </c>
      <c r="BA14" s="55"/>
      <c r="BB14" s="56"/>
      <c r="BC14" s="611"/>
      <c r="BD14" s="611"/>
      <c r="BE14" s="56">
        <f>BE72</f>
        <v>0</v>
      </c>
      <c r="BF14" s="55"/>
      <c r="BG14" s="56"/>
      <c r="BH14" s="611"/>
      <c r="BI14" s="611"/>
      <c r="BJ14" s="56">
        <f>BJ72</f>
        <v>0</v>
      </c>
      <c r="BK14" s="55"/>
      <c r="BL14" s="56"/>
      <c r="BM14" s="611"/>
      <c r="BN14" s="611"/>
      <c r="BO14" s="56">
        <f>BO72</f>
        <v>0</v>
      </c>
      <c r="BP14" s="55"/>
      <c r="BQ14" s="56"/>
      <c r="BR14" s="611"/>
      <c r="BS14" s="611"/>
      <c r="BT14" s="56">
        <f>BT72</f>
        <v>0</v>
      </c>
      <c r="BU14" s="55"/>
      <c r="BV14" s="56"/>
      <c r="BW14" s="611"/>
      <c r="BX14" s="611"/>
      <c r="BY14" s="56">
        <f>BY72</f>
        <v>0</v>
      </c>
      <c r="BZ14" s="55"/>
      <c r="CA14" s="56"/>
      <c r="CB14" s="611"/>
      <c r="CC14" s="611"/>
      <c r="CD14" s="56">
        <f>CD72</f>
        <v>0</v>
      </c>
      <c r="CE14" s="55"/>
      <c r="CF14" s="56"/>
      <c r="CG14" s="611"/>
      <c r="CH14" s="611"/>
      <c r="CI14" s="56">
        <f>CI72</f>
        <v>0</v>
      </c>
      <c r="CJ14" s="55"/>
      <c r="CK14" s="56"/>
      <c r="CL14" s="611"/>
      <c r="CM14" s="611"/>
      <c r="CN14" s="56">
        <f>CN72</f>
        <v>0</v>
      </c>
      <c r="CO14" s="55"/>
      <c r="CP14" s="56"/>
      <c r="CQ14" s="611"/>
      <c r="CR14" s="611"/>
      <c r="CS14" s="56">
        <f>CS72</f>
        <v>0</v>
      </c>
      <c r="CT14" s="55"/>
      <c r="CU14" s="56"/>
      <c r="CV14" s="611"/>
      <c r="CW14" s="611"/>
      <c r="CX14" s="56">
        <f>CX72</f>
        <v>0</v>
      </c>
      <c r="CY14" s="55"/>
      <c r="CZ14" s="56"/>
      <c r="DA14" s="611"/>
      <c r="DB14" s="611"/>
      <c r="DC14" s="56">
        <f>DC72</f>
        <v>0</v>
      </c>
      <c r="DD14" s="55"/>
      <c r="DE14" s="56"/>
      <c r="DF14" s="611"/>
      <c r="DG14" s="611"/>
      <c r="DH14" s="56">
        <f>DH72</f>
        <v>0</v>
      </c>
      <c r="DI14" s="55"/>
      <c r="DJ14" s="56"/>
      <c r="DK14" s="611"/>
      <c r="DL14" s="611"/>
      <c r="DM14" s="56">
        <f>DM72</f>
        <v>0</v>
      </c>
      <c r="DN14" s="55"/>
      <c r="DO14" s="56"/>
      <c r="DP14" s="611"/>
      <c r="DQ14" s="611"/>
      <c r="DR14" s="56">
        <f>DR72</f>
        <v>0</v>
      </c>
      <c r="DS14" s="55"/>
      <c r="DT14" s="56"/>
      <c r="DU14" s="611"/>
      <c r="DV14" s="611"/>
      <c r="DW14" s="56">
        <f>DW72</f>
        <v>0</v>
      </c>
      <c r="DX14" s="55"/>
      <c r="DY14" s="56"/>
      <c r="DZ14" s="611"/>
      <c r="EA14" s="611"/>
      <c r="EB14" s="56">
        <f>EB72</f>
        <v>0</v>
      </c>
      <c r="EC14" s="55"/>
      <c r="ED14" s="56"/>
      <c r="EE14" s="611"/>
      <c r="EF14" s="611"/>
      <c r="EG14" s="56">
        <f>EG72</f>
        <v>0</v>
      </c>
      <c r="EH14" s="55"/>
      <c r="EI14" s="56"/>
      <c r="EJ14" s="611"/>
      <c r="EK14" s="611"/>
      <c r="EL14" s="56">
        <f>EL72</f>
        <v>0</v>
      </c>
      <c r="EM14" s="55"/>
      <c r="EN14" s="56"/>
      <c r="EO14" s="144"/>
    </row>
    <row r="15" spans="3:145" x14ac:dyDescent="0.3">
      <c r="D15" s="144" t="s">
        <v>421</v>
      </c>
      <c r="E15" s="494"/>
      <c r="F15" s="620"/>
      <c r="G15" s="117">
        <v>0</v>
      </c>
      <c r="H15" s="116"/>
      <c r="I15" s="56"/>
      <c r="J15" s="611"/>
      <c r="K15" s="620"/>
      <c r="L15" s="117">
        <f>L82</f>
        <v>0</v>
      </c>
      <c r="M15" s="116"/>
      <c r="N15" s="56"/>
      <c r="O15" s="611"/>
      <c r="P15" s="620"/>
      <c r="Q15" s="117">
        <f>Q82</f>
        <v>0</v>
      </c>
      <c r="R15" s="116"/>
      <c r="S15" s="56"/>
      <c r="T15" s="611"/>
      <c r="U15" s="620"/>
      <c r="V15" s="117">
        <f>V82</f>
        <v>0</v>
      </c>
      <c r="W15" s="116"/>
      <c r="X15" s="56"/>
      <c r="Y15" s="611"/>
      <c r="Z15" s="620"/>
      <c r="AA15" s="117">
        <f>AA82</f>
        <v>0</v>
      </c>
      <c r="AB15" s="116"/>
      <c r="AC15" s="56"/>
      <c r="AD15" s="611"/>
      <c r="AE15" s="620"/>
      <c r="AF15" s="117">
        <f>AF82</f>
        <v>0</v>
      </c>
      <c r="AG15" s="116"/>
      <c r="AH15" s="56"/>
      <c r="AI15" s="611"/>
      <c r="AJ15" s="620"/>
      <c r="AK15" s="117">
        <f>AK82</f>
        <v>0</v>
      </c>
      <c r="AL15" s="116"/>
      <c r="AM15" s="56"/>
      <c r="AN15" s="611"/>
      <c r="AO15" s="620"/>
      <c r="AP15" s="117">
        <f>AP82</f>
        <v>0</v>
      </c>
      <c r="AQ15" s="116"/>
      <c r="AR15" s="56"/>
      <c r="AS15" s="611"/>
      <c r="AT15" s="620"/>
      <c r="AU15" s="117">
        <f>AU82</f>
        <v>0</v>
      </c>
      <c r="AV15" s="116"/>
      <c r="AW15" s="56"/>
      <c r="AX15" s="611"/>
      <c r="AY15" s="620"/>
      <c r="AZ15" s="117">
        <f>AZ82</f>
        <v>0</v>
      </c>
      <c r="BA15" s="116"/>
      <c r="BB15" s="56"/>
      <c r="BC15" s="611"/>
      <c r="BD15" s="620"/>
      <c r="BE15" s="117">
        <f>BE82</f>
        <v>0</v>
      </c>
      <c r="BF15" s="116"/>
      <c r="BG15" s="56"/>
      <c r="BH15" s="611"/>
      <c r="BI15" s="620"/>
      <c r="BJ15" s="117">
        <f>BJ82</f>
        <v>0</v>
      </c>
      <c r="BK15" s="116"/>
      <c r="BL15" s="56"/>
      <c r="BM15" s="611"/>
      <c r="BN15" s="620"/>
      <c r="BO15" s="117">
        <f>BO82</f>
        <v>0</v>
      </c>
      <c r="BP15" s="116"/>
      <c r="BQ15" s="56"/>
      <c r="BR15" s="611"/>
      <c r="BS15" s="620"/>
      <c r="BT15" s="117">
        <f>BT82</f>
        <v>0</v>
      </c>
      <c r="BU15" s="116"/>
      <c r="BV15" s="56"/>
      <c r="BW15" s="611"/>
      <c r="BX15" s="620"/>
      <c r="BY15" s="117">
        <f>BY82</f>
        <v>0</v>
      </c>
      <c r="BZ15" s="116"/>
      <c r="CA15" s="56"/>
      <c r="CB15" s="611"/>
      <c r="CC15" s="620"/>
      <c r="CD15" s="117">
        <f>CD82</f>
        <v>0</v>
      </c>
      <c r="CE15" s="116"/>
      <c r="CF15" s="56"/>
      <c r="CG15" s="611"/>
      <c r="CH15" s="620"/>
      <c r="CI15" s="117">
        <f>CI82</f>
        <v>0</v>
      </c>
      <c r="CJ15" s="116"/>
      <c r="CK15" s="56"/>
      <c r="CL15" s="611"/>
      <c r="CM15" s="620"/>
      <c r="CN15" s="117">
        <f>CN82</f>
        <v>0</v>
      </c>
      <c r="CO15" s="116"/>
      <c r="CP15" s="56"/>
      <c r="CQ15" s="611"/>
      <c r="CR15" s="620"/>
      <c r="CS15" s="117">
        <f>CS82</f>
        <v>0</v>
      </c>
      <c r="CT15" s="116"/>
      <c r="CU15" s="56"/>
      <c r="CV15" s="611"/>
      <c r="CW15" s="620"/>
      <c r="CX15" s="117">
        <f>CX82</f>
        <v>0</v>
      </c>
      <c r="CY15" s="116"/>
      <c r="CZ15" s="56"/>
      <c r="DA15" s="611"/>
      <c r="DB15" s="620"/>
      <c r="DC15" s="117">
        <f>DC82</f>
        <v>0</v>
      </c>
      <c r="DD15" s="116"/>
      <c r="DE15" s="56"/>
      <c r="DF15" s="611"/>
      <c r="DG15" s="620"/>
      <c r="DH15" s="117">
        <f>DH82</f>
        <v>0</v>
      </c>
      <c r="DI15" s="116"/>
      <c r="DJ15" s="56"/>
      <c r="DK15" s="611"/>
      <c r="DL15" s="620"/>
      <c r="DM15" s="117">
        <f>DM82</f>
        <v>0</v>
      </c>
      <c r="DN15" s="116"/>
      <c r="DO15" s="56"/>
      <c r="DP15" s="611"/>
      <c r="DQ15" s="620"/>
      <c r="DR15" s="117">
        <f>DR82</f>
        <v>0</v>
      </c>
      <c r="DS15" s="116"/>
      <c r="DT15" s="56"/>
      <c r="DU15" s="611"/>
      <c r="DV15" s="620"/>
      <c r="DW15" s="117">
        <f>DW82</f>
        <v>0</v>
      </c>
      <c r="DX15" s="116"/>
      <c r="DY15" s="56"/>
      <c r="DZ15" s="611"/>
      <c r="EA15" s="620"/>
      <c r="EB15" s="117">
        <f>EB82</f>
        <v>0</v>
      </c>
      <c r="EC15" s="116"/>
      <c r="ED15" s="56"/>
      <c r="EE15" s="611"/>
      <c r="EF15" s="620"/>
      <c r="EG15" s="117">
        <f>EG82</f>
        <v>0</v>
      </c>
      <c r="EH15" s="116"/>
      <c r="EI15" s="56"/>
      <c r="EJ15" s="611"/>
      <c r="EK15" s="620"/>
      <c r="EL15" s="117">
        <f>EL82</f>
        <v>0</v>
      </c>
      <c r="EM15" s="116"/>
      <c r="EN15" s="56"/>
      <c r="EO15" s="144"/>
    </row>
    <row r="16" spans="3:145" x14ac:dyDescent="0.3">
      <c r="D16" s="144"/>
      <c r="E16" s="494"/>
      <c r="G16" s="56"/>
      <c r="H16" s="56"/>
      <c r="I16" s="56"/>
      <c r="J16" s="611"/>
      <c r="K16" s="56"/>
      <c r="L16" s="56"/>
      <c r="M16" s="56"/>
      <c r="N16" s="56"/>
      <c r="O16" s="611"/>
      <c r="P16" s="56"/>
      <c r="Q16" s="56"/>
      <c r="R16" s="56"/>
      <c r="S16" s="56"/>
      <c r="T16" s="611"/>
      <c r="U16" s="56"/>
      <c r="V16" s="56"/>
      <c r="W16" s="56"/>
      <c r="X16" s="56"/>
      <c r="Y16" s="611"/>
      <c r="Z16" s="56"/>
      <c r="AA16" s="56"/>
      <c r="AB16" s="56"/>
      <c r="AC16" s="56"/>
      <c r="AD16" s="611"/>
      <c r="AE16" s="56"/>
      <c r="AF16" s="56"/>
      <c r="AG16" s="56"/>
      <c r="AH16" s="56"/>
      <c r="AI16" s="611"/>
      <c r="AJ16" s="56"/>
      <c r="AK16" s="56"/>
      <c r="AL16" s="56"/>
      <c r="AM16" s="56"/>
      <c r="AN16" s="611"/>
      <c r="AO16" s="56"/>
      <c r="AP16" s="56"/>
      <c r="AQ16" s="56"/>
      <c r="AR16" s="56"/>
      <c r="AS16" s="611"/>
      <c r="AT16" s="56"/>
      <c r="AU16" s="56"/>
      <c r="AV16" s="56"/>
      <c r="AW16" s="56"/>
      <c r="AX16" s="611"/>
      <c r="AY16" s="56"/>
      <c r="AZ16" s="56"/>
      <c r="BA16" s="56"/>
      <c r="BB16" s="56"/>
      <c r="BC16" s="611"/>
      <c r="BD16" s="56"/>
      <c r="BE16" s="56"/>
      <c r="BF16" s="56"/>
      <c r="BG16" s="56"/>
      <c r="BH16" s="611"/>
      <c r="BI16" s="56"/>
      <c r="BJ16" s="56"/>
      <c r="BK16" s="56"/>
      <c r="BL16" s="56"/>
      <c r="BM16" s="611"/>
      <c r="BN16" s="56"/>
      <c r="BO16" s="56"/>
      <c r="BP16" s="56"/>
      <c r="BQ16" s="56"/>
      <c r="BR16" s="611"/>
      <c r="BS16" s="56"/>
      <c r="BT16" s="56"/>
      <c r="BU16" s="56"/>
      <c r="BV16" s="56"/>
      <c r="BW16" s="611"/>
      <c r="BX16" s="56"/>
      <c r="BY16" s="56"/>
      <c r="BZ16" s="56"/>
      <c r="CA16" s="56"/>
      <c r="CB16" s="611"/>
      <c r="CC16" s="56"/>
      <c r="CD16" s="56"/>
      <c r="CE16" s="56"/>
      <c r="CF16" s="56"/>
      <c r="CG16" s="611"/>
      <c r="CH16" s="56"/>
      <c r="CI16" s="56"/>
      <c r="CJ16" s="56"/>
      <c r="CK16" s="56"/>
      <c r="CL16" s="611"/>
      <c r="CM16" s="56"/>
      <c r="CN16" s="56"/>
      <c r="CO16" s="56"/>
      <c r="CP16" s="56"/>
      <c r="CQ16" s="611"/>
      <c r="CR16" s="56"/>
      <c r="CS16" s="56"/>
      <c r="CT16" s="56"/>
      <c r="CU16" s="56"/>
      <c r="CV16" s="611"/>
      <c r="CW16" s="56"/>
      <c r="CX16" s="56"/>
      <c r="CY16" s="56"/>
      <c r="CZ16" s="56"/>
      <c r="DA16" s="611"/>
      <c r="DB16" s="56"/>
      <c r="DC16" s="56"/>
      <c r="DD16" s="56"/>
      <c r="DE16" s="56"/>
      <c r="DF16" s="611"/>
      <c r="DG16" s="56"/>
      <c r="DH16" s="56"/>
      <c r="DI16" s="56"/>
      <c r="DJ16" s="56"/>
      <c r="DK16" s="611"/>
      <c r="DL16" s="56"/>
      <c r="DM16" s="56"/>
      <c r="DN16" s="56"/>
      <c r="DO16" s="56"/>
      <c r="DP16" s="611"/>
      <c r="DQ16" s="56"/>
      <c r="DR16" s="56"/>
      <c r="DS16" s="56"/>
      <c r="DT16" s="56"/>
      <c r="DU16" s="611"/>
      <c r="DV16" s="56"/>
      <c r="DW16" s="56"/>
      <c r="DX16" s="56"/>
      <c r="DY16" s="56"/>
      <c r="DZ16" s="611"/>
      <c r="EA16" s="56"/>
      <c r="EB16" s="56"/>
      <c r="EC16" s="56"/>
      <c r="ED16" s="56"/>
      <c r="EE16" s="611"/>
      <c r="EF16" s="56"/>
      <c r="EG16" s="56"/>
      <c r="EH16" s="56"/>
      <c r="EI16" s="56"/>
      <c r="EJ16" s="611"/>
      <c r="EK16" s="56"/>
      <c r="EL16" s="56"/>
      <c r="EM16" s="56"/>
      <c r="EN16" s="56"/>
      <c r="EO16" s="144"/>
    </row>
    <row r="17" spans="4:148" s="42" customFormat="1" x14ac:dyDescent="0.3">
      <c r="D17" s="234" t="s">
        <v>422</v>
      </c>
      <c r="E17" s="496"/>
      <c r="G17" s="44">
        <f>SUM(G18:G20)</f>
        <v>73821000</v>
      </c>
      <c r="H17" s="44"/>
      <c r="I17" s="44"/>
      <c r="J17" s="607"/>
      <c r="K17" s="44"/>
      <c r="L17" s="44">
        <f>SUM(L18:L20)</f>
        <v>46626420</v>
      </c>
      <c r="M17" s="44"/>
      <c r="N17" s="44"/>
      <c r="O17" s="607"/>
      <c r="P17" s="44"/>
      <c r="Q17" s="44">
        <f>SUM(Q18:Q20)</f>
        <v>0</v>
      </c>
      <c r="R17" s="44"/>
      <c r="S17" s="44"/>
      <c r="T17" s="607"/>
      <c r="U17" s="44"/>
      <c r="V17" s="44">
        <f>SUM(V18:V20)</f>
        <v>0</v>
      </c>
      <c r="W17" s="44"/>
      <c r="X17" s="44"/>
      <c r="Y17" s="607"/>
      <c r="Z17" s="44"/>
      <c r="AA17" s="44">
        <f>SUM(AA18:AA20)</f>
        <v>0</v>
      </c>
      <c r="AB17" s="44"/>
      <c r="AC17" s="44"/>
      <c r="AD17" s="607"/>
      <c r="AE17" s="44"/>
      <c r="AF17" s="44">
        <f>SUM(AF18:AF20)</f>
        <v>0</v>
      </c>
      <c r="AG17" s="44"/>
      <c r="AH17" s="44"/>
      <c r="AI17" s="607"/>
      <c r="AJ17" s="44"/>
      <c r="AK17" s="44">
        <f>SUM(AK18:AK20)</f>
        <v>6790681</v>
      </c>
      <c r="AL17" s="44"/>
      <c r="AM17" s="44"/>
      <c r="AN17" s="607"/>
      <c r="AO17" s="44"/>
      <c r="AP17" s="44">
        <f>SUM(AP18:AP20)</f>
        <v>0</v>
      </c>
      <c r="AQ17" s="44"/>
      <c r="AR17" s="44"/>
      <c r="AS17" s="607"/>
      <c r="AT17" s="44"/>
      <c r="AU17" s="44">
        <f>SUM(AU18:AU20)</f>
        <v>0</v>
      </c>
      <c r="AV17" s="44"/>
      <c r="AW17" s="44"/>
      <c r="AX17" s="607"/>
      <c r="AY17" s="44"/>
      <c r="AZ17" s="44">
        <f>SUM(AZ18:AZ20)</f>
        <v>5451574</v>
      </c>
      <c r="BA17" s="44"/>
      <c r="BB17" s="44"/>
      <c r="BC17" s="607"/>
      <c r="BD17" s="44"/>
      <c r="BE17" s="44">
        <f>SUM(BE18:BE20)</f>
        <v>5596913</v>
      </c>
      <c r="BF17" s="44"/>
      <c r="BG17" s="44"/>
      <c r="BH17" s="607"/>
      <c r="BI17" s="44"/>
      <c r="BJ17" s="44">
        <f>SUM(BJ18:BJ20)</f>
        <v>0</v>
      </c>
      <c r="BK17" s="44"/>
      <c r="BL17" s="44"/>
      <c r="BM17" s="607"/>
      <c r="BN17" s="44"/>
      <c r="BO17" s="44">
        <f>SUM(BO18:BO20)</f>
        <v>0</v>
      </c>
      <c r="BP17" s="44"/>
      <c r="BQ17" s="44"/>
      <c r="BR17" s="607"/>
      <c r="BS17" s="44"/>
      <c r="BT17" s="44">
        <f>SUM(BT18:BT20)</f>
        <v>64465588</v>
      </c>
      <c r="BU17" s="44"/>
      <c r="BV17" s="44"/>
      <c r="BW17" s="607"/>
      <c r="BX17" s="44"/>
      <c r="BY17" s="44">
        <f>SUM(BY18:BY20)</f>
        <v>31315515</v>
      </c>
      <c r="BZ17" s="44"/>
      <c r="CA17" s="44"/>
      <c r="CB17" s="607"/>
      <c r="CC17" s="44"/>
      <c r="CD17" s="44">
        <f>SUM(CD18:CD20)</f>
        <v>0</v>
      </c>
      <c r="CE17" s="44"/>
      <c r="CF17" s="44"/>
      <c r="CG17" s="607"/>
      <c r="CH17" s="44"/>
      <c r="CI17" s="44">
        <f>SUM(CI18:CI20)</f>
        <v>0</v>
      </c>
      <c r="CJ17" s="44"/>
      <c r="CK17" s="44"/>
      <c r="CL17" s="607"/>
      <c r="CM17" s="44"/>
      <c r="CN17" s="44">
        <f>SUM(CN18:CN20)</f>
        <v>14088400</v>
      </c>
      <c r="CO17" s="44"/>
      <c r="CP17" s="44"/>
      <c r="CQ17" s="607"/>
      <c r="CR17" s="44"/>
      <c r="CS17" s="44">
        <f>SUM(CS18:CS20)</f>
        <v>0</v>
      </c>
      <c r="CT17" s="44"/>
      <c r="CU17" s="44"/>
      <c r="CV17" s="607"/>
      <c r="CW17" s="44"/>
      <c r="CX17" s="44">
        <f>SUM(CX18:CX20)</f>
        <v>0</v>
      </c>
      <c r="CY17" s="44"/>
      <c r="CZ17" s="44"/>
      <c r="DA17" s="607"/>
      <c r="DB17" s="44"/>
      <c r="DC17" s="44">
        <f>SUM(DC18:DC20)</f>
        <v>0</v>
      </c>
      <c r="DD17" s="44"/>
      <c r="DE17" s="44"/>
      <c r="DF17" s="607"/>
      <c r="DG17" s="44"/>
      <c r="DH17" s="44">
        <f>SUM(DH18:DH20)</f>
        <v>0</v>
      </c>
      <c r="DI17" s="44"/>
      <c r="DJ17" s="44"/>
      <c r="DK17" s="607"/>
      <c r="DL17" s="44"/>
      <c r="DM17" s="44">
        <f>SUM(DM18:DM20)</f>
        <v>6098240</v>
      </c>
      <c r="DN17" s="44"/>
      <c r="DO17" s="44"/>
      <c r="DP17" s="607"/>
      <c r="DQ17" s="44"/>
      <c r="DR17" s="44">
        <f>SUM(DR18:DR20)</f>
        <v>0</v>
      </c>
      <c r="DS17" s="44"/>
      <c r="DT17" s="44"/>
      <c r="DU17" s="607"/>
      <c r="DV17" s="44"/>
      <c r="DW17" s="44">
        <f>SUM(DW18:DW20)</f>
        <v>0</v>
      </c>
      <c r="DX17" s="44"/>
      <c r="DY17" s="44"/>
      <c r="DZ17" s="607"/>
      <c r="EA17" s="44"/>
      <c r="EB17" s="44">
        <f>SUM(EB18:EB20)</f>
        <v>0</v>
      </c>
      <c r="EC17" s="44"/>
      <c r="ED17" s="44"/>
      <c r="EE17" s="607"/>
      <c r="EF17" s="44"/>
      <c r="EG17" s="44">
        <f>SUM(EG18:EG20)</f>
        <v>11128875</v>
      </c>
      <c r="EH17" s="44"/>
      <c r="EI17" s="44"/>
      <c r="EJ17" s="607"/>
      <c r="EK17" s="44"/>
      <c r="EL17" s="44">
        <f>SUM(EL18:EL20)</f>
        <v>20186640</v>
      </c>
      <c r="EM17" s="44"/>
      <c r="EN17" s="44"/>
      <c r="EO17" s="234"/>
      <c r="EQ17" s="136"/>
      <c r="ER17" s="136"/>
    </row>
    <row r="18" spans="4:148" x14ac:dyDescent="0.3">
      <c r="D18" s="144" t="s">
        <v>335</v>
      </c>
      <c r="E18" s="494"/>
      <c r="F18" s="500"/>
      <c r="G18" s="609">
        <v>73821000</v>
      </c>
      <c r="H18" s="610"/>
      <c r="I18" s="56"/>
      <c r="J18" s="611"/>
      <c r="K18" s="612"/>
      <c r="L18" s="609">
        <f>L23+L28+L33+L38+L43+L48+L53+L58</f>
        <v>46626420</v>
      </c>
      <c r="M18" s="610"/>
      <c r="N18" s="56"/>
      <c r="O18" s="611"/>
      <c r="P18" s="612"/>
      <c r="Q18" s="609">
        <f>Q23+Q28+Q33+Q38+Q43+Q48+Q53</f>
        <v>0</v>
      </c>
      <c r="R18" s="610"/>
      <c r="S18" s="56"/>
      <c r="T18" s="611"/>
      <c r="U18" s="612"/>
      <c r="V18" s="609">
        <f>V23+V28+V33+V38+V43+V48+V53</f>
        <v>0</v>
      </c>
      <c r="W18" s="610"/>
      <c r="X18" s="56"/>
      <c r="Y18" s="611"/>
      <c r="Z18" s="612"/>
      <c r="AA18" s="609">
        <f>AA23+AA28+AA33+AA38+AA43+AA48+AA53</f>
        <v>0</v>
      </c>
      <c r="AB18" s="610"/>
      <c r="AC18" s="56"/>
      <c r="AD18" s="611"/>
      <c r="AE18" s="612"/>
      <c r="AF18" s="609">
        <f>AF23+AF28+AF33+AF38+AF43+AF48+AF53</f>
        <v>0</v>
      </c>
      <c r="AG18" s="610"/>
      <c r="AH18" s="56"/>
      <c r="AI18" s="611"/>
      <c r="AJ18" s="612"/>
      <c r="AK18" s="609">
        <f>AK23+AK28+AK33+AK38+AK43+AK48+AK53</f>
        <v>6790681</v>
      </c>
      <c r="AL18" s="610"/>
      <c r="AM18" s="56"/>
      <c r="AN18" s="611"/>
      <c r="AO18" s="612"/>
      <c r="AP18" s="609">
        <f>AP23+AP28+AP33+AP38+AP43+AP48+AP53</f>
        <v>0</v>
      </c>
      <c r="AQ18" s="610"/>
      <c r="AR18" s="56"/>
      <c r="AS18" s="611"/>
      <c r="AT18" s="612"/>
      <c r="AU18" s="609">
        <f>AU23+AU28+AU33+AU38+AU43+AU48+AU53</f>
        <v>0</v>
      </c>
      <c r="AV18" s="610"/>
      <c r="AW18" s="56"/>
      <c r="AX18" s="611"/>
      <c r="AY18" s="612"/>
      <c r="AZ18" s="609">
        <f>AZ23+AZ28+AZ33+AZ38+AZ43+AZ48+AZ53+AZ58</f>
        <v>5451574</v>
      </c>
      <c r="BA18" s="610"/>
      <c r="BB18" s="56"/>
      <c r="BC18" s="611"/>
      <c r="BD18" s="612"/>
      <c r="BE18" s="609">
        <f>BE23+BE28+BE33+BE38+BE43+BE48+BE53+BE58+BE63+BE68</f>
        <v>5596913</v>
      </c>
      <c r="BF18" s="610"/>
      <c r="BG18" s="56"/>
      <c r="BH18" s="611"/>
      <c r="BI18" s="612"/>
      <c r="BJ18" s="609">
        <f>BJ23+BJ28+BJ33+BJ38+BJ43+BJ48+BJ53</f>
        <v>0</v>
      </c>
      <c r="BK18" s="610"/>
      <c r="BL18" s="56"/>
      <c r="BM18" s="611"/>
      <c r="BN18" s="612"/>
      <c r="BO18" s="609">
        <f>BO23+BO28+BO33+BO38+BO43+BO48+BO53</f>
        <v>0</v>
      </c>
      <c r="BP18" s="610"/>
      <c r="BQ18" s="56"/>
      <c r="BR18" s="611"/>
      <c r="BS18" s="612"/>
      <c r="BT18" s="609">
        <f>BT23+BT28+BT33+BT38+BT43+BT48+BT53+BT58+BT63+BT68</f>
        <v>64465588</v>
      </c>
      <c r="BU18" s="610"/>
      <c r="BV18" s="56"/>
      <c r="BW18" s="611"/>
      <c r="BX18" s="612"/>
      <c r="BY18" s="609">
        <f>BY23+BY28+BY33+BY38+BY43+BY48+BY53+BY58+BY63+BY68</f>
        <v>31315515</v>
      </c>
      <c r="BZ18" s="610"/>
      <c r="CA18" s="56"/>
      <c r="CB18" s="611"/>
      <c r="CC18" s="612"/>
      <c r="CD18" s="609">
        <f>CD23+CD28+CD33+CD38+CD43+CD48+CD53+CD58</f>
        <v>0</v>
      </c>
      <c r="CE18" s="610"/>
      <c r="CF18" s="56"/>
      <c r="CG18" s="611"/>
      <c r="CH18" s="612"/>
      <c r="CI18" s="609">
        <f>CI23+CI28+CI33+CI38+CI43+CI48+CI53+CI58</f>
        <v>0</v>
      </c>
      <c r="CJ18" s="610"/>
      <c r="CK18" s="56"/>
      <c r="CL18" s="611"/>
      <c r="CM18" s="612"/>
      <c r="CN18" s="609">
        <f>CN23+CN28+CN33+CN38+CN43+CN48+CN53</f>
        <v>14088400</v>
      </c>
      <c r="CO18" s="610"/>
      <c r="CP18" s="56"/>
      <c r="CQ18" s="611"/>
      <c r="CR18" s="612"/>
      <c r="CS18" s="609">
        <f>CS23+CS28+CS33+CS38+CS43+CS48+CS53</f>
        <v>0</v>
      </c>
      <c r="CT18" s="610"/>
      <c r="CU18" s="56"/>
      <c r="CV18" s="611"/>
      <c r="CW18" s="612"/>
      <c r="CX18" s="609">
        <f>CX23+CX28+CX33+CX38+CX43+CX48+CX53</f>
        <v>0</v>
      </c>
      <c r="CY18" s="610"/>
      <c r="CZ18" s="56"/>
      <c r="DA18" s="611"/>
      <c r="DB18" s="612"/>
      <c r="DC18" s="609">
        <f>DC23+DC28+DC33+DC38+DC43+DC48+DC53</f>
        <v>0</v>
      </c>
      <c r="DD18" s="610"/>
      <c r="DE18" s="56"/>
      <c r="DF18" s="611"/>
      <c r="DG18" s="612"/>
      <c r="DH18" s="609">
        <f>DH23+DH28+DH33+DH38+DH43+DH48+DH53</f>
        <v>0</v>
      </c>
      <c r="DI18" s="610"/>
      <c r="DJ18" s="56"/>
      <c r="DK18" s="611"/>
      <c r="DL18" s="612"/>
      <c r="DM18" s="609">
        <f>DM23+DM28+DM33+DM38+DM43+DM48+DM53</f>
        <v>6098240</v>
      </c>
      <c r="DN18" s="610"/>
      <c r="DO18" s="56"/>
      <c r="DP18" s="611"/>
      <c r="DQ18" s="612"/>
      <c r="DR18" s="609">
        <f>DR23+DR28+DR33+DR38+DR43+DR48+DR53+DR58</f>
        <v>0</v>
      </c>
      <c r="DS18" s="610"/>
      <c r="DT18" s="56"/>
      <c r="DU18" s="611"/>
      <c r="DV18" s="612"/>
      <c r="DW18" s="609">
        <f>DW23+DW28+DW33+DW38+DW43+DW48+DW53+DW58+DW63+DW68</f>
        <v>0</v>
      </c>
      <c r="DX18" s="610"/>
      <c r="DY18" s="56"/>
      <c r="DZ18" s="611"/>
      <c r="EA18" s="612"/>
      <c r="EB18" s="609">
        <f>EB23+EB28+EB33+EB38+EB43+EB48+EB53</f>
        <v>0</v>
      </c>
      <c r="EC18" s="610"/>
      <c r="ED18" s="56"/>
      <c r="EE18" s="611"/>
      <c r="EF18" s="612"/>
      <c r="EG18" s="609">
        <f>EG23+EG28+EG33+EG38+EG43+EG48+EG53</f>
        <v>11128875</v>
      </c>
      <c r="EH18" s="610"/>
      <c r="EI18" s="56"/>
      <c r="EJ18" s="611"/>
      <c r="EK18" s="612"/>
      <c r="EL18" s="609">
        <f>EL23+EL28+EL33+EL38+EL43+EL48+EL53+EL58+EL63+EL68</f>
        <v>20186640</v>
      </c>
      <c r="EM18" s="610"/>
      <c r="EN18" s="56"/>
      <c r="EO18" s="144"/>
    </row>
    <row r="19" spans="4:148" x14ac:dyDescent="0.3">
      <c r="D19" s="144" t="s">
        <v>338</v>
      </c>
      <c r="E19" s="494"/>
      <c r="F19" s="494"/>
      <c r="G19" s="56">
        <v>0</v>
      </c>
      <c r="H19" s="55"/>
      <c r="I19" s="56"/>
      <c r="J19" s="611"/>
      <c r="K19" s="611"/>
      <c r="L19" s="56">
        <f>L24+L29+L34+L39+L44+L49+L54+L59</f>
        <v>0</v>
      </c>
      <c r="M19" s="55"/>
      <c r="N19" s="56"/>
      <c r="O19" s="611"/>
      <c r="P19" s="611"/>
      <c r="Q19" s="56">
        <f>Q24+Q29+Q34+Q39+Q44+Q49+Q54</f>
        <v>0</v>
      </c>
      <c r="R19" s="55"/>
      <c r="S19" s="56"/>
      <c r="T19" s="611"/>
      <c r="U19" s="611"/>
      <c r="V19" s="56">
        <f>V24+V29+V34+V39+V44+V49+V54</f>
        <v>0</v>
      </c>
      <c r="W19" s="55"/>
      <c r="X19" s="56"/>
      <c r="Y19" s="611"/>
      <c r="Z19" s="611"/>
      <c r="AA19" s="56">
        <f>AA24+AA29+AA34+AA39+AA44+AA49+AA54</f>
        <v>0</v>
      </c>
      <c r="AB19" s="55"/>
      <c r="AC19" s="56"/>
      <c r="AD19" s="611"/>
      <c r="AE19" s="611"/>
      <c r="AF19" s="56">
        <f>AF24+AF29+AF34+AF39+AF44+AF49+AF54</f>
        <v>0</v>
      </c>
      <c r="AG19" s="55"/>
      <c r="AH19" s="56"/>
      <c r="AI19" s="611"/>
      <c r="AJ19" s="611"/>
      <c r="AK19" s="56">
        <f>AK24+AK29+AK34+AK39+AK44+AK49+AK54</f>
        <v>0</v>
      </c>
      <c r="AL19" s="55"/>
      <c r="AM19" s="56"/>
      <c r="AN19" s="611"/>
      <c r="AO19" s="611"/>
      <c r="AP19" s="56">
        <f>AP24+AP29+AP34+AP39+AP44+AP49+AP54</f>
        <v>0</v>
      </c>
      <c r="AQ19" s="55"/>
      <c r="AR19" s="56"/>
      <c r="AS19" s="611"/>
      <c r="AT19" s="611"/>
      <c r="AU19" s="56">
        <f>AU24+AU29+AU34+AU39+AU44+AU49+AU54</f>
        <v>0</v>
      </c>
      <c r="AV19" s="55"/>
      <c r="AW19" s="56"/>
      <c r="AX19" s="611"/>
      <c r="AY19" s="611"/>
      <c r="AZ19" s="56">
        <f>AZ24+AZ29+AZ34+AZ39+AZ44+AZ49+AZ54+AZ59</f>
        <v>0</v>
      </c>
      <c r="BA19" s="55"/>
      <c r="BB19" s="56"/>
      <c r="BC19" s="611"/>
      <c r="BD19" s="611"/>
      <c r="BE19" s="56">
        <f t="shared" ref="BE19:BE20" si="0">BE24+BE29+BE34+BE39+BE44+BE49+BE54+BE59+BE64+BE69</f>
        <v>0</v>
      </c>
      <c r="BF19" s="55"/>
      <c r="BG19" s="56"/>
      <c r="BH19" s="611"/>
      <c r="BI19" s="611"/>
      <c r="BJ19" s="56">
        <f>BJ24+BJ29+BJ34+BJ39+BJ44+BJ49+BJ54</f>
        <v>0</v>
      </c>
      <c r="BK19" s="55"/>
      <c r="BL19" s="56"/>
      <c r="BM19" s="611"/>
      <c r="BN19" s="611"/>
      <c r="BO19" s="56">
        <f>BO24+BO29+BO34+BO39+BO44+BO49+BO54</f>
        <v>0</v>
      </c>
      <c r="BP19" s="55"/>
      <c r="BQ19" s="56"/>
      <c r="BR19" s="611"/>
      <c r="BS19" s="611"/>
      <c r="BT19" s="56">
        <f t="shared" ref="BT19:BT20" si="1">BT24+BT29+BT34+BT39+BT44+BT49+BT54+BT59+BT64+BT69</f>
        <v>0</v>
      </c>
      <c r="BU19" s="55"/>
      <c r="BV19" s="56"/>
      <c r="BW19" s="611"/>
      <c r="BX19" s="611"/>
      <c r="BY19" s="56">
        <f t="shared" ref="BY19:BY20" si="2">BY24+BY29+BY34+BY39+BY44+BY49+BY54+BY59+BY64+BY69</f>
        <v>0</v>
      </c>
      <c r="BZ19" s="55"/>
      <c r="CA19" s="56"/>
      <c r="CB19" s="611"/>
      <c r="CC19" s="611"/>
      <c r="CD19" s="56">
        <f>CD24+CD29+CD34+CD39+CD44+CD49+CD54+CD59</f>
        <v>0</v>
      </c>
      <c r="CE19" s="55"/>
      <c r="CF19" s="56"/>
      <c r="CG19" s="611"/>
      <c r="CH19" s="611"/>
      <c r="CI19" s="56">
        <f>CI24+CI29+CI34+CI39+CI44+CI49+CI54</f>
        <v>0</v>
      </c>
      <c r="CJ19" s="55"/>
      <c r="CK19" s="56"/>
      <c r="CL19" s="611"/>
      <c r="CM19" s="611"/>
      <c r="CN19" s="56">
        <f>CN24+CN29+CN34+CN39+CN44+CN49+CN54</f>
        <v>0</v>
      </c>
      <c r="CO19" s="55"/>
      <c r="CP19" s="56"/>
      <c r="CQ19" s="611"/>
      <c r="CR19" s="611"/>
      <c r="CS19" s="56">
        <f>CS24+CS29+CS34+CS39+CS44+CS49+CS54</f>
        <v>0</v>
      </c>
      <c r="CT19" s="55"/>
      <c r="CU19" s="56"/>
      <c r="CV19" s="611"/>
      <c r="CW19" s="611"/>
      <c r="CX19" s="56">
        <f>CX24+CX29+CX34+CX39+CX44+CX49+CX54</f>
        <v>0</v>
      </c>
      <c r="CY19" s="55"/>
      <c r="CZ19" s="56"/>
      <c r="DA19" s="611"/>
      <c r="DB19" s="611"/>
      <c r="DC19" s="56">
        <f>DC24+DC29+DC34+DC39+DC44+DC49+DC54</f>
        <v>0</v>
      </c>
      <c r="DD19" s="55"/>
      <c r="DE19" s="56"/>
      <c r="DF19" s="611"/>
      <c r="DG19" s="611"/>
      <c r="DH19" s="56">
        <f>DH24+DH29+DH34+DH39+DH44+DH49+DH54</f>
        <v>0</v>
      </c>
      <c r="DI19" s="55"/>
      <c r="DJ19" s="56"/>
      <c r="DK19" s="611"/>
      <c r="DL19" s="611"/>
      <c r="DM19" s="56">
        <f>DM24+DM29+DM34+DM39+DM44+DM49+DM54</f>
        <v>0</v>
      </c>
      <c r="DN19" s="55"/>
      <c r="DO19" s="56"/>
      <c r="DP19" s="611"/>
      <c r="DQ19" s="611"/>
      <c r="DR19" s="56">
        <f>DR24+DR29+DR34+DR39+DR44+DR49+DR54+DR59</f>
        <v>0</v>
      </c>
      <c r="DS19" s="55"/>
      <c r="DT19" s="56"/>
      <c r="DU19" s="611"/>
      <c r="DV19" s="611"/>
      <c r="DW19" s="56">
        <f t="shared" ref="DW19:DW20" si="3">DW24+DW29+DW34+DW39+DW44+DW49+DW54+DW59+DW64+DW69</f>
        <v>0</v>
      </c>
      <c r="DX19" s="55"/>
      <c r="DY19" s="56"/>
      <c r="DZ19" s="611"/>
      <c r="EA19" s="611"/>
      <c r="EB19" s="56">
        <f>EB24+EB29+EB34+EB39+EB44+EB49+EB54</f>
        <v>0</v>
      </c>
      <c r="EC19" s="55"/>
      <c r="ED19" s="56"/>
      <c r="EE19" s="611"/>
      <c r="EF19" s="611"/>
      <c r="EG19" s="56">
        <f>EG24+EG29+EG34+EG39+EG44+EG49+EG54</f>
        <v>0</v>
      </c>
      <c r="EH19" s="55"/>
      <c r="EI19" s="56"/>
      <c r="EJ19" s="611"/>
      <c r="EK19" s="611"/>
      <c r="EL19" s="56">
        <f t="shared" ref="EL19:EL20" si="4">EL24+EL29+EL34+EL39+EL44+EL49+EL54+EL59+EL64+EL69</f>
        <v>0</v>
      </c>
      <c r="EM19" s="55"/>
      <c r="EN19" s="56"/>
      <c r="EO19" s="144"/>
    </row>
    <row r="20" spans="4:148" x14ac:dyDescent="0.3">
      <c r="D20" s="144" t="s">
        <v>352</v>
      </c>
      <c r="E20" s="494"/>
      <c r="F20" s="513"/>
      <c r="G20" s="117">
        <v>0</v>
      </c>
      <c r="H20" s="116"/>
      <c r="I20" s="56"/>
      <c r="J20" s="611"/>
      <c r="K20" s="620"/>
      <c r="L20" s="117">
        <f>L25+L30+L35+L40+L45+L50+L55+L60</f>
        <v>0</v>
      </c>
      <c r="M20" s="116"/>
      <c r="N20" s="56"/>
      <c r="O20" s="611"/>
      <c r="P20" s="620"/>
      <c r="Q20" s="117">
        <f>Q25+Q30+Q35+Q40+Q45+Q50+Q55</f>
        <v>0</v>
      </c>
      <c r="R20" s="116"/>
      <c r="S20" s="56"/>
      <c r="T20" s="611"/>
      <c r="U20" s="620"/>
      <c r="V20" s="117">
        <f>V25+V30+V35+V40+V45+V50+V55</f>
        <v>0</v>
      </c>
      <c r="W20" s="116"/>
      <c r="X20" s="56"/>
      <c r="Y20" s="611"/>
      <c r="Z20" s="620"/>
      <c r="AA20" s="117">
        <f>AA25+AA30+AA35+AA40+AA45+AA50+AA55</f>
        <v>0</v>
      </c>
      <c r="AB20" s="116"/>
      <c r="AC20" s="56"/>
      <c r="AD20" s="611"/>
      <c r="AE20" s="620"/>
      <c r="AF20" s="117">
        <f>AF25+AF30+AF35+AF40+AF45+AF50+AF55</f>
        <v>0</v>
      </c>
      <c r="AG20" s="116"/>
      <c r="AH20" s="56"/>
      <c r="AI20" s="611"/>
      <c r="AJ20" s="620"/>
      <c r="AK20" s="117">
        <f>AK25+AK30+AK35+AK40+AK45+AK50+AK55</f>
        <v>0</v>
      </c>
      <c r="AL20" s="116"/>
      <c r="AM20" s="56"/>
      <c r="AN20" s="611"/>
      <c r="AO20" s="620"/>
      <c r="AP20" s="117">
        <f>AP25+AP30+AP35+AP40+AP45+AP50+AP55</f>
        <v>0</v>
      </c>
      <c r="AQ20" s="116"/>
      <c r="AR20" s="56"/>
      <c r="AS20" s="611"/>
      <c r="AT20" s="620"/>
      <c r="AU20" s="117">
        <f>AU25+AU30+AU35+AU40+AU45+AU50+AU55</f>
        <v>0</v>
      </c>
      <c r="AV20" s="116"/>
      <c r="AW20" s="56"/>
      <c r="AX20" s="611"/>
      <c r="AY20" s="620"/>
      <c r="AZ20" s="117">
        <f>AZ25+AZ30+AZ35+AZ40+AZ45+AZ50+AZ55+AZ60</f>
        <v>0</v>
      </c>
      <c r="BA20" s="116"/>
      <c r="BB20" s="56"/>
      <c r="BC20" s="611"/>
      <c r="BD20" s="620"/>
      <c r="BE20" s="117">
        <f t="shared" si="0"/>
        <v>0</v>
      </c>
      <c r="BF20" s="116"/>
      <c r="BG20" s="56"/>
      <c r="BH20" s="611"/>
      <c r="BI20" s="620"/>
      <c r="BJ20" s="117">
        <f>BJ25+BJ30+BJ35+BJ40+BJ45+BJ50+BJ55</f>
        <v>0</v>
      </c>
      <c r="BK20" s="116"/>
      <c r="BL20" s="56"/>
      <c r="BM20" s="611"/>
      <c r="BN20" s="620"/>
      <c r="BO20" s="117">
        <f>BO25+BO30+BO35+BO40+BO45+BO50+BO55</f>
        <v>0</v>
      </c>
      <c r="BP20" s="116"/>
      <c r="BQ20" s="56"/>
      <c r="BR20" s="611"/>
      <c r="BS20" s="620"/>
      <c r="BT20" s="117">
        <f t="shared" si="1"/>
        <v>0</v>
      </c>
      <c r="BU20" s="116"/>
      <c r="BV20" s="56"/>
      <c r="BW20" s="611"/>
      <c r="BX20" s="620"/>
      <c r="BY20" s="117">
        <f t="shared" si="2"/>
        <v>0</v>
      </c>
      <c r="BZ20" s="116"/>
      <c r="CA20" s="56"/>
      <c r="CB20" s="611"/>
      <c r="CC20" s="620"/>
      <c r="CD20" s="117">
        <f>CD25+CD30+CD35+CD40+CD45+CD50+CD55+CD60</f>
        <v>0</v>
      </c>
      <c r="CE20" s="116"/>
      <c r="CF20" s="56"/>
      <c r="CG20" s="611"/>
      <c r="CH20" s="620"/>
      <c r="CI20" s="117">
        <f>CI25+CI30+CI35+CI40+CI45+CI50+CI55</f>
        <v>0</v>
      </c>
      <c r="CJ20" s="116"/>
      <c r="CK20" s="56"/>
      <c r="CL20" s="611"/>
      <c r="CM20" s="620"/>
      <c r="CN20" s="117">
        <f>CN25+CN30+CN35+CN40+CN45+CN50+CN55</f>
        <v>0</v>
      </c>
      <c r="CO20" s="116"/>
      <c r="CP20" s="56"/>
      <c r="CQ20" s="611"/>
      <c r="CR20" s="620"/>
      <c r="CS20" s="117">
        <f>CS25+CS30+CS35+CS40+CS45+CS50+CS55</f>
        <v>0</v>
      </c>
      <c r="CT20" s="116"/>
      <c r="CU20" s="56"/>
      <c r="CV20" s="611"/>
      <c r="CW20" s="620"/>
      <c r="CX20" s="117">
        <f>CX25+CX30+CX35+CX40+CX45+CX50+CX55</f>
        <v>0</v>
      </c>
      <c r="CY20" s="116"/>
      <c r="CZ20" s="56"/>
      <c r="DA20" s="611"/>
      <c r="DB20" s="620"/>
      <c r="DC20" s="117">
        <f>DC25+DC30+DC35+DC40+DC45+DC50+DC55</f>
        <v>0</v>
      </c>
      <c r="DD20" s="116"/>
      <c r="DE20" s="56"/>
      <c r="DF20" s="611"/>
      <c r="DG20" s="620"/>
      <c r="DH20" s="117">
        <f>DH25+DH30+DH35+DH40+DH45+DH50+DH55</f>
        <v>0</v>
      </c>
      <c r="DI20" s="116"/>
      <c r="DJ20" s="56"/>
      <c r="DK20" s="611"/>
      <c r="DL20" s="620"/>
      <c r="DM20" s="117">
        <f>DM25+DM30+DM35+DM40+DM45+DM50+DM55</f>
        <v>0</v>
      </c>
      <c r="DN20" s="116"/>
      <c r="DO20" s="56"/>
      <c r="DP20" s="611"/>
      <c r="DQ20" s="620"/>
      <c r="DR20" s="117">
        <f>DR25+DR30+DR35+DR40+DR45+DR50+DR55+DR60</f>
        <v>0</v>
      </c>
      <c r="DS20" s="116"/>
      <c r="DT20" s="56"/>
      <c r="DU20" s="611"/>
      <c r="DV20" s="620"/>
      <c r="DW20" s="117">
        <f t="shared" si="3"/>
        <v>0</v>
      </c>
      <c r="DX20" s="116"/>
      <c r="DY20" s="56"/>
      <c r="DZ20" s="611"/>
      <c r="EA20" s="620"/>
      <c r="EB20" s="117">
        <f>EB25+EB30+EB35+EB40+EB45+EB50+EB55</f>
        <v>0</v>
      </c>
      <c r="EC20" s="116"/>
      <c r="ED20" s="56"/>
      <c r="EE20" s="611"/>
      <c r="EF20" s="620"/>
      <c r="EG20" s="117">
        <f>EG25+EG30+EG35+EG40+EG45+EG50+EG55</f>
        <v>0</v>
      </c>
      <c r="EH20" s="116"/>
      <c r="EI20" s="56"/>
      <c r="EJ20" s="611"/>
      <c r="EK20" s="620"/>
      <c r="EL20" s="117">
        <f t="shared" si="4"/>
        <v>0</v>
      </c>
      <c r="EM20" s="116"/>
      <c r="EN20" s="56"/>
      <c r="EO20" s="144"/>
    </row>
    <row r="21" spans="4:148" x14ac:dyDescent="0.3">
      <c r="D21" s="144"/>
      <c r="E21" s="494"/>
      <c r="G21" s="56"/>
      <c r="H21" s="56"/>
      <c r="I21" s="56"/>
      <c r="J21" s="611"/>
      <c r="K21" s="56"/>
      <c r="L21" s="56"/>
      <c r="M21" s="56"/>
      <c r="N21" s="56"/>
      <c r="O21" s="611"/>
      <c r="P21" s="56"/>
      <c r="Q21" s="56"/>
      <c r="R21" s="56"/>
      <c r="S21" s="56"/>
      <c r="T21" s="611"/>
      <c r="U21" s="56"/>
      <c r="V21" s="56"/>
      <c r="W21" s="56"/>
      <c r="X21" s="56"/>
      <c r="Y21" s="611"/>
      <c r="Z21" s="56"/>
      <c r="AA21" s="56"/>
      <c r="AB21" s="56"/>
      <c r="AC21" s="56"/>
      <c r="AD21" s="611"/>
      <c r="AE21" s="56"/>
      <c r="AF21" s="56"/>
      <c r="AG21" s="56"/>
      <c r="AH21" s="56"/>
      <c r="AI21" s="611"/>
      <c r="AJ21" s="56"/>
      <c r="AK21" s="56"/>
      <c r="AL21" s="56"/>
      <c r="AM21" s="56"/>
      <c r="AN21" s="611"/>
      <c r="AO21" s="56"/>
      <c r="AP21" s="56"/>
      <c r="AQ21" s="56"/>
      <c r="AR21" s="56"/>
      <c r="AS21" s="611"/>
      <c r="AT21" s="56"/>
      <c r="AU21" s="56"/>
      <c r="AV21" s="56"/>
      <c r="AW21" s="56"/>
      <c r="AX21" s="611"/>
      <c r="AY21" s="56"/>
      <c r="AZ21" s="56"/>
      <c r="BA21" s="56"/>
      <c r="BB21" s="56"/>
      <c r="BC21" s="611"/>
      <c r="BD21" s="56"/>
      <c r="BE21" s="56"/>
      <c r="BF21" s="56"/>
      <c r="BG21" s="56"/>
      <c r="BH21" s="611"/>
      <c r="BI21" s="56"/>
      <c r="BJ21" s="56"/>
      <c r="BK21" s="56"/>
      <c r="BL21" s="56"/>
      <c r="BM21" s="611"/>
      <c r="BN21" s="56"/>
      <c r="BO21" s="56"/>
      <c r="BP21" s="56"/>
      <c r="BQ21" s="56"/>
      <c r="BR21" s="611"/>
      <c r="BS21" s="56"/>
      <c r="BT21" s="56"/>
      <c r="BU21" s="56"/>
      <c r="BV21" s="56"/>
      <c r="BW21" s="611"/>
      <c r="BX21" s="56"/>
      <c r="BY21" s="56"/>
      <c r="BZ21" s="56"/>
      <c r="CA21" s="56"/>
      <c r="CB21" s="611"/>
      <c r="CC21" s="56"/>
      <c r="CD21" s="56"/>
      <c r="CE21" s="56"/>
      <c r="CF21" s="56"/>
      <c r="CG21" s="611"/>
      <c r="CH21" s="56"/>
      <c r="CI21" s="56"/>
      <c r="CJ21" s="56"/>
      <c r="CK21" s="56"/>
      <c r="CL21" s="611"/>
      <c r="CM21" s="56"/>
      <c r="CN21" s="56"/>
      <c r="CO21" s="56"/>
      <c r="CP21" s="56"/>
      <c r="CQ21" s="611"/>
      <c r="CR21" s="56"/>
      <c r="CS21" s="56"/>
      <c r="CT21" s="56"/>
      <c r="CU21" s="56"/>
      <c r="CV21" s="611"/>
      <c r="CW21" s="56"/>
      <c r="CX21" s="56"/>
      <c r="CY21" s="56"/>
      <c r="CZ21" s="56"/>
      <c r="DA21" s="611"/>
      <c r="DB21" s="56"/>
      <c r="DC21" s="56"/>
      <c r="DD21" s="56"/>
      <c r="DE21" s="56"/>
      <c r="DF21" s="611"/>
      <c r="DG21" s="56"/>
      <c r="DH21" s="56"/>
      <c r="DI21" s="56"/>
      <c r="DJ21" s="56"/>
      <c r="DK21" s="611"/>
      <c r="DL21" s="56"/>
      <c r="DM21" s="56"/>
      <c r="DN21" s="56"/>
      <c r="DO21" s="56"/>
      <c r="DP21" s="611"/>
      <c r="DQ21" s="56"/>
      <c r="DR21" s="56"/>
      <c r="DS21" s="56"/>
      <c r="DT21" s="56"/>
      <c r="DU21" s="611"/>
      <c r="DV21" s="56"/>
      <c r="DW21" s="56"/>
      <c r="DX21" s="56"/>
      <c r="DY21" s="56"/>
      <c r="DZ21" s="611"/>
      <c r="EA21" s="56"/>
      <c r="EB21" s="56"/>
      <c r="EC21" s="56"/>
      <c r="ED21" s="56"/>
      <c r="EE21" s="611"/>
      <c r="EF21" s="56"/>
      <c r="EG21" s="56"/>
      <c r="EH21" s="56"/>
      <c r="EI21" s="56"/>
      <c r="EJ21" s="611"/>
      <c r="EK21" s="56"/>
      <c r="EL21" s="56"/>
      <c r="EM21" s="56"/>
      <c r="EN21" s="56"/>
      <c r="EO21" s="144"/>
    </row>
    <row r="22" spans="4:148" ht="12.75" customHeight="1" x14ac:dyDescent="0.3">
      <c r="D22" s="144" t="s">
        <v>423</v>
      </c>
      <c r="E22" s="494"/>
      <c r="G22" s="56">
        <v>0</v>
      </c>
      <c r="H22" s="56"/>
      <c r="I22" s="56"/>
      <c r="J22" s="611"/>
      <c r="K22" s="56"/>
      <c r="L22" s="56">
        <f>L23+L25</f>
        <v>0</v>
      </c>
      <c r="M22" s="56"/>
      <c r="N22" s="56"/>
      <c r="O22" s="611"/>
      <c r="P22" s="56"/>
      <c r="Q22" s="56">
        <f>Q23+Q25</f>
        <v>0</v>
      </c>
      <c r="R22" s="56"/>
      <c r="S22" s="56"/>
      <c r="T22" s="611"/>
      <c r="U22" s="56"/>
      <c r="V22" s="56">
        <f>V23+V25</f>
        <v>0</v>
      </c>
      <c r="W22" s="56"/>
      <c r="X22" s="56"/>
      <c r="Y22" s="611"/>
      <c r="Z22" s="56"/>
      <c r="AA22" s="56">
        <f>AA23+AA25</f>
        <v>0</v>
      </c>
      <c r="AB22" s="56"/>
      <c r="AC22" s="56"/>
      <c r="AD22" s="611"/>
      <c r="AE22" s="56"/>
      <c r="AF22" s="56">
        <f>AF23+AF25</f>
        <v>0</v>
      </c>
      <c r="AG22" s="56"/>
      <c r="AH22" s="56"/>
      <c r="AI22" s="611"/>
      <c r="AJ22" s="56"/>
      <c r="AK22" s="56">
        <f>AK23+AK25</f>
        <v>0</v>
      </c>
      <c r="AL22" s="56"/>
      <c r="AM22" s="56"/>
      <c r="AN22" s="611"/>
      <c r="AO22" s="56"/>
      <c r="AP22" s="56">
        <f>AP23+AP25</f>
        <v>0</v>
      </c>
      <c r="AQ22" s="56"/>
      <c r="AR22" s="56"/>
      <c r="AS22" s="611"/>
      <c r="AT22" s="56"/>
      <c r="AU22" s="56">
        <f>AU23+AU25</f>
        <v>0</v>
      </c>
      <c r="AV22" s="56"/>
      <c r="AW22" s="56"/>
      <c r="AX22" s="611"/>
      <c r="AY22" s="56"/>
      <c r="AZ22" s="56">
        <f>AZ23+AZ25</f>
        <v>0</v>
      </c>
      <c r="BA22" s="56"/>
      <c r="BB22" s="56"/>
      <c r="BC22" s="611"/>
      <c r="BD22" s="56"/>
      <c r="BE22" s="56">
        <f>BE23+BE25</f>
        <v>0</v>
      </c>
      <c r="BF22" s="56"/>
      <c r="BG22" s="56"/>
      <c r="BH22" s="611"/>
      <c r="BI22" s="56"/>
      <c r="BJ22" s="56">
        <f>BJ23+BJ25</f>
        <v>0</v>
      </c>
      <c r="BK22" s="56"/>
      <c r="BL22" s="56"/>
      <c r="BM22" s="611"/>
      <c r="BN22" s="56"/>
      <c r="BO22" s="56">
        <f>BO23+BO25</f>
        <v>0</v>
      </c>
      <c r="BP22" s="56"/>
      <c r="BQ22" s="56"/>
      <c r="BR22" s="611"/>
      <c r="BS22" s="56"/>
      <c r="BT22" s="56">
        <f>SUM(BT23:BT25)</f>
        <v>0</v>
      </c>
      <c r="BU22" s="56"/>
      <c r="BV22" s="56"/>
      <c r="BW22" s="611"/>
      <c r="BX22" s="56"/>
      <c r="BY22" s="56">
        <f>SUM(BY23:BY25)</f>
        <v>14088400</v>
      </c>
      <c r="BZ22" s="56"/>
      <c r="CA22" s="56"/>
      <c r="CB22" s="611"/>
      <c r="CC22" s="56"/>
      <c r="CD22" s="56">
        <f>CD23+CD25</f>
        <v>0</v>
      </c>
      <c r="CE22" s="56"/>
      <c r="CF22" s="56"/>
      <c r="CG22" s="611"/>
      <c r="CH22" s="56"/>
      <c r="CI22" s="56">
        <f>CI23+CI25</f>
        <v>0</v>
      </c>
      <c r="CJ22" s="56"/>
      <c r="CK22" s="56"/>
      <c r="CL22" s="611"/>
      <c r="CM22" s="56"/>
      <c r="CN22" s="56">
        <f>CN23+CN25</f>
        <v>14088400</v>
      </c>
      <c r="CO22" s="56"/>
      <c r="CP22" s="56"/>
      <c r="CQ22" s="611"/>
      <c r="CR22" s="56"/>
      <c r="CS22" s="56">
        <f>CS23+CS25</f>
        <v>0</v>
      </c>
      <c r="CT22" s="56"/>
      <c r="CU22" s="56"/>
      <c r="CV22" s="611"/>
      <c r="CW22" s="56"/>
      <c r="CX22" s="56">
        <f>CX23+CX25</f>
        <v>0</v>
      </c>
      <c r="CY22" s="56"/>
      <c r="CZ22" s="56"/>
      <c r="DA22" s="611"/>
      <c r="DB22" s="56"/>
      <c r="DC22" s="56">
        <f>DC23+DC25</f>
        <v>0</v>
      </c>
      <c r="DD22" s="56"/>
      <c r="DE22" s="56"/>
      <c r="DF22" s="611"/>
      <c r="DG22" s="56"/>
      <c r="DH22" s="56">
        <f>DH23+DH25</f>
        <v>0</v>
      </c>
      <c r="DI22" s="56"/>
      <c r="DJ22" s="56"/>
      <c r="DK22" s="611"/>
      <c r="DL22" s="56"/>
      <c r="DM22" s="56">
        <f>DM23+DM25</f>
        <v>0</v>
      </c>
      <c r="DN22" s="56"/>
      <c r="DO22" s="56"/>
      <c r="DP22" s="611"/>
      <c r="DQ22" s="56"/>
      <c r="DR22" s="56">
        <f>DR23+DR25</f>
        <v>0</v>
      </c>
      <c r="DS22" s="56"/>
      <c r="DT22" s="56"/>
      <c r="DU22" s="611"/>
      <c r="DV22" s="56"/>
      <c r="DW22" s="56">
        <f>DW23+DW25</f>
        <v>0</v>
      </c>
      <c r="DX22" s="56"/>
      <c r="DY22" s="56"/>
      <c r="DZ22" s="611"/>
      <c r="EA22" s="56"/>
      <c r="EB22" s="56">
        <f>EB23+EB25</f>
        <v>0</v>
      </c>
      <c r="EC22" s="56"/>
      <c r="ED22" s="56"/>
      <c r="EE22" s="611"/>
      <c r="EF22" s="56"/>
      <c r="EG22" s="56">
        <f>EG23+EG25</f>
        <v>0</v>
      </c>
      <c r="EH22" s="56"/>
      <c r="EI22" s="56"/>
      <c r="EJ22" s="611"/>
      <c r="EK22" s="56"/>
      <c r="EL22" s="56">
        <f>SUM(EL23:EL25)</f>
        <v>14088400</v>
      </c>
      <c r="EM22" s="56"/>
      <c r="EN22" s="56"/>
      <c r="EO22" s="144"/>
    </row>
    <row r="23" spans="4:148" ht="12.75" customHeight="1" x14ac:dyDescent="0.3">
      <c r="D23" s="144" t="s">
        <v>335</v>
      </c>
      <c r="E23" s="494"/>
      <c r="F23" s="500"/>
      <c r="G23" s="609">
        <v>0</v>
      </c>
      <c r="H23" s="610"/>
      <c r="I23" s="56"/>
      <c r="J23" s="611"/>
      <c r="K23" s="612"/>
      <c r="L23" s="609">
        <v>0</v>
      </c>
      <c r="M23" s="610"/>
      <c r="N23" s="56"/>
      <c r="O23" s="611"/>
      <c r="P23" s="612"/>
      <c r="Q23" s="609">
        <v>0</v>
      </c>
      <c r="R23" s="610"/>
      <c r="S23" s="56"/>
      <c r="T23" s="611"/>
      <c r="U23" s="612"/>
      <c r="V23" s="609">
        <v>0</v>
      </c>
      <c r="W23" s="610"/>
      <c r="X23" s="56"/>
      <c r="Y23" s="611"/>
      <c r="Z23" s="612"/>
      <c r="AA23" s="609">
        <v>0</v>
      </c>
      <c r="AB23" s="610"/>
      <c r="AC23" s="56"/>
      <c r="AD23" s="611"/>
      <c r="AE23" s="612"/>
      <c r="AF23" s="609">
        <v>0</v>
      </c>
      <c r="AG23" s="610"/>
      <c r="AH23" s="56"/>
      <c r="AI23" s="611"/>
      <c r="AJ23" s="612"/>
      <c r="AK23" s="609">
        <v>0</v>
      </c>
      <c r="AL23" s="610"/>
      <c r="AM23" s="56"/>
      <c r="AN23" s="611"/>
      <c r="AO23" s="612"/>
      <c r="AP23" s="609">
        <v>0</v>
      </c>
      <c r="AQ23" s="610"/>
      <c r="AR23" s="56"/>
      <c r="AS23" s="611"/>
      <c r="AT23" s="612"/>
      <c r="AU23" s="609">
        <v>0</v>
      </c>
      <c r="AV23" s="610"/>
      <c r="AW23" s="56"/>
      <c r="AX23" s="611"/>
      <c r="AY23" s="612"/>
      <c r="AZ23" s="609">
        <v>0</v>
      </c>
      <c r="BA23" s="610"/>
      <c r="BB23" s="56"/>
      <c r="BC23" s="611"/>
      <c r="BD23" s="612"/>
      <c r="BE23" s="609">
        <v>0</v>
      </c>
      <c r="BF23" s="610"/>
      <c r="BG23" s="56"/>
      <c r="BH23" s="611"/>
      <c r="BI23" s="612"/>
      <c r="BJ23" s="609">
        <v>0</v>
      </c>
      <c r="BK23" s="610"/>
      <c r="BL23" s="56"/>
      <c r="BM23" s="611"/>
      <c r="BN23" s="612"/>
      <c r="BO23" s="609">
        <v>0</v>
      </c>
      <c r="BP23" s="610"/>
      <c r="BQ23" s="56"/>
      <c r="BR23" s="611"/>
      <c r="BS23" s="612"/>
      <c r="BT23" s="609">
        <f>SUM(L23:BO23)</f>
        <v>0</v>
      </c>
      <c r="BU23" s="610"/>
      <c r="BV23" s="56"/>
      <c r="BW23" s="611"/>
      <c r="BX23" s="612"/>
      <c r="BY23" s="609">
        <v>14088400</v>
      </c>
      <c r="BZ23" s="610"/>
      <c r="CA23" s="56"/>
      <c r="CB23" s="611"/>
      <c r="CC23" s="612"/>
      <c r="CD23" s="609">
        <v>0</v>
      </c>
      <c r="CE23" s="610"/>
      <c r="CF23" s="56"/>
      <c r="CG23" s="611"/>
      <c r="CH23" s="612"/>
      <c r="CI23" s="609">
        <v>0</v>
      </c>
      <c r="CJ23" s="610"/>
      <c r="CK23" s="56"/>
      <c r="CL23" s="611"/>
      <c r="CM23" s="612"/>
      <c r="CN23" s="609">
        <v>14088400</v>
      </c>
      <c r="CO23" s="610"/>
      <c r="CP23" s="56"/>
      <c r="CQ23" s="611"/>
      <c r="CR23" s="612"/>
      <c r="CS23" s="609">
        <v>0</v>
      </c>
      <c r="CT23" s="610"/>
      <c r="CU23" s="56"/>
      <c r="CV23" s="611"/>
      <c r="CW23" s="612"/>
      <c r="CX23" s="609">
        <v>0</v>
      </c>
      <c r="CY23" s="610"/>
      <c r="CZ23" s="56"/>
      <c r="DA23" s="611"/>
      <c r="DB23" s="612"/>
      <c r="DC23" s="609">
        <v>0</v>
      </c>
      <c r="DD23" s="610"/>
      <c r="DE23" s="56"/>
      <c r="DF23" s="611"/>
      <c r="DG23" s="612"/>
      <c r="DH23" s="609">
        <v>0</v>
      </c>
      <c r="DI23" s="610"/>
      <c r="DJ23" s="56"/>
      <c r="DK23" s="611"/>
      <c r="DL23" s="612"/>
      <c r="DM23" s="609">
        <v>0</v>
      </c>
      <c r="DN23" s="610"/>
      <c r="DO23" s="56"/>
      <c r="DP23" s="611"/>
      <c r="DQ23" s="612"/>
      <c r="DR23" s="609">
        <v>0</v>
      </c>
      <c r="DS23" s="610"/>
      <c r="DT23" s="56"/>
      <c r="DU23" s="611"/>
      <c r="DV23" s="612"/>
      <c r="DW23" s="609">
        <v>0</v>
      </c>
      <c r="DX23" s="610"/>
      <c r="DY23" s="56"/>
      <c r="DZ23" s="611"/>
      <c r="EA23" s="612"/>
      <c r="EB23" s="609">
        <v>0</v>
      </c>
      <c r="EC23" s="610"/>
      <c r="ED23" s="56"/>
      <c r="EE23" s="611"/>
      <c r="EF23" s="612"/>
      <c r="EG23" s="609">
        <v>0</v>
      </c>
      <c r="EH23" s="610"/>
      <c r="EI23" s="56"/>
      <c r="EJ23" s="611"/>
      <c r="EK23" s="612"/>
      <c r="EL23" s="609">
        <f>SUM(CD23:DW23)</f>
        <v>14088400</v>
      </c>
      <c r="EM23" s="610"/>
      <c r="EN23" s="56"/>
      <c r="EO23" s="144"/>
    </row>
    <row r="24" spans="4:148" ht="12.75" customHeight="1" x14ac:dyDescent="0.3">
      <c r="D24" s="144" t="s">
        <v>338</v>
      </c>
      <c r="E24" s="494"/>
      <c r="F24" s="494"/>
      <c r="G24" s="56">
        <v>0</v>
      </c>
      <c r="H24" s="55"/>
      <c r="I24" s="56"/>
      <c r="J24" s="611"/>
      <c r="K24" s="611"/>
      <c r="L24" s="56">
        <v>0</v>
      </c>
      <c r="M24" s="55"/>
      <c r="N24" s="56"/>
      <c r="O24" s="611"/>
      <c r="P24" s="611"/>
      <c r="Q24" s="56">
        <v>0</v>
      </c>
      <c r="R24" s="55"/>
      <c r="S24" s="56"/>
      <c r="T24" s="611"/>
      <c r="U24" s="611"/>
      <c r="V24" s="56">
        <v>0</v>
      </c>
      <c r="W24" s="55"/>
      <c r="X24" s="56"/>
      <c r="Y24" s="611"/>
      <c r="Z24" s="611"/>
      <c r="AA24" s="56">
        <v>0</v>
      </c>
      <c r="AB24" s="55"/>
      <c r="AC24" s="56"/>
      <c r="AD24" s="611"/>
      <c r="AE24" s="611"/>
      <c r="AF24" s="56">
        <v>0</v>
      </c>
      <c r="AG24" s="55"/>
      <c r="AH24" s="56"/>
      <c r="AI24" s="611"/>
      <c r="AJ24" s="611"/>
      <c r="AK24" s="56">
        <v>0</v>
      </c>
      <c r="AL24" s="55"/>
      <c r="AM24" s="56"/>
      <c r="AN24" s="611"/>
      <c r="AO24" s="611"/>
      <c r="AP24" s="56">
        <v>0</v>
      </c>
      <c r="AQ24" s="55"/>
      <c r="AR24" s="56"/>
      <c r="AS24" s="611"/>
      <c r="AT24" s="611"/>
      <c r="AU24" s="56">
        <v>0</v>
      </c>
      <c r="AV24" s="55"/>
      <c r="AW24" s="56"/>
      <c r="AX24" s="611"/>
      <c r="AY24" s="611"/>
      <c r="AZ24" s="56">
        <v>0</v>
      </c>
      <c r="BA24" s="55"/>
      <c r="BB24" s="56"/>
      <c r="BC24" s="611"/>
      <c r="BD24" s="611"/>
      <c r="BE24" s="56">
        <v>0</v>
      </c>
      <c r="BF24" s="55"/>
      <c r="BG24" s="56"/>
      <c r="BH24" s="611"/>
      <c r="BI24" s="611"/>
      <c r="BJ24" s="56">
        <v>0</v>
      </c>
      <c r="BK24" s="55"/>
      <c r="BL24" s="56"/>
      <c r="BM24" s="611"/>
      <c r="BN24" s="611"/>
      <c r="BO24" s="56">
        <v>0</v>
      </c>
      <c r="BP24" s="55"/>
      <c r="BQ24" s="56"/>
      <c r="BR24" s="611"/>
      <c r="BS24" s="611"/>
      <c r="BT24" s="56">
        <f>SUM(L24:BO24)</f>
        <v>0</v>
      </c>
      <c r="BU24" s="55"/>
      <c r="BV24" s="56"/>
      <c r="BW24" s="611"/>
      <c r="BX24" s="611"/>
      <c r="BY24" s="56">
        <v>0</v>
      </c>
      <c r="BZ24" s="55"/>
      <c r="CA24" s="56"/>
      <c r="CB24" s="611"/>
      <c r="CC24" s="611"/>
      <c r="CD24" s="56">
        <v>0</v>
      </c>
      <c r="CE24" s="55"/>
      <c r="CF24" s="56"/>
      <c r="CG24" s="611"/>
      <c r="CH24" s="611"/>
      <c r="CI24" s="56">
        <v>0</v>
      </c>
      <c r="CJ24" s="55"/>
      <c r="CK24" s="56"/>
      <c r="CL24" s="611"/>
      <c r="CM24" s="611"/>
      <c r="CN24" s="56">
        <v>0</v>
      </c>
      <c r="CO24" s="55"/>
      <c r="CP24" s="56"/>
      <c r="CQ24" s="611"/>
      <c r="CR24" s="611"/>
      <c r="CS24" s="56">
        <v>0</v>
      </c>
      <c r="CT24" s="55"/>
      <c r="CU24" s="56"/>
      <c r="CV24" s="611"/>
      <c r="CW24" s="611"/>
      <c r="CX24" s="56">
        <v>0</v>
      </c>
      <c r="CY24" s="55"/>
      <c r="CZ24" s="56"/>
      <c r="DA24" s="611"/>
      <c r="DB24" s="611"/>
      <c r="DC24" s="56">
        <v>0</v>
      </c>
      <c r="DD24" s="55"/>
      <c r="DE24" s="56"/>
      <c r="DF24" s="611"/>
      <c r="DG24" s="611"/>
      <c r="DH24" s="56">
        <v>0</v>
      </c>
      <c r="DI24" s="55"/>
      <c r="DJ24" s="56"/>
      <c r="DK24" s="611"/>
      <c r="DL24" s="611"/>
      <c r="DM24" s="56">
        <v>0</v>
      </c>
      <c r="DN24" s="55"/>
      <c r="DO24" s="56"/>
      <c r="DP24" s="611"/>
      <c r="DQ24" s="611"/>
      <c r="DR24" s="56">
        <v>0</v>
      </c>
      <c r="DS24" s="55"/>
      <c r="DT24" s="56"/>
      <c r="DU24" s="611"/>
      <c r="DV24" s="611"/>
      <c r="DW24" s="56">
        <v>0</v>
      </c>
      <c r="DX24" s="55"/>
      <c r="DY24" s="56"/>
      <c r="DZ24" s="611"/>
      <c r="EA24" s="611"/>
      <c r="EB24" s="56">
        <v>0</v>
      </c>
      <c r="EC24" s="55"/>
      <c r="ED24" s="56"/>
      <c r="EE24" s="611"/>
      <c r="EF24" s="611"/>
      <c r="EG24" s="56">
        <v>0</v>
      </c>
      <c r="EH24" s="55"/>
      <c r="EI24" s="56"/>
      <c r="EJ24" s="611"/>
      <c r="EK24" s="611"/>
      <c r="EL24" s="56">
        <f t="shared" ref="EL24:EL25" si="5">SUM(CD24:DW24)</f>
        <v>0</v>
      </c>
      <c r="EM24" s="55"/>
      <c r="EN24" s="56"/>
      <c r="EO24" s="144"/>
    </row>
    <row r="25" spans="4:148" ht="12.75" customHeight="1" x14ac:dyDescent="0.3">
      <c r="D25" s="144" t="s">
        <v>352</v>
      </c>
      <c r="E25" s="494"/>
      <c r="F25" s="513"/>
      <c r="G25" s="117">
        <v>0</v>
      </c>
      <c r="H25" s="116"/>
      <c r="I25" s="56"/>
      <c r="J25" s="611"/>
      <c r="K25" s="620"/>
      <c r="L25" s="117">
        <v>0</v>
      </c>
      <c r="M25" s="116"/>
      <c r="N25" s="56"/>
      <c r="O25" s="611"/>
      <c r="P25" s="620"/>
      <c r="Q25" s="117">
        <v>0</v>
      </c>
      <c r="R25" s="116"/>
      <c r="S25" s="56"/>
      <c r="T25" s="611"/>
      <c r="U25" s="620"/>
      <c r="V25" s="117">
        <v>0</v>
      </c>
      <c r="W25" s="116"/>
      <c r="X25" s="56"/>
      <c r="Y25" s="611"/>
      <c r="Z25" s="620"/>
      <c r="AA25" s="117">
        <v>0</v>
      </c>
      <c r="AB25" s="116"/>
      <c r="AC25" s="56"/>
      <c r="AD25" s="611"/>
      <c r="AE25" s="620"/>
      <c r="AF25" s="117">
        <v>0</v>
      </c>
      <c r="AG25" s="116"/>
      <c r="AH25" s="56"/>
      <c r="AI25" s="611"/>
      <c r="AJ25" s="620"/>
      <c r="AK25" s="117">
        <v>0</v>
      </c>
      <c r="AL25" s="116"/>
      <c r="AM25" s="56"/>
      <c r="AN25" s="611"/>
      <c r="AO25" s="620"/>
      <c r="AP25" s="117">
        <v>0</v>
      </c>
      <c r="AQ25" s="116"/>
      <c r="AR25" s="56"/>
      <c r="AS25" s="611"/>
      <c r="AT25" s="620"/>
      <c r="AU25" s="117">
        <v>0</v>
      </c>
      <c r="AV25" s="116"/>
      <c r="AW25" s="56"/>
      <c r="AX25" s="611"/>
      <c r="AY25" s="620"/>
      <c r="AZ25" s="117">
        <v>0</v>
      </c>
      <c r="BA25" s="116"/>
      <c r="BB25" s="56"/>
      <c r="BC25" s="611"/>
      <c r="BD25" s="620"/>
      <c r="BE25" s="117">
        <v>0</v>
      </c>
      <c r="BF25" s="116"/>
      <c r="BG25" s="56"/>
      <c r="BH25" s="611"/>
      <c r="BI25" s="620"/>
      <c r="BJ25" s="117">
        <v>0</v>
      </c>
      <c r="BK25" s="116"/>
      <c r="BL25" s="56"/>
      <c r="BM25" s="611"/>
      <c r="BN25" s="620"/>
      <c r="BO25" s="117">
        <v>0</v>
      </c>
      <c r="BP25" s="116"/>
      <c r="BQ25" s="56"/>
      <c r="BR25" s="611"/>
      <c r="BS25" s="620"/>
      <c r="BT25" s="117">
        <f>SUM(L25:BO25)</f>
        <v>0</v>
      </c>
      <c r="BU25" s="116"/>
      <c r="BV25" s="56"/>
      <c r="BW25" s="611"/>
      <c r="BX25" s="620"/>
      <c r="BY25" s="117">
        <v>0</v>
      </c>
      <c r="BZ25" s="116"/>
      <c r="CA25" s="56"/>
      <c r="CB25" s="611"/>
      <c r="CC25" s="620"/>
      <c r="CD25" s="117">
        <v>0</v>
      </c>
      <c r="CE25" s="116"/>
      <c r="CF25" s="56"/>
      <c r="CG25" s="611"/>
      <c r="CH25" s="620"/>
      <c r="CI25" s="117">
        <v>0</v>
      </c>
      <c r="CJ25" s="116"/>
      <c r="CK25" s="56"/>
      <c r="CL25" s="611"/>
      <c r="CM25" s="620"/>
      <c r="CN25" s="117">
        <v>0</v>
      </c>
      <c r="CO25" s="116"/>
      <c r="CP25" s="56"/>
      <c r="CQ25" s="611"/>
      <c r="CR25" s="620"/>
      <c r="CS25" s="117">
        <v>0</v>
      </c>
      <c r="CT25" s="116"/>
      <c r="CU25" s="56"/>
      <c r="CV25" s="611"/>
      <c r="CW25" s="620"/>
      <c r="CX25" s="117">
        <v>0</v>
      </c>
      <c r="CY25" s="116"/>
      <c r="CZ25" s="56"/>
      <c r="DA25" s="611"/>
      <c r="DB25" s="620"/>
      <c r="DC25" s="117">
        <v>0</v>
      </c>
      <c r="DD25" s="116"/>
      <c r="DE25" s="56"/>
      <c r="DF25" s="611"/>
      <c r="DG25" s="620"/>
      <c r="DH25" s="117">
        <v>0</v>
      </c>
      <c r="DI25" s="116"/>
      <c r="DJ25" s="56"/>
      <c r="DK25" s="611"/>
      <c r="DL25" s="620"/>
      <c r="DM25" s="117">
        <v>0</v>
      </c>
      <c r="DN25" s="116"/>
      <c r="DO25" s="56"/>
      <c r="DP25" s="611"/>
      <c r="DQ25" s="620"/>
      <c r="DR25" s="117">
        <v>0</v>
      </c>
      <c r="DS25" s="116"/>
      <c r="DT25" s="56"/>
      <c r="DU25" s="611"/>
      <c r="DV25" s="620"/>
      <c r="DW25" s="117">
        <v>0</v>
      </c>
      <c r="DX25" s="116"/>
      <c r="DY25" s="56"/>
      <c r="DZ25" s="611"/>
      <c r="EA25" s="620"/>
      <c r="EB25" s="117">
        <v>0</v>
      </c>
      <c r="EC25" s="116"/>
      <c r="ED25" s="56"/>
      <c r="EE25" s="611"/>
      <c r="EF25" s="620"/>
      <c r="EG25" s="117">
        <v>0</v>
      </c>
      <c r="EH25" s="116"/>
      <c r="EI25" s="56"/>
      <c r="EJ25" s="611"/>
      <c r="EK25" s="620"/>
      <c r="EL25" s="117">
        <f t="shared" si="5"/>
        <v>0</v>
      </c>
      <c r="EM25" s="116"/>
      <c r="EN25" s="56"/>
      <c r="EO25" s="144"/>
    </row>
    <row r="26" spans="4:148" ht="12.75" customHeight="1" x14ac:dyDescent="0.3">
      <c r="D26" s="144"/>
      <c r="E26" s="494"/>
      <c r="G26" s="56"/>
      <c r="H26" s="56"/>
      <c r="I26" s="56"/>
      <c r="J26" s="611"/>
      <c r="K26" s="56"/>
      <c r="L26" s="56"/>
      <c r="M26" s="56"/>
      <c r="N26" s="56"/>
      <c r="O26" s="611"/>
      <c r="P26" s="56"/>
      <c r="Q26" s="56"/>
      <c r="R26" s="56"/>
      <c r="S26" s="56"/>
      <c r="T26" s="611"/>
      <c r="U26" s="56"/>
      <c r="V26" s="56"/>
      <c r="W26" s="56"/>
      <c r="X26" s="56"/>
      <c r="Y26" s="611"/>
      <c r="Z26" s="56"/>
      <c r="AA26" s="56"/>
      <c r="AB26" s="56"/>
      <c r="AC26" s="56"/>
      <c r="AD26" s="611"/>
      <c r="AE26" s="56"/>
      <c r="AF26" s="56"/>
      <c r="AG26" s="56"/>
      <c r="AH26" s="56"/>
      <c r="AI26" s="611"/>
      <c r="AJ26" s="56"/>
      <c r="AK26" s="56"/>
      <c r="AL26" s="56"/>
      <c r="AM26" s="56"/>
      <c r="AN26" s="611"/>
      <c r="AO26" s="56"/>
      <c r="AP26" s="56"/>
      <c r="AQ26" s="56"/>
      <c r="AR26" s="56"/>
      <c r="AS26" s="611"/>
      <c r="AT26" s="56"/>
      <c r="AU26" s="56"/>
      <c r="AV26" s="56"/>
      <c r="AW26" s="56"/>
      <c r="AX26" s="611"/>
      <c r="AY26" s="56"/>
      <c r="AZ26" s="56"/>
      <c r="BA26" s="56"/>
      <c r="BB26" s="56"/>
      <c r="BC26" s="611"/>
      <c r="BD26" s="56"/>
      <c r="BE26" s="56"/>
      <c r="BF26" s="56"/>
      <c r="BG26" s="56"/>
      <c r="BH26" s="611"/>
      <c r="BI26" s="56"/>
      <c r="BJ26" s="56"/>
      <c r="BK26" s="56"/>
      <c r="BL26" s="56"/>
      <c r="BM26" s="611"/>
      <c r="BN26" s="56"/>
      <c r="BO26" s="56"/>
      <c r="BP26" s="56"/>
      <c r="BQ26" s="56"/>
      <c r="BR26" s="611"/>
      <c r="BS26" s="56"/>
      <c r="BT26" s="56"/>
      <c r="BU26" s="56"/>
      <c r="BV26" s="56"/>
      <c r="BW26" s="611"/>
      <c r="BX26" s="56"/>
      <c r="BY26" s="56"/>
      <c r="BZ26" s="56"/>
      <c r="CA26" s="56"/>
      <c r="CB26" s="611"/>
      <c r="CC26" s="56"/>
      <c r="CD26" s="56"/>
      <c r="CE26" s="56"/>
      <c r="CF26" s="56"/>
      <c r="CG26" s="611"/>
      <c r="CH26" s="56"/>
      <c r="CI26" s="56"/>
      <c r="CJ26" s="56"/>
      <c r="CK26" s="56"/>
      <c r="CL26" s="611"/>
      <c r="CM26" s="56"/>
      <c r="CN26" s="56"/>
      <c r="CO26" s="56"/>
      <c r="CP26" s="56"/>
      <c r="CQ26" s="611"/>
      <c r="CR26" s="56"/>
      <c r="CS26" s="56"/>
      <c r="CT26" s="56"/>
      <c r="CU26" s="56"/>
      <c r="CV26" s="611"/>
      <c r="CW26" s="56"/>
      <c r="CX26" s="56"/>
      <c r="CY26" s="56"/>
      <c r="CZ26" s="56"/>
      <c r="DA26" s="611"/>
      <c r="DB26" s="56"/>
      <c r="DC26" s="56"/>
      <c r="DD26" s="56"/>
      <c r="DE26" s="56"/>
      <c r="DF26" s="611"/>
      <c r="DG26" s="56"/>
      <c r="DH26" s="56"/>
      <c r="DI26" s="56"/>
      <c r="DJ26" s="56"/>
      <c r="DK26" s="611"/>
      <c r="DL26" s="56"/>
      <c r="DM26" s="56"/>
      <c r="DN26" s="56"/>
      <c r="DO26" s="56"/>
      <c r="DP26" s="611"/>
      <c r="DQ26" s="56"/>
      <c r="DR26" s="56"/>
      <c r="DS26" s="56"/>
      <c r="DT26" s="56"/>
      <c r="DU26" s="611"/>
      <c r="DV26" s="56"/>
      <c r="DW26" s="56"/>
      <c r="DX26" s="56"/>
      <c r="DY26" s="56"/>
      <c r="DZ26" s="611"/>
      <c r="EA26" s="56"/>
      <c r="EB26" s="56"/>
      <c r="EC26" s="56"/>
      <c r="ED26" s="56"/>
      <c r="EE26" s="611"/>
      <c r="EF26" s="56"/>
      <c r="EG26" s="56"/>
      <c r="EH26" s="56"/>
      <c r="EI26" s="56"/>
      <c r="EJ26" s="611"/>
      <c r="EK26" s="56"/>
      <c r="EL26" s="56"/>
      <c r="EM26" s="56"/>
      <c r="EN26" s="56"/>
      <c r="EO26" s="144"/>
    </row>
    <row r="27" spans="4:148" ht="12.75" customHeight="1" x14ac:dyDescent="0.3">
      <c r="D27" s="144" t="s">
        <v>424</v>
      </c>
      <c r="E27" s="494"/>
      <c r="G27" s="56">
        <v>0</v>
      </c>
      <c r="H27" s="56"/>
      <c r="I27" s="56"/>
      <c r="J27" s="611"/>
      <c r="K27" s="56"/>
      <c r="L27" s="56">
        <f>SUM(L28:L30)</f>
        <v>0</v>
      </c>
      <c r="M27" s="56"/>
      <c r="N27" s="56"/>
      <c r="O27" s="611"/>
      <c r="P27" s="56"/>
      <c r="Q27" s="56">
        <f>SUM(Q28:Q30)</f>
        <v>0</v>
      </c>
      <c r="R27" s="56"/>
      <c r="S27" s="56"/>
      <c r="T27" s="611"/>
      <c r="U27" s="56"/>
      <c r="V27" s="56">
        <f>SUM(V28:V30)</f>
        <v>0</v>
      </c>
      <c r="W27" s="56"/>
      <c r="X27" s="56"/>
      <c r="Y27" s="611"/>
      <c r="Z27" s="56"/>
      <c r="AA27" s="56">
        <f>SUM(AA28:AA30)</f>
        <v>0</v>
      </c>
      <c r="AB27" s="56"/>
      <c r="AC27" s="56"/>
      <c r="AD27" s="611"/>
      <c r="AE27" s="56"/>
      <c r="AF27" s="56">
        <f>SUM(AF28:AF30)</f>
        <v>0</v>
      </c>
      <c r="AG27" s="56"/>
      <c r="AH27" s="56"/>
      <c r="AI27" s="611"/>
      <c r="AJ27" s="56"/>
      <c r="AK27" s="56">
        <f>SUM(AK28:AK30)</f>
        <v>0</v>
      </c>
      <c r="AL27" s="56"/>
      <c r="AM27" s="56"/>
      <c r="AN27" s="611"/>
      <c r="AO27" s="56"/>
      <c r="AP27" s="56">
        <f>SUM(AP28:AP30)</f>
        <v>0</v>
      </c>
      <c r="AQ27" s="56"/>
      <c r="AR27" s="56"/>
      <c r="AS27" s="611"/>
      <c r="AT27" s="56"/>
      <c r="AU27" s="56">
        <f>SUM(AU28:AU30)</f>
        <v>0</v>
      </c>
      <c r="AV27" s="56"/>
      <c r="AW27" s="56"/>
      <c r="AX27" s="611"/>
      <c r="AY27" s="56"/>
      <c r="AZ27" s="56">
        <f>SUM(AZ28:AZ30)</f>
        <v>0</v>
      </c>
      <c r="BA27" s="56"/>
      <c r="BB27" s="56"/>
      <c r="BC27" s="611"/>
      <c r="BD27" s="56"/>
      <c r="BE27" s="56">
        <f>SUM(BE28:BE30)</f>
        <v>0</v>
      </c>
      <c r="BF27" s="56"/>
      <c r="BG27" s="56"/>
      <c r="BH27" s="611"/>
      <c r="BI27" s="56"/>
      <c r="BJ27" s="56">
        <f>SUM(BJ28:BJ30)</f>
        <v>0</v>
      </c>
      <c r="BK27" s="56"/>
      <c r="BL27" s="56"/>
      <c r="BM27" s="611"/>
      <c r="BN27" s="56"/>
      <c r="BO27" s="56">
        <f>SUM(BO28:BO30)</f>
        <v>0</v>
      </c>
      <c r="BP27" s="56"/>
      <c r="BQ27" s="56"/>
      <c r="BR27" s="611"/>
      <c r="BS27" s="56"/>
      <c r="BT27" s="56">
        <f>SUM(BT28:BT30)</f>
        <v>0</v>
      </c>
      <c r="BU27" s="56"/>
      <c r="BV27" s="56"/>
      <c r="BW27" s="611"/>
      <c r="BX27" s="56"/>
      <c r="BY27" s="56">
        <f>SUM(BY28:BY30)</f>
        <v>6098240</v>
      </c>
      <c r="BZ27" s="56"/>
      <c r="CA27" s="56"/>
      <c r="CB27" s="611"/>
      <c r="CC27" s="56"/>
      <c r="CD27" s="56">
        <f>SUM(CD28:CD30)</f>
        <v>0</v>
      </c>
      <c r="CE27" s="56"/>
      <c r="CF27" s="56"/>
      <c r="CG27" s="611"/>
      <c r="CH27" s="56"/>
      <c r="CI27" s="56">
        <f>SUM(CI28:CI30)</f>
        <v>0</v>
      </c>
      <c r="CJ27" s="56"/>
      <c r="CK27" s="56"/>
      <c r="CL27" s="611"/>
      <c r="CM27" s="56"/>
      <c r="CN27" s="56">
        <f>SUM(CN28:CN30)</f>
        <v>0</v>
      </c>
      <c r="CO27" s="56"/>
      <c r="CP27" s="56"/>
      <c r="CQ27" s="611"/>
      <c r="CR27" s="56"/>
      <c r="CS27" s="56">
        <f>SUM(CS28:CS30)</f>
        <v>0</v>
      </c>
      <c r="CT27" s="56"/>
      <c r="CU27" s="56"/>
      <c r="CV27" s="611"/>
      <c r="CW27" s="56"/>
      <c r="CX27" s="56">
        <f>SUM(CX28:CX30)</f>
        <v>0</v>
      </c>
      <c r="CY27" s="56"/>
      <c r="CZ27" s="56"/>
      <c r="DA27" s="611"/>
      <c r="DB27" s="56"/>
      <c r="DC27" s="56">
        <f>SUM(DC28:DC30)</f>
        <v>0</v>
      </c>
      <c r="DD27" s="56"/>
      <c r="DE27" s="56"/>
      <c r="DF27" s="611"/>
      <c r="DG27" s="56"/>
      <c r="DH27" s="56">
        <f>SUM(DH28:DH30)</f>
        <v>0</v>
      </c>
      <c r="DI27" s="56"/>
      <c r="DJ27" s="56"/>
      <c r="DK27" s="611"/>
      <c r="DL27" s="56"/>
      <c r="DM27" s="56">
        <f>SUM(DM28:DM30)</f>
        <v>6098240</v>
      </c>
      <c r="DN27" s="56"/>
      <c r="DO27" s="56"/>
      <c r="DP27" s="611"/>
      <c r="DQ27" s="56"/>
      <c r="DR27" s="56">
        <f>SUM(DR28:DR30)</f>
        <v>0</v>
      </c>
      <c r="DS27" s="56"/>
      <c r="DT27" s="56"/>
      <c r="DU27" s="611"/>
      <c r="DV27" s="56"/>
      <c r="DW27" s="56">
        <f>SUM(DW28:DW30)</f>
        <v>0</v>
      </c>
      <c r="DX27" s="56"/>
      <c r="DY27" s="56"/>
      <c r="DZ27" s="611"/>
      <c r="EA27" s="56"/>
      <c r="EB27" s="56">
        <f>SUM(EB28:EB30)</f>
        <v>0</v>
      </c>
      <c r="EC27" s="56"/>
      <c r="ED27" s="56"/>
      <c r="EE27" s="611"/>
      <c r="EF27" s="56"/>
      <c r="EG27" s="56">
        <f>SUM(EG28:EG30)</f>
        <v>0</v>
      </c>
      <c r="EH27" s="56"/>
      <c r="EI27" s="56"/>
      <c r="EJ27" s="611"/>
      <c r="EK27" s="56"/>
      <c r="EL27" s="56">
        <f>SUM(EL28:EL30)</f>
        <v>6098240</v>
      </c>
      <c r="EM27" s="56"/>
      <c r="EN27" s="56"/>
      <c r="EO27" s="144"/>
    </row>
    <row r="28" spans="4:148" ht="12.75" customHeight="1" x14ac:dyDescent="0.3">
      <c r="D28" s="144" t="s">
        <v>335</v>
      </c>
      <c r="E28" s="494"/>
      <c r="F28" s="612"/>
      <c r="G28" s="609">
        <v>0</v>
      </c>
      <c r="H28" s="610"/>
      <c r="I28" s="56"/>
      <c r="J28" s="611"/>
      <c r="K28" s="612"/>
      <c r="L28" s="609">
        <v>0</v>
      </c>
      <c r="M28" s="610"/>
      <c r="N28" s="56"/>
      <c r="O28" s="611"/>
      <c r="P28" s="612"/>
      <c r="Q28" s="609">
        <v>0</v>
      </c>
      <c r="R28" s="610"/>
      <c r="S28" s="56"/>
      <c r="T28" s="611"/>
      <c r="U28" s="612"/>
      <c r="V28" s="609">
        <v>0</v>
      </c>
      <c r="W28" s="610"/>
      <c r="X28" s="56"/>
      <c r="Y28" s="611"/>
      <c r="Z28" s="612"/>
      <c r="AA28" s="609">
        <v>0</v>
      </c>
      <c r="AB28" s="610"/>
      <c r="AC28" s="56"/>
      <c r="AD28" s="611"/>
      <c r="AE28" s="612"/>
      <c r="AF28" s="609">
        <v>0</v>
      </c>
      <c r="AG28" s="610"/>
      <c r="AH28" s="56"/>
      <c r="AI28" s="611"/>
      <c r="AJ28" s="612"/>
      <c r="AK28" s="609">
        <v>0</v>
      </c>
      <c r="AL28" s="610"/>
      <c r="AM28" s="56"/>
      <c r="AN28" s="611"/>
      <c r="AO28" s="612"/>
      <c r="AP28" s="609">
        <v>0</v>
      </c>
      <c r="AQ28" s="610"/>
      <c r="AR28" s="56"/>
      <c r="AS28" s="611"/>
      <c r="AT28" s="612"/>
      <c r="AU28" s="609">
        <v>0</v>
      </c>
      <c r="AV28" s="610"/>
      <c r="AW28" s="56"/>
      <c r="AX28" s="611"/>
      <c r="AY28" s="612"/>
      <c r="AZ28" s="609">
        <v>0</v>
      </c>
      <c r="BA28" s="610"/>
      <c r="BB28" s="56"/>
      <c r="BC28" s="611"/>
      <c r="BD28" s="612"/>
      <c r="BE28" s="609">
        <v>0</v>
      </c>
      <c r="BF28" s="610"/>
      <c r="BG28" s="56"/>
      <c r="BH28" s="611"/>
      <c r="BI28" s="612"/>
      <c r="BJ28" s="609">
        <v>0</v>
      </c>
      <c r="BK28" s="610"/>
      <c r="BL28" s="56"/>
      <c r="BM28" s="611"/>
      <c r="BN28" s="612"/>
      <c r="BO28" s="609">
        <v>0</v>
      </c>
      <c r="BP28" s="610"/>
      <c r="BQ28" s="56"/>
      <c r="BR28" s="611"/>
      <c r="BS28" s="612"/>
      <c r="BT28" s="609">
        <f>SUM(L28:BO28)</f>
        <v>0</v>
      </c>
      <c r="BU28" s="610"/>
      <c r="BV28" s="56"/>
      <c r="BW28" s="611"/>
      <c r="BX28" s="612"/>
      <c r="BY28" s="609">
        <v>6098240</v>
      </c>
      <c r="BZ28" s="610"/>
      <c r="CA28" s="56"/>
      <c r="CB28" s="611"/>
      <c r="CC28" s="612"/>
      <c r="CD28" s="609">
        <v>0</v>
      </c>
      <c r="CE28" s="610"/>
      <c r="CF28" s="56"/>
      <c r="CG28" s="611"/>
      <c r="CH28" s="612"/>
      <c r="CI28" s="609">
        <v>0</v>
      </c>
      <c r="CJ28" s="610"/>
      <c r="CK28" s="56"/>
      <c r="CL28" s="611"/>
      <c r="CM28" s="612"/>
      <c r="CN28" s="609">
        <v>0</v>
      </c>
      <c r="CO28" s="610"/>
      <c r="CP28" s="56"/>
      <c r="CQ28" s="611"/>
      <c r="CR28" s="612"/>
      <c r="CS28" s="609">
        <v>0</v>
      </c>
      <c r="CT28" s="610"/>
      <c r="CU28" s="56"/>
      <c r="CV28" s="611"/>
      <c r="CW28" s="612"/>
      <c r="CX28" s="609">
        <v>0</v>
      </c>
      <c r="CY28" s="610"/>
      <c r="CZ28" s="56"/>
      <c r="DA28" s="611"/>
      <c r="DB28" s="612"/>
      <c r="DC28" s="609">
        <v>0</v>
      </c>
      <c r="DD28" s="610"/>
      <c r="DE28" s="56"/>
      <c r="DF28" s="611"/>
      <c r="DG28" s="612"/>
      <c r="DH28" s="609">
        <v>0</v>
      </c>
      <c r="DI28" s="610"/>
      <c r="DJ28" s="56"/>
      <c r="DK28" s="611"/>
      <c r="DL28" s="612"/>
      <c r="DM28" s="609">
        <v>6098240</v>
      </c>
      <c r="DN28" s="610"/>
      <c r="DO28" s="56"/>
      <c r="DP28" s="611"/>
      <c r="DQ28" s="612"/>
      <c r="DR28" s="609">
        <v>0</v>
      </c>
      <c r="DS28" s="610"/>
      <c r="DT28" s="56"/>
      <c r="DU28" s="611"/>
      <c r="DV28" s="612"/>
      <c r="DW28" s="609">
        <v>0</v>
      </c>
      <c r="DX28" s="610"/>
      <c r="DY28" s="56"/>
      <c r="DZ28" s="611"/>
      <c r="EA28" s="612"/>
      <c r="EB28" s="609">
        <v>0</v>
      </c>
      <c r="EC28" s="610"/>
      <c r="ED28" s="56"/>
      <c r="EE28" s="611"/>
      <c r="EF28" s="612"/>
      <c r="EG28" s="609">
        <v>0</v>
      </c>
      <c r="EH28" s="610"/>
      <c r="EI28" s="56"/>
      <c r="EJ28" s="611"/>
      <c r="EK28" s="612"/>
      <c r="EL28" s="609">
        <f>SUM(CD28:DW28)</f>
        <v>6098240</v>
      </c>
      <c r="EM28" s="610"/>
      <c r="EN28" s="56"/>
      <c r="EO28" s="144"/>
    </row>
    <row r="29" spans="4:148" ht="12.75" customHeight="1" x14ac:dyDescent="0.3">
      <c r="D29" s="144" t="s">
        <v>338</v>
      </c>
      <c r="E29" s="494"/>
      <c r="F29" s="611"/>
      <c r="G29" s="56">
        <v>0</v>
      </c>
      <c r="H29" s="55"/>
      <c r="I29" s="56"/>
      <c r="J29" s="611"/>
      <c r="K29" s="611"/>
      <c r="L29" s="56">
        <v>0</v>
      </c>
      <c r="M29" s="55"/>
      <c r="N29" s="56"/>
      <c r="O29" s="611"/>
      <c r="P29" s="611"/>
      <c r="Q29" s="56">
        <v>0</v>
      </c>
      <c r="R29" s="55"/>
      <c r="S29" s="56"/>
      <c r="T29" s="611"/>
      <c r="U29" s="611"/>
      <c r="V29" s="56">
        <v>0</v>
      </c>
      <c r="W29" s="55"/>
      <c r="X29" s="56"/>
      <c r="Y29" s="611"/>
      <c r="Z29" s="611"/>
      <c r="AA29" s="56">
        <v>0</v>
      </c>
      <c r="AB29" s="55"/>
      <c r="AC29" s="56"/>
      <c r="AD29" s="611"/>
      <c r="AE29" s="611"/>
      <c r="AF29" s="56">
        <v>0</v>
      </c>
      <c r="AG29" s="55"/>
      <c r="AH29" s="56"/>
      <c r="AI29" s="611"/>
      <c r="AJ29" s="611"/>
      <c r="AK29" s="56">
        <v>0</v>
      </c>
      <c r="AL29" s="55"/>
      <c r="AM29" s="56"/>
      <c r="AN29" s="611"/>
      <c r="AO29" s="611"/>
      <c r="AP29" s="56">
        <v>0</v>
      </c>
      <c r="AQ29" s="55"/>
      <c r="AR29" s="56"/>
      <c r="AS29" s="611"/>
      <c r="AT29" s="611"/>
      <c r="AU29" s="56">
        <v>0</v>
      </c>
      <c r="AV29" s="55"/>
      <c r="AW29" s="56"/>
      <c r="AX29" s="611"/>
      <c r="AY29" s="611"/>
      <c r="AZ29" s="56">
        <v>0</v>
      </c>
      <c r="BA29" s="55"/>
      <c r="BB29" s="56"/>
      <c r="BC29" s="611"/>
      <c r="BD29" s="611"/>
      <c r="BE29" s="56">
        <v>0</v>
      </c>
      <c r="BF29" s="55"/>
      <c r="BG29" s="56"/>
      <c r="BH29" s="611"/>
      <c r="BI29" s="611"/>
      <c r="BJ29" s="56">
        <v>0</v>
      </c>
      <c r="BK29" s="55"/>
      <c r="BL29" s="56"/>
      <c r="BM29" s="611"/>
      <c r="BN29" s="611"/>
      <c r="BO29" s="56">
        <v>0</v>
      </c>
      <c r="BP29" s="55"/>
      <c r="BQ29" s="56"/>
      <c r="BR29" s="611"/>
      <c r="BS29" s="611"/>
      <c r="BT29" s="56">
        <f>SUM(L29:BO29)</f>
        <v>0</v>
      </c>
      <c r="BU29" s="55"/>
      <c r="BV29" s="56"/>
      <c r="BW29" s="611"/>
      <c r="BX29" s="611"/>
      <c r="BY29" s="56">
        <f>SUM(Q29:BT29)</f>
        <v>0</v>
      </c>
      <c r="BZ29" s="55"/>
      <c r="CA29" s="56"/>
      <c r="CB29" s="611"/>
      <c r="CC29" s="611"/>
      <c r="CD29" s="56">
        <v>0</v>
      </c>
      <c r="CE29" s="55"/>
      <c r="CF29" s="56"/>
      <c r="CG29" s="611"/>
      <c r="CH29" s="611"/>
      <c r="CI29" s="56">
        <v>0</v>
      </c>
      <c r="CJ29" s="55"/>
      <c r="CK29" s="56"/>
      <c r="CL29" s="611"/>
      <c r="CM29" s="611"/>
      <c r="CN29" s="56">
        <v>0</v>
      </c>
      <c r="CO29" s="55"/>
      <c r="CP29" s="56"/>
      <c r="CQ29" s="611"/>
      <c r="CR29" s="611"/>
      <c r="CS29" s="56">
        <v>0</v>
      </c>
      <c r="CT29" s="55"/>
      <c r="CU29" s="56"/>
      <c r="CV29" s="611"/>
      <c r="CW29" s="611"/>
      <c r="CX29" s="56">
        <v>0</v>
      </c>
      <c r="CY29" s="55"/>
      <c r="CZ29" s="56"/>
      <c r="DA29" s="611"/>
      <c r="DB29" s="611"/>
      <c r="DC29" s="56">
        <v>0</v>
      </c>
      <c r="DD29" s="55"/>
      <c r="DE29" s="56"/>
      <c r="DF29" s="611"/>
      <c r="DG29" s="611"/>
      <c r="DH29" s="56">
        <v>0</v>
      </c>
      <c r="DI29" s="55"/>
      <c r="DJ29" s="56"/>
      <c r="DK29" s="611"/>
      <c r="DL29" s="611"/>
      <c r="DM29" s="56">
        <v>0</v>
      </c>
      <c r="DN29" s="55"/>
      <c r="DO29" s="56"/>
      <c r="DP29" s="611"/>
      <c r="DQ29" s="611"/>
      <c r="DR29" s="56">
        <v>0</v>
      </c>
      <c r="DS29" s="55"/>
      <c r="DT29" s="56"/>
      <c r="DU29" s="611"/>
      <c r="DV29" s="611"/>
      <c r="DW29" s="56">
        <v>0</v>
      </c>
      <c r="DX29" s="55"/>
      <c r="DY29" s="56"/>
      <c r="DZ29" s="611"/>
      <c r="EA29" s="611"/>
      <c r="EB29" s="56">
        <v>0</v>
      </c>
      <c r="EC29" s="55"/>
      <c r="ED29" s="56"/>
      <c r="EE29" s="611"/>
      <c r="EF29" s="611"/>
      <c r="EG29" s="56">
        <v>0</v>
      </c>
      <c r="EH29" s="55"/>
      <c r="EI29" s="56"/>
      <c r="EJ29" s="611"/>
      <c r="EK29" s="611"/>
      <c r="EL29" s="56">
        <f t="shared" ref="EL29:EL30" si="6">SUM(CD29:DW29)</f>
        <v>0</v>
      </c>
      <c r="EM29" s="55"/>
      <c r="EN29" s="56"/>
      <c r="EO29" s="144"/>
    </row>
    <row r="30" spans="4:148" ht="12.75" customHeight="1" x14ac:dyDescent="0.3">
      <c r="D30" s="144" t="s">
        <v>352</v>
      </c>
      <c r="E30" s="494"/>
      <c r="F30" s="620"/>
      <c r="G30" s="117">
        <v>0</v>
      </c>
      <c r="H30" s="116"/>
      <c r="I30" s="56"/>
      <c r="J30" s="611"/>
      <c r="K30" s="620"/>
      <c r="L30" s="117">
        <v>0</v>
      </c>
      <c r="M30" s="116"/>
      <c r="N30" s="56"/>
      <c r="O30" s="611"/>
      <c r="P30" s="620"/>
      <c r="Q30" s="117">
        <v>0</v>
      </c>
      <c r="R30" s="116"/>
      <c r="S30" s="56"/>
      <c r="T30" s="611"/>
      <c r="U30" s="620"/>
      <c r="V30" s="117">
        <v>0</v>
      </c>
      <c r="W30" s="116"/>
      <c r="X30" s="56"/>
      <c r="Y30" s="611"/>
      <c r="Z30" s="620"/>
      <c r="AA30" s="117">
        <v>0</v>
      </c>
      <c r="AB30" s="116"/>
      <c r="AC30" s="56"/>
      <c r="AD30" s="611"/>
      <c r="AE30" s="620"/>
      <c r="AF30" s="117">
        <v>0</v>
      </c>
      <c r="AG30" s="116"/>
      <c r="AH30" s="56"/>
      <c r="AI30" s="611"/>
      <c r="AJ30" s="620"/>
      <c r="AK30" s="117">
        <v>0</v>
      </c>
      <c r="AL30" s="116"/>
      <c r="AM30" s="56"/>
      <c r="AN30" s="611"/>
      <c r="AO30" s="620"/>
      <c r="AP30" s="117">
        <v>0</v>
      </c>
      <c r="AQ30" s="116"/>
      <c r="AR30" s="56"/>
      <c r="AS30" s="611"/>
      <c r="AT30" s="620"/>
      <c r="AU30" s="117">
        <v>0</v>
      </c>
      <c r="AV30" s="116"/>
      <c r="AW30" s="56"/>
      <c r="AX30" s="611"/>
      <c r="AY30" s="620"/>
      <c r="AZ30" s="117">
        <v>0</v>
      </c>
      <c r="BA30" s="116"/>
      <c r="BB30" s="56"/>
      <c r="BC30" s="611"/>
      <c r="BD30" s="620"/>
      <c r="BE30" s="117">
        <v>0</v>
      </c>
      <c r="BF30" s="116"/>
      <c r="BG30" s="56"/>
      <c r="BH30" s="611"/>
      <c r="BI30" s="620"/>
      <c r="BJ30" s="117">
        <v>0</v>
      </c>
      <c r="BK30" s="116"/>
      <c r="BL30" s="56"/>
      <c r="BM30" s="611"/>
      <c r="BN30" s="620"/>
      <c r="BO30" s="117">
        <v>0</v>
      </c>
      <c r="BP30" s="116"/>
      <c r="BQ30" s="56"/>
      <c r="BR30" s="611"/>
      <c r="BS30" s="620"/>
      <c r="BT30" s="117">
        <f>SUM(L30:BO30)</f>
        <v>0</v>
      </c>
      <c r="BU30" s="116"/>
      <c r="BV30" s="56"/>
      <c r="BW30" s="611"/>
      <c r="BX30" s="620"/>
      <c r="BY30" s="117">
        <f>SUM(Q30:BT30)</f>
        <v>0</v>
      </c>
      <c r="BZ30" s="116"/>
      <c r="CA30" s="56"/>
      <c r="CB30" s="611"/>
      <c r="CC30" s="620"/>
      <c r="CD30" s="117">
        <v>0</v>
      </c>
      <c r="CE30" s="116"/>
      <c r="CF30" s="56"/>
      <c r="CG30" s="611"/>
      <c r="CH30" s="620"/>
      <c r="CI30" s="117">
        <v>0</v>
      </c>
      <c r="CJ30" s="116"/>
      <c r="CK30" s="56"/>
      <c r="CL30" s="611"/>
      <c r="CM30" s="620"/>
      <c r="CN30" s="117">
        <v>0</v>
      </c>
      <c r="CO30" s="116"/>
      <c r="CP30" s="56"/>
      <c r="CQ30" s="611"/>
      <c r="CR30" s="620"/>
      <c r="CS30" s="117">
        <v>0</v>
      </c>
      <c r="CT30" s="116"/>
      <c r="CU30" s="56"/>
      <c r="CV30" s="611"/>
      <c r="CW30" s="620"/>
      <c r="CX30" s="117">
        <v>0</v>
      </c>
      <c r="CY30" s="116"/>
      <c r="CZ30" s="56"/>
      <c r="DA30" s="611"/>
      <c r="DB30" s="620"/>
      <c r="DC30" s="117">
        <v>0</v>
      </c>
      <c r="DD30" s="116"/>
      <c r="DE30" s="56"/>
      <c r="DF30" s="611"/>
      <c r="DG30" s="620"/>
      <c r="DH30" s="117">
        <v>0</v>
      </c>
      <c r="DI30" s="116"/>
      <c r="DJ30" s="56"/>
      <c r="DK30" s="611"/>
      <c r="DL30" s="620"/>
      <c r="DM30" s="117">
        <v>0</v>
      </c>
      <c r="DN30" s="116"/>
      <c r="DO30" s="56"/>
      <c r="DP30" s="611"/>
      <c r="DQ30" s="620"/>
      <c r="DR30" s="117">
        <v>0</v>
      </c>
      <c r="DS30" s="116"/>
      <c r="DT30" s="56"/>
      <c r="DU30" s="611"/>
      <c r="DV30" s="620"/>
      <c r="DW30" s="117">
        <v>0</v>
      </c>
      <c r="DX30" s="116"/>
      <c r="DY30" s="56"/>
      <c r="DZ30" s="611"/>
      <c r="EA30" s="620"/>
      <c r="EB30" s="117">
        <v>0</v>
      </c>
      <c r="EC30" s="116"/>
      <c r="ED30" s="56"/>
      <c r="EE30" s="611"/>
      <c r="EF30" s="620"/>
      <c r="EG30" s="117">
        <v>0</v>
      </c>
      <c r="EH30" s="116"/>
      <c r="EI30" s="56"/>
      <c r="EJ30" s="611"/>
      <c r="EK30" s="620"/>
      <c r="EL30" s="117">
        <f t="shared" si="6"/>
        <v>0</v>
      </c>
      <c r="EM30" s="116"/>
      <c r="EN30" s="56"/>
      <c r="EO30" s="144"/>
    </row>
    <row r="31" spans="4:148" ht="12.75" customHeight="1" x14ac:dyDescent="0.3">
      <c r="D31" s="144"/>
      <c r="E31" s="494"/>
      <c r="F31" s="56"/>
      <c r="G31" s="56"/>
      <c r="H31" s="56"/>
      <c r="I31" s="56"/>
      <c r="J31" s="611"/>
      <c r="K31" s="56"/>
      <c r="L31" s="56"/>
      <c r="M31" s="56"/>
      <c r="N31" s="56"/>
      <c r="O31" s="611"/>
      <c r="P31" s="56"/>
      <c r="Q31" s="56"/>
      <c r="R31" s="56"/>
      <c r="S31" s="56"/>
      <c r="T31" s="611"/>
      <c r="U31" s="56"/>
      <c r="V31" s="56"/>
      <c r="W31" s="56"/>
      <c r="X31" s="56"/>
      <c r="Y31" s="611"/>
      <c r="Z31" s="56"/>
      <c r="AA31" s="56"/>
      <c r="AB31" s="56"/>
      <c r="AC31" s="56"/>
      <c r="AD31" s="611"/>
      <c r="AE31" s="56"/>
      <c r="AF31" s="56"/>
      <c r="AG31" s="56"/>
      <c r="AH31" s="56"/>
      <c r="AI31" s="611"/>
      <c r="AJ31" s="56"/>
      <c r="AK31" s="56"/>
      <c r="AL31" s="56"/>
      <c r="AM31" s="56"/>
      <c r="AN31" s="611"/>
      <c r="AO31" s="56"/>
      <c r="AP31" s="56"/>
      <c r="AQ31" s="56"/>
      <c r="AR31" s="56"/>
      <c r="AS31" s="611"/>
      <c r="AT31" s="56"/>
      <c r="AU31" s="56"/>
      <c r="AV31" s="56"/>
      <c r="AW31" s="56"/>
      <c r="AX31" s="611"/>
      <c r="AY31" s="56"/>
      <c r="AZ31" s="56"/>
      <c r="BA31" s="56"/>
      <c r="BB31" s="56"/>
      <c r="BC31" s="611"/>
      <c r="BD31" s="56"/>
      <c r="BE31" s="56"/>
      <c r="BF31" s="56"/>
      <c r="BG31" s="56"/>
      <c r="BH31" s="611"/>
      <c r="BI31" s="56"/>
      <c r="BJ31" s="56"/>
      <c r="BK31" s="56"/>
      <c r="BL31" s="56"/>
      <c r="BM31" s="611"/>
      <c r="BN31" s="56"/>
      <c r="BO31" s="56"/>
      <c r="BP31" s="56"/>
      <c r="BQ31" s="56"/>
      <c r="BR31" s="611"/>
      <c r="BS31" s="56"/>
      <c r="BT31" s="56"/>
      <c r="BU31" s="56"/>
      <c r="BV31" s="56"/>
      <c r="BW31" s="611"/>
      <c r="BX31" s="56"/>
      <c r="BY31" s="56"/>
      <c r="BZ31" s="56"/>
      <c r="CA31" s="56"/>
      <c r="CB31" s="611"/>
      <c r="CC31" s="56"/>
      <c r="CD31" s="56"/>
      <c r="CE31" s="56"/>
      <c r="CF31" s="56"/>
      <c r="CG31" s="611"/>
      <c r="CH31" s="56"/>
      <c r="CI31" s="56"/>
      <c r="CJ31" s="56"/>
      <c r="CK31" s="56"/>
      <c r="CL31" s="611"/>
      <c r="CM31" s="56"/>
      <c r="CN31" s="56"/>
      <c r="CO31" s="56"/>
      <c r="CP31" s="56"/>
      <c r="CQ31" s="611"/>
      <c r="CR31" s="56"/>
      <c r="CS31" s="56"/>
      <c r="CT31" s="56"/>
      <c r="CU31" s="56"/>
      <c r="CV31" s="611"/>
      <c r="CW31" s="56"/>
      <c r="CX31" s="56"/>
      <c r="CY31" s="56"/>
      <c r="CZ31" s="56"/>
      <c r="DA31" s="611"/>
      <c r="DB31" s="56"/>
      <c r="DC31" s="56"/>
      <c r="DD31" s="56"/>
      <c r="DE31" s="56"/>
      <c r="DF31" s="611"/>
      <c r="DG31" s="56"/>
      <c r="DH31" s="56"/>
      <c r="DI31" s="56"/>
      <c r="DJ31" s="56"/>
      <c r="DK31" s="611"/>
      <c r="DL31" s="56"/>
      <c r="DM31" s="56"/>
      <c r="DN31" s="56"/>
      <c r="DO31" s="56"/>
      <c r="DP31" s="611"/>
      <c r="DQ31" s="56"/>
      <c r="DR31" s="56"/>
      <c r="DS31" s="56"/>
      <c r="DT31" s="56"/>
      <c r="DU31" s="611"/>
      <c r="DV31" s="56"/>
      <c r="DW31" s="56"/>
      <c r="DX31" s="56"/>
      <c r="DY31" s="56"/>
      <c r="DZ31" s="611"/>
      <c r="EA31" s="56"/>
      <c r="EB31" s="56"/>
      <c r="EC31" s="56"/>
      <c r="ED31" s="56"/>
      <c r="EE31" s="611"/>
      <c r="EF31" s="56"/>
      <c r="EG31" s="56"/>
      <c r="EH31" s="56"/>
      <c r="EI31" s="56"/>
      <c r="EJ31" s="611"/>
      <c r="EK31" s="56"/>
      <c r="EL31" s="56"/>
      <c r="EM31" s="56"/>
      <c r="EN31" s="56"/>
      <c r="EO31" s="144"/>
    </row>
    <row r="32" spans="4:148" ht="12.75" customHeight="1" x14ac:dyDescent="0.3">
      <c r="D32" s="144" t="s">
        <v>425</v>
      </c>
      <c r="E32" s="494"/>
      <c r="F32" s="56"/>
      <c r="G32" s="56">
        <v>0</v>
      </c>
      <c r="H32" s="56"/>
      <c r="I32" s="56"/>
      <c r="J32" s="611"/>
      <c r="K32" s="56"/>
      <c r="L32" s="56">
        <f>L33+L35</f>
        <v>0</v>
      </c>
      <c r="M32" s="56"/>
      <c r="N32" s="56"/>
      <c r="O32" s="611"/>
      <c r="P32" s="56"/>
      <c r="Q32" s="56">
        <f>Q33+Q35</f>
        <v>0</v>
      </c>
      <c r="R32" s="56"/>
      <c r="S32" s="56"/>
      <c r="T32" s="611"/>
      <c r="U32" s="56"/>
      <c r="V32" s="56">
        <f>V33+V35</f>
        <v>0</v>
      </c>
      <c r="W32" s="56"/>
      <c r="X32" s="56"/>
      <c r="Y32" s="611"/>
      <c r="Z32" s="56"/>
      <c r="AA32" s="56">
        <f>AA33+AA35</f>
        <v>0</v>
      </c>
      <c r="AB32" s="56"/>
      <c r="AC32" s="56"/>
      <c r="AD32" s="611"/>
      <c r="AE32" s="56"/>
      <c r="AF32" s="56">
        <f>AF33+AF35</f>
        <v>0</v>
      </c>
      <c r="AG32" s="56"/>
      <c r="AH32" s="56"/>
      <c r="AI32" s="611"/>
      <c r="AJ32" s="56"/>
      <c r="AK32" s="56">
        <f>AK33+AK35</f>
        <v>0</v>
      </c>
      <c r="AL32" s="56"/>
      <c r="AM32" s="56"/>
      <c r="AN32" s="611"/>
      <c r="AO32" s="56"/>
      <c r="AP32" s="56">
        <f>AP33+AP35</f>
        <v>0</v>
      </c>
      <c r="AQ32" s="56"/>
      <c r="AR32" s="56"/>
      <c r="AS32" s="611"/>
      <c r="AT32" s="56"/>
      <c r="AU32" s="56">
        <f>AU33+AU35</f>
        <v>0</v>
      </c>
      <c r="AV32" s="56"/>
      <c r="AW32" s="56"/>
      <c r="AX32" s="611"/>
      <c r="AY32" s="56"/>
      <c r="AZ32" s="56">
        <f>AZ33+AZ35</f>
        <v>0</v>
      </c>
      <c r="BA32" s="56"/>
      <c r="BB32" s="56"/>
      <c r="BC32" s="611"/>
      <c r="BD32" s="56"/>
      <c r="BE32" s="56">
        <f>BE33+BE35</f>
        <v>0</v>
      </c>
      <c r="BF32" s="56"/>
      <c r="BG32" s="56"/>
      <c r="BH32" s="611"/>
      <c r="BI32" s="56"/>
      <c r="BJ32" s="56">
        <f>BJ33+BJ35</f>
        <v>0</v>
      </c>
      <c r="BK32" s="56"/>
      <c r="BL32" s="56"/>
      <c r="BM32" s="611"/>
      <c r="BN32" s="56"/>
      <c r="BO32" s="56">
        <f>BO33+BO35</f>
        <v>0</v>
      </c>
      <c r="BP32" s="56"/>
      <c r="BQ32" s="56"/>
      <c r="BR32" s="611"/>
      <c r="BS32" s="56"/>
      <c r="BT32" s="56">
        <f>SUM(BT33:BT35)</f>
        <v>0</v>
      </c>
      <c r="BU32" s="56"/>
      <c r="BV32" s="56"/>
      <c r="BW32" s="611"/>
      <c r="BX32" s="56"/>
      <c r="BY32" s="56">
        <f>SUM(BY33:BY35)</f>
        <v>11128875</v>
      </c>
      <c r="BZ32" s="56"/>
      <c r="CA32" s="56"/>
      <c r="CB32" s="611"/>
      <c r="CC32" s="56"/>
      <c r="CD32" s="56">
        <f>CD33+CD35</f>
        <v>0</v>
      </c>
      <c r="CE32" s="56"/>
      <c r="CF32" s="56"/>
      <c r="CG32" s="611"/>
      <c r="CH32" s="56"/>
      <c r="CI32" s="56">
        <f>CI33+CI35</f>
        <v>0</v>
      </c>
      <c r="CJ32" s="56"/>
      <c r="CK32" s="56"/>
      <c r="CL32" s="611"/>
      <c r="CM32" s="56"/>
      <c r="CN32" s="56">
        <f>CN33+CN35</f>
        <v>0</v>
      </c>
      <c r="CO32" s="56"/>
      <c r="CP32" s="56"/>
      <c r="CQ32" s="611"/>
      <c r="CR32" s="56"/>
      <c r="CS32" s="56">
        <f>CS33+CS35</f>
        <v>0</v>
      </c>
      <c r="CT32" s="56"/>
      <c r="CU32" s="56"/>
      <c r="CV32" s="611"/>
      <c r="CW32" s="56"/>
      <c r="CX32" s="56">
        <f>CX33+CX35</f>
        <v>0</v>
      </c>
      <c r="CY32" s="56"/>
      <c r="CZ32" s="56"/>
      <c r="DA32" s="611"/>
      <c r="DB32" s="56"/>
      <c r="DC32" s="56">
        <f>DC33+DC35</f>
        <v>0</v>
      </c>
      <c r="DD32" s="56"/>
      <c r="DE32" s="56"/>
      <c r="DF32" s="611"/>
      <c r="DG32" s="56"/>
      <c r="DH32" s="56">
        <f>DH33+DH35</f>
        <v>0</v>
      </c>
      <c r="DI32" s="56"/>
      <c r="DJ32" s="56"/>
      <c r="DK32" s="611"/>
      <c r="DL32" s="56"/>
      <c r="DM32" s="56">
        <f>DM33+DM35</f>
        <v>0</v>
      </c>
      <c r="DN32" s="56"/>
      <c r="DO32" s="56"/>
      <c r="DP32" s="611"/>
      <c r="DQ32" s="56"/>
      <c r="DR32" s="56">
        <f>DR33+DR35</f>
        <v>0</v>
      </c>
      <c r="DS32" s="56"/>
      <c r="DT32" s="56"/>
      <c r="DU32" s="611"/>
      <c r="DV32" s="56"/>
      <c r="DW32" s="56">
        <f>DW33+DW35</f>
        <v>0</v>
      </c>
      <c r="DX32" s="56"/>
      <c r="DY32" s="56"/>
      <c r="DZ32" s="611"/>
      <c r="EA32" s="56"/>
      <c r="EB32" s="56">
        <f>EB33+EB35</f>
        <v>0</v>
      </c>
      <c r="EC32" s="56"/>
      <c r="ED32" s="56"/>
      <c r="EE32" s="611"/>
      <c r="EF32" s="56"/>
      <c r="EG32" s="56">
        <f>EG33+EG35</f>
        <v>11128875</v>
      </c>
      <c r="EH32" s="56"/>
      <c r="EI32" s="56"/>
      <c r="EJ32" s="611"/>
      <c r="EK32" s="56"/>
      <c r="EL32" s="56">
        <f>SUM(EL33:EL35)</f>
        <v>0</v>
      </c>
      <c r="EM32" s="56"/>
      <c r="EN32" s="56"/>
      <c r="EO32" s="144"/>
    </row>
    <row r="33" spans="4:145" ht="12.75" customHeight="1" x14ac:dyDescent="0.3">
      <c r="D33" s="144" t="s">
        <v>335</v>
      </c>
      <c r="E33" s="494"/>
      <c r="F33" s="612"/>
      <c r="G33" s="609">
        <v>0</v>
      </c>
      <c r="H33" s="610"/>
      <c r="I33" s="56"/>
      <c r="J33" s="611"/>
      <c r="K33" s="612"/>
      <c r="L33" s="609">
        <v>0</v>
      </c>
      <c r="M33" s="610"/>
      <c r="N33" s="56"/>
      <c r="O33" s="611"/>
      <c r="P33" s="612"/>
      <c r="Q33" s="609">
        <v>0</v>
      </c>
      <c r="R33" s="610"/>
      <c r="S33" s="56"/>
      <c r="T33" s="611"/>
      <c r="U33" s="612"/>
      <c r="V33" s="609">
        <v>0</v>
      </c>
      <c r="W33" s="610"/>
      <c r="X33" s="56"/>
      <c r="Y33" s="611"/>
      <c r="Z33" s="612"/>
      <c r="AA33" s="609">
        <v>0</v>
      </c>
      <c r="AB33" s="610"/>
      <c r="AC33" s="56"/>
      <c r="AD33" s="611"/>
      <c r="AE33" s="612"/>
      <c r="AF33" s="609">
        <v>0</v>
      </c>
      <c r="AG33" s="610"/>
      <c r="AH33" s="56"/>
      <c r="AI33" s="611"/>
      <c r="AJ33" s="612"/>
      <c r="AK33" s="609">
        <v>0</v>
      </c>
      <c r="AL33" s="610"/>
      <c r="AM33" s="56"/>
      <c r="AN33" s="611"/>
      <c r="AO33" s="612"/>
      <c r="AP33" s="609">
        <v>0</v>
      </c>
      <c r="AQ33" s="610"/>
      <c r="AR33" s="56"/>
      <c r="AS33" s="611"/>
      <c r="AT33" s="612"/>
      <c r="AU33" s="609">
        <v>0</v>
      </c>
      <c r="AV33" s="610"/>
      <c r="AW33" s="56"/>
      <c r="AX33" s="611"/>
      <c r="AY33" s="612"/>
      <c r="AZ33" s="609">
        <v>0</v>
      </c>
      <c r="BA33" s="610"/>
      <c r="BB33" s="56"/>
      <c r="BC33" s="611"/>
      <c r="BD33" s="612"/>
      <c r="BE33" s="609">
        <v>0</v>
      </c>
      <c r="BF33" s="610"/>
      <c r="BG33" s="56"/>
      <c r="BH33" s="611"/>
      <c r="BI33" s="612"/>
      <c r="BJ33" s="609">
        <v>0</v>
      </c>
      <c r="BK33" s="610"/>
      <c r="BL33" s="56"/>
      <c r="BM33" s="611"/>
      <c r="BN33" s="612"/>
      <c r="BO33" s="609">
        <v>0</v>
      </c>
      <c r="BP33" s="610"/>
      <c r="BQ33" s="56"/>
      <c r="BR33" s="611"/>
      <c r="BS33" s="612"/>
      <c r="BT33" s="609">
        <f>SUM(L33:BO33)</f>
        <v>0</v>
      </c>
      <c r="BU33" s="610"/>
      <c r="BV33" s="56"/>
      <c r="BW33" s="611"/>
      <c r="BX33" s="612"/>
      <c r="BY33" s="609">
        <v>11128875</v>
      </c>
      <c r="BZ33" s="610"/>
      <c r="CA33" s="56"/>
      <c r="CB33" s="611"/>
      <c r="CC33" s="612"/>
      <c r="CD33" s="609">
        <v>0</v>
      </c>
      <c r="CE33" s="610"/>
      <c r="CF33" s="56"/>
      <c r="CG33" s="611"/>
      <c r="CH33" s="612"/>
      <c r="CI33" s="609">
        <v>0</v>
      </c>
      <c r="CJ33" s="610"/>
      <c r="CK33" s="56"/>
      <c r="CL33" s="611"/>
      <c r="CM33" s="612"/>
      <c r="CN33" s="609">
        <v>0</v>
      </c>
      <c r="CO33" s="610"/>
      <c r="CP33" s="56"/>
      <c r="CQ33" s="611"/>
      <c r="CR33" s="612"/>
      <c r="CS33" s="609">
        <v>0</v>
      </c>
      <c r="CT33" s="610"/>
      <c r="CU33" s="56"/>
      <c r="CV33" s="611"/>
      <c r="CW33" s="612"/>
      <c r="CX33" s="609">
        <v>0</v>
      </c>
      <c r="CY33" s="610"/>
      <c r="CZ33" s="56"/>
      <c r="DA33" s="611"/>
      <c r="DB33" s="612"/>
      <c r="DC33" s="609">
        <v>0</v>
      </c>
      <c r="DD33" s="610"/>
      <c r="DE33" s="56"/>
      <c r="DF33" s="611"/>
      <c r="DG33" s="612"/>
      <c r="DH33" s="609">
        <v>0</v>
      </c>
      <c r="DI33" s="610"/>
      <c r="DJ33" s="56"/>
      <c r="DK33" s="611"/>
      <c r="DL33" s="612"/>
      <c r="DM33" s="609">
        <v>0</v>
      </c>
      <c r="DN33" s="610"/>
      <c r="DO33" s="56"/>
      <c r="DP33" s="611"/>
      <c r="DQ33" s="612"/>
      <c r="DR33" s="609">
        <v>0</v>
      </c>
      <c r="DS33" s="610"/>
      <c r="DT33" s="56"/>
      <c r="DU33" s="611"/>
      <c r="DV33" s="612"/>
      <c r="DW33" s="609">
        <v>0</v>
      </c>
      <c r="DX33" s="610"/>
      <c r="DY33" s="56"/>
      <c r="DZ33" s="611"/>
      <c r="EA33" s="612"/>
      <c r="EB33" s="609">
        <v>0</v>
      </c>
      <c r="EC33" s="610"/>
      <c r="ED33" s="56"/>
      <c r="EE33" s="611"/>
      <c r="EF33" s="612"/>
      <c r="EG33" s="609">
        <v>11128875</v>
      </c>
      <c r="EH33" s="610"/>
      <c r="EI33" s="56"/>
      <c r="EJ33" s="611"/>
      <c r="EK33" s="612"/>
      <c r="EL33" s="609">
        <f>SUM(CD33:DW33)</f>
        <v>0</v>
      </c>
      <c r="EM33" s="610"/>
      <c r="EN33" s="56"/>
      <c r="EO33" s="144"/>
    </row>
    <row r="34" spans="4:145" ht="12.75" customHeight="1" x14ac:dyDescent="0.3">
      <c r="D34" s="144" t="s">
        <v>338</v>
      </c>
      <c r="E34" s="494"/>
      <c r="F34" s="611"/>
      <c r="G34" s="56">
        <v>0</v>
      </c>
      <c r="H34" s="55"/>
      <c r="I34" s="56"/>
      <c r="J34" s="611"/>
      <c r="K34" s="611"/>
      <c r="L34" s="56">
        <v>0</v>
      </c>
      <c r="M34" s="55"/>
      <c r="N34" s="56"/>
      <c r="O34" s="611"/>
      <c r="P34" s="611"/>
      <c r="Q34" s="56">
        <v>0</v>
      </c>
      <c r="R34" s="55"/>
      <c r="S34" s="56"/>
      <c r="T34" s="611"/>
      <c r="U34" s="611"/>
      <c r="V34" s="56">
        <v>0</v>
      </c>
      <c r="W34" s="55"/>
      <c r="X34" s="56"/>
      <c r="Y34" s="611"/>
      <c r="Z34" s="611"/>
      <c r="AA34" s="56">
        <v>0</v>
      </c>
      <c r="AB34" s="55"/>
      <c r="AC34" s="56"/>
      <c r="AD34" s="611"/>
      <c r="AE34" s="611"/>
      <c r="AF34" s="56">
        <v>0</v>
      </c>
      <c r="AG34" s="55"/>
      <c r="AH34" s="56"/>
      <c r="AI34" s="611"/>
      <c r="AJ34" s="611"/>
      <c r="AK34" s="56">
        <v>0</v>
      </c>
      <c r="AL34" s="55"/>
      <c r="AM34" s="56"/>
      <c r="AN34" s="611"/>
      <c r="AO34" s="611"/>
      <c r="AP34" s="56">
        <v>0</v>
      </c>
      <c r="AQ34" s="55"/>
      <c r="AR34" s="56"/>
      <c r="AS34" s="611"/>
      <c r="AT34" s="611"/>
      <c r="AU34" s="56">
        <v>0</v>
      </c>
      <c r="AV34" s="55"/>
      <c r="AW34" s="56"/>
      <c r="AX34" s="611"/>
      <c r="AY34" s="611"/>
      <c r="AZ34" s="56">
        <v>0</v>
      </c>
      <c r="BA34" s="55"/>
      <c r="BB34" s="56"/>
      <c r="BC34" s="611"/>
      <c r="BD34" s="611"/>
      <c r="BE34" s="56">
        <v>0</v>
      </c>
      <c r="BF34" s="55"/>
      <c r="BG34" s="56"/>
      <c r="BH34" s="611"/>
      <c r="BI34" s="611"/>
      <c r="BJ34" s="56">
        <v>0</v>
      </c>
      <c r="BK34" s="55"/>
      <c r="BL34" s="56"/>
      <c r="BM34" s="611"/>
      <c r="BN34" s="611"/>
      <c r="BO34" s="56">
        <v>0</v>
      </c>
      <c r="BP34" s="55"/>
      <c r="BQ34" s="56"/>
      <c r="BR34" s="611"/>
      <c r="BS34" s="611"/>
      <c r="BT34" s="56">
        <f>SUM(L34:BO34)</f>
        <v>0</v>
      </c>
      <c r="BU34" s="55"/>
      <c r="BV34" s="56"/>
      <c r="BW34" s="611"/>
      <c r="BX34" s="611"/>
      <c r="BY34" s="56">
        <v>0</v>
      </c>
      <c r="BZ34" s="55"/>
      <c r="CA34" s="56"/>
      <c r="CB34" s="611"/>
      <c r="CC34" s="611"/>
      <c r="CD34" s="56">
        <v>0</v>
      </c>
      <c r="CE34" s="55"/>
      <c r="CF34" s="56"/>
      <c r="CG34" s="611"/>
      <c r="CH34" s="611"/>
      <c r="CI34" s="56">
        <v>0</v>
      </c>
      <c r="CJ34" s="55"/>
      <c r="CK34" s="56"/>
      <c r="CL34" s="611"/>
      <c r="CM34" s="611"/>
      <c r="CN34" s="56">
        <v>0</v>
      </c>
      <c r="CO34" s="55"/>
      <c r="CP34" s="56"/>
      <c r="CQ34" s="611"/>
      <c r="CR34" s="611"/>
      <c r="CS34" s="56">
        <v>0</v>
      </c>
      <c r="CT34" s="55"/>
      <c r="CU34" s="56"/>
      <c r="CV34" s="611"/>
      <c r="CW34" s="611"/>
      <c r="CX34" s="56">
        <v>0</v>
      </c>
      <c r="CY34" s="55"/>
      <c r="CZ34" s="56"/>
      <c r="DA34" s="611"/>
      <c r="DB34" s="611"/>
      <c r="DC34" s="56">
        <v>0</v>
      </c>
      <c r="DD34" s="55"/>
      <c r="DE34" s="56"/>
      <c r="DF34" s="611"/>
      <c r="DG34" s="611"/>
      <c r="DH34" s="56">
        <v>0</v>
      </c>
      <c r="DI34" s="55"/>
      <c r="DJ34" s="56"/>
      <c r="DK34" s="611"/>
      <c r="DL34" s="611"/>
      <c r="DM34" s="56">
        <v>0</v>
      </c>
      <c r="DN34" s="55"/>
      <c r="DO34" s="56"/>
      <c r="DP34" s="611"/>
      <c r="DQ34" s="611"/>
      <c r="DR34" s="56">
        <v>0</v>
      </c>
      <c r="DS34" s="55"/>
      <c r="DT34" s="56"/>
      <c r="DU34" s="611"/>
      <c r="DV34" s="611"/>
      <c r="DW34" s="56">
        <v>0</v>
      </c>
      <c r="DX34" s="55"/>
      <c r="DY34" s="56"/>
      <c r="DZ34" s="611"/>
      <c r="EA34" s="611"/>
      <c r="EB34" s="56">
        <v>0</v>
      </c>
      <c r="EC34" s="55"/>
      <c r="ED34" s="56"/>
      <c r="EE34" s="611"/>
      <c r="EF34" s="611"/>
      <c r="EG34" s="56">
        <v>0</v>
      </c>
      <c r="EH34" s="55"/>
      <c r="EI34" s="56"/>
      <c r="EJ34" s="611"/>
      <c r="EK34" s="611"/>
      <c r="EL34" s="56">
        <f t="shared" ref="EL34:EL35" si="7">SUM(CD34:DW34)</f>
        <v>0</v>
      </c>
      <c r="EM34" s="55"/>
      <c r="EN34" s="56"/>
      <c r="EO34" s="144"/>
    </row>
    <row r="35" spans="4:145" ht="12.75" customHeight="1" x14ac:dyDescent="0.3">
      <c r="D35" s="144" t="s">
        <v>352</v>
      </c>
      <c r="E35" s="494"/>
      <c r="F35" s="620"/>
      <c r="G35" s="117">
        <v>0</v>
      </c>
      <c r="H35" s="116"/>
      <c r="I35" s="56"/>
      <c r="J35" s="611"/>
      <c r="K35" s="620"/>
      <c r="L35" s="117">
        <v>0</v>
      </c>
      <c r="M35" s="116"/>
      <c r="N35" s="56"/>
      <c r="O35" s="611"/>
      <c r="P35" s="620"/>
      <c r="Q35" s="117">
        <v>0</v>
      </c>
      <c r="R35" s="116"/>
      <c r="S35" s="56"/>
      <c r="T35" s="611"/>
      <c r="U35" s="620"/>
      <c r="V35" s="117">
        <v>0</v>
      </c>
      <c r="W35" s="116"/>
      <c r="X35" s="56"/>
      <c r="Y35" s="611"/>
      <c r="Z35" s="620"/>
      <c r="AA35" s="117">
        <v>0</v>
      </c>
      <c r="AB35" s="116"/>
      <c r="AC35" s="56"/>
      <c r="AD35" s="611"/>
      <c r="AE35" s="620"/>
      <c r="AF35" s="117">
        <v>0</v>
      </c>
      <c r="AG35" s="116"/>
      <c r="AH35" s="56"/>
      <c r="AI35" s="611"/>
      <c r="AJ35" s="620"/>
      <c r="AK35" s="117">
        <v>0</v>
      </c>
      <c r="AL35" s="116"/>
      <c r="AM35" s="56"/>
      <c r="AN35" s="611"/>
      <c r="AO35" s="620"/>
      <c r="AP35" s="117">
        <v>0</v>
      </c>
      <c r="AQ35" s="116"/>
      <c r="AR35" s="56"/>
      <c r="AS35" s="611"/>
      <c r="AT35" s="620"/>
      <c r="AU35" s="117">
        <v>0</v>
      </c>
      <c r="AV35" s="116"/>
      <c r="AW35" s="56"/>
      <c r="AX35" s="611"/>
      <c r="AY35" s="620"/>
      <c r="AZ35" s="117">
        <v>0</v>
      </c>
      <c r="BA35" s="116"/>
      <c r="BB35" s="56"/>
      <c r="BC35" s="611"/>
      <c r="BD35" s="620"/>
      <c r="BE35" s="117">
        <v>0</v>
      </c>
      <c r="BF35" s="116"/>
      <c r="BG35" s="56"/>
      <c r="BH35" s="611"/>
      <c r="BI35" s="620"/>
      <c r="BJ35" s="117">
        <v>0</v>
      </c>
      <c r="BK35" s="116"/>
      <c r="BL35" s="56"/>
      <c r="BM35" s="611"/>
      <c r="BN35" s="620"/>
      <c r="BO35" s="117">
        <v>0</v>
      </c>
      <c r="BP35" s="116"/>
      <c r="BQ35" s="56"/>
      <c r="BR35" s="611"/>
      <c r="BS35" s="620"/>
      <c r="BT35" s="117">
        <f>SUM(L35:BO35)</f>
        <v>0</v>
      </c>
      <c r="BU35" s="116"/>
      <c r="BV35" s="56"/>
      <c r="BW35" s="611"/>
      <c r="BX35" s="620"/>
      <c r="BY35" s="117">
        <v>0</v>
      </c>
      <c r="BZ35" s="116"/>
      <c r="CA35" s="56"/>
      <c r="CB35" s="611"/>
      <c r="CC35" s="620"/>
      <c r="CD35" s="117">
        <v>0</v>
      </c>
      <c r="CE35" s="116"/>
      <c r="CF35" s="56"/>
      <c r="CG35" s="611"/>
      <c r="CH35" s="620"/>
      <c r="CI35" s="117">
        <v>0</v>
      </c>
      <c r="CJ35" s="116"/>
      <c r="CK35" s="56"/>
      <c r="CL35" s="611"/>
      <c r="CM35" s="620"/>
      <c r="CN35" s="117">
        <v>0</v>
      </c>
      <c r="CO35" s="116"/>
      <c r="CP35" s="56"/>
      <c r="CQ35" s="611"/>
      <c r="CR35" s="620"/>
      <c r="CS35" s="117">
        <v>0</v>
      </c>
      <c r="CT35" s="116"/>
      <c r="CU35" s="56"/>
      <c r="CV35" s="611"/>
      <c r="CW35" s="620"/>
      <c r="CX35" s="117">
        <v>0</v>
      </c>
      <c r="CY35" s="116"/>
      <c r="CZ35" s="56"/>
      <c r="DA35" s="611"/>
      <c r="DB35" s="620"/>
      <c r="DC35" s="117">
        <v>0</v>
      </c>
      <c r="DD35" s="116"/>
      <c r="DE35" s="56"/>
      <c r="DF35" s="611"/>
      <c r="DG35" s="620"/>
      <c r="DH35" s="117">
        <v>0</v>
      </c>
      <c r="DI35" s="116"/>
      <c r="DJ35" s="56"/>
      <c r="DK35" s="611"/>
      <c r="DL35" s="620"/>
      <c r="DM35" s="117">
        <v>0</v>
      </c>
      <c r="DN35" s="116"/>
      <c r="DO35" s="56"/>
      <c r="DP35" s="611"/>
      <c r="DQ35" s="620"/>
      <c r="DR35" s="117">
        <v>0</v>
      </c>
      <c r="DS35" s="116"/>
      <c r="DT35" s="56"/>
      <c r="DU35" s="611"/>
      <c r="DV35" s="620"/>
      <c r="DW35" s="117">
        <v>0</v>
      </c>
      <c r="DX35" s="116"/>
      <c r="DY35" s="56"/>
      <c r="DZ35" s="611"/>
      <c r="EA35" s="620"/>
      <c r="EB35" s="117">
        <v>0</v>
      </c>
      <c r="EC35" s="116"/>
      <c r="ED35" s="56"/>
      <c r="EE35" s="611"/>
      <c r="EF35" s="620"/>
      <c r="EG35" s="117">
        <v>0</v>
      </c>
      <c r="EH35" s="116"/>
      <c r="EI35" s="56"/>
      <c r="EJ35" s="611"/>
      <c r="EK35" s="620"/>
      <c r="EL35" s="117">
        <f t="shared" si="7"/>
        <v>0</v>
      </c>
      <c r="EM35" s="116"/>
      <c r="EN35" s="56"/>
      <c r="EO35" s="144"/>
    </row>
    <row r="36" spans="4:145" x14ac:dyDescent="0.3">
      <c r="D36" s="144"/>
      <c r="E36" s="494"/>
      <c r="G36" s="56"/>
      <c r="H36" s="56"/>
      <c r="I36" s="56"/>
      <c r="J36" s="611"/>
      <c r="K36" s="56"/>
      <c r="L36" s="56"/>
      <c r="M36" s="56"/>
      <c r="N36" s="56"/>
      <c r="O36" s="611"/>
      <c r="P36" s="56"/>
      <c r="Q36" s="56"/>
      <c r="R36" s="56"/>
      <c r="S36" s="56"/>
      <c r="T36" s="611"/>
      <c r="U36" s="56"/>
      <c r="V36" s="56"/>
      <c r="W36" s="56"/>
      <c r="X36" s="56"/>
      <c r="Y36" s="611"/>
      <c r="Z36" s="56"/>
      <c r="AA36" s="56"/>
      <c r="AB36" s="56"/>
      <c r="AC36" s="56"/>
      <c r="AD36" s="611"/>
      <c r="AE36" s="56"/>
      <c r="AF36" s="56"/>
      <c r="AG36" s="56"/>
      <c r="AH36" s="56"/>
      <c r="AI36" s="611"/>
      <c r="AJ36" s="56"/>
      <c r="AK36" s="56"/>
      <c r="AL36" s="56"/>
      <c r="AM36" s="56"/>
      <c r="AN36" s="611"/>
      <c r="AO36" s="56"/>
      <c r="AP36" s="56"/>
      <c r="AQ36" s="56"/>
      <c r="AR36" s="56"/>
      <c r="AS36" s="611"/>
      <c r="AT36" s="56"/>
      <c r="AU36" s="56"/>
      <c r="AV36" s="56"/>
      <c r="AW36" s="56"/>
      <c r="AX36" s="611"/>
      <c r="AY36" s="56"/>
      <c r="AZ36" s="56"/>
      <c r="BA36" s="56"/>
      <c r="BB36" s="56"/>
      <c r="BC36" s="611"/>
      <c r="BD36" s="56"/>
      <c r="BE36" s="56"/>
      <c r="BF36" s="56"/>
      <c r="BG36" s="56"/>
      <c r="BH36" s="611"/>
      <c r="BI36" s="56"/>
      <c r="BJ36" s="56"/>
      <c r="BK36" s="56"/>
      <c r="BL36" s="56"/>
      <c r="BM36" s="611"/>
      <c r="BN36" s="56"/>
      <c r="BO36" s="56"/>
      <c r="BP36" s="56"/>
      <c r="BQ36" s="56"/>
      <c r="BR36" s="611"/>
      <c r="BS36" s="56"/>
      <c r="BT36" s="56"/>
      <c r="BU36" s="56"/>
      <c r="BV36" s="56"/>
      <c r="BW36" s="611"/>
      <c r="BX36" s="56"/>
      <c r="BY36" s="56"/>
      <c r="BZ36" s="56"/>
      <c r="CA36" s="56"/>
      <c r="CB36" s="611"/>
      <c r="CC36" s="56"/>
      <c r="CD36" s="56"/>
      <c r="CE36" s="56"/>
      <c r="CF36" s="56"/>
      <c r="CG36" s="611"/>
      <c r="CH36" s="56"/>
      <c r="CI36" s="56"/>
      <c r="CJ36" s="56"/>
      <c r="CK36" s="56"/>
      <c r="CL36" s="611"/>
      <c r="CM36" s="56"/>
      <c r="CN36" s="56"/>
      <c r="CO36" s="56"/>
      <c r="CP36" s="56"/>
      <c r="CQ36" s="611"/>
      <c r="CR36" s="56"/>
      <c r="CS36" s="56"/>
      <c r="CT36" s="56"/>
      <c r="CU36" s="56"/>
      <c r="CV36" s="611"/>
      <c r="CW36" s="56"/>
      <c r="CX36" s="56"/>
      <c r="CY36" s="56"/>
      <c r="CZ36" s="56"/>
      <c r="DA36" s="611"/>
      <c r="DB36" s="56"/>
      <c r="DC36" s="56"/>
      <c r="DD36" s="56"/>
      <c r="DE36" s="56"/>
      <c r="DF36" s="611"/>
      <c r="DG36" s="56"/>
      <c r="DH36" s="56"/>
      <c r="DI36" s="56"/>
      <c r="DJ36" s="56"/>
      <c r="DK36" s="611"/>
      <c r="DL36" s="56"/>
      <c r="DM36" s="56"/>
      <c r="DN36" s="56"/>
      <c r="DO36" s="56"/>
      <c r="DP36" s="611"/>
      <c r="DQ36" s="56"/>
      <c r="DR36" s="56"/>
      <c r="DS36" s="56"/>
      <c r="DT36" s="56"/>
      <c r="DU36" s="611"/>
      <c r="DV36" s="56"/>
      <c r="DW36" s="56"/>
      <c r="DX36" s="56"/>
      <c r="DY36" s="56"/>
      <c r="DZ36" s="611"/>
      <c r="EA36" s="56"/>
      <c r="EB36" s="56"/>
      <c r="EC36" s="56"/>
      <c r="ED36" s="56"/>
      <c r="EE36" s="611"/>
      <c r="EF36" s="56"/>
      <c r="EG36" s="56"/>
      <c r="EH36" s="56"/>
      <c r="EI36" s="56"/>
      <c r="EJ36" s="611"/>
      <c r="EK36" s="56"/>
      <c r="EL36" s="56"/>
      <c r="EM36" s="56"/>
      <c r="EN36" s="56"/>
      <c r="EO36" s="144"/>
    </row>
    <row r="37" spans="4:145" x14ac:dyDescent="0.3">
      <c r="D37" s="144" t="s">
        <v>426</v>
      </c>
      <c r="E37" s="494"/>
      <c r="G37" s="56">
        <v>0</v>
      </c>
      <c r="H37" s="56"/>
      <c r="I37" s="56"/>
      <c r="J37" s="611"/>
      <c r="K37" s="56"/>
      <c r="L37" s="56">
        <f>L38+L40</f>
        <v>1484820</v>
      </c>
      <c r="M37" s="56"/>
      <c r="N37" s="56"/>
      <c r="O37" s="611"/>
      <c r="P37" s="56"/>
      <c r="Q37" s="56">
        <f>SUM(Q38:Q40)</f>
        <v>0</v>
      </c>
      <c r="R37" s="56"/>
      <c r="S37" s="56"/>
      <c r="T37" s="611"/>
      <c r="U37" s="56"/>
      <c r="V37" s="56">
        <f>V38+V40</f>
        <v>0</v>
      </c>
      <c r="W37" s="56"/>
      <c r="X37" s="56"/>
      <c r="Y37" s="611"/>
      <c r="Z37" s="56"/>
      <c r="AA37" s="56">
        <f>AA38+AA40</f>
        <v>0</v>
      </c>
      <c r="AB37" s="56"/>
      <c r="AC37" s="56"/>
      <c r="AD37" s="611"/>
      <c r="AE37" s="56"/>
      <c r="AF37" s="56">
        <f>AF38+AF40</f>
        <v>0</v>
      </c>
      <c r="AG37" s="56"/>
      <c r="AH37" s="56"/>
      <c r="AI37" s="611"/>
      <c r="AJ37" s="56"/>
      <c r="AK37" s="56">
        <f>AK38+AK40</f>
        <v>0</v>
      </c>
      <c r="AL37" s="56"/>
      <c r="AM37" s="56"/>
      <c r="AN37" s="611"/>
      <c r="AO37" s="56"/>
      <c r="AP37" s="56">
        <f>AP38+AP40</f>
        <v>0</v>
      </c>
      <c r="AQ37" s="56"/>
      <c r="AR37" s="56"/>
      <c r="AS37" s="611"/>
      <c r="AT37" s="56"/>
      <c r="AU37" s="56">
        <f>AU38+AU40</f>
        <v>0</v>
      </c>
      <c r="AV37" s="56"/>
      <c r="AW37" s="56"/>
      <c r="AX37" s="611"/>
      <c r="AY37" s="56"/>
      <c r="AZ37" s="56">
        <f>AZ38+AZ40</f>
        <v>0</v>
      </c>
      <c r="BA37" s="56"/>
      <c r="BB37" s="56"/>
      <c r="BC37" s="611"/>
      <c r="BD37" s="56"/>
      <c r="BE37" s="56">
        <f>BE38+BE40</f>
        <v>0</v>
      </c>
      <c r="BF37" s="56"/>
      <c r="BG37" s="56"/>
      <c r="BH37" s="611"/>
      <c r="BI37" s="56"/>
      <c r="BJ37" s="56">
        <f>BJ38+BJ40</f>
        <v>0</v>
      </c>
      <c r="BK37" s="56"/>
      <c r="BL37" s="56"/>
      <c r="BM37" s="611"/>
      <c r="BN37" s="56"/>
      <c r="BO37" s="56">
        <f>BO38+BO40</f>
        <v>0</v>
      </c>
      <c r="BP37" s="56"/>
      <c r="BQ37" s="56"/>
      <c r="BR37" s="611"/>
      <c r="BS37" s="56"/>
      <c r="BT37" s="56">
        <f>SUM(BT38:BT40)</f>
        <v>1484820</v>
      </c>
      <c r="BU37" s="56"/>
      <c r="BV37" s="56"/>
      <c r="BW37" s="611"/>
      <c r="BX37" s="56"/>
      <c r="BY37" s="56">
        <f>SUM(BY38:BY40)</f>
        <v>0</v>
      </c>
      <c r="BZ37" s="56"/>
      <c r="CA37" s="56"/>
      <c r="CB37" s="611"/>
      <c r="CC37" s="56"/>
      <c r="CD37" s="56">
        <f>CD38+CD40</f>
        <v>0</v>
      </c>
      <c r="CE37" s="56"/>
      <c r="CF37" s="56"/>
      <c r="CG37" s="611"/>
      <c r="CH37" s="56"/>
      <c r="CI37" s="56">
        <f>SUM(CI38:CI40)</f>
        <v>0</v>
      </c>
      <c r="CJ37" s="56"/>
      <c r="CK37" s="56"/>
      <c r="CL37" s="611"/>
      <c r="CM37" s="56"/>
      <c r="CN37" s="56">
        <f>CN38+CN40</f>
        <v>0</v>
      </c>
      <c r="CO37" s="56"/>
      <c r="CP37" s="56"/>
      <c r="CQ37" s="611"/>
      <c r="CR37" s="56"/>
      <c r="CS37" s="56">
        <f>CS38+CS40</f>
        <v>0</v>
      </c>
      <c r="CT37" s="56"/>
      <c r="CU37" s="56"/>
      <c r="CV37" s="611"/>
      <c r="CW37" s="56"/>
      <c r="CX37" s="56">
        <f>CX38+CX40</f>
        <v>0</v>
      </c>
      <c r="CY37" s="56"/>
      <c r="CZ37" s="56"/>
      <c r="DA37" s="611"/>
      <c r="DB37" s="56"/>
      <c r="DC37" s="56">
        <f>DC38+DC40</f>
        <v>0</v>
      </c>
      <c r="DD37" s="56"/>
      <c r="DE37" s="56"/>
      <c r="DF37" s="611"/>
      <c r="DG37" s="56"/>
      <c r="DH37" s="56">
        <f>DH38+DH40</f>
        <v>0</v>
      </c>
      <c r="DI37" s="56"/>
      <c r="DJ37" s="56"/>
      <c r="DK37" s="611"/>
      <c r="DL37" s="56"/>
      <c r="DM37" s="56">
        <f>DM38+DM40</f>
        <v>0</v>
      </c>
      <c r="DN37" s="56"/>
      <c r="DO37" s="56"/>
      <c r="DP37" s="611"/>
      <c r="DQ37" s="56"/>
      <c r="DR37" s="56">
        <f>DR38+DR40</f>
        <v>0</v>
      </c>
      <c r="DS37" s="56"/>
      <c r="DT37" s="56"/>
      <c r="DU37" s="611"/>
      <c r="DV37" s="56"/>
      <c r="DW37" s="56">
        <f>DW38+DW40</f>
        <v>0</v>
      </c>
      <c r="DX37" s="56"/>
      <c r="DY37" s="56"/>
      <c r="DZ37" s="611"/>
      <c r="EA37" s="56"/>
      <c r="EB37" s="56">
        <f>EB38+EB40</f>
        <v>0</v>
      </c>
      <c r="EC37" s="56"/>
      <c r="ED37" s="56"/>
      <c r="EE37" s="611"/>
      <c r="EF37" s="56"/>
      <c r="EG37" s="56">
        <f>EG38+EG40</f>
        <v>0</v>
      </c>
      <c r="EH37" s="56"/>
      <c r="EI37" s="56"/>
      <c r="EJ37" s="611"/>
      <c r="EK37" s="56"/>
      <c r="EL37" s="56">
        <f>SUM(EL38:EL40)</f>
        <v>0</v>
      </c>
      <c r="EM37" s="56"/>
      <c r="EN37" s="56"/>
      <c r="EO37" s="144"/>
    </row>
    <row r="38" spans="4:145" x14ac:dyDescent="0.3">
      <c r="D38" s="144" t="s">
        <v>335</v>
      </c>
      <c r="E38" s="494"/>
      <c r="F38" s="500"/>
      <c r="G38" s="609">
        <v>0</v>
      </c>
      <c r="H38" s="610"/>
      <c r="I38" s="56"/>
      <c r="J38" s="611"/>
      <c r="K38" s="612"/>
      <c r="L38" s="609">
        <v>1484820</v>
      </c>
      <c r="M38" s="610"/>
      <c r="N38" s="56"/>
      <c r="O38" s="611"/>
      <c r="P38" s="612"/>
      <c r="Q38" s="609">
        <v>0</v>
      </c>
      <c r="R38" s="610"/>
      <c r="S38" s="56"/>
      <c r="T38" s="611"/>
      <c r="U38" s="612"/>
      <c r="V38" s="609">
        <v>0</v>
      </c>
      <c r="W38" s="610"/>
      <c r="X38" s="56"/>
      <c r="Y38" s="611"/>
      <c r="Z38" s="612"/>
      <c r="AA38" s="609">
        <v>0</v>
      </c>
      <c r="AB38" s="610"/>
      <c r="AC38" s="56"/>
      <c r="AD38" s="611"/>
      <c r="AE38" s="612"/>
      <c r="AF38" s="609">
        <v>0</v>
      </c>
      <c r="AG38" s="610"/>
      <c r="AH38" s="56"/>
      <c r="AI38" s="611"/>
      <c r="AJ38" s="612"/>
      <c r="AK38" s="609">
        <v>0</v>
      </c>
      <c r="AL38" s="610"/>
      <c r="AM38" s="56"/>
      <c r="AN38" s="611"/>
      <c r="AO38" s="612"/>
      <c r="AP38" s="609">
        <v>0</v>
      </c>
      <c r="AQ38" s="610"/>
      <c r="AR38" s="56"/>
      <c r="AS38" s="611"/>
      <c r="AT38" s="612"/>
      <c r="AU38" s="609">
        <v>0</v>
      </c>
      <c r="AV38" s="610"/>
      <c r="AW38" s="56"/>
      <c r="AX38" s="611"/>
      <c r="AY38" s="612"/>
      <c r="AZ38" s="609">
        <v>0</v>
      </c>
      <c r="BA38" s="610"/>
      <c r="BB38" s="56"/>
      <c r="BC38" s="611"/>
      <c r="BD38" s="612"/>
      <c r="BE38" s="609">
        <v>0</v>
      </c>
      <c r="BF38" s="610"/>
      <c r="BG38" s="56"/>
      <c r="BH38" s="611"/>
      <c r="BI38" s="612"/>
      <c r="BJ38" s="609">
        <v>0</v>
      </c>
      <c r="BK38" s="610"/>
      <c r="BL38" s="56"/>
      <c r="BM38" s="611"/>
      <c r="BN38" s="612"/>
      <c r="BO38" s="609">
        <v>0</v>
      </c>
      <c r="BP38" s="610"/>
      <c r="BQ38" s="56"/>
      <c r="BR38" s="611"/>
      <c r="BS38" s="612"/>
      <c r="BT38" s="609">
        <f>SUM(L38:BO38)</f>
        <v>1484820</v>
      </c>
      <c r="BU38" s="610"/>
      <c r="BV38" s="56"/>
      <c r="BW38" s="611"/>
      <c r="BX38" s="612"/>
      <c r="BY38" s="609">
        <v>0</v>
      </c>
      <c r="BZ38" s="610"/>
      <c r="CA38" s="56"/>
      <c r="CB38" s="611"/>
      <c r="CC38" s="612"/>
      <c r="CD38" s="609">
        <v>0</v>
      </c>
      <c r="CE38" s="610"/>
      <c r="CF38" s="56"/>
      <c r="CG38" s="611"/>
      <c r="CH38" s="612"/>
      <c r="CI38" s="609">
        <v>0</v>
      </c>
      <c r="CJ38" s="610"/>
      <c r="CK38" s="56"/>
      <c r="CL38" s="611"/>
      <c r="CM38" s="612"/>
      <c r="CN38" s="609">
        <v>0</v>
      </c>
      <c r="CO38" s="610"/>
      <c r="CP38" s="56"/>
      <c r="CQ38" s="611"/>
      <c r="CR38" s="612"/>
      <c r="CS38" s="609">
        <v>0</v>
      </c>
      <c r="CT38" s="610"/>
      <c r="CU38" s="56"/>
      <c r="CV38" s="611"/>
      <c r="CW38" s="612"/>
      <c r="CX38" s="609">
        <v>0</v>
      </c>
      <c r="CY38" s="610"/>
      <c r="CZ38" s="56"/>
      <c r="DA38" s="611"/>
      <c r="DB38" s="612"/>
      <c r="DC38" s="609">
        <v>0</v>
      </c>
      <c r="DD38" s="610"/>
      <c r="DE38" s="56"/>
      <c r="DF38" s="611"/>
      <c r="DG38" s="612"/>
      <c r="DH38" s="609">
        <v>0</v>
      </c>
      <c r="DI38" s="610"/>
      <c r="DJ38" s="56"/>
      <c r="DK38" s="611"/>
      <c r="DL38" s="612"/>
      <c r="DM38" s="609">
        <v>0</v>
      </c>
      <c r="DN38" s="610"/>
      <c r="DO38" s="56"/>
      <c r="DP38" s="611"/>
      <c r="DQ38" s="612"/>
      <c r="DR38" s="609">
        <v>0</v>
      </c>
      <c r="DS38" s="610"/>
      <c r="DT38" s="56"/>
      <c r="DU38" s="611"/>
      <c r="DV38" s="612"/>
      <c r="DW38" s="609">
        <v>0</v>
      </c>
      <c r="DX38" s="610"/>
      <c r="DY38" s="56"/>
      <c r="DZ38" s="611"/>
      <c r="EA38" s="612"/>
      <c r="EB38" s="609">
        <v>0</v>
      </c>
      <c r="EC38" s="610"/>
      <c r="ED38" s="56"/>
      <c r="EE38" s="611"/>
      <c r="EF38" s="612"/>
      <c r="EG38" s="609">
        <v>0</v>
      </c>
      <c r="EH38" s="610"/>
      <c r="EI38" s="56"/>
      <c r="EJ38" s="611"/>
      <c r="EK38" s="612"/>
      <c r="EL38" s="609">
        <f>SUM(CD38:DW38)</f>
        <v>0</v>
      </c>
      <c r="EM38" s="610"/>
      <c r="EN38" s="56"/>
      <c r="EO38" s="144"/>
    </row>
    <row r="39" spans="4:145" x14ac:dyDescent="0.3">
      <c r="D39" s="144" t="s">
        <v>338</v>
      </c>
      <c r="E39" s="494"/>
      <c r="F39" s="494"/>
      <c r="G39" s="56">
        <v>0</v>
      </c>
      <c r="H39" s="55"/>
      <c r="I39" s="56"/>
      <c r="J39" s="611"/>
      <c r="K39" s="611"/>
      <c r="L39" s="56">
        <v>0</v>
      </c>
      <c r="M39" s="55"/>
      <c r="N39" s="56"/>
      <c r="O39" s="611"/>
      <c r="P39" s="611"/>
      <c r="Q39" s="56">
        <v>0</v>
      </c>
      <c r="R39" s="55"/>
      <c r="S39" s="56"/>
      <c r="T39" s="611"/>
      <c r="U39" s="611"/>
      <c r="V39" s="56">
        <v>0</v>
      </c>
      <c r="W39" s="55"/>
      <c r="X39" s="56"/>
      <c r="Y39" s="611"/>
      <c r="Z39" s="611"/>
      <c r="AA39" s="56">
        <v>0</v>
      </c>
      <c r="AB39" s="55"/>
      <c r="AC39" s="56"/>
      <c r="AD39" s="611"/>
      <c r="AE39" s="611"/>
      <c r="AF39" s="56">
        <v>0</v>
      </c>
      <c r="AG39" s="55"/>
      <c r="AH39" s="56"/>
      <c r="AI39" s="611"/>
      <c r="AJ39" s="611"/>
      <c r="AK39" s="56">
        <v>0</v>
      </c>
      <c r="AL39" s="55"/>
      <c r="AM39" s="56"/>
      <c r="AN39" s="611"/>
      <c r="AO39" s="611"/>
      <c r="AP39" s="56">
        <v>0</v>
      </c>
      <c r="AQ39" s="55"/>
      <c r="AR39" s="56"/>
      <c r="AS39" s="611"/>
      <c r="AT39" s="611"/>
      <c r="AU39" s="56">
        <v>0</v>
      </c>
      <c r="AV39" s="55"/>
      <c r="AW39" s="56"/>
      <c r="AX39" s="611"/>
      <c r="AY39" s="611"/>
      <c r="AZ39" s="56">
        <v>0</v>
      </c>
      <c r="BA39" s="55"/>
      <c r="BB39" s="56"/>
      <c r="BC39" s="611"/>
      <c r="BD39" s="611"/>
      <c r="BE39" s="56">
        <v>0</v>
      </c>
      <c r="BF39" s="55"/>
      <c r="BG39" s="56"/>
      <c r="BH39" s="611"/>
      <c r="BI39" s="611"/>
      <c r="BJ39" s="56">
        <v>0</v>
      </c>
      <c r="BK39" s="55"/>
      <c r="BL39" s="56"/>
      <c r="BM39" s="611"/>
      <c r="BN39" s="611"/>
      <c r="BO39" s="56">
        <v>0</v>
      </c>
      <c r="BP39" s="55"/>
      <c r="BQ39" s="56"/>
      <c r="BR39" s="611"/>
      <c r="BS39" s="611"/>
      <c r="BT39" s="56">
        <f>SUM(L39:BO39)</f>
        <v>0</v>
      </c>
      <c r="BU39" s="55"/>
      <c r="BV39" s="56"/>
      <c r="BW39" s="611"/>
      <c r="BX39" s="611"/>
      <c r="BY39" s="56">
        <v>0</v>
      </c>
      <c r="BZ39" s="55"/>
      <c r="CA39" s="56"/>
      <c r="CB39" s="611"/>
      <c r="CC39" s="611"/>
      <c r="CD39" s="56">
        <v>0</v>
      </c>
      <c r="CE39" s="55"/>
      <c r="CF39" s="56"/>
      <c r="CG39" s="611"/>
      <c r="CH39" s="611"/>
      <c r="CI39" s="56">
        <v>0</v>
      </c>
      <c r="CJ39" s="55"/>
      <c r="CK39" s="56"/>
      <c r="CL39" s="611"/>
      <c r="CM39" s="611"/>
      <c r="CN39" s="56">
        <v>0</v>
      </c>
      <c r="CO39" s="55"/>
      <c r="CP39" s="56"/>
      <c r="CQ39" s="611"/>
      <c r="CR39" s="611"/>
      <c r="CS39" s="56">
        <v>0</v>
      </c>
      <c r="CT39" s="55"/>
      <c r="CU39" s="56"/>
      <c r="CV39" s="611"/>
      <c r="CW39" s="611"/>
      <c r="CX39" s="56">
        <v>0</v>
      </c>
      <c r="CY39" s="55"/>
      <c r="CZ39" s="56"/>
      <c r="DA39" s="611"/>
      <c r="DB39" s="611"/>
      <c r="DC39" s="56">
        <v>0</v>
      </c>
      <c r="DD39" s="55"/>
      <c r="DE39" s="56"/>
      <c r="DF39" s="611"/>
      <c r="DG39" s="611"/>
      <c r="DH39" s="56">
        <v>0</v>
      </c>
      <c r="DI39" s="55"/>
      <c r="DJ39" s="56"/>
      <c r="DK39" s="611"/>
      <c r="DL39" s="611"/>
      <c r="DM39" s="56">
        <v>0</v>
      </c>
      <c r="DN39" s="55"/>
      <c r="DO39" s="56"/>
      <c r="DP39" s="611"/>
      <c r="DQ39" s="611"/>
      <c r="DR39" s="56">
        <v>0</v>
      </c>
      <c r="DS39" s="55"/>
      <c r="DT39" s="56"/>
      <c r="DU39" s="611"/>
      <c r="DV39" s="611"/>
      <c r="DW39" s="56">
        <v>0</v>
      </c>
      <c r="DX39" s="55"/>
      <c r="DY39" s="56"/>
      <c r="DZ39" s="611"/>
      <c r="EA39" s="611"/>
      <c r="EB39" s="56">
        <v>0</v>
      </c>
      <c r="EC39" s="55"/>
      <c r="ED39" s="56"/>
      <c r="EE39" s="611"/>
      <c r="EF39" s="611"/>
      <c r="EG39" s="56">
        <v>0</v>
      </c>
      <c r="EH39" s="55"/>
      <c r="EI39" s="56"/>
      <c r="EJ39" s="611"/>
      <c r="EK39" s="611"/>
      <c r="EL39" s="56">
        <f t="shared" ref="EL39:EL40" si="8">SUM(CD39:DW39)</f>
        <v>0</v>
      </c>
      <c r="EM39" s="55"/>
      <c r="EN39" s="56"/>
      <c r="EO39" s="144"/>
    </row>
    <row r="40" spans="4:145" x14ac:dyDescent="0.3">
      <c r="D40" s="144" t="s">
        <v>352</v>
      </c>
      <c r="E40" s="494"/>
      <c r="F40" s="513"/>
      <c r="G40" s="117">
        <v>0</v>
      </c>
      <c r="H40" s="116"/>
      <c r="I40" s="56"/>
      <c r="J40" s="611"/>
      <c r="K40" s="620"/>
      <c r="L40" s="117">
        <v>0</v>
      </c>
      <c r="M40" s="116"/>
      <c r="N40" s="56"/>
      <c r="O40" s="611"/>
      <c r="P40" s="620"/>
      <c r="Q40" s="117">
        <v>0</v>
      </c>
      <c r="R40" s="116"/>
      <c r="S40" s="56"/>
      <c r="T40" s="611"/>
      <c r="U40" s="620"/>
      <c r="V40" s="117">
        <v>0</v>
      </c>
      <c r="W40" s="116"/>
      <c r="X40" s="56"/>
      <c r="Y40" s="611"/>
      <c r="Z40" s="620"/>
      <c r="AA40" s="117">
        <v>0</v>
      </c>
      <c r="AB40" s="116"/>
      <c r="AC40" s="56"/>
      <c r="AD40" s="611"/>
      <c r="AE40" s="620"/>
      <c r="AF40" s="117">
        <v>0</v>
      </c>
      <c r="AG40" s="116"/>
      <c r="AH40" s="56"/>
      <c r="AI40" s="611"/>
      <c r="AJ40" s="620"/>
      <c r="AK40" s="117">
        <v>0</v>
      </c>
      <c r="AL40" s="116"/>
      <c r="AM40" s="56"/>
      <c r="AN40" s="611"/>
      <c r="AO40" s="620"/>
      <c r="AP40" s="117">
        <v>0</v>
      </c>
      <c r="AQ40" s="116"/>
      <c r="AR40" s="56"/>
      <c r="AS40" s="611"/>
      <c r="AT40" s="620"/>
      <c r="AU40" s="117">
        <v>0</v>
      </c>
      <c r="AV40" s="116"/>
      <c r="AW40" s="56"/>
      <c r="AX40" s="611"/>
      <c r="AY40" s="620"/>
      <c r="AZ40" s="117">
        <v>0</v>
      </c>
      <c r="BA40" s="116"/>
      <c r="BB40" s="56"/>
      <c r="BC40" s="611"/>
      <c r="BD40" s="620"/>
      <c r="BE40" s="117">
        <v>0</v>
      </c>
      <c r="BF40" s="116"/>
      <c r="BG40" s="56"/>
      <c r="BH40" s="611"/>
      <c r="BI40" s="620"/>
      <c r="BJ40" s="117">
        <v>0</v>
      </c>
      <c r="BK40" s="116"/>
      <c r="BL40" s="56"/>
      <c r="BM40" s="611"/>
      <c r="BN40" s="620"/>
      <c r="BO40" s="117">
        <v>0</v>
      </c>
      <c r="BP40" s="116"/>
      <c r="BQ40" s="56"/>
      <c r="BR40" s="611"/>
      <c r="BS40" s="620"/>
      <c r="BT40" s="117">
        <f>SUM(L40:BO40)</f>
        <v>0</v>
      </c>
      <c r="BU40" s="116"/>
      <c r="BV40" s="56"/>
      <c r="BW40" s="611"/>
      <c r="BX40" s="620"/>
      <c r="BY40" s="117">
        <v>0</v>
      </c>
      <c r="BZ40" s="116"/>
      <c r="CA40" s="56"/>
      <c r="CB40" s="611"/>
      <c r="CC40" s="620"/>
      <c r="CD40" s="117">
        <v>0</v>
      </c>
      <c r="CE40" s="116"/>
      <c r="CF40" s="56"/>
      <c r="CG40" s="611"/>
      <c r="CH40" s="620"/>
      <c r="CI40" s="117">
        <v>0</v>
      </c>
      <c r="CJ40" s="116"/>
      <c r="CK40" s="56"/>
      <c r="CL40" s="611"/>
      <c r="CM40" s="620"/>
      <c r="CN40" s="117">
        <v>0</v>
      </c>
      <c r="CO40" s="116"/>
      <c r="CP40" s="56"/>
      <c r="CQ40" s="611"/>
      <c r="CR40" s="620"/>
      <c r="CS40" s="117">
        <v>0</v>
      </c>
      <c r="CT40" s="116"/>
      <c r="CU40" s="56"/>
      <c r="CV40" s="611"/>
      <c r="CW40" s="620"/>
      <c r="CX40" s="117">
        <v>0</v>
      </c>
      <c r="CY40" s="116"/>
      <c r="CZ40" s="56"/>
      <c r="DA40" s="611"/>
      <c r="DB40" s="620"/>
      <c r="DC40" s="117">
        <v>0</v>
      </c>
      <c r="DD40" s="116"/>
      <c r="DE40" s="56"/>
      <c r="DF40" s="611"/>
      <c r="DG40" s="620"/>
      <c r="DH40" s="117">
        <v>0</v>
      </c>
      <c r="DI40" s="116"/>
      <c r="DJ40" s="56"/>
      <c r="DK40" s="611"/>
      <c r="DL40" s="620"/>
      <c r="DM40" s="117">
        <v>0</v>
      </c>
      <c r="DN40" s="116"/>
      <c r="DO40" s="56"/>
      <c r="DP40" s="611"/>
      <c r="DQ40" s="620"/>
      <c r="DR40" s="117">
        <v>0</v>
      </c>
      <c r="DS40" s="116"/>
      <c r="DT40" s="56"/>
      <c r="DU40" s="611"/>
      <c r="DV40" s="620"/>
      <c r="DW40" s="117">
        <v>0</v>
      </c>
      <c r="DX40" s="116"/>
      <c r="DY40" s="56"/>
      <c r="DZ40" s="611"/>
      <c r="EA40" s="620"/>
      <c r="EB40" s="117">
        <v>0</v>
      </c>
      <c r="EC40" s="116"/>
      <c r="ED40" s="56"/>
      <c r="EE40" s="611"/>
      <c r="EF40" s="620"/>
      <c r="EG40" s="117">
        <v>0</v>
      </c>
      <c r="EH40" s="116"/>
      <c r="EI40" s="56"/>
      <c r="EJ40" s="611"/>
      <c r="EK40" s="620"/>
      <c r="EL40" s="117">
        <f t="shared" si="8"/>
        <v>0</v>
      </c>
      <c r="EM40" s="116"/>
      <c r="EN40" s="56"/>
      <c r="EO40" s="144"/>
    </row>
    <row r="41" spans="4:145" ht="12.75" customHeight="1" x14ac:dyDescent="0.3">
      <c r="D41" s="164"/>
      <c r="E41" s="662"/>
      <c r="F41" s="159"/>
      <c r="G41" s="56"/>
      <c r="H41" s="56"/>
      <c r="I41" s="56"/>
      <c r="J41" s="611"/>
      <c r="K41" s="56"/>
      <c r="L41" s="56"/>
      <c r="M41" s="56"/>
      <c r="N41" s="56"/>
      <c r="O41" s="611"/>
      <c r="P41" s="56"/>
      <c r="Q41" s="56"/>
      <c r="R41" s="56"/>
      <c r="S41" s="56"/>
      <c r="T41" s="611"/>
      <c r="U41" s="56"/>
      <c r="V41" s="56"/>
      <c r="W41" s="56"/>
      <c r="X41" s="56"/>
      <c r="Y41" s="611"/>
      <c r="Z41" s="56"/>
      <c r="AA41" s="56"/>
      <c r="AB41" s="56"/>
      <c r="AC41" s="56"/>
      <c r="AD41" s="611"/>
      <c r="AE41" s="56"/>
      <c r="AF41" s="56"/>
      <c r="AG41" s="56"/>
      <c r="AH41" s="56"/>
      <c r="AI41" s="611"/>
      <c r="AJ41" s="56"/>
      <c r="AK41" s="56"/>
      <c r="AL41" s="56"/>
      <c r="AM41" s="56"/>
      <c r="AN41" s="611"/>
      <c r="AO41" s="56"/>
      <c r="AP41" s="56"/>
      <c r="AQ41" s="56"/>
      <c r="AR41" s="56"/>
      <c r="AS41" s="611"/>
      <c r="AT41" s="56"/>
      <c r="AU41" s="56"/>
      <c r="AV41" s="56"/>
      <c r="AW41" s="56"/>
      <c r="AX41" s="611"/>
      <c r="AY41" s="56"/>
      <c r="AZ41" s="56"/>
      <c r="BA41" s="56"/>
      <c r="BB41" s="56"/>
      <c r="BC41" s="611"/>
      <c r="BD41" s="56"/>
      <c r="BE41" s="56"/>
      <c r="BF41" s="56"/>
      <c r="BG41" s="56"/>
      <c r="BH41" s="611"/>
      <c r="BI41" s="56"/>
      <c r="BJ41" s="56"/>
      <c r="BK41" s="56"/>
      <c r="BL41" s="56"/>
      <c r="BM41" s="611"/>
      <c r="BN41" s="56"/>
      <c r="BO41" s="56"/>
      <c r="BP41" s="56"/>
      <c r="BQ41" s="56"/>
      <c r="BR41" s="611"/>
      <c r="BS41" s="56"/>
      <c r="BT41" s="56"/>
      <c r="BU41" s="56"/>
      <c r="BV41" s="56"/>
      <c r="BW41" s="611"/>
      <c r="BX41" s="56"/>
      <c r="BY41" s="56"/>
      <c r="BZ41" s="56"/>
      <c r="CA41" s="56"/>
      <c r="CB41" s="611"/>
      <c r="CC41" s="56"/>
      <c r="CD41" s="56"/>
      <c r="CE41" s="56"/>
      <c r="CF41" s="56"/>
      <c r="CG41" s="611"/>
      <c r="CH41" s="56"/>
      <c r="CI41" s="56"/>
      <c r="CJ41" s="56"/>
      <c r="CK41" s="56"/>
      <c r="CL41" s="611"/>
      <c r="CM41" s="56"/>
      <c r="CN41" s="56"/>
      <c r="CO41" s="56"/>
      <c r="CP41" s="56"/>
      <c r="CQ41" s="611"/>
      <c r="CR41" s="56"/>
      <c r="CS41" s="56"/>
      <c r="CT41" s="56"/>
      <c r="CU41" s="56"/>
      <c r="CV41" s="611"/>
      <c r="CW41" s="56"/>
      <c r="CX41" s="56"/>
      <c r="CY41" s="56"/>
      <c r="CZ41" s="56"/>
      <c r="DA41" s="611"/>
      <c r="DB41" s="56"/>
      <c r="DC41" s="56"/>
      <c r="DD41" s="56"/>
      <c r="DE41" s="56"/>
      <c r="DF41" s="611"/>
      <c r="DG41" s="56"/>
      <c r="DH41" s="56"/>
      <c r="DI41" s="56"/>
      <c r="DJ41" s="56"/>
      <c r="DK41" s="611"/>
      <c r="DL41" s="56"/>
      <c r="DM41" s="56"/>
      <c r="DN41" s="56"/>
      <c r="DO41" s="56"/>
      <c r="DP41" s="611"/>
      <c r="DQ41" s="56"/>
      <c r="DR41" s="56"/>
      <c r="DS41" s="56"/>
      <c r="DT41" s="56"/>
      <c r="DU41" s="611"/>
      <c r="DV41" s="56"/>
      <c r="DW41" s="56"/>
      <c r="DX41" s="56"/>
      <c r="DY41" s="56"/>
      <c r="DZ41" s="611"/>
      <c r="EA41" s="56"/>
      <c r="EB41" s="56"/>
      <c r="EC41" s="56"/>
      <c r="ED41" s="56"/>
      <c r="EE41" s="611"/>
      <c r="EF41" s="56"/>
      <c r="EG41" s="56"/>
      <c r="EH41" s="56"/>
      <c r="EI41" s="56"/>
      <c r="EJ41" s="611"/>
      <c r="EK41" s="56"/>
      <c r="EL41" s="56"/>
      <c r="EM41" s="56"/>
      <c r="EN41" s="56"/>
      <c r="EO41" s="144"/>
    </row>
    <row r="42" spans="4:145" ht="12.75" customHeight="1" x14ac:dyDescent="0.3">
      <c r="D42" s="144" t="s">
        <v>427</v>
      </c>
      <c r="E42" s="494"/>
      <c r="G42" s="56">
        <v>0</v>
      </c>
      <c r="H42" s="56"/>
      <c r="I42" s="56"/>
      <c r="J42" s="611"/>
      <c r="K42" s="56"/>
      <c r="L42" s="56">
        <f>L43+L45</f>
        <v>21066080</v>
      </c>
      <c r="M42" s="56"/>
      <c r="N42" s="56"/>
      <c r="O42" s="611"/>
      <c r="P42" s="56"/>
      <c r="Q42" s="56">
        <f>SUM(Q43:Q45)</f>
        <v>0</v>
      </c>
      <c r="R42" s="56"/>
      <c r="S42" s="56"/>
      <c r="T42" s="611"/>
      <c r="U42" s="56"/>
      <c r="V42" s="56">
        <f>V43+V45</f>
        <v>0</v>
      </c>
      <c r="W42" s="56"/>
      <c r="X42" s="56"/>
      <c r="Y42" s="611"/>
      <c r="Z42" s="56"/>
      <c r="AA42" s="56">
        <f>AA43+AA45</f>
        <v>0</v>
      </c>
      <c r="AB42" s="56"/>
      <c r="AC42" s="56"/>
      <c r="AD42" s="611"/>
      <c r="AE42" s="56"/>
      <c r="AF42" s="56">
        <f>AF43+AF45</f>
        <v>0</v>
      </c>
      <c r="AG42" s="56"/>
      <c r="AH42" s="56"/>
      <c r="AI42" s="611"/>
      <c r="AJ42" s="56"/>
      <c r="AK42" s="56">
        <f>AK43+AK45</f>
        <v>0</v>
      </c>
      <c r="AL42" s="56"/>
      <c r="AM42" s="56"/>
      <c r="AN42" s="611"/>
      <c r="AO42" s="56"/>
      <c r="AP42" s="56">
        <f>AP43+AP45</f>
        <v>0</v>
      </c>
      <c r="AQ42" s="56"/>
      <c r="AR42" s="56"/>
      <c r="AS42" s="611"/>
      <c r="AT42" s="56"/>
      <c r="AU42" s="56">
        <f>AU43+AU45</f>
        <v>0</v>
      </c>
      <c r="AV42" s="56"/>
      <c r="AW42" s="56"/>
      <c r="AX42" s="611"/>
      <c r="AY42" s="56"/>
      <c r="AZ42" s="56">
        <f>AZ43+AZ45</f>
        <v>0</v>
      </c>
      <c r="BA42" s="56"/>
      <c r="BB42" s="56"/>
      <c r="BC42" s="611"/>
      <c r="BD42" s="56"/>
      <c r="BE42" s="56">
        <f>BE43+BE45</f>
        <v>0</v>
      </c>
      <c r="BF42" s="56"/>
      <c r="BG42" s="56"/>
      <c r="BH42" s="611"/>
      <c r="BI42" s="56"/>
      <c r="BJ42" s="56">
        <f>BJ43+BJ45</f>
        <v>0</v>
      </c>
      <c r="BK42" s="56"/>
      <c r="BL42" s="56"/>
      <c r="BM42" s="611"/>
      <c r="BN42" s="56"/>
      <c r="BO42" s="56">
        <f>BO43+BO45</f>
        <v>0</v>
      </c>
      <c r="BP42" s="56"/>
      <c r="BQ42" s="56"/>
      <c r="BR42" s="611"/>
      <c r="BS42" s="56"/>
      <c r="BT42" s="56">
        <f>SUM(BT43:BT45)</f>
        <v>21066080</v>
      </c>
      <c r="BU42" s="56"/>
      <c r="BV42" s="56"/>
      <c r="BW42" s="611"/>
      <c r="BX42" s="56"/>
      <c r="BY42" s="56">
        <f>SUM(BY43:BY45)</f>
        <v>0</v>
      </c>
      <c r="BZ42" s="56"/>
      <c r="CA42" s="56"/>
      <c r="CB42" s="611"/>
      <c r="CC42" s="56"/>
      <c r="CD42" s="56">
        <f>CD43+CD45</f>
        <v>0</v>
      </c>
      <c r="CE42" s="56"/>
      <c r="CF42" s="56"/>
      <c r="CG42" s="611"/>
      <c r="CH42" s="56"/>
      <c r="CI42" s="56">
        <f>SUM(CI43:CI45)</f>
        <v>0</v>
      </c>
      <c r="CJ42" s="56"/>
      <c r="CK42" s="56"/>
      <c r="CL42" s="611"/>
      <c r="CM42" s="56"/>
      <c r="CN42" s="56">
        <f>CN43+CN45</f>
        <v>0</v>
      </c>
      <c r="CO42" s="56"/>
      <c r="CP42" s="56"/>
      <c r="CQ42" s="611"/>
      <c r="CR42" s="56"/>
      <c r="CS42" s="56">
        <f>CS43+CS45</f>
        <v>0</v>
      </c>
      <c r="CT42" s="56"/>
      <c r="CU42" s="56"/>
      <c r="CV42" s="611"/>
      <c r="CW42" s="56"/>
      <c r="CX42" s="56">
        <f>CX43+CX45</f>
        <v>0</v>
      </c>
      <c r="CY42" s="56"/>
      <c r="CZ42" s="56"/>
      <c r="DA42" s="611"/>
      <c r="DB42" s="56"/>
      <c r="DC42" s="56">
        <f>DC43+DC45</f>
        <v>0</v>
      </c>
      <c r="DD42" s="56"/>
      <c r="DE42" s="56"/>
      <c r="DF42" s="611"/>
      <c r="DG42" s="56"/>
      <c r="DH42" s="56">
        <f>DH43+DH45</f>
        <v>0</v>
      </c>
      <c r="DI42" s="56"/>
      <c r="DJ42" s="56"/>
      <c r="DK42" s="611"/>
      <c r="DL42" s="56"/>
      <c r="DM42" s="56">
        <f>DM43+DM45</f>
        <v>0</v>
      </c>
      <c r="DN42" s="56"/>
      <c r="DO42" s="56"/>
      <c r="DP42" s="611"/>
      <c r="DQ42" s="56"/>
      <c r="DR42" s="56">
        <f>DR43+DR45</f>
        <v>0</v>
      </c>
      <c r="DS42" s="56"/>
      <c r="DT42" s="56"/>
      <c r="DU42" s="611"/>
      <c r="DV42" s="56"/>
      <c r="DW42" s="56">
        <f>DW43+DW45</f>
        <v>0</v>
      </c>
      <c r="DX42" s="56"/>
      <c r="DY42" s="56"/>
      <c r="DZ42" s="611"/>
      <c r="EA42" s="56"/>
      <c r="EB42" s="56">
        <f>EB43+EB45</f>
        <v>0</v>
      </c>
      <c r="EC42" s="56"/>
      <c r="ED42" s="56"/>
      <c r="EE42" s="611"/>
      <c r="EF42" s="56"/>
      <c r="EG42" s="56">
        <f>EG43+EG45</f>
        <v>0</v>
      </c>
      <c r="EH42" s="56"/>
      <c r="EI42" s="56"/>
      <c r="EJ42" s="611"/>
      <c r="EK42" s="56"/>
      <c r="EL42" s="56">
        <f>SUM(EL43:EL45)</f>
        <v>0</v>
      </c>
      <c r="EM42" s="56"/>
      <c r="EN42" s="56"/>
      <c r="EO42" s="144"/>
    </row>
    <row r="43" spans="4:145" ht="12.75" customHeight="1" x14ac:dyDescent="0.3">
      <c r="D43" s="144" t="s">
        <v>335</v>
      </c>
      <c r="E43" s="494"/>
      <c r="F43" s="500"/>
      <c r="G43" s="609">
        <v>0</v>
      </c>
      <c r="H43" s="610"/>
      <c r="I43" s="56"/>
      <c r="J43" s="611"/>
      <c r="K43" s="612"/>
      <c r="L43" s="609">
        <v>21066080</v>
      </c>
      <c r="M43" s="610"/>
      <c r="N43" s="56"/>
      <c r="O43" s="611"/>
      <c r="P43" s="612"/>
      <c r="Q43" s="609">
        <v>0</v>
      </c>
      <c r="R43" s="610"/>
      <c r="S43" s="56"/>
      <c r="T43" s="611"/>
      <c r="U43" s="612"/>
      <c r="V43" s="609">
        <v>0</v>
      </c>
      <c r="W43" s="610"/>
      <c r="X43" s="56"/>
      <c r="Y43" s="611"/>
      <c r="Z43" s="612"/>
      <c r="AA43" s="609">
        <v>0</v>
      </c>
      <c r="AB43" s="610"/>
      <c r="AC43" s="56"/>
      <c r="AD43" s="611"/>
      <c r="AE43" s="612"/>
      <c r="AF43" s="609">
        <v>0</v>
      </c>
      <c r="AG43" s="610"/>
      <c r="AH43" s="56"/>
      <c r="AI43" s="611"/>
      <c r="AJ43" s="612"/>
      <c r="AK43" s="609">
        <v>0</v>
      </c>
      <c r="AL43" s="610"/>
      <c r="AM43" s="56"/>
      <c r="AN43" s="611"/>
      <c r="AO43" s="612"/>
      <c r="AP43" s="609">
        <v>0</v>
      </c>
      <c r="AQ43" s="610"/>
      <c r="AR43" s="56"/>
      <c r="AS43" s="611"/>
      <c r="AT43" s="612"/>
      <c r="AU43" s="609">
        <v>0</v>
      </c>
      <c r="AV43" s="610"/>
      <c r="AW43" s="56"/>
      <c r="AX43" s="611"/>
      <c r="AY43" s="612"/>
      <c r="AZ43" s="609">
        <v>0</v>
      </c>
      <c r="BA43" s="610"/>
      <c r="BB43" s="56"/>
      <c r="BC43" s="611"/>
      <c r="BD43" s="612"/>
      <c r="BE43" s="609">
        <v>0</v>
      </c>
      <c r="BF43" s="610"/>
      <c r="BG43" s="56"/>
      <c r="BH43" s="611"/>
      <c r="BI43" s="612"/>
      <c r="BJ43" s="609">
        <v>0</v>
      </c>
      <c r="BK43" s="610"/>
      <c r="BL43" s="56"/>
      <c r="BM43" s="611"/>
      <c r="BN43" s="612"/>
      <c r="BO43" s="609">
        <v>0</v>
      </c>
      <c r="BP43" s="610"/>
      <c r="BQ43" s="56"/>
      <c r="BR43" s="611"/>
      <c r="BS43" s="612"/>
      <c r="BT43" s="609">
        <f>SUM(L43:BO43)</f>
        <v>21066080</v>
      </c>
      <c r="BU43" s="610"/>
      <c r="BV43" s="56"/>
      <c r="BW43" s="611"/>
      <c r="BX43" s="612"/>
      <c r="BY43" s="609">
        <v>0</v>
      </c>
      <c r="BZ43" s="610"/>
      <c r="CA43" s="56"/>
      <c r="CB43" s="611"/>
      <c r="CC43" s="612"/>
      <c r="CD43" s="609">
        <v>0</v>
      </c>
      <c r="CE43" s="610"/>
      <c r="CF43" s="56"/>
      <c r="CG43" s="611"/>
      <c r="CH43" s="612"/>
      <c r="CI43" s="609">
        <v>0</v>
      </c>
      <c r="CJ43" s="610"/>
      <c r="CK43" s="56"/>
      <c r="CL43" s="611"/>
      <c r="CM43" s="612"/>
      <c r="CN43" s="609">
        <v>0</v>
      </c>
      <c r="CO43" s="610"/>
      <c r="CP43" s="56"/>
      <c r="CQ43" s="611"/>
      <c r="CR43" s="612"/>
      <c r="CS43" s="609">
        <v>0</v>
      </c>
      <c r="CT43" s="610"/>
      <c r="CU43" s="56"/>
      <c r="CV43" s="611"/>
      <c r="CW43" s="612"/>
      <c r="CX43" s="609">
        <v>0</v>
      </c>
      <c r="CY43" s="610"/>
      <c r="CZ43" s="56"/>
      <c r="DA43" s="611"/>
      <c r="DB43" s="612"/>
      <c r="DC43" s="609">
        <v>0</v>
      </c>
      <c r="DD43" s="610"/>
      <c r="DE43" s="56"/>
      <c r="DF43" s="611"/>
      <c r="DG43" s="612"/>
      <c r="DH43" s="609">
        <v>0</v>
      </c>
      <c r="DI43" s="610"/>
      <c r="DJ43" s="56"/>
      <c r="DK43" s="611"/>
      <c r="DL43" s="612"/>
      <c r="DM43" s="609">
        <v>0</v>
      </c>
      <c r="DN43" s="610"/>
      <c r="DO43" s="56"/>
      <c r="DP43" s="611"/>
      <c r="DQ43" s="612"/>
      <c r="DR43" s="609">
        <v>0</v>
      </c>
      <c r="DS43" s="610"/>
      <c r="DT43" s="56"/>
      <c r="DU43" s="611"/>
      <c r="DV43" s="612"/>
      <c r="DW43" s="609">
        <v>0</v>
      </c>
      <c r="DX43" s="610"/>
      <c r="DY43" s="56"/>
      <c r="DZ43" s="611"/>
      <c r="EA43" s="612"/>
      <c r="EB43" s="609">
        <v>0</v>
      </c>
      <c r="EC43" s="610"/>
      <c r="ED43" s="56"/>
      <c r="EE43" s="611"/>
      <c r="EF43" s="612"/>
      <c r="EG43" s="609">
        <v>0</v>
      </c>
      <c r="EH43" s="610"/>
      <c r="EI43" s="56"/>
      <c r="EJ43" s="611"/>
      <c r="EK43" s="612"/>
      <c r="EL43" s="609">
        <f>SUM(CD43:DW43)</f>
        <v>0</v>
      </c>
      <c r="EM43" s="610"/>
      <c r="EN43" s="56"/>
      <c r="EO43" s="144"/>
    </row>
    <row r="44" spans="4:145" ht="12.75" customHeight="1" x14ac:dyDescent="0.3">
      <c r="D44" s="144" t="s">
        <v>338</v>
      </c>
      <c r="E44" s="494"/>
      <c r="F44" s="494"/>
      <c r="G44" s="56">
        <v>0</v>
      </c>
      <c r="H44" s="55"/>
      <c r="I44" s="56"/>
      <c r="J44" s="611"/>
      <c r="K44" s="611"/>
      <c r="L44" s="56">
        <v>0</v>
      </c>
      <c r="M44" s="55"/>
      <c r="N44" s="56"/>
      <c r="O44" s="611"/>
      <c r="P44" s="611"/>
      <c r="Q44" s="56">
        <v>0</v>
      </c>
      <c r="R44" s="55"/>
      <c r="S44" s="56"/>
      <c r="T44" s="611"/>
      <c r="U44" s="611"/>
      <c r="V44" s="56">
        <v>0</v>
      </c>
      <c r="W44" s="55"/>
      <c r="X44" s="56"/>
      <c r="Y44" s="611"/>
      <c r="Z44" s="611"/>
      <c r="AA44" s="56">
        <v>0</v>
      </c>
      <c r="AB44" s="55"/>
      <c r="AC44" s="56"/>
      <c r="AD44" s="611"/>
      <c r="AE44" s="611"/>
      <c r="AF44" s="56">
        <v>0</v>
      </c>
      <c r="AG44" s="55"/>
      <c r="AH44" s="56"/>
      <c r="AI44" s="611"/>
      <c r="AJ44" s="611"/>
      <c r="AK44" s="56">
        <v>0</v>
      </c>
      <c r="AL44" s="55"/>
      <c r="AM44" s="56"/>
      <c r="AN44" s="611"/>
      <c r="AO44" s="611"/>
      <c r="AP44" s="56">
        <v>0</v>
      </c>
      <c r="AQ44" s="55"/>
      <c r="AR44" s="56"/>
      <c r="AS44" s="611"/>
      <c r="AT44" s="611"/>
      <c r="AU44" s="56">
        <v>0</v>
      </c>
      <c r="AV44" s="55"/>
      <c r="AW44" s="56"/>
      <c r="AX44" s="611"/>
      <c r="AY44" s="611"/>
      <c r="AZ44" s="56">
        <v>0</v>
      </c>
      <c r="BA44" s="55"/>
      <c r="BB44" s="56"/>
      <c r="BC44" s="611"/>
      <c r="BD44" s="611"/>
      <c r="BE44" s="56">
        <v>0</v>
      </c>
      <c r="BF44" s="55"/>
      <c r="BG44" s="56"/>
      <c r="BH44" s="611"/>
      <c r="BI44" s="611"/>
      <c r="BJ44" s="56">
        <v>0</v>
      </c>
      <c r="BK44" s="55"/>
      <c r="BL44" s="56"/>
      <c r="BM44" s="611"/>
      <c r="BN44" s="611"/>
      <c r="BO44" s="56">
        <v>0</v>
      </c>
      <c r="BP44" s="55"/>
      <c r="BQ44" s="56"/>
      <c r="BR44" s="611"/>
      <c r="BS44" s="611"/>
      <c r="BT44" s="56">
        <f>SUM(L44:BO44)</f>
        <v>0</v>
      </c>
      <c r="BU44" s="55"/>
      <c r="BV44" s="56"/>
      <c r="BW44" s="611"/>
      <c r="BX44" s="611"/>
      <c r="BY44" s="56">
        <v>0</v>
      </c>
      <c r="BZ44" s="55"/>
      <c r="CA44" s="56"/>
      <c r="CB44" s="611"/>
      <c r="CC44" s="611"/>
      <c r="CD44" s="56">
        <v>0</v>
      </c>
      <c r="CE44" s="55"/>
      <c r="CF44" s="56"/>
      <c r="CG44" s="611"/>
      <c r="CH44" s="611"/>
      <c r="CI44" s="56">
        <v>0</v>
      </c>
      <c r="CJ44" s="55"/>
      <c r="CK44" s="56"/>
      <c r="CL44" s="611"/>
      <c r="CM44" s="611"/>
      <c r="CN44" s="56">
        <v>0</v>
      </c>
      <c r="CO44" s="55"/>
      <c r="CP44" s="56"/>
      <c r="CQ44" s="611"/>
      <c r="CR44" s="611"/>
      <c r="CS44" s="56">
        <v>0</v>
      </c>
      <c r="CT44" s="55"/>
      <c r="CU44" s="56"/>
      <c r="CV44" s="611"/>
      <c r="CW44" s="611"/>
      <c r="CX44" s="56">
        <v>0</v>
      </c>
      <c r="CY44" s="55"/>
      <c r="CZ44" s="56"/>
      <c r="DA44" s="611"/>
      <c r="DB44" s="611"/>
      <c r="DC44" s="56">
        <v>0</v>
      </c>
      <c r="DD44" s="55"/>
      <c r="DE44" s="56"/>
      <c r="DF44" s="611"/>
      <c r="DG44" s="611"/>
      <c r="DH44" s="56">
        <v>0</v>
      </c>
      <c r="DI44" s="55"/>
      <c r="DJ44" s="56"/>
      <c r="DK44" s="611"/>
      <c r="DL44" s="611"/>
      <c r="DM44" s="56">
        <v>0</v>
      </c>
      <c r="DN44" s="55"/>
      <c r="DO44" s="56"/>
      <c r="DP44" s="611"/>
      <c r="DQ44" s="611"/>
      <c r="DR44" s="56">
        <v>0</v>
      </c>
      <c r="DS44" s="55"/>
      <c r="DT44" s="56"/>
      <c r="DU44" s="611"/>
      <c r="DV44" s="611"/>
      <c r="DW44" s="56">
        <v>0</v>
      </c>
      <c r="DX44" s="55"/>
      <c r="DY44" s="56"/>
      <c r="DZ44" s="611"/>
      <c r="EA44" s="611"/>
      <c r="EB44" s="56">
        <v>0</v>
      </c>
      <c r="EC44" s="55"/>
      <c r="ED44" s="56"/>
      <c r="EE44" s="611"/>
      <c r="EF44" s="611"/>
      <c r="EG44" s="56">
        <v>0</v>
      </c>
      <c r="EH44" s="55"/>
      <c r="EI44" s="56"/>
      <c r="EJ44" s="611"/>
      <c r="EK44" s="611"/>
      <c r="EL44" s="56">
        <f t="shared" ref="EL44:EL45" si="9">SUM(CD44:DW44)</f>
        <v>0</v>
      </c>
      <c r="EM44" s="55"/>
      <c r="EN44" s="56"/>
      <c r="EO44" s="144"/>
    </row>
    <row r="45" spans="4:145" ht="12.75" customHeight="1" x14ac:dyDescent="0.3">
      <c r="D45" s="144" t="s">
        <v>352</v>
      </c>
      <c r="E45" s="494"/>
      <c r="F45" s="513"/>
      <c r="G45" s="117">
        <v>0</v>
      </c>
      <c r="H45" s="116"/>
      <c r="I45" s="56"/>
      <c r="J45" s="611"/>
      <c r="K45" s="620"/>
      <c r="L45" s="117">
        <v>0</v>
      </c>
      <c r="M45" s="116"/>
      <c r="N45" s="56"/>
      <c r="O45" s="611"/>
      <c r="P45" s="620"/>
      <c r="Q45" s="117">
        <v>0</v>
      </c>
      <c r="R45" s="116"/>
      <c r="S45" s="56"/>
      <c r="T45" s="611"/>
      <c r="U45" s="620"/>
      <c r="V45" s="117">
        <v>0</v>
      </c>
      <c r="W45" s="116"/>
      <c r="X45" s="56"/>
      <c r="Y45" s="611"/>
      <c r="Z45" s="620"/>
      <c r="AA45" s="117">
        <v>0</v>
      </c>
      <c r="AB45" s="116"/>
      <c r="AC45" s="56"/>
      <c r="AD45" s="611"/>
      <c r="AE45" s="620"/>
      <c r="AF45" s="117">
        <v>0</v>
      </c>
      <c r="AG45" s="116"/>
      <c r="AH45" s="56"/>
      <c r="AI45" s="611"/>
      <c r="AJ45" s="620"/>
      <c r="AK45" s="117">
        <v>0</v>
      </c>
      <c r="AL45" s="116"/>
      <c r="AM45" s="56"/>
      <c r="AN45" s="611"/>
      <c r="AO45" s="620"/>
      <c r="AP45" s="117">
        <v>0</v>
      </c>
      <c r="AQ45" s="116"/>
      <c r="AR45" s="56"/>
      <c r="AS45" s="611"/>
      <c r="AT45" s="620"/>
      <c r="AU45" s="117">
        <v>0</v>
      </c>
      <c r="AV45" s="116"/>
      <c r="AW45" s="56"/>
      <c r="AX45" s="611"/>
      <c r="AY45" s="620"/>
      <c r="AZ45" s="117">
        <v>0</v>
      </c>
      <c r="BA45" s="116"/>
      <c r="BB45" s="56"/>
      <c r="BC45" s="611"/>
      <c r="BD45" s="620"/>
      <c r="BE45" s="117">
        <v>0</v>
      </c>
      <c r="BF45" s="116"/>
      <c r="BG45" s="56"/>
      <c r="BH45" s="611"/>
      <c r="BI45" s="620"/>
      <c r="BJ45" s="117">
        <v>0</v>
      </c>
      <c r="BK45" s="116"/>
      <c r="BL45" s="56"/>
      <c r="BM45" s="611"/>
      <c r="BN45" s="620"/>
      <c r="BO45" s="117">
        <v>0</v>
      </c>
      <c r="BP45" s="116"/>
      <c r="BQ45" s="56"/>
      <c r="BR45" s="611"/>
      <c r="BS45" s="620"/>
      <c r="BT45" s="117">
        <f>SUM(L45:BO45)</f>
        <v>0</v>
      </c>
      <c r="BU45" s="116"/>
      <c r="BV45" s="56"/>
      <c r="BW45" s="611"/>
      <c r="BX45" s="620"/>
      <c r="BY45" s="117">
        <v>0</v>
      </c>
      <c r="BZ45" s="116"/>
      <c r="CA45" s="56"/>
      <c r="CB45" s="611"/>
      <c r="CC45" s="620"/>
      <c r="CD45" s="117">
        <v>0</v>
      </c>
      <c r="CE45" s="116"/>
      <c r="CF45" s="56"/>
      <c r="CG45" s="611"/>
      <c r="CH45" s="620"/>
      <c r="CI45" s="117">
        <v>0</v>
      </c>
      <c r="CJ45" s="116"/>
      <c r="CK45" s="56"/>
      <c r="CL45" s="611"/>
      <c r="CM45" s="620"/>
      <c r="CN45" s="117">
        <v>0</v>
      </c>
      <c r="CO45" s="116"/>
      <c r="CP45" s="56"/>
      <c r="CQ45" s="611"/>
      <c r="CR45" s="620"/>
      <c r="CS45" s="117">
        <v>0</v>
      </c>
      <c r="CT45" s="116"/>
      <c r="CU45" s="56"/>
      <c r="CV45" s="611"/>
      <c r="CW45" s="620"/>
      <c r="CX45" s="117">
        <v>0</v>
      </c>
      <c r="CY45" s="116"/>
      <c r="CZ45" s="56"/>
      <c r="DA45" s="611"/>
      <c r="DB45" s="620"/>
      <c r="DC45" s="117">
        <v>0</v>
      </c>
      <c r="DD45" s="116"/>
      <c r="DE45" s="56"/>
      <c r="DF45" s="611"/>
      <c r="DG45" s="620"/>
      <c r="DH45" s="117">
        <v>0</v>
      </c>
      <c r="DI45" s="116"/>
      <c r="DJ45" s="56"/>
      <c r="DK45" s="611"/>
      <c r="DL45" s="620"/>
      <c r="DM45" s="117">
        <v>0</v>
      </c>
      <c r="DN45" s="116"/>
      <c r="DO45" s="56"/>
      <c r="DP45" s="611"/>
      <c r="DQ45" s="620"/>
      <c r="DR45" s="117">
        <v>0</v>
      </c>
      <c r="DS45" s="116"/>
      <c r="DT45" s="56"/>
      <c r="DU45" s="611"/>
      <c r="DV45" s="620"/>
      <c r="DW45" s="117">
        <v>0</v>
      </c>
      <c r="DX45" s="116"/>
      <c r="DY45" s="56"/>
      <c r="DZ45" s="611"/>
      <c r="EA45" s="620"/>
      <c r="EB45" s="117">
        <v>0</v>
      </c>
      <c r="EC45" s="116"/>
      <c r="ED45" s="56"/>
      <c r="EE45" s="611"/>
      <c r="EF45" s="620"/>
      <c r="EG45" s="117">
        <v>0</v>
      </c>
      <c r="EH45" s="116"/>
      <c r="EI45" s="56"/>
      <c r="EJ45" s="611"/>
      <c r="EK45" s="620"/>
      <c r="EL45" s="117">
        <f t="shared" si="9"/>
        <v>0</v>
      </c>
      <c r="EM45" s="116"/>
      <c r="EN45" s="56"/>
      <c r="EO45" s="144"/>
    </row>
    <row r="46" spans="4:145" ht="12.75" customHeight="1" x14ac:dyDescent="0.3">
      <c r="D46" s="164"/>
      <c r="E46" s="662"/>
      <c r="F46" s="159"/>
      <c r="G46" s="56"/>
      <c r="H46" s="56"/>
      <c r="I46" s="56"/>
      <c r="J46" s="611"/>
      <c r="K46" s="56"/>
      <c r="L46" s="56"/>
      <c r="M46" s="56"/>
      <c r="N46" s="56"/>
      <c r="O46" s="611"/>
      <c r="P46" s="56"/>
      <c r="Q46" s="56"/>
      <c r="R46" s="56"/>
      <c r="S46" s="56"/>
      <c r="T46" s="611"/>
      <c r="U46" s="56"/>
      <c r="V46" s="56"/>
      <c r="W46" s="56"/>
      <c r="X46" s="56"/>
      <c r="Y46" s="611"/>
      <c r="Z46" s="56"/>
      <c r="AA46" s="56"/>
      <c r="AB46" s="56"/>
      <c r="AC46" s="56"/>
      <c r="AD46" s="611"/>
      <c r="AE46" s="56"/>
      <c r="AF46" s="56"/>
      <c r="AG46" s="56"/>
      <c r="AH46" s="56"/>
      <c r="AI46" s="611"/>
      <c r="AJ46" s="56"/>
      <c r="AK46" s="56"/>
      <c r="AL46" s="56"/>
      <c r="AM46" s="56"/>
      <c r="AN46" s="611"/>
      <c r="AO46" s="56"/>
      <c r="AP46" s="56"/>
      <c r="AQ46" s="56"/>
      <c r="AR46" s="56"/>
      <c r="AS46" s="611"/>
      <c r="AT46" s="56"/>
      <c r="AU46" s="56"/>
      <c r="AV46" s="56"/>
      <c r="AW46" s="56"/>
      <c r="AX46" s="611"/>
      <c r="AY46" s="56"/>
      <c r="AZ46" s="56"/>
      <c r="BA46" s="56"/>
      <c r="BB46" s="56"/>
      <c r="BC46" s="611"/>
      <c r="BD46" s="56"/>
      <c r="BE46" s="56"/>
      <c r="BF46" s="56"/>
      <c r="BG46" s="56"/>
      <c r="BH46" s="611"/>
      <c r="BI46" s="56"/>
      <c r="BJ46" s="56"/>
      <c r="BK46" s="56"/>
      <c r="BL46" s="56"/>
      <c r="BM46" s="611"/>
      <c r="BN46" s="56"/>
      <c r="BO46" s="56"/>
      <c r="BP46" s="56"/>
      <c r="BQ46" s="56"/>
      <c r="BR46" s="611"/>
      <c r="BS46" s="56"/>
      <c r="BT46" s="56"/>
      <c r="BU46" s="56"/>
      <c r="BV46" s="56"/>
      <c r="BW46" s="611"/>
      <c r="BX46" s="56"/>
      <c r="BY46" s="56"/>
      <c r="BZ46" s="56"/>
      <c r="CA46" s="56"/>
      <c r="CB46" s="611"/>
      <c r="CC46" s="56"/>
      <c r="CD46" s="56"/>
      <c r="CE46" s="56"/>
      <c r="CF46" s="56"/>
      <c r="CG46" s="611"/>
      <c r="CH46" s="56"/>
      <c r="CI46" s="56"/>
      <c r="CJ46" s="56"/>
      <c r="CK46" s="56"/>
      <c r="CL46" s="611"/>
      <c r="CM46" s="56"/>
      <c r="CN46" s="56"/>
      <c r="CO46" s="56"/>
      <c r="CP46" s="56"/>
      <c r="CQ46" s="611"/>
      <c r="CR46" s="56"/>
      <c r="CS46" s="56"/>
      <c r="CT46" s="56"/>
      <c r="CU46" s="56"/>
      <c r="CV46" s="611"/>
      <c r="CW46" s="56"/>
      <c r="CX46" s="56"/>
      <c r="CY46" s="56"/>
      <c r="CZ46" s="56"/>
      <c r="DA46" s="611"/>
      <c r="DB46" s="56"/>
      <c r="DC46" s="56"/>
      <c r="DD46" s="56"/>
      <c r="DE46" s="56"/>
      <c r="DF46" s="611"/>
      <c r="DG46" s="56"/>
      <c r="DH46" s="56"/>
      <c r="DI46" s="56"/>
      <c r="DJ46" s="56"/>
      <c r="DK46" s="611"/>
      <c r="DL46" s="56"/>
      <c r="DM46" s="56"/>
      <c r="DN46" s="56"/>
      <c r="DO46" s="56"/>
      <c r="DP46" s="611"/>
      <c r="DQ46" s="56"/>
      <c r="DR46" s="56"/>
      <c r="DS46" s="56"/>
      <c r="DT46" s="56"/>
      <c r="DU46" s="611"/>
      <c r="DV46" s="56"/>
      <c r="DW46" s="56"/>
      <c r="DX46" s="56"/>
      <c r="DY46" s="56"/>
      <c r="DZ46" s="611"/>
      <c r="EA46" s="56"/>
      <c r="EB46" s="56"/>
      <c r="EC46" s="56"/>
      <c r="ED46" s="56"/>
      <c r="EE46" s="611"/>
      <c r="EF46" s="56"/>
      <c r="EG46" s="56"/>
      <c r="EH46" s="56"/>
      <c r="EI46" s="56"/>
      <c r="EJ46" s="611"/>
      <c r="EK46" s="56"/>
      <c r="EL46" s="56"/>
      <c r="EM46" s="56"/>
      <c r="EN46" s="56"/>
      <c r="EO46" s="144"/>
    </row>
    <row r="47" spans="4:145" ht="12.75" customHeight="1" x14ac:dyDescent="0.3">
      <c r="D47" s="144" t="s">
        <v>428</v>
      </c>
      <c r="E47" s="494"/>
      <c r="G47" s="56">
        <v>0</v>
      </c>
      <c r="H47" s="56"/>
      <c r="I47" s="56"/>
      <c r="J47" s="611"/>
      <c r="K47" s="56"/>
      <c r="L47" s="56">
        <f>L48+L50</f>
        <v>24075520</v>
      </c>
      <c r="M47" s="56"/>
      <c r="N47" s="56"/>
      <c r="O47" s="611"/>
      <c r="P47" s="56"/>
      <c r="Q47" s="56">
        <f>Q48+Q50</f>
        <v>0</v>
      </c>
      <c r="R47" s="56"/>
      <c r="S47" s="56"/>
      <c r="T47" s="611"/>
      <c r="U47" s="56"/>
      <c r="V47" s="56">
        <f>V48+V50</f>
        <v>0</v>
      </c>
      <c r="W47" s="56"/>
      <c r="X47" s="56"/>
      <c r="Y47" s="611"/>
      <c r="Z47" s="56"/>
      <c r="AA47" s="56">
        <f>AA48+AA50</f>
        <v>0</v>
      </c>
      <c r="AB47" s="56"/>
      <c r="AC47" s="56"/>
      <c r="AD47" s="611"/>
      <c r="AE47" s="56"/>
      <c r="AF47" s="56">
        <f>AF48+AF50</f>
        <v>0</v>
      </c>
      <c r="AG47" s="56"/>
      <c r="AH47" s="56"/>
      <c r="AI47" s="611"/>
      <c r="AJ47" s="56"/>
      <c r="AK47" s="56">
        <f>AK48+AK50</f>
        <v>0</v>
      </c>
      <c r="AL47" s="56"/>
      <c r="AM47" s="56"/>
      <c r="AN47" s="611"/>
      <c r="AO47" s="56"/>
      <c r="AP47" s="56">
        <f>AP48+AP50</f>
        <v>0</v>
      </c>
      <c r="AQ47" s="56"/>
      <c r="AR47" s="56"/>
      <c r="AS47" s="611"/>
      <c r="AT47" s="56"/>
      <c r="AU47" s="56">
        <f>AU48+AU50</f>
        <v>0</v>
      </c>
      <c r="AV47" s="56"/>
      <c r="AW47" s="56"/>
      <c r="AX47" s="611"/>
      <c r="AY47" s="56"/>
      <c r="AZ47" s="56">
        <f>AZ48+AZ50</f>
        <v>0</v>
      </c>
      <c r="BA47" s="56"/>
      <c r="BB47" s="56"/>
      <c r="BC47" s="611"/>
      <c r="BD47" s="56"/>
      <c r="BE47" s="56">
        <f>BE48+BE50</f>
        <v>0</v>
      </c>
      <c r="BF47" s="56"/>
      <c r="BG47" s="56"/>
      <c r="BH47" s="611"/>
      <c r="BI47" s="56"/>
      <c r="BJ47" s="56">
        <f>BJ48+BJ50</f>
        <v>0</v>
      </c>
      <c r="BK47" s="56"/>
      <c r="BL47" s="56"/>
      <c r="BM47" s="611"/>
      <c r="BN47" s="56"/>
      <c r="BO47" s="56">
        <f>BO48+BO50</f>
        <v>0</v>
      </c>
      <c r="BP47" s="56"/>
      <c r="BQ47" s="56"/>
      <c r="BR47" s="611"/>
      <c r="BS47" s="56"/>
      <c r="BT47" s="56">
        <f>SUM(BT48:BT50)</f>
        <v>24075520</v>
      </c>
      <c r="BU47" s="56"/>
      <c r="BV47" s="56"/>
      <c r="BW47" s="611"/>
      <c r="BX47" s="56"/>
      <c r="BY47" s="56">
        <f>SUM(BY48:BY50)</f>
        <v>0</v>
      </c>
      <c r="BZ47" s="56"/>
      <c r="CA47" s="56"/>
      <c r="CB47" s="611"/>
      <c r="CC47" s="56"/>
      <c r="CD47" s="56">
        <f>CD48+CD50</f>
        <v>0</v>
      </c>
      <c r="CE47" s="56"/>
      <c r="CF47" s="56"/>
      <c r="CG47" s="611"/>
      <c r="CH47" s="56"/>
      <c r="CI47" s="56">
        <f>CI48+CI50</f>
        <v>0</v>
      </c>
      <c r="CJ47" s="56"/>
      <c r="CK47" s="56"/>
      <c r="CL47" s="611"/>
      <c r="CM47" s="56"/>
      <c r="CN47" s="56">
        <f>CN48+CN50</f>
        <v>0</v>
      </c>
      <c r="CO47" s="56"/>
      <c r="CP47" s="56"/>
      <c r="CQ47" s="611"/>
      <c r="CR47" s="56"/>
      <c r="CS47" s="56">
        <f>CS48+CS50</f>
        <v>0</v>
      </c>
      <c r="CT47" s="56"/>
      <c r="CU47" s="56"/>
      <c r="CV47" s="611"/>
      <c r="CW47" s="56"/>
      <c r="CX47" s="56">
        <f>CX48+CX50</f>
        <v>0</v>
      </c>
      <c r="CY47" s="56"/>
      <c r="CZ47" s="56"/>
      <c r="DA47" s="611"/>
      <c r="DB47" s="56"/>
      <c r="DC47" s="56">
        <f>DC48+DC50</f>
        <v>0</v>
      </c>
      <c r="DD47" s="56"/>
      <c r="DE47" s="56"/>
      <c r="DF47" s="611"/>
      <c r="DG47" s="56"/>
      <c r="DH47" s="56">
        <f>DH48+DH50</f>
        <v>0</v>
      </c>
      <c r="DI47" s="56"/>
      <c r="DJ47" s="56"/>
      <c r="DK47" s="611"/>
      <c r="DL47" s="56"/>
      <c r="DM47" s="56">
        <f>DM48+DM50</f>
        <v>0</v>
      </c>
      <c r="DN47" s="56"/>
      <c r="DO47" s="56"/>
      <c r="DP47" s="611"/>
      <c r="DQ47" s="56"/>
      <c r="DR47" s="56">
        <f>DR48+DR50</f>
        <v>0</v>
      </c>
      <c r="DS47" s="56"/>
      <c r="DT47" s="56"/>
      <c r="DU47" s="611"/>
      <c r="DV47" s="56"/>
      <c r="DW47" s="56">
        <f>DW48+DW50</f>
        <v>0</v>
      </c>
      <c r="DX47" s="56"/>
      <c r="DY47" s="56"/>
      <c r="DZ47" s="611"/>
      <c r="EA47" s="56"/>
      <c r="EB47" s="56">
        <f>EB48+EB50</f>
        <v>0</v>
      </c>
      <c r="EC47" s="56"/>
      <c r="ED47" s="56"/>
      <c r="EE47" s="611"/>
      <c r="EF47" s="56"/>
      <c r="EG47" s="56">
        <f>EG48+EG50</f>
        <v>0</v>
      </c>
      <c r="EH47" s="56"/>
      <c r="EI47" s="56"/>
      <c r="EJ47" s="611"/>
      <c r="EK47" s="56"/>
      <c r="EL47" s="56">
        <f>SUM(EL48:EL50)</f>
        <v>0</v>
      </c>
      <c r="EM47" s="56"/>
      <c r="EN47" s="56"/>
      <c r="EO47" s="144"/>
    </row>
    <row r="48" spans="4:145" ht="12.75" customHeight="1" x14ac:dyDescent="0.3">
      <c r="D48" s="144" t="s">
        <v>335</v>
      </c>
      <c r="E48" s="494"/>
      <c r="F48" s="500"/>
      <c r="G48" s="609">
        <v>0</v>
      </c>
      <c r="H48" s="610"/>
      <c r="I48" s="56"/>
      <c r="J48" s="611"/>
      <c r="K48" s="612"/>
      <c r="L48" s="609">
        <v>24075520</v>
      </c>
      <c r="M48" s="610"/>
      <c r="N48" s="56"/>
      <c r="O48" s="611"/>
      <c r="P48" s="612"/>
      <c r="Q48" s="609">
        <v>0</v>
      </c>
      <c r="R48" s="610"/>
      <c r="S48" s="56"/>
      <c r="T48" s="611"/>
      <c r="U48" s="612"/>
      <c r="V48" s="609">
        <v>0</v>
      </c>
      <c r="W48" s="610"/>
      <c r="X48" s="56"/>
      <c r="Y48" s="611"/>
      <c r="Z48" s="612"/>
      <c r="AA48" s="609">
        <v>0</v>
      </c>
      <c r="AB48" s="610"/>
      <c r="AC48" s="56"/>
      <c r="AD48" s="611"/>
      <c r="AE48" s="612"/>
      <c r="AF48" s="609">
        <v>0</v>
      </c>
      <c r="AG48" s="610"/>
      <c r="AH48" s="56"/>
      <c r="AI48" s="611"/>
      <c r="AJ48" s="612"/>
      <c r="AK48" s="609">
        <v>0</v>
      </c>
      <c r="AL48" s="610"/>
      <c r="AM48" s="56"/>
      <c r="AN48" s="611"/>
      <c r="AO48" s="612"/>
      <c r="AP48" s="609">
        <v>0</v>
      </c>
      <c r="AQ48" s="610"/>
      <c r="AR48" s="56"/>
      <c r="AS48" s="611"/>
      <c r="AT48" s="612"/>
      <c r="AU48" s="609">
        <v>0</v>
      </c>
      <c r="AV48" s="610"/>
      <c r="AW48" s="56"/>
      <c r="AX48" s="611"/>
      <c r="AY48" s="612"/>
      <c r="AZ48" s="609">
        <v>0</v>
      </c>
      <c r="BA48" s="610"/>
      <c r="BB48" s="56"/>
      <c r="BC48" s="611"/>
      <c r="BD48" s="612"/>
      <c r="BE48" s="609">
        <v>0</v>
      </c>
      <c r="BF48" s="610"/>
      <c r="BG48" s="56"/>
      <c r="BH48" s="611"/>
      <c r="BI48" s="612"/>
      <c r="BJ48" s="609">
        <v>0</v>
      </c>
      <c r="BK48" s="610"/>
      <c r="BL48" s="56"/>
      <c r="BM48" s="611"/>
      <c r="BN48" s="612"/>
      <c r="BO48" s="609">
        <v>0</v>
      </c>
      <c r="BP48" s="610"/>
      <c r="BQ48" s="56"/>
      <c r="BR48" s="611"/>
      <c r="BS48" s="612"/>
      <c r="BT48" s="609">
        <f>SUM(L48:BO48)</f>
        <v>24075520</v>
      </c>
      <c r="BU48" s="610"/>
      <c r="BV48" s="56"/>
      <c r="BW48" s="611"/>
      <c r="BX48" s="612"/>
      <c r="BY48" s="609">
        <v>0</v>
      </c>
      <c r="BZ48" s="610"/>
      <c r="CA48" s="56"/>
      <c r="CB48" s="611"/>
      <c r="CC48" s="612"/>
      <c r="CD48" s="609">
        <v>0</v>
      </c>
      <c r="CE48" s="610"/>
      <c r="CF48" s="56"/>
      <c r="CG48" s="611"/>
      <c r="CH48" s="612"/>
      <c r="CI48" s="609">
        <v>0</v>
      </c>
      <c r="CJ48" s="610"/>
      <c r="CK48" s="56"/>
      <c r="CL48" s="611"/>
      <c r="CM48" s="612"/>
      <c r="CN48" s="609">
        <v>0</v>
      </c>
      <c r="CO48" s="610"/>
      <c r="CP48" s="56"/>
      <c r="CQ48" s="611"/>
      <c r="CR48" s="612"/>
      <c r="CS48" s="609">
        <v>0</v>
      </c>
      <c r="CT48" s="610"/>
      <c r="CU48" s="56"/>
      <c r="CV48" s="611"/>
      <c r="CW48" s="612"/>
      <c r="CX48" s="609">
        <v>0</v>
      </c>
      <c r="CY48" s="610"/>
      <c r="CZ48" s="56"/>
      <c r="DA48" s="611"/>
      <c r="DB48" s="612"/>
      <c r="DC48" s="609">
        <v>0</v>
      </c>
      <c r="DD48" s="610"/>
      <c r="DE48" s="56"/>
      <c r="DF48" s="611"/>
      <c r="DG48" s="612"/>
      <c r="DH48" s="609">
        <v>0</v>
      </c>
      <c r="DI48" s="610"/>
      <c r="DJ48" s="56"/>
      <c r="DK48" s="611"/>
      <c r="DL48" s="612"/>
      <c r="DM48" s="609">
        <v>0</v>
      </c>
      <c r="DN48" s="610"/>
      <c r="DO48" s="56"/>
      <c r="DP48" s="611"/>
      <c r="DQ48" s="612"/>
      <c r="DR48" s="609">
        <v>0</v>
      </c>
      <c r="DS48" s="610"/>
      <c r="DT48" s="56"/>
      <c r="DU48" s="611"/>
      <c r="DV48" s="612"/>
      <c r="DW48" s="609">
        <v>0</v>
      </c>
      <c r="DX48" s="610"/>
      <c r="DY48" s="56"/>
      <c r="DZ48" s="611"/>
      <c r="EA48" s="612"/>
      <c r="EB48" s="609">
        <v>0</v>
      </c>
      <c r="EC48" s="610"/>
      <c r="ED48" s="56"/>
      <c r="EE48" s="611"/>
      <c r="EF48" s="612"/>
      <c r="EG48" s="609">
        <v>0</v>
      </c>
      <c r="EH48" s="610"/>
      <c r="EI48" s="56"/>
      <c r="EJ48" s="611"/>
      <c r="EK48" s="612"/>
      <c r="EL48" s="609">
        <f>SUM(CD48:DW48)</f>
        <v>0</v>
      </c>
      <c r="EM48" s="610"/>
      <c r="EN48" s="56"/>
      <c r="EO48" s="144"/>
    </row>
    <row r="49" spans="4:145" ht="12.75" customHeight="1" x14ac:dyDescent="0.3">
      <c r="D49" s="144" t="s">
        <v>338</v>
      </c>
      <c r="E49" s="494"/>
      <c r="F49" s="494"/>
      <c r="G49" s="56">
        <v>0</v>
      </c>
      <c r="H49" s="55"/>
      <c r="I49" s="56"/>
      <c r="J49" s="611"/>
      <c r="K49" s="611"/>
      <c r="L49" s="56">
        <v>0</v>
      </c>
      <c r="M49" s="55"/>
      <c r="N49" s="56"/>
      <c r="O49" s="611"/>
      <c r="P49" s="611"/>
      <c r="Q49" s="56">
        <v>0</v>
      </c>
      <c r="R49" s="55"/>
      <c r="S49" s="56"/>
      <c r="T49" s="611"/>
      <c r="U49" s="611"/>
      <c r="V49" s="56">
        <v>0</v>
      </c>
      <c r="W49" s="55"/>
      <c r="X49" s="56"/>
      <c r="Y49" s="611"/>
      <c r="Z49" s="611"/>
      <c r="AA49" s="56">
        <v>0</v>
      </c>
      <c r="AB49" s="55"/>
      <c r="AC49" s="56"/>
      <c r="AD49" s="611"/>
      <c r="AE49" s="611"/>
      <c r="AF49" s="56">
        <v>0</v>
      </c>
      <c r="AG49" s="55"/>
      <c r="AH49" s="56"/>
      <c r="AI49" s="611"/>
      <c r="AJ49" s="611"/>
      <c r="AK49" s="56">
        <v>0</v>
      </c>
      <c r="AL49" s="55"/>
      <c r="AM49" s="56"/>
      <c r="AN49" s="611"/>
      <c r="AO49" s="611"/>
      <c r="AP49" s="56">
        <v>0</v>
      </c>
      <c r="AQ49" s="55"/>
      <c r="AR49" s="56"/>
      <c r="AS49" s="611"/>
      <c r="AT49" s="611"/>
      <c r="AU49" s="56">
        <v>0</v>
      </c>
      <c r="AV49" s="55"/>
      <c r="AW49" s="56"/>
      <c r="AX49" s="611"/>
      <c r="AY49" s="611"/>
      <c r="AZ49" s="56">
        <v>0</v>
      </c>
      <c r="BA49" s="55"/>
      <c r="BB49" s="56"/>
      <c r="BC49" s="611"/>
      <c r="BD49" s="611"/>
      <c r="BE49" s="56">
        <v>0</v>
      </c>
      <c r="BF49" s="55"/>
      <c r="BG49" s="56"/>
      <c r="BH49" s="611"/>
      <c r="BI49" s="611"/>
      <c r="BJ49" s="56">
        <v>0</v>
      </c>
      <c r="BK49" s="55"/>
      <c r="BL49" s="56"/>
      <c r="BM49" s="611"/>
      <c r="BN49" s="611"/>
      <c r="BO49" s="56">
        <v>0</v>
      </c>
      <c r="BP49" s="55"/>
      <c r="BQ49" s="56"/>
      <c r="BR49" s="611"/>
      <c r="BS49" s="611"/>
      <c r="BT49" s="56">
        <f>SUM(L49:BO49)</f>
        <v>0</v>
      </c>
      <c r="BU49" s="55"/>
      <c r="BV49" s="56"/>
      <c r="BW49" s="611"/>
      <c r="BX49" s="611"/>
      <c r="BY49" s="56">
        <v>0</v>
      </c>
      <c r="BZ49" s="55"/>
      <c r="CA49" s="56"/>
      <c r="CB49" s="611"/>
      <c r="CC49" s="611"/>
      <c r="CD49" s="56">
        <v>0</v>
      </c>
      <c r="CE49" s="55"/>
      <c r="CF49" s="56"/>
      <c r="CG49" s="611"/>
      <c r="CH49" s="611"/>
      <c r="CI49" s="56">
        <v>0</v>
      </c>
      <c r="CJ49" s="55"/>
      <c r="CK49" s="56"/>
      <c r="CL49" s="611"/>
      <c r="CM49" s="611"/>
      <c r="CN49" s="56">
        <v>0</v>
      </c>
      <c r="CO49" s="55"/>
      <c r="CP49" s="56"/>
      <c r="CQ49" s="611"/>
      <c r="CR49" s="611"/>
      <c r="CS49" s="56">
        <v>0</v>
      </c>
      <c r="CT49" s="55"/>
      <c r="CU49" s="56"/>
      <c r="CV49" s="611"/>
      <c r="CW49" s="611"/>
      <c r="CX49" s="56">
        <v>0</v>
      </c>
      <c r="CY49" s="55"/>
      <c r="CZ49" s="56"/>
      <c r="DA49" s="611"/>
      <c r="DB49" s="611"/>
      <c r="DC49" s="56">
        <v>0</v>
      </c>
      <c r="DD49" s="55"/>
      <c r="DE49" s="56"/>
      <c r="DF49" s="611"/>
      <c r="DG49" s="611"/>
      <c r="DH49" s="56">
        <v>0</v>
      </c>
      <c r="DI49" s="55"/>
      <c r="DJ49" s="56"/>
      <c r="DK49" s="611"/>
      <c r="DL49" s="611"/>
      <c r="DM49" s="56">
        <v>0</v>
      </c>
      <c r="DN49" s="55"/>
      <c r="DO49" s="56"/>
      <c r="DP49" s="611"/>
      <c r="DQ49" s="611"/>
      <c r="DR49" s="56">
        <v>0</v>
      </c>
      <c r="DS49" s="55"/>
      <c r="DT49" s="56"/>
      <c r="DU49" s="611"/>
      <c r="DV49" s="611"/>
      <c r="DW49" s="56">
        <v>0</v>
      </c>
      <c r="DX49" s="55"/>
      <c r="DY49" s="56"/>
      <c r="DZ49" s="611"/>
      <c r="EA49" s="611"/>
      <c r="EB49" s="56">
        <v>0</v>
      </c>
      <c r="EC49" s="55"/>
      <c r="ED49" s="56"/>
      <c r="EE49" s="611"/>
      <c r="EF49" s="611"/>
      <c r="EG49" s="56">
        <v>0</v>
      </c>
      <c r="EH49" s="55"/>
      <c r="EI49" s="56"/>
      <c r="EJ49" s="611"/>
      <c r="EK49" s="611"/>
      <c r="EL49" s="56">
        <f t="shared" ref="EL49:EL50" si="10">SUM(CD49:DW49)</f>
        <v>0</v>
      </c>
      <c r="EM49" s="55"/>
      <c r="EN49" s="56"/>
      <c r="EO49" s="144"/>
    </row>
    <row r="50" spans="4:145" ht="12.75" customHeight="1" x14ac:dyDescent="0.3">
      <c r="D50" s="144" t="s">
        <v>352</v>
      </c>
      <c r="E50" s="494"/>
      <c r="F50" s="513"/>
      <c r="G50" s="117">
        <v>0</v>
      </c>
      <c r="H50" s="116"/>
      <c r="I50" s="56"/>
      <c r="J50" s="611"/>
      <c r="K50" s="620"/>
      <c r="L50" s="117">
        <v>0</v>
      </c>
      <c r="M50" s="116"/>
      <c r="N50" s="56"/>
      <c r="O50" s="611"/>
      <c r="P50" s="620"/>
      <c r="Q50" s="117">
        <v>0</v>
      </c>
      <c r="R50" s="116"/>
      <c r="S50" s="56"/>
      <c r="T50" s="611"/>
      <c r="U50" s="620"/>
      <c r="V50" s="117">
        <v>0</v>
      </c>
      <c r="W50" s="116"/>
      <c r="X50" s="56"/>
      <c r="Y50" s="611"/>
      <c r="Z50" s="620"/>
      <c r="AA50" s="117">
        <v>0</v>
      </c>
      <c r="AB50" s="116"/>
      <c r="AC50" s="56"/>
      <c r="AD50" s="611"/>
      <c r="AE50" s="620"/>
      <c r="AF50" s="117">
        <v>0</v>
      </c>
      <c r="AG50" s="116"/>
      <c r="AH50" s="56"/>
      <c r="AI50" s="611"/>
      <c r="AJ50" s="620"/>
      <c r="AK50" s="117">
        <v>0</v>
      </c>
      <c r="AL50" s="116"/>
      <c r="AM50" s="56"/>
      <c r="AN50" s="611"/>
      <c r="AO50" s="620"/>
      <c r="AP50" s="117">
        <v>0</v>
      </c>
      <c r="AQ50" s="116"/>
      <c r="AR50" s="56"/>
      <c r="AS50" s="611"/>
      <c r="AT50" s="620"/>
      <c r="AU50" s="117">
        <v>0</v>
      </c>
      <c r="AV50" s="116"/>
      <c r="AW50" s="56"/>
      <c r="AX50" s="611"/>
      <c r="AY50" s="620"/>
      <c r="AZ50" s="117">
        <v>0</v>
      </c>
      <c r="BA50" s="116"/>
      <c r="BB50" s="56"/>
      <c r="BC50" s="611"/>
      <c r="BD50" s="620"/>
      <c r="BE50" s="117">
        <v>0</v>
      </c>
      <c r="BF50" s="116"/>
      <c r="BG50" s="56"/>
      <c r="BH50" s="611"/>
      <c r="BI50" s="620"/>
      <c r="BJ50" s="117">
        <v>0</v>
      </c>
      <c r="BK50" s="116"/>
      <c r="BL50" s="56"/>
      <c r="BM50" s="611"/>
      <c r="BN50" s="620"/>
      <c r="BO50" s="117">
        <v>0</v>
      </c>
      <c r="BP50" s="116"/>
      <c r="BQ50" s="56"/>
      <c r="BR50" s="611"/>
      <c r="BS50" s="620"/>
      <c r="BT50" s="117">
        <f>SUM(L50:BO50)</f>
        <v>0</v>
      </c>
      <c r="BU50" s="116"/>
      <c r="BV50" s="56"/>
      <c r="BW50" s="611"/>
      <c r="BX50" s="620"/>
      <c r="BY50" s="117">
        <v>0</v>
      </c>
      <c r="BZ50" s="116"/>
      <c r="CA50" s="56"/>
      <c r="CB50" s="611"/>
      <c r="CC50" s="620"/>
      <c r="CD50" s="117">
        <v>0</v>
      </c>
      <c r="CE50" s="116"/>
      <c r="CF50" s="56"/>
      <c r="CG50" s="611"/>
      <c r="CH50" s="620"/>
      <c r="CI50" s="117">
        <v>0</v>
      </c>
      <c r="CJ50" s="116"/>
      <c r="CK50" s="56"/>
      <c r="CL50" s="611"/>
      <c r="CM50" s="620"/>
      <c r="CN50" s="117">
        <v>0</v>
      </c>
      <c r="CO50" s="116"/>
      <c r="CP50" s="56"/>
      <c r="CQ50" s="611"/>
      <c r="CR50" s="620"/>
      <c r="CS50" s="117">
        <v>0</v>
      </c>
      <c r="CT50" s="116"/>
      <c r="CU50" s="56"/>
      <c r="CV50" s="611"/>
      <c r="CW50" s="620"/>
      <c r="CX50" s="117">
        <v>0</v>
      </c>
      <c r="CY50" s="116"/>
      <c r="CZ50" s="56"/>
      <c r="DA50" s="611"/>
      <c r="DB50" s="620"/>
      <c r="DC50" s="117">
        <v>0</v>
      </c>
      <c r="DD50" s="116"/>
      <c r="DE50" s="56"/>
      <c r="DF50" s="611"/>
      <c r="DG50" s="620"/>
      <c r="DH50" s="117">
        <v>0</v>
      </c>
      <c r="DI50" s="116"/>
      <c r="DJ50" s="56"/>
      <c r="DK50" s="611"/>
      <c r="DL50" s="620"/>
      <c r="DM50" s="117">
        <v>0</v>
      </c>
      <c r="DN50" s="116"/>
      <c r="DO50" s="56"/>
      <c r="DP50" s="611"/>
      <c r="DQ50" s="620"/>
      <c r="DR50" s="117">
        <v>0</v>
      </c>
      <c r="DS50" s="116"/>
      <c r="DT50" s="56"/>
      <c r="DU50" s="611"/>
      <c r="DV50" s="620"/>
      <c r="DW50" s="117">
        <v>0</v>
      </c>
      <c r="DX50" s="116"/>
      <c r="DY50" s="56"/>
      <c r="DZ50" s="611"/>
      <c r="EA50" s="620"/>
      <c r="EB50" s="117">
        <v>0</v>
      </c>
      <c r="EC50" s="116"/>
      <c r="ED50" s="56"/>
      <c r="EE50" s="611"/>
      <c r="EF50" s="620"/>
      <c r="EG50" s="117">
        <v>0</v>
      </c>
      <c r="EH50" s="116"/>
      <c r="EI50" s="56"/>
      <c r="EJ50" s="611"/>
      <c r="EK50" s="620"/>
      <c r="EL50" s="117">
        <f t="shared" si="10"/>
        <v>0</v>
      </c>
      <c r="EM50" s="116"/>
      <c r="EN50" s="56"/>
      <c r="EO50" s="144"/>
    </row>
    <row r="51" spans="4:145" ht="12.75" customHeight="1" x14ac:dyDescent="0.3">
      <c r="D51" s="164"/>
      <c r="E51" s="662"/>
      <c r="F51" s="159"/>
      <c r="G51" s="56"/>
      <c r="H51" s="56"/>
      <c r="I51" s="56"/>
      <c r="J51" s="611"/>
      <c r="K51" s="56"/>
      <c r="L51" s="56"/>
      <c r="M51" s="56"/>
      <c r="N51" s="56"/>
      <c r="O51" s="611"/>
      <c r="P51" s="56"/>
      <c r="Q51" s="56"/>
      <c r="R51" s="56"/>
      <c r="S51" s="56"/>
      <c r="T51" s="611"/>
      <c r="U51" s="56"/>
      <c r="V51" s="56"/>
      <c r="W51" s="56"/>
      <c r="X51" s="56"/>
      <c r="Y51" s="611"/>
      <c r="Z51" s="56"/>
      <c r="AA51" s="56"/>
      <c r="AB51" s="56"/>
      <c r="AC51" s="56"/>
      <c r="AD51" s="611"/>
      <c r="AE51" s="56"/>
      <c r="AF51" s="56"/>
      <c r="AG51" s="56"/>
      <c r="AH51" s="56"/>
      <c r="AI51" s="611"/>
      <c r="AJ51" s="56"/>
      <c r="AK51" s="56"/>
      <c r="AL51" s="56"/>
      <c r="AM51" s="56"/>
      <c r="AN51" s="611"/>
      <c r="AO51" s="56"/>
      <c r="AP51" s="56"/>
      <c r="AQ51" s="56"/>
      <c r="AR51" s="56"/>
      <c r="AS51" s="611"/>
      <c r="AT51" s="56"/>
      <c r="AU51" s="56"/>
      <c r="AV51" s="56"/>
      <c r="AW51" s="56"/>
      <c r="AX51" s="611"/>
      <c r="AY51" s="56"/>
      <c r="AZ51" s="56"/>
      <c r="BA51" s="56"/>
      <c r="BB51" s="56"/>
      <c r="BC51" s="611"/>
      <c r="BD51" s="56"/>
      <c r="BE51" s="56"/>
      <c r="BF51" s="56"/>
      <c r="BG51" s="56"/>
      <c r="BH51" s="611"/>
      <c r="BI51" s="56"/>
      <c r="BJ51" s="56"/>
      <c r="BK51" s="56"/>
      <c r="BL51" s="56"/>
      <c r="BM51" s="611"/>
      <c r="BN51" s="56"/>
      <c r="BO51" s="56"/>
      <c r="BP51" s="56"/>
      <c r="BQ51" s="56"/>
      <c r="BR51" s="611"/>
      <c r="BS51" s="56"/>
      <c r="BT51" s="56"/>
      <c r="BU51" s="56"/>
      <c r="BV51" s="56"/>
      <c r="BW51" s="611"/>
      <c r="BX51" s="56"/>
      <c r="BY51" s="56"/>
      <c r="BZ51" s="56"/>
      <c r="CA51" s="56"/>
      <c r="CB51" s="611"/>
      <c r="CC51" s="56"/>
      <c r="CD51" s="56"/>
      <c r="CE51" s="56"/>
      <c r="CF51" s="56"/>
      <c r="CG51" s="611"/>
      <c r="CH51" s="56"/>
      <c r="CI51" s="56"/>
      <c r="CJ51" s="56"/>
      <c r="CK51" s="56"/>
      <c r="CL51" s="611"/>
      <c r="CM51" s="56"/>
      <c r="CN51" s="56"/>
      <c r="CO51" s="56"/>
      <c r="CP51" s="56"/>
      <c r="CQ51" s="611"/>
      <c r="CR51" s="56"/>
      <c r="CS51" s="56"/>
      <c r="CT51" s="56"/>
      <c r="CU51" s="56"/>
      <c r="CV51" s="611"/>
      <c r="CW51" s="56"/>
      <c r="CX51" s="56"/>
      <c r="CY51" s="56"/>
      <c r="CZ51" s="56"/>
      <c r="DA51" s="611"/>
      <c r="DB51" s="56"/>
      <c r="DC51" s="56"/>
      <c r="DD51" s="56"/>
      <c r="DE51" s="56"/>
      <c r="DF51" s="611"/>
      <c r="DG51" s="56"/>
      <c r="DH51" s="56"/>
      <c r="DI51" s="56"/>
      <c r="DJ51" s="56"/>
      <c r="DK51" s="611"/>
      <c r="DL51" s="56"/>
      <c r="DM51" s="56"/>
      <c r="DN51" s="56"/>
      <c r="DO51" s="56"/>
      <c r="DP51" s="611"/>
      <c r="DQ51" s="56"/>
      <c r="DR51" s="56"/>
      <c r="DS51" s="56"/>
      <c r="DT51" s="56"/>
      <c r="DU51" s="611"/>
      <c r="DV51" s="56"/>
      <c r="DW51" s="56"/>
      <c r="DX51" s="56"/>
      <c r="DY51" s="56"/>
      <c r="DZ51" s="611"/>
      <c r="EA51" s="56"/>
      <c r="EB51" s="56"/>
      <c r="EC51" s="56"/>
      <c r="ED51" s="56"/>
      <c r="EE51" s="611"/>
      <c r="EF51" s="56"/>
      <c r="EG51" s="56"/>
      <c r="EH51" s="56"/>
      <c r="EI51" s="56"/>
      <c r="EJ51" s="611"/>
      <c r="EK51" s="56"/>
      <c r="EL51" s="56"/>
      <c r="EM51" s="56"/>
      <c r="EN51" s="56"/>
      <c r="EO51" s="144"/>
    </row>
    <row r="52" spans="4:145" ht="12.75" customHeight="1" x14ac:dyDescent="0.3">
      <c r="D52" s="144" t="s">
        <v>429</v>
      </c>
      <c r="E52" s="494"/>
      <c r="G52" s="56">
        <v>0</v>
      </c>
      <c r="H52" s="56"/>
      <c r="I52" s="56"/>
      <c r="J52" s="611"/>
      <c r="K52" s="56"/>
      <c r="L52" s="56">
        <f>L53+L55</f>
        <v>0</v>
      </c>
      <c r="M52" s="56"/>
      <c r="N52" s="56"/>
      <c r="O52" s="611"/>
      <c r="P52" s="56"/>
      <c r="Q52" s="56">
        <f>Q53+Q55</f>
        <v>0</v>
      </c>
      <c r="R52" s="56"/>
      <c r="S52" s="56"/>
      <c r="T52" s="611"/>
      <c r="U52" s="56"/>
      <c r="V52" s="56">
        <f>V53+V55</f>
        <v>0</v>
      </c>
      <c r="W52" s="56"/>
      <c r="X52" s="56"/>
      <c r="Y52" s="611"/>
      <c r="Z52" s="56"/>
      <c r="AA52" s="56">
        <f>AA53+AA55</f>
        <v>0</v>
      </c>
      <c r="AB52" s="56"/>
      <c r="AC52" s="56"/>
      <c r="AD52" s="611"/>
      <c r="AE52" s="56"/>
      <c r="AF52" s="56">
        <f>AF53+AF55</f>
        <v>0</v>
      </c>
      <c r="AG52" s="56"/>
      <c r="AH52" s="56"/>
      <c r="AI52" s="611"/>
      <c r="AJ52" s="56"/>
      <c r="AK52" s="56">
        <f>AK53+AK55</f>
        <v>6790681</v>
      </c>
      <c r="AL52" s="56"/>
      <c r="AM52" s="56"/>
      <c r="AN52" s="611"/>
      <c r="AO52" s="56"/>
      <c r="AP52" s="56">
        <f>AP53+AP55</f>
        <v>0</v>
      </c>
      <c r="AQ52" s="56"/>
      <c r="AR52" s="56"/>
      <c r="AS52" s="611"/>
      <c r="AT52" s="56"/>
      <c r="AU52" s="56">
        <f>AU53+AU55</f>
        <v>0</v>
      </c>
      <c r="AV52" s="56"/>
      <c r="AW52" s="56"/>
      <c r="AX52" s="611"/>
      <c r="AY52" s="56"/>
      <c r="AZ52" s="56">
        <f>AZ53+AZ55</f>
        <v>0</v>
      </c>
      <c r="BA52" s="56"/>
      <c r="BB52" s="56"/>
      <c r="BC52" s="611"/>
      <c r="BD52" s="56"/>
      <c r="BE52" s="56">
        <f>BE53+BE55</f>
        <v>0</v>
      </c>
      <c r="BF52" s="56"/>
      <c r="BG52" s="56"/>
      <c r="BH52" s="611"/>
      <c r="BI52" s="56"/>
      <c r="BJ52" s="56">
        <f>BJ53+BJ55</f>
        <v>0</v>
      </c>
      <c r="BK52" s="56"/>
      <c r="BL52" s="56"/>
      <c r="BM52" s="611"/>
      <c r="BN52" s="56"/>
      <c r="BO52" s="56">
        <f>BO53+BO55</f>
        <v>0</v>
      </c>
      <c r="BP52" s="56"/>
      <c r="BQ52" s="56"/>
      <c r="BR52" s="611"/>
      <c r="BS52" s="56"/>
      <c r="BT52" s="56">
        <f>SUM(BT53:BT55)</f>
        <v>6790681</v>
      </c>
      <c r="BU52" s="56"/>
      <c r="BV52" s="56"/>
      <c r="BW52" s="611"/>
      <c r="BX52" s="56"/>
      <c r="BY52" s="56">
        <f>SUM(BY53:BY55)</f>
        <v>0</v>
      </c>
      <c r="BZ52" s="56"/>
      <c r="CA52" s="56"/>
      <c r="CB52" s="611"/>
      <c r="CC52" s="56"/>
      <c r="CD52" s="56">
        <f>CD53+CD55</f>
        <v>0</v>
      </c>
      <c r="CE52" s="56"/>
      <c r="CF52" s="56"/>
      <c r="CG52" s="611"/>
      <c r="CH52" s="56"/>
      <c r="CI52" s="56">
        <f>CI53+CI55</f>
        <v>0</v>
      </c>
      <c r="CJ52" s="56"/>
      <c r="CK52" s="56"/>
      <c r="CL52" s="611"/>
      <c r="CM52" s="56"/>
      <c r="CN52" s="56">
        <f>CN53+CN55</f>
        <v>0</v>
      </c>
      <c r="CO52" s="56"/>
      <c r="CP52" s="56"/>
      <c r="CQ52" s="611"/>
      <c r="CR52" s="56"/>
      <c r="CS52" s="56">
        <f>CS53+CS55</f>
        <v>0</v>
      </c>
      <c r="CT52" s="56"/>
      <c r="CU52" s="56"/>
      <c r="CV52" s="611"/>
      <c r="CW52" s="56"/>
      <c r="CX52" s="56">
        <f>CX53+CX55</f>
        <v>0</v>
      </c>
      <c r="CY52" s="56"/>
      <c r="CZ52" s="56"/>
      <c r="DA52" s="611"/>
      <c r="DB52" s="56"/>
      <c r="DC52" s="56">
        <f>DC53+DC55</f>
        <v>0</v>
      </c>
      <c r="DD52" s="56"/>
      <c r="DE52" s="56"/>
      <c r="DF52" s="611"/>
      <c r="DG52" s="56"/>
      <c r="DH52" s="56">
        <f>DH53+DH55</f>
        <v>0</v>
      </c>
      <c r="DI52" s="56"/>
      <c r="DJ52" s="56"/>
      <c r="DK52" s="611"/>
      <c r="DL52" s="56"/>
      <c r="DM52" s="56">
        <f>DM53+DM55</f>
        <v>0</v>
      </c>
      <c r="DN52" s="56"/>
      <c r="DO52" s="56"/>
      <c r="DP52" s="611"/>
      <c r="DQ52" s="56"/>
      <c r="DR52" s="56">
        <f>DR53+DR55</f>
        <v>0</v>
      </c>
      <c r="DS52" s="56"/>
      <c r="DT52" s="56"/>
      <c r="DU52" s="611"/>
      <c r="DV52" s="56"/>
      <c r="DW52" s="56">
        <f>DW53+DW55</f>
        <v>0</v>
      </c>
      <c r="DX52" s="56"/>
      <c r="DY52" s="56"/>
      <c r="DZ52" s="611"/>
      <c r="EA52" s="56"/>
      <c r="EB52" s="56">
        <f>EB53+EB55</f>
        <v>0</v>
      </c>
      <c r="EC52" s="56"/>
      <c r="ED52" s="56"/>
      <c r="EE52" s="611"/>
      <c r="EF52" s="56"/>
      <c r="EG52" s="56">
        <f>EG53+EG55</f>
        <v>0</v>
      </c>
      <c r="EH52" s="56"/>
      <c r="EI52" s="56"/>
      <c r="EJ52" s="611"/>
      <c r="EK52" s="56"/>
      <c r="EL52" s="56">
        <f>SUM(EL53:EL55)</f>
        <v>0</v>
      </c>
      <c r="EM52" s="56"/>
      <c r="EN52" s="56"/>
      <c r="EO52" s="144"/>
    </row>
    <row r="53" spans="4:145" ht="12.75" customHeight="1" x14ac:dyDescent="0.3">
      <c r="D53" s="144" t="s">
        <v>335</v>
      </c>
      <c r="E53" s="494"/>
      <c r="F53" s="500"/>
      <c r="G53" s="609">
        <v>0</v>
      </c>
      <c r="H53" s="610"/>
      <c r="I53" s="56"/>
      <c r="J53" s="611"/>
      <c r="K53" s="612"/>
      <c r="L53" s="609">
        <v>0</v>
      </c>
      <c r="M53" s="610"/>
      <c r="N53" s="56"/>
      <c r="O53" s="611"/>
      <c r="P53" s="612"/>
      <c r="Q53" s="609">
        <v>0</v>
      </c>
      <c r="R53" s="610"/>
      <c r="S53" s="56"/>
      <c r="T53" s="611"/>
      <c r="U53" s="612"/>
      <c r="V53" s="609">
        <v>0</v>
      </c>
      <c r="W53" s="610"/>
      <c r="X53" s="56"/>
      <c r="Y53" s="611"/>
      <c r="Z53" s="612"/>
      <c r="AA53" s="609">
        <v>0</v>
      </c>
      <c r="AB53" s="610"/>
      <c r="AC53" s="56"/>
      <c r="AD53" s="611"/>
      <c r="AE53" s="612"/>
      <c r="AF53" s="609">
        <v>0</v>
      </c>
      <c r="AG53" s="610"/>
      <c r="AH53" s="56"/>
      <c r="AI53" s="611"/>
      <c r="AJ53" s="612"/>
      <c r="AK53" s="609">
        <v>6790681</v>
      </c>
      <c r="AL53" s="610"/>
      <c r="AM53" s="56"/>
      <c r="AN53" s="611"/>
      <c r="AO53" s="612"/>
      <c r="AP53" s="609">
        <v>0</v>
      </c>
      <c r="AQ53" s="610"/>
      <c r="AR53" s="56"/>
      <c r="AS53" s="611"/>
      <c r="AT53" s="612"/>
      <c r="AU53" s="609">
        <v>0</v>
      </c>
      <c r="AV53" s="610"/>
      <c r="AW53" s="56"/>
      <c r="AX53" s="611"/>
      <c r="AY53" s="612"/>
      <c r="AZ53" s="609">
        <v>0</v>
      </c>
      <c r="BA53" s="610"/>
      <c r="BB53" s="56"/>
      <c r="BC53" s="611"/>
      <c r="BD53" s="612"/>
      <c r="BE53" s="609">
        <v>0</v>
      </c>
      <c r="BF53" s="610"/>
      <c r="BG53" s="56"/>
      <c r="BH53" s="611"/>
      <c r="BI53" s="612"/>
      <c r="BJ53" s="609">
        <v>0</v>
      </c>
      <c r="BK53" s="610"/>
      <c r="BL53" s="56"/>
      <c r="BM53" s="611"/>
      <c r="BN53" s="612"/>
      <c r="BO53" s="609">
        <v>0</v>
      </c>
      <c r="BP53" s="610"/>
      <c r="BQ53" s="56"/>
      <c r="BR53" s="611"/>
      <c r="BS53" s="612"/>
      <c r="BT53" s="609">
        <f>SUM(L53:BO53)</f>
        <v>6790681</v>
      </c>
      <c r="BU53" s="610"/>
      <c r="BV53" s="56"/>
      <c r="BW53" s="611"/>
      <c r="BX53" s="612"/>
      <c r="BY53" s="609">
        <v>0</v>
      </c>
      <c r="BZ53" s="610"/>
      <c r="CA53" s="56"/>
      <c r="CB53" s="611"/>
      <c r="CC53" s="612"/>
      <c r="CD53" s="609">
        <v>0</v>
      </c>
      <c r="CE53" s="610"/>
      <c r="CF53" s="56"/>
      <c r="CG53" s="611"/>
      <c r="CH53" s="612"/>
      <c r="CI53" s="609">
        <v>0</v>
      </c>
      <c r="CJ53" s="610"/>
      <c r="CK53" s="56"/>
      <c r="CL53" s="611"/>
      <c r="CM53" s="612"/>
      <c r="CN53" s="609">
        <v>0</v>
      </c>
      <c r="CO53" s="610"/>
      <c r="CP53" s="56"/>
      <c r="CQ53" s="611"/>
      <c r="CR53" s="612"/>
      <c r="CS53" s="609">
        <v>0</v>
      </c>
      <c r="CT53" s="610"/>
      <c r="CU53" s="56"/>
      <c r="CV53" s="611"/>
      <c r="CW53" s="612"/>
      <c r="CX53" s="609">
        <v>0</v>
      </c>
      <c r="CY53" s="610"/>
      <c r="CZ53" s="56"/>
      <c r="DA53" s="611"/>
      <c r="DB53" s="612"/>
      <c r="DC53" s="609">
        <v>0</v>
      </c>
      <c r="DD53" s="610"/>
      <c r="DE53" s="56"/>
      <c r="DF53" s="611"/>
      <c r="DG53" s="612"/>
      <c r="DH53" s="609">
        <v>0</v>
      </c>
      <c r="DI53" s="610"/>
      <c r="DJ53" s="56"/>
      <c r="DK53" s="611"/>
      <c r="DL53" s="612"/>
      <c r="DM53" s="609">
        <v>0</v>
      </c>
      <c r="DN53" s="610"/>
      <c r="DO53" s="56"/>
      <c r="DP53" s="611"/>
      <c r="DQ53" s="612"/>
      <c r="DR53" s="609">
        <v>0</v>
      </c>
      <c r="DS53" s="610"/>
      <c r="DT53" s="56"/>
      <c r="DU53" s="611"/>
      <c r="DV53" s="612"/>
      <c r="DW53" s="609">
        <v>0</v>
      </c>
      <c r="DX53" s="610"/>
      <c r="DY53" s="56"/>
      <c r="DZ53" s="611"/>
      <c r="EA53" s="612"/>
      <c r="EB53" s="609">
        <v>0</v>
      </c>
      <c r="EC53" s="610"/>
      <c r="ED53" s="56"/>
      <c r="EE53" s="611"/>
      <c r="EF53" s="612"/>
      <c r="EG53" s="609">
        <v>0</v>
      </c>
      <c r="EH53" s="610"/>
      <c r="EI53" s="56"/>
      <c r="EJ53" s="611"/>
      <c r="EK53" s="612"/>
      <c r="EL53" s="609">
        <f>SUM(CD53:DW53)</f>
        <v>0</v>
      </c>
      <c r="EM53" s="610"/>
      <c r="EN53" s="56"/>
      <c r="EO53" s="144"/>
    </row>
    <row r="54" spans="4:145" ht="12.75" customHeight="1" x14ac:dyDescent="0.3">
      <c r="D54" s="144" t="s">
        <v>338</v>
      </c>
      <c r="E54" s="494"/>
      <c r="F54" s="494"/>
      <c r="G54" s="56">
        <v>0</v>
      </c>
      <c r="H54" s="55"/>
      <c r="I54" s="56"/>
      <c r="J54" s="611"/>
      <c r="K54" s="611"/>
      <c r="L54" s="56">
        <v>0</v>
      </c>
      <c r="M54" s="55"/>
      <c r="N54" s="56"/>
      <c r="O54" s="611"/>
      <c r="P54" s="611"/>
      <c r="Q54" s="56">
        <v>0</v>
      </c>
      <c r="R54" s="55"/>
      <c r="S54" s="56"/>
      <c r="T54" s="611"/>
      <c r="U54" s="611"/>
      <c r="V54" s="56">
        <v>0</v>
      </c>
      <c r="W54" s="55"/>
      <c r="X54" s="56"/>
      <c r="Y54" s="611"/>
      <c r="Z54" s="611"/>
      <c r="AA54" s="56">
        <v>0</v>
      </c>
      <c r="AB54" s="55"/>
      <c r="AC54" s="56"/>
      <c r="AD54" s="611"/>
      <c r="AE54" s="611"/>
      <c r="AF54" s="56">
        <v>0</v>
      </c>
      <c r="AG54" s="55"/>
      <c r="AH54" s="56"/>
      <c r="AI54" s="611"/>
      <c r="AJ54" s="611"/>
      <c r="AK54" s="56">
        <v>0</v>
      </c>
      <c r="AL54" s="55"/>
      <c r="AM54" s="56"/>
      <c r="AN54" s="611"/>
      <c r="AO54" s="611"/>
      <c r="AP54" s="56">
        <v>0</v>
      </c>
      <c r="AQ54" s="55"/>
      <c r="AR54" s="56"/>
      <c r="AS54" s="611"/>
      <c r="AT54" s="611"/>
      <c r="AU54" s="56">
        <v>0</v>
      </c>
      <c r="AV54" s="55"/>
      <c r="AW54" s="56"/>
      <c r="AX54" s="611"/>
      <c r="AY54" s="611"/>
      <c r="AZ54" s="56">
        <v>0</v>
      </c>
      <c r="BA54" s="55"/>
      <c r="BB54" s="56"/>
      <c r="BC54" s="611"/>
      <c r="BD54" s="611"/>
      <c r="BE54" s="56">
        <v>0</v>
      </c>
      <c r="BF54" s="55"/>
      <c r="BG54" s="56"/>
      <c r="BH54" s="611"/>
      <c r="BI54" s="611"/>
      <c r="BJ54" s="56">
        <v>0</v>
      </c>
      <c r="BK54" s="55"/>
      <c r="BL54" s="56"/>
      <c r="BM54" s="611"/>
      <c r="BN54" s="611"/>
      <c r="BO54" s="56">
        <v>0</v>
      </c>
      <c r="BP54" s="55"/>
      <c r="BQ54" s="56"/>
      <c r="BR54" s="611"/>
      <c r="BS54" s="611"/>
      <c r="BT54" s="56">
        <f>SUM(L54:BO54)</f>
        <v>0</v>
      </c>
      <c r="BU54" s="55"/>
      <c r="BV54" s="56"/>
      <c r="BW54" s="611"/>
      <c r="BX54" s="611"/>
      <c r="BY54" s="56">
        <v>0</v>
      </c>
      <c r="BZ54" s="55"/>
      <c r="CA54" s="56"/>
      <c r="CB54" s="611"/>
      <c r="CC54" s="611"/>
      <c r="CD54" s="56">
        <v>0</v>
      </c>
      <c r="CE54" s="55"/>
      <c r="CF54" s="56"/>
      <c r="CG54" s="611"/>
      <c r="CH54" s="611"/>
      <c r="CI54" s="56">
        <v>0</v>
      </c>
      <c r="CJ54" s="55"/>
      <c r="CK54" s="56"/>
      <c r="CL54" s="611"/>
      <c r="CM54" s="611"/>
      <c r="CN54" s="56">
        <v>0</v>
      </c>
      <c r="CO54" s="55"/>
      <c r="CP54" s="56"/>
      <c r="CQ54" s="611"/>
      <c r="CR54" s="611"/>
      <c r="CS54" s="56">
        <v>0</v>
      </c>
      <c r="CT54" s="55"/>
      <c r="CU54" s="56"/>
      <c r="CV54" s="611"/>
      <c r="CW54" s="611"/>
      <c r="CX54" s="56">
        <v>0</v>
      </c>
      <c r="CY54" s="55"/>
      <c r="CZ54" s="56"/>
      <c r="DA54" s="611"/>
      <c r="DB54" s="611"/>
      <c r="DC54" s="56">
        <v>0</v>
      </c>
      <c r="DD54" s="55"/>
      <c r="DE54" s="56"/>
      <c r="DF54" s="611"/>
      <c r="DG54" s="611"/>
      <c r="DH54" s="56">
        <v>0</v>
      </c>
      <c r="DI54" s="55"/>
      <c r="DJ54" s="56"/>
      <c r="DK54" s="611"/>
      <c r="DL54" s="611"/>
      <c r="DM54" s="56">
        <v>0</v>
      </c>
      <c r="DN54" s="55"/>
      <c r="DO54" s="56"/>
      <c r="DP54" s="611"/>
      <c r="DQ54" s="611"/>
      <c r="DR54" s="56">
        <v>0</v>
      </c>
      <c r="DS54" s="55"/>
      <c r="DT54" s="56"/>
      <c r="DU54" s="611"/>
      <c r="DV54" s="611"/>
      <c r="DW54" s="56">
        <v>0</v>
      </c>
      <c r="DX54" s="55"/>
      <c r="DY54" s="56"/>
      <c r="DZ54" s="611"/>
      <c r="EA54" s="611"/>
      <c r="EB54" s="56">
        <v>0</v>
      </c>
      <c r="EC54" s="55"/>
      <c r="ED54" s="56"/>
      <c r="EE54" s="611"/>
      <c r="EF54" s="611"/>
      <c r="EG54" s="56">
        <v>0</v>
      </c>
      <c r="EH54" s="55"/>
      <c r="EI54" s="56"/>
      <c r="EJ54" s="611"/>
      <c r="EK54" s="611"/>
      <c r="EL54" s="56">
        <f t="shared" ref="EL54:EL55" si="11">SUM(CD54:DW54)</f>
        <v>0</v>
      </c>
      <c r="EM54" s="55"/>
      <c r="EN54" s="56"/>
      <c r="EO54" s="144"/>
    </row>
    <row r="55" spans="4:145" ht="12.75" customHeight="1" x14ac:dyDescent="0.3">
      <c r="D55" s="144" t="s">
        <v>352</v>
      </c>
      <c r="E55" s="494"/>
      <c r="F55" s="513"/>
      <c r="G55" s="117">
        <v>0</v>
      </c>
      <c r="H55" s="116"/>
      <c r="I55" s="56"/>
      <c r="J55" s="611"/>
      <c r="K55" s="620"/>
      <c r="L55" s="117">
        <v>0</v>
      </c>
      <c r="M55" s="116"/>
      <c r="N55" s="56"/>
      <c r="O55" s="611"/>
      <c r="P55" s="620"/>
      <c r="Q55" s="117">
        <v>0</v>
      </c>
      <c r="R55" s="116"/>
      <c r="S55" s="56"/>
      <c r="T55" s="611"/>
      <c r="U55" s="620"/>
      <c r="V55" s="117">
        <v>0</v>
      </c>
      <c r="W55" s="116"/>
      <c r="X55" s="56"/>
      <c r="Y55" s="611"/>
      <c r="Z55" s="620"/>
      <c r="AA55" s="117">
        <v>0</v>
      </c>
      <c r="AB55" s="116"/>
      <c r="AC55" s="56"/>
      <c r="AD55" s="611"/>
      <c r="AE55" s="620"/>
      <c r="AF55" s="117">
        <v>0</v>
      </c>
      <c r="AG55" s="116"/>
      <c r="AH55" s="56"/>
      <c r="AI55" s="611"/>
      <c r="AJ55" s="620"/>
      <c r="AK55" s="117">
        <v>0</v>
      </c>
      <c r="AL55" s="116"/>
      <c r="AM55" s="56"/>
      <c r="AN55" s="611"/>
      <c r="AO55" s="620"/>
      <c r="AP55" s="117">
        <v>0</v>
      </c>
      <c r="AQ55" s="116"/>
      <c r="AR55" s="56"/>
      <c r="AS55" s="611"/>
      <c r="AT55" s="620"/>
      <c r="AU55" s="117">
        <v>0</v>
      </c>
      <c r="AV55" s="116"/>
      <c r="AW55" s="56"/>
      <c r="AX55" s="611"/>
      <c r="AY55" s="620"/>
      <c r="AZ55" s="117">
        <v>0</v>
      </c>
      <c r="BA55" s="116"/>
      <c r="BB55" s="56"/>
      <c r="BC55" s="611"/>
      <c r="BD55" s="620"/>
      <c r="BE55" s="117">
        <v>0</v>
      </c>
      <c r="BF55" s="116"/>
      <c r="BG55" s="56"/>
      <c r="BH55" s="611"/>
      <c r="BI55" s="620"/>
      <c r="BJ55" s="117">
        <v>0</v>
      </c>
      <c r="BK55" s="116"/>
      <c r="BL55" s="56"/>
      <c r="BM55" s="611"/>
      <c r="BN55" s="620"/>
      <c r="BO55" s="117">
        <v>0</v>
      </c>
      <c r="BP55" s="116"/>
      <c r="BQ55" s="56"/>
      <c r="BR55" s="611"/>
      <c r="BS55" s="620"/>
      <c r="BT55" s="117">
        <f>SUM(L55:BO55)</f>
        <v>0</v>
      </c>
      <c r="BU55" s="116"/>
      <c r="BV55" s="56"/>
      <c r="BW55" s="611"/>
      <c r="BX55" s="620"/>
      <c r="BY55" s="117">
        <v>0</v>
      </c>
      <c r="BZ55" s="116"/>
      <c r="CA55" s="56"/>
      <c r="CB55" s="611"/>
      <c r="CC55" s="620"/>
      <c r="CD55" s="117">
        <v>0</v>
      </c>
      <c r="CE55" s="116"/>
      <c r="CF55" s="56"/>
      <c r="CG55" s="611"/>
      <c r="CH55" s="620"/>
      <c r="CI55" s="117">
        <v>0</v>
      </c>
      <c r="CJ55" s="116"/>
      <c r="CK55" s="56"/>
      <c r="CL55" s="611"/>
      <c r="CM55" s="620"/>
      <c r="CN55" s="117">
        <v>0</v>
      </c>
      <c r="CO55" s="116"/>
      <c r="CP55" s="56"/>
      <c r="CQ55" s="611"/>
      <c r="CR55" s="620"/>
      <c r="CS55" s="117">
        <v>0</v>
      </c>
      <c r="CT55" s="116"/>
      <c r="CU55" s="56"/>
      <c r="CV55" s="611"/>
      <c r="CW55" s="620"/>
      <c r="CX55" s="117">
        <v>0</v>
      </c>
      <c r="CY55" s="116"/>
      <c r="CZ55" s="56"/>
      <c r="DA55" s="611"/>
      <c r="DB55" s="620"/>
      <c r="DC55" s="117">
        <v>0</v>
      </c>
      <c r="DD55" s="116"/>
      <c r="DE55" s="56"/>
      <c r="DF55" s="611"/>
      <c r="DG55" s="620"/>
      <c r="DH55" s="117">
        <v>0</v>
      </c>
      <c r="DI55" s="116"/>
      <c r="DJ55" s="56"/>
      <c r="DK55" s="611"/>
      <c r="DL55" s="620"/>
      <c r="DM55" s="117">
        <v>0</v>
      </c>
      <c r="DN55" s="116"/>
      <c r="DO55" s="56"/>
      <c r="DP55" s="611"/>
      <c r="DQ55" s="620"/>
      <c r="DR55" s="117">
        <v>0</v>
      </c>
      <c r="DS55" s="116"/>
      <c r="DT55" s="56"/>
      <c r="DU55" s="611"/>
      <c r="DV55" s="620"/>
      <c r="DW55" s="117">
        <v>0</v>
      </c>
      <c r="DX55" s="116"/>
      <c r="DY55" s="56"/>
      <c r="DZ55" s="611"/>
      <c r="EA55" s="620"/>
      <c r="EB55" s="117">
        <v>0</v>
      </c>
      <c r="EC55" s="116"/>
      <c r="ED55" s="56"/>
      <c r="EE55" s="611"/>
      <c r="EF55" s="620"/>
      <c r="EG55" s="117">
        <v>0</v>
      </c>
      <c r="EH55" s="116"/>
      <c r="EI55" s="56"/>
      <c r="EJ55" s="611"/>
      <c r="EK55" s="620"/>
      <c r="EL55" s="117">
        <f t="shared" si="11"/>
        <v>0</v>
      </c>
      <c r="EM55" s="116"/>
      <c r="EN55" s="56"/>
      <c r="EO55" s="144"/>
    </row>
    <row r="56" spans="4:145" ht="12.75" customHeight="1" x14ac:dyDescent="0.3">
      <c r="D56" s="144"/>
      <c r="E56" s="494"/>
      <c r="G56" s="56"/>
      <c r="H56" s="56"/>
      <c r="I56" s="56"/>
      <c r="J56" s="611"/>
      <c r="K56" s="56"/>
      <c r="L56" s="56"/>
      <c r="M56" s="56"/>
      <c r="N56" s="56"/>
      <c r="O56" s="611"/>
      <c r="P56" s="56"/>
      <c r="Q56" s="56"/>
      <c r="R56" s="56"/>
      <c r="S56" s="56"/>
      <c r="T56" s="611"/>
      <c r="U56" s="56"/>
      <c r="V56" s="56"/>
      <c r="W56" s="56"/>
      <c r="X56" s="56"/>
      <c r="Y56" s="611"/>
      <c r="Z56" s="56"/>
      <c r="AA56" s="56"/>
      <c r="AB56" s="56"/>
      <c r="AC56" s="56"/>
      <c r="AD56" s="611"/>
      <c r="AE56" s="56"/>
      <c r="AF56" s="56"/>
      <c r="AG56" s="56"/>
      <c r="AH56" s="56"/>
      <c r="AI56" s="611"/>
      <c r="AJ56" s="56"/>
      <c r="AK56" s="56"/>
      <c r="AL56" s="56"/>
      <c r="AM56" s="56"/>
      <c r="AN56" s="611"/>
      <c r="AO56" s="56"/>
      <c r="AP56" s="56"/>
      <c r="AQ56" s="56"/>
      <c r="AR56" s="56"/>
      <c r="AS56" s="611"/>
      <c r="AT56" s="56"/>
      <c r="AU56" s="56"/>
      <c r="AV56" s="56"/>
      <c r="AW56" s="56"/>
      <c r="AX56" s="611"/>
      <c r="AY56" s="56"/>
      <c r="AZ56" s="56"/>
      <c r="BA56" s="56"/>
      <c r="BB56" s="56"/>
      <c r="BC56" s="611"/>
      <c r="BD56" s="56"/>
      <c r="BE56" s="56"/>
      <c r="BF56" s="56"/>
      <c r="BG56" s="56"/>
      <c r="BH56" s="611"/>
      <c r="BI56" s="56"/>
      <c r="BJ56" s="56"/>
      <c r="BK56" s="56"/>
      <c r="BL56" s="56"/>
      <c r="BM56" s="611"/>
      <c r="BN56" s="56"/>
      <c r="BO56" s="56"/>
      <c r="BP56" s="56"/>
      <c r="BQ56" s="56"/>
      <c r="BR56" s="611"/>
      <c r="BS56" s="56"/>
      <c r="BT56" s="56"/>
      <c r="BU56" s="56"/>
      <c r="BV56" s="56"/>
      <c r="BW56" s="611"/>
      <c r="BX56" s="56"/>
      <c r="BY56" s="56"/>
      <c r="BZ56" s="56"/>
      <c r="CA56" s="56"/>
      <c r="CB56" s="611"/>
      <c r="CC56" s="56"/>
      <c r="CD56" s="56"/>
      <c r="CE56" s="56"/>
      <c r="CF56" s="56"/>
      <c r="CG56" s="611"/>
      <c r="CH56" s="56"/>
      <c r="CI56" s="56"/>
      <c r="CJ56" s="56"/>
      <c r="CK56" s="56"/>
      <c r="CL56" s="611"/>
      <c r="CM56" s="56"/>
      <c r="CN56" s="56"/>
      <c r="CO56" s="56"/>
      <c r="CP56" s="56"/>
      <c r="CQ56" s="611"/>
      <c r="CR56" s="56"/>
      <c r="CS56" s="56"/>
      <c r="CT56" s="56"/>
      <c r="CU56" s="56"/>
      <c r="CV56" s="611"/>
      <c r="CW56" s="56"/>
      <c r="CX56" s="56"/>
      <c r="CY56" s="56"/>
      <c r="CZ56" s="56"/>
      <c r="DA56" s="611"/>
      <c r="DB56" s="56"/>
      <c r="DC56" s="56"/>
      <c r="DD56" s="56"/>
      <c r="DE56" s="56"/>
      <c r="DF56" s="611"/>
      <c r="DG56" s="56"/>
      <c r="DH56" s="56"/>
      <c r="DI56" s="56"/>
      <c r="DJ56" s="56"/>
      <c r="DK56" s="611"/>
      <c r="DL56" s="56"/>
      <c r="DM56" s="56"/>
      <c r="DN56" s="56"/>
      <c r="DO56" s="56"/>
      <c r="DP56" s="611"/>
      <c r="DQ56" s="56"/>
      <c r="DR56" s="56"/>
      <c r="DS56" s="56"/>
      <c r="DT56" s="56"/>
      <c r="DU56" s="611"/>
      <c r="DV56" s="56"/>
      <c r="DW56" s="56"/>
      <c r="DX56" s="56"/>
      <c r="DY56" s="56"/>
      <c r="DZ56" s="611"/>
      <c r="EA56" s="56"/>
      <c r="EB56" s="56"/>
      <c r="EC56" s="56"/>
      <c r="ED56" s="56"/>
      <c r="EE56" s="611"/>
      <c r="EF56" s="56"/>
      <c r="EG56" s="56"/>
      <c r="EH56" s="56"/>
      <c r="EI56" s="56"/>
      <c r="EJ56" s="611"/>
      <c r="EK56" s="56"/>
      <c r="EL56" s="56"/>
      <c r="EM56" s="56"/>
      <c r="EN56" s="56"/>
      <c r="EO56" s="144"/>
    </row>
    <row r="57" spans="4:145" ht="12.75" customHeight="1" x14ac:dyDescent="0.3">
      <c r="D57" s="144" t="s">
        <v>430</v>
      </c>
      <c r="E57" s="494"/>
      <c r="G57" s="56">
        <v>0</v>
      </c>
      <c r="H57" s="56"/>
      <c r="I57" s="56"/>
      <c r="J57" s="611"/>
      <c r="K57" s="56"/>
      <c r="L57" s="56">
        <f>L58+L60</f>
        <v>0</v>
      </c>
      <c r="M57" s="56"/>
      <c r="N57" s="56"/>
      <c r="O57" s="611"/>
      <c r="P57" s="56"/>
      <c r="Q57" s="56">
        <f>Q58+Q60</f>
        <v>0</v>
      </c>
      <c r="R57" s="56"/>
      <c r="S57" s="56"/>
      <c r="T57" s="611"/>
      <c r="U57" s="56"/>
      <c r="V57" s="56">
        <f>V58+V60</f>
        <v>0</v>
      </c>
      <c r="W57" s="56"/>
      <c r="X57" s="56"/>
      <c r="Y57" s="611"/>
      <c r="Z57" s="56"/>
      <c r="AA57" s="56">
        <f>AA58+AA60</f>
        <v>0</v>
      </c>
      <c r="AB57" s="56"/>
      <c r="AC57" s="56"/>
      <c r="AD57" s="611"/>
      <c r="AE57" s="56"/>
      <c r="AF57" s="56">
        <f>AF58+AF60</f>
        <v>0</v>
      </c>
      <c r="AG57" s="56"/>
      <c r="AH57" s="56"/>
      <c r="AI57" s="611"/>
      <c r="AJ57" s="56"/>
      <c r="AK57" s="56">
        <f>AK58+AK60</f>
        <v>0</v>
      </c>
      <c r="AL57" s="56"/>
      <c r="AM57" s="56"/>
      <c r="AN57" s="611"/>
      <c r="AO57" s="56"/>
      <c r="AP57" s="56">
        <f>AP58+AP60</f>
        <v>0</v>
      </c>
      <c r="AQ57" s="56"/>
      <c r="AR57" s="56"/>
      <c r="AS57" s="611"/>
      <c r="AT57" s="56"/>
      <c r="AU57" s="56">
        <f>AU58+AU60</f>
        <v>0</v>
      </c>
      <c r="AV57" s="56"/>
      <c r="AW57" s="56"/>
      <c r="AX57" s="611"/>
      <c r="AY57" s="56"/>
      <c r="AZ57" s="56">
        <f>AZ58+AZ60</f>
        <v>5451574</v>
      </c>
      <c r="BA57" s="56"/>
      <c r="BB57" s="56"/>
      <c r="BC57" s="611"/>
      <c r="BD57" s="56"/>
      <c r="BE57" s="56">
        <f>BE58+BE60</f>
        <v>0</v>
      </c>
      <c r="BF57" s="56"/>
      <c r="BG57" s="56"/>
      <c r="BH57" s="611"/>
      <c r="BI57" s="56"/>
      <c r="BJ57" s="56">
        <f>BJ58+BJ60</f>
        <v>0</v>
      </c>
      <c r="BK57" s="56"/>
      <c r="BL57" s="56"/>
      <c r="BM57" s="611"/>
      <c r="BN57" s="56"/>
      <c r="BO57" s="56">
        <f>BO58+BO60</f>
        <v>0</v>
      </c>
      <c r="BP57" s="56"/>
      <c r="BQ57" s="56"/>
      <c r="BR57" s="611"/>
      <c r="BS57" s="56"/>
      <c r="BT57" s="56">
        <f>SUM(BT58:BT60)</f>
        <v>5451574</v>
      </c>
      <c r="BU57" s="56"/>
      <c r="BV57" s="56"/>
      <c r="BW57" s="611"/>
      <c r="BX57" s="56"/>
      <c r="BY57" s="56">
        <f>SUM(BY58:BY60)</f>
        <v>0</v>
      </c>
      <c r="BZ57" s="56"/>
      <c r="CA57" s="56"/>
      <c r="CB57" s="611"/>
      <c r="CC57" s="56"/>
      <c r="CD57" s="56">
        <f>CD58+CD60</f>
        <v>0</v>
      </c>
      <c r="CE57" s="56"/>
      <c r="CF57" s="56"/>
      <c r="CG57" s="611"/>
      <c r="CH57" s="56"/>
      <c r="CI57" s="56">
        <f>CI58+CI60</f>
        <v>0</v>
      </c>
      <c r="CJ57" s="56"/>
      <c r="CK57" s="56"/>
      <c r="CL57" s="611"/>
      <c r="CM57" s="56"/>
      <c r="CN57" s="56">
        <f>CN58+CN60</f>
        <v>0</v>
      </c>
      <c r="CO57" s="56"/>
      <c r="CP57" s="56"/>
      <c r="CQ57" s="611"/>
      <c r="CR57" s="56"/>
      <c r="CS57" s="56">
        <f>CS58+CS60</f>
        <v>0</v>
      </c>
      <c r="CT57" s="56"/>
      <c r="CU57" s="56"/>
      <c r="CV57" s="611"/>
      <c r="CW57" s="56"/>
      <c r="CX57" s="56">
        <f>CX58+CX60</f>
        <v>0</v>
      </c>
      <c r="CY57" s="56"/>
      <c r="CZ57" s="56"/>
      <c r="DA57" s="611"/>
      <c r="DB57" s="56"/>
      <c r="DC57" s="56">
        <f>DC58+DC60</f>
        <v>0</v>
      </c>
      <c r="DD57" s="56"/>
      <c r="DE57" s="56"/>
      <c r="DF57" s="611"/>
      <c r="DG57" s="56"/>
      <c r="DH57" s="56">
        <f>DH58+DH60</f>
        <v>0</v>
      </c>
      <c r="DI57" s="56"/>
      <c r="DJ57" s="56"/>
      <c r="DK57" s="611"/>
      <c r="DL57" s="56"/>
      <c r="DM57" s="56">
        <f>DM58+DM60</f>
        <v>0</v>
      </c>
      <c r="DN57" s="56"/>
      <c r="DO57" s="56"/>
      <c r="DP57" s="611"/>
      <c r="DQ57" s="56"/>
      <c r="DR57" s="56">
        <f>DR58+DR60</f>
        <v>0</v>
      </c>
      <c r="DS57" s="56"/>
      <c r="DT57" s="56"/>
      <c r="DU57" s="611"/>
      <c r="DV57" s="56"/>
      <c r="DW57" s="56">
        <f>DW58+DW60</f>
        <v>0</v>
      </c>
      <c r="DX57" s="56"/>
      <c r="DY57" s="56"/>
      <c r="DZ57" s="611"/>
      <c r="EA57" s="56"/>
      <c r="EB57" s="56">
        <f>EB58+EB60</f>
        <v>0</v>
      </c>
      <c r="EC57" s="56"/>
      <c r="ED57" s="56"/>
      <c r="EE57" s="611"/>
      <c r="EF57" s="56"/>
      <c r="EG57" s="56">
        <f>EG58+EG60</f>
        <v>0</v>
      </c>
      <c r="EH57" s="56"/>
      <c r="EI57" s="56"/>
      <c r="EJ57" s="611"/>
      <c r="EK57" s="56"/>
      <c r="EL57" s="56">
        <f>SUM(EL58:EL60)</f>
        <v>0</v>
      </c>
      <c r="EM57" s="56"/>
      <c r="EN57" s="56"/>
      <c r="EO57" s="144"/>
    </row>
    <row r="58" spans="4:145" ht="12.75" customHeight="1" x14ac:dyDescent="0.3">
      <c r="D58" s="144" t="s">
        <v>335</v>
      </c>
      <c r="E58" s="494"/>
      <c r="F58" s="500"/>
      <c r="G58" s="609">
        <v>0</v>
      </c>
      <c r="H58" s="610"/>
      <c r="I58" s="56"/>
      <c r="J58" s="611"/>
      <c r="K58" s="612"/>
      <c r="L58" s="609">
        <v>0</v>
      </c>
      <c r="M58" s="610"/>
      <c r="N58" s="56"/>
      <c r="O58" s="611"/>
      <c r="P58" s="612"/>
      <c r="Q58" s="609">
        <v>0</v>
      </c>
      <c r="R58" s="610"/>
      <c r="S58" s="56"/>
      <c r="T58" s="611"/>
      <c r="U58" s="612"/>
      <c r="V58" s="609">
        <v>0</v>
      </c>
      <c r="W58" s="610"/>
      <c r="X58" s="56"/>
      <c r="Y58" s="611"/>
      <c r="Z58" s="612"/>
      <c r="AA58" s="609">
        <v>0</v>
      </c>
      <c r="AB58" s="610"/>
      <c r="AC58" s="56"/>
      <c r="AD58" s="611"/>
      <c r="AE58" s="612"/>
      <c r="AF58" s="609">
        <v>0</v>
      </c>
      <c r="AG58" s="610"/>
      <c r="AH58" s="56"/>
      <c r="AI58" s="611"/>
      <c r="AJ58" s="612"/>
      <c r="AK58" s="609">
        <v>0</v>
      </c>
      <c r="AL58" s="610"/>
      <c r="AM58" s="56"/>
      <c r="AN58" s="611"/>
      <c r="AO58" s="612"/>
      <c r="AP58" s="609">
        <v>0</v>
      </c>
      <c r="AQ58" s="610"/>
      <c r="AR58" s="56"/>
      <c r="AS58" s="611"/>
      <c r="AT58" s="612"/>
      <c r="AU58" s="609">
        <v>0</v>
      </c>
      <c r="AV58" s="610"/>
      <c r="AW58" s="56"/>
      <c r="AX58" s="611"/>
      <c r="AY58" s="612"/>
      <c r="AZ58" s="609">
        <v>5451574</v>
      </c>
      <c r="BA58" s="610"/>
      <c r="BB58" s="56"/>
      <c r="BC58" s="611"/>
      <c r="BD58" s="612"/>
      <c r="BE58" s="609">
        <v>0</v>
      </c>
      <c r="BF58" s="610"/>
      <c r="BG58" s="56"/>
      <c r="BH58" s="611"/>
      <c r="BI58" s="612"/>
      <c r="BJ58" s="609">
        <v>0</v>
      </c>
      <c r="BK58" s="610"/>
      <c r="BL58" s="56"/>
      <c r="BM58" s="611"/>
      <c r="BN58" s="612"/>
      <c r="BO58" s="609">
        <v>0</v>
      </c>
      <c r="BP58" s="610"/>
      <c r="BQ58" s="56"/>
      <c r="BR58" s="611"/>
      <c r="BS58" s="612"/>
      <c r="BT58" s="609">
        <f>SUM(L58:BO58)</f>
        <v>5451574</v>
      </c>
      <c r="BU58" s="610"/>
      <c r="BV58" s="56"/>
      <c r="BW58" s="611"/>
      <c r="BX58" s="612"/>
      <c r="BY58" s="609">
        <v>0</v>
      </c>
      <c r="BZ58" s="610"/>
      <c r="CA58" s="56"/>
      <c r="CB58" s="611"/>
      <c r="CC58" s="612"/>
      <c r="CD58" s="609">
        <v>0</v>
      </c>
      <c r="CE58" s="610"/>
      <c r="CF58" s="56"/>
      <c r="CG58" s="611"/>
      <c r="CH58" s="612"/>
      <c r="CI58" s="609">
        <v>0</v>
      </c>
      <c r="CJ58" s="610"/>
      <c r="CK58" s="56"/>
      <c r="CL58" s="611"/>
      <c r="CM58" s="612"/>
      <c r="CN58" s="609">
        <v>0</v>
      </c>
      <c r="CO58" s="610"/>
      <c r="CP58" s="56"/>
      <c r="CQ58" s="611"/>
      <c r="CR58" s="612"/>
      <c r="CS58" s="609">
        <v>0</v>
      </c>
      <c r="CT58" s="610"/>
      <c r="CU58" s="56"/>
      <c r="CV58" s="611"/>
      <c r="CW58" s="612"/>
      <c r="CX58" s="609">
        <v>0</v>
      </c>
      <c r="CY58" s="610"/>
      <c r="CZ58" s="56"/>
      <c r="DA58" s="611"/>
      <c r="DB58" s="612"/>
      <c r="DC58" s="609">
        <v>0</v>
      </c>
      <c r="DD58" s="610"/>
      <c r="DE58" s="56"/>
      <c r="DF58" s="611"/>
      <c r="DG58" s="612"/>
      <c r="DH58" s="609">
        <v>0</v>
      </c>
      <c r="DI58" s="610"/>
      <c r="DJ58" s="56"/>
      <c r="DK58" s="611"/>
      <c r="DL58" s="612"/>
      <c r="DM58" s="609">
        <v>0</v>
      </c>
      <c r="DN58" s="610"/>
      <c r="DO58" s="56"/>
      <c r="DP58" s="611"/>
      <c r="DQ58" s="612"/>
      <c r="DR58" s="609">
        <v>0</v>
      </c>
      <c r="DS58" s="610"/>
      <c r="DT58" s="56"/>
      <c r="DU58" s="611"/>
      <c r="DV58" s="612"/>
      <c r="DW58" s="609">
        <v>0</v>
      </c>
      <c r="DX58" s="610"/>
      <c r="DY58" s="56"/>
      <c r="DZ58" s="611"/>
      <c r="EA58" s="612"/>
      <c r="EB58" s="609">
        <v>0</v>
      </c>
      <c r="EC58" s="610"/>
      <c r="ED58" s="56"/>
      <c r="EE58" s="611"/>
      <c r="EF58" s="612"/>
      <c r="EG58" s="609">
        <v>0</v>
      </c>
      <c r="EH58" s="610"/>
      <c r="EI58" s="56"/>
      <c r="EJ58" s="611"/>
      <c r="EK58" s="612"/>
      <c r="EL58" s="609">
        <f>SUM(CD58:DW58)</f>
        <v>0</v>
      </c>
      <c r="EM58" s="610"/>
      <c r="EN58" s="56"/>
      <c r="EO58" s="144"/>
    </row>
    <row r="59" spans="4:145" ht="12.75" customHeight="1" x14ac:dyDescent="0.3">
      <c r="D59" s="144" t="s">
        <v>338</v>
      </c>
      <c r="E59" s="494"/>
      <c r="F59" s="494"/>
      <c r="G59" s="56">
        <v>0</v>
      </c>
      <c r="H59" s="55"/>
      <c r="I59" s="56"/>
      <c r="J59" s="611"/>
      <c r="K59" s="611"/>
      <c r="L59" s="56">
        <v>0</v>
      </c>
      <c r="M59" s="55"/>
      <c r="N59" s="56"/>
      <c r="O59" s="611"/>
      <c r="P59" s="611"/>
      <c r="Q59" s="56">
        <v>0</v>
      </c>
      <c r="R59" s="55"/>
      <c r="S59" s="56"/>
      <c r="T59" s="611"/>
      <c r="U59" s="611"/>
      <c r="V59" s="56">
        <v>0</v>
      </c>
      <c r="W59" s="55"/>
      <c r="X59" s="56"/>
      <c r="Y59" s="611"/>
      <c r="Z59" s="611"/>
      <c r="AA59" s="56">
        <v>0</v>
      </c>
      <c r="AB59" s="55"/>
      <c r="AC59" s="56"/>
      <c r="AD59" s="611"/>
      <c r="AE59" s="611"/>
      <c r="AF59" s="56">
        <v>0</v>
      </c>
      <c r="AG59" s="55"/>
      <c r="AH59" s="56"/>
      <c r="AI59" s="611"/>
      <c r="AJ59" s="611"/>
      <c r="AK59" s="56">
        <v>0</v>
      </c>
      <c r="AL59" s="55"/>
      <c r="AM59" s="56"/>
      <c r="AN59" s="611"/>
      <c r="AO59" s="611"/>
      <c r="AP59" s="56">
        <v>0</v>
      </c>
      <c r="AQ59" s="55"/>
      <c r="AR59" s="56"/>
      <c r="AS59" s="611"/>
      <c r="AT59" s="611"/>
      <c r="AU59" s="56">
        <v>0</v>
      </c>
      <c r="AV59" s="55"/>
      <c r="AW59" s="56"/>
      <c r="AX59" s="611"/>
      <c r="AY59" s="611"/>
      <c r="AZ59" s="56">
        <v>0</v>
      </c>
      <c r="BA59" s="55"/>
      <c r="BB59" s="56"/>
      <c r="BC59" s="611"/>
      <c r="BD59" s="611"/>
      <c r="BE59" s="56">
        <v>0</v>
      </c>
      <c r="BF59" s="55"/>
      <c r="BG59" s="56"/>
      <c r="BH59" s="611"/>
      <c r="BI59" s="611"/>
      <c r="BJ59" s="56">
        <v>0</v>
      </c>
      <c r="BK59" s="55"/>
      <c r="BL59" s="56"/>
      <c r="BM59" s="611"/>
      <c r="BN59" s="611"/>
      <c r="BO59" s="56">
        <v>0</v>
      </c>
      <c r="BP59" s="55"/>
      <c r="BQ59" s="56"/>
      <c r="BR59" s="611"/>
      <c r="BS59" s="611"/>
      <c r="BT59" s="56">
        <f>SUM(L59:BO59)</f>
        <v>0</v>
      </c>
      <c r="BU59" s="55"/>
      <c r="BV59" s="56"/>
      <c r="BW59" s="611"/>
      <c r="BX59" s="611"/>
      <c r="BY59" s="56">
        <v>0</v>
      </c>
      <c r="BZ59" s="55"/>
      <c r="CA59" s="56"/>
      <c r="CB59" s="611"/>
      <c r="CC59" s="611"/>
      <c r="CD59" s="56">
        <v>0</v>
      </c>
      <c r="CE59" s="55"/>
      <c r="CF59" s="56"/>
      <c r="CG59" s="611"/>
      <c r="CH59" s="611"/>
      <c r="CI59" s="56">
        <v>0</v>
      </c>
      <c r="CJ59" s="55"/>
      <c r="CK59" s="56"/>
      <c r="CL59" s="611"/>
      <c r="CM59" s="611"/>
      <c r="CN59" s="56">
        <v>0</v>
      </c>
      <c r="CO59" s="55"/>
      <c r="CP59" s="56"/>
      <c r="CQ59" s="611"/>
      <c r="CR59" s="611"/>
      <c r="CS59" s="56">
        <v>0</v>
      </c>
      <c r="CT59" s="55"/>
      <c r="CU59" s="56"/>
      <c r="CV59" s="611"/>
      <c r="CW59" s="611"/>
      <c r="CX59" s="56">
        <v>0</v>
      </c>
      <c r="CY59" s="55"/>
      <c r="CZ59" s="56"/>
      <c r="DA59" s="611"/>
      <c r="DB59" s="611"/>
      <c r="DC59" s="56">
        <v>0</v>
      </c>
      <c r="DD59" s="55"/>
      <c r="DE59" s="56"/>
      <c r="DF59" s="611"/>
      <c r="DG59" s="611"/>
      <c r="DH59" s="56">
        <v>0</v>
      </c>
      <c r="DI59" s="55"/>
      <c r="DJ59" s="56"/>
      <c r="DK59" s="611"/>
      <c r="DL59" s="611"/>
      <c r="DM59" s="56">
        <v>0</v>
      </c>
      <c r="DN59" s="55"/>
      <c r="DO59" s="56"/>
      <c r="DP59" s="611"/>
      <c r="DQ59" s="611"/>
      <c r="DR59" s="56">
        <v>0</v>
      </c>
      <c r="DS59" s="55"/>
      <c r="DT59" s="56"/>
      <c r="DU59" s="611"/>
      <c r="DV59" s="611"/>
      <c r="DW59" s="56">
        <v>0</v>
      </c>
      <c r="DX59" s="55"/>
      <c r="DY59" s="56"/>
      <c r="DZ59" s="611"/>
      <c r="EA59" s="611"/>
      <c r="EB59" s="56">
        <v>0</v>
      </c>
      <c r="EC59" s="55"/>
      <c r="ED59" s="56"/>
      <c r="EE59" s="611"/>
      <c r="EF59" s="611"/>
      <c r="EG59" s="56">
        <v>0</v>
      </c>
      <c r="EH59" s="55"/>
      <c r="EI59" s="56"/>
      <c r="EJ59" s="611"/>
      <c r="EK59" s="611"/>
      <c r="EL59" s="56">
        <f t="shared" ref="EL59:EL60" si="12">SUM(CD59:DW59)</f>
        <v>0</v>
      </c>
      <c r="EM59" s="55"/>
      <c r="EN59" s="56"/>
      <c r="EO59" s="144"/>
    </row>
    <row r="60" spans="4:145" ht="12.75" customHeight="1" x14ac:dyDescent="0.3">
      <c r="D60" s="144" t="s">
        <v>352</v>
      </c>
      <c r="E60" s="494"/>
      <c r="F60" s="513"/>
      <c r="G60" s="117">
        <v>0</v>
      </c>
      <c r="H60" s="116"/>
      <c r="I60" s="56"/>
      <c r="J60" s="611"/>
      <c r="K60" s="620"/>
      <c r="L60" s="117">
        <v>0</v>
      </c>
      <c r="M60" s="116"/>
      <c r="N60" s="56"/>
      <c r="O60" s="611"/>
      <c r="P60" s="620"/>
      <c r="Q60" s="117">
        <v>0</v>
      </c>
      <c r="R60" s="116"/>
      <c r="S60" s="56"/>
      <c r="T60" s="611"/>
      <c r="U60" s="620"/>
      <c r="V60" s="117">
        <v>0</v>
      </c>
      <c r="W60" s="116"/>
      <c r="X60" s="56"/>
      <c r="Y60" s="611"/>
      <c r="Z60" s="620"/>
      <c r="AA60" s="117">
        <v>0</v>
      </c>
      <c r="AB60" s="116"/>
      <c r="AC60" s="56"/>
      <c r="AD60" s="611"/>
      <c r="AE60" s="620"/>
      <c r="AF60" s="117">
        <v>0</v>
      </c>
      <c r="AG60" s="116"/>
      <c r="AH60" s="56"/>
      <c r="AI60" s="611"/>
      <c r="AJ60" s="620"/>
      <c r="AK60" s="117">
        <v>0</v>
      </c>
      <c r="AL60" s="116"/>
      <c r="AM60" s="56"/>
      <c r="AN60" s="611"/>
      <c r="AO60" s="620"/>
      <c r="AP60" s="117">
        <v>0</v>
      </c>
      <c r="AQ60" s="116"/>
      <c r="AR60" s="56"/>
      <c r="AS60" s="611"/>
      <c r="AT60" s="620"/>
      <c r="AU60" s="117">
        <v>0</v>
      </c>
      <c r="AV60" s="116"/>
      <c r="AW60" s="56"/>
      <c r="AX60" s="611"/>
      <c r="AY60" s="620"/>
      <c r="AZ60" s="117">
        <v>0</v>
      </c>
      <c r="BA60" s="116"/>
      <c r="BB60" s="56"/>
      <c r="BC60" s="611"/>
      <c r="BD60" s="620"/>
      <c r="BE60" s="117">
        <v>0</v>
      </c>
      <c r="BF60" s="116"/>
      <c r="BG60" s="56"/>
      <c r="BH60" s="611"/>
      <c r="BI60" s="620"/>
      <c r="BJ60" s="117">
        <v>0</v>
      </c>
      <c r="BK60" s="116"/>
      <c r="BL60" s="56"/>
      <c r="BM60" s="611"/>
      <c r="BN60" s="620"/>
      <c r="BO60" s="117">
        <v>0</v>
      </c>
      <c r="BP60" s="116"/>
      <c r="BQ60" s="56"/>
      <c r="BR60" s="611"/>
      <c r="BS60" s="620"/>
      <c r="BT60" s="117">
        <f>SUM(L60:BO60)</f>
        <v>0</v>
      </c>
      <c r="BU60" s="116"/>
      <c r="BV60" s="56"/>
      <c r="BW60" s="611"/>
      <c r="BX60" s="620"/>
      <c r="BY60" s="117">
        <v>0</v>
      </c>
      <c r="BZ60" s="116"/>
      <c r="CA60" s="56"/>
      <c r="CB60" s="611"/>
      <c r="CC60" s="620"/>
      <c r="CD60" s="117">
        <v>0</v>
      </c>
      <c r="CE60" s="116"/>
      <c r="CF60" s="56"/>
      <c r="CG60" s="611"/>
      <c r="CH60" s="620"/>
      <c r="CI60" s="117">
        <v>0</v>
      </c>
      <c r="CJ60" s="116"/>
      <c r="CK60" s="56"/>
      <c r="CL60" s="611"/>
      <c r="CM60" s="620"/>
      <c r="CN60" s="117">
        <v>0</v>
      </c>
      <c r="CO60" s="116"/>
      <c r="CP60" s="56"/>
      <c r="CQ60" s="611"/>
      <c r="CR60" s="620"/>
      <c r="CS60" s="117">
        <v>0</v>
      </c>
      <c r="CT60" s="116"/>
      <c r="CU60" s="56"/>
      <c r="CV60" s="611"/>
      <c r="CW60" s="620"/>
      <c r="CX60" s="117">
        <v>0</v>
      </c>
      <c r="CY60" s="116"/>
      <c r="CZ60" s="56"/>
      <c r="DA60" s="611"/>
      <c r="DB60" s="620"/>
      <c r="DC60" s="117">
        <v>0</v>
      </c>
      <c r="DD60" s="116"/>
      <c r="DE60" s="56"/>
      <c r="DF60" s="611"/>
      <c r="DG60" s="620"/>
      <c r="DH60" s="117">
        <v>0</v>
      </c>
      <c r="DI60" s="116"/>
      <c r="DJ60" s="56"/>
      <c r="DK60" s="611"/>
      <c r="DL60" s="620"/>
      <c r="DM60" s="117">
        <v>0</v>
      </c>
      <c r="DN60" s="116"/>
      <c r="DO60" s="56"/>
      <c r="DP60" s="611"/>
      <c r="DQ60" s="620"/>
      <c r="DR60" s="117">
        <v>0</v>
      </c>
      <c r="DS60" s="116"/>
      <c r="DT60" s="56"/>
      <c r="DU60" s="611"/>
      <c r="DV60" s="620"/>
      <c r="DW60" s="117">
        <v>0</v>
      </c>
      <c r="DX60" s="116"/>
      <c r="DY60" s="56"/>
      <c r="DZ60" s="611"/>
      <c r="EA60" s="620"/>
      <c r="EB60" s="117">
        <v>0</v>
      </c>
      <c r="EC60" s="116"/>
      <c r="ED60" s="56"/>
      <c r="EE60" s="611"/>
      <c r="EF60" s="620"/>
      <c r="EG60" s="117">
        <v>0</v>
      </c>
      <c r="EH60" s="116"/>
      <c r="EI60" s="56"/>
      <c r="EJ60" s="611"/>
      <c r="EK60" s="620"/>
      <c r="EL60" s="117">
        <f t="shared" si="12"/>
        <v>0</v>
      </c>
      <c r="EM60" s="116"/>
      <c r="EN60" s="56"/>
      <c r="EO60" s="144"/>
    </row>
    <row r="61" spans="4:145" ht="12.75" customHeight="1" x14ac:dyDescent="0.3">
      <c r="D61" s="144"/>
      <c r="E61" s="494"/>
      <c r="G61" s="56"/>
      <c r="H61" s="56"/>
      <c r="I61" s="56"/>
      <c r="J61" s="611"/>
      <c r="K61" s="56"/>
      <c r="L61" s="56"/>
      <c r="M61" s="56"/>
      <c r="N61" s="56"/>
      <c r="O61" s="611"/>
      <c r="P61" s="56"/>
      <c r="Q61" s="56"/>
      <c r="R61" s="56"/>
      <c r="S61" s="56"/>
      <c r="T61" s="611"/>
      <c r="U61" s="56"/>
      <c r="V61" s="56"/>
      <c r="W61" s="56"/>
      <c r="X61" s="56"/>
      <c r="Y61" s="611"/>
      <c r="Z61" s="56"/>
      <c r="AA61" s="56"/>
      <c r="AB61" s="56"/>
      <c r="AC61" s="56"/>
      <c r="AD61" s="611"/>
      <c r="AE61" s="56"/>
      <c r="AF61" s="56"/>
      <c r="AG61" s="56"/>
      <c r="AH61" s="56"/>
      <c r="AI61" s="611"/>
      <c r="AJ61" s="56"/>
      <c r="AK61" s="56"/>
      <c r="AL61" s="56"/>
      <c r="AM61" s="56"/>
      <c r="AN61" s="611"/>
      <c r="AO61" s="56"/>
      <c r="AP61" s="56"/>
      <c r="AQ61" s="56"/>
      <c r="AR61" s="56"/>
      <c r="AS61" s="611"/>
      <c r="AT61" s="56"/>
      <c r="AU61" s="56"/>
      <c r="AV61" s="56"/>
      <c r="AW61" s="56"/>
      <c r="AX61" s="611"/>
      <c r="AY61" s="56"/>
      <c r="AZ61" s="56"/>
      <c r="BA61" s="56"/>
      <c r="BB61" s="56"/>
      <c r="BC61" s="611"/>
      <c r="BD61" s="56"/>
      <c r="BE61" s="56"/>
      <c r="BF61" s="56"/>
      <c r="BG61" s="56"/>
      <c r="BH61" s="611"/>
      <c r="BI61" s="56"/>
      <c r="BJ61" s="56"/>
      <c r="BK61" s="56"/>
      <c r="BL61" s="56"/>
      <c r="BM61" s="611"/>
      <c r="BN61" s="56"/>
      <c r="BO61" s="56"/>
      <c r="BP61" s="56"/>
      <c r="BQ61" s="56"/>
      <c r="BR61" s="611"/>
      <c r="BS61" s="56"/>
      <c r="BT61" s="56"/>
      <c r="BU61" s="56"/>
      <c r="BV61" s="56"/>
      <c r="BW61" s="611"/>
      <c r="BX61" s="56"/>
      <c r="BY61" s="56"/>
      <c r="BZ61" s="56"/>
      <c r="CA61" s="56"/>
      <c r="CB61" s="611"/>
      <c r="CC61" s="56"/>
      <c r="CD61" s="56"/>
      <c r="CE61" s="56"/>
      <c r="CF61" s="56"/>
      <c r="CG61" s="611"/>
      <c r="CH61" s="56"/>
      <c r="CI61" s="56"/>
      <c r="CJ61" s="56"/>
      <c r="CK61" s="56"/>
      <c r="CL61" s="611"/>
      <c r="CM61" s="56"/>
      <c r="CN61" s="56"/>
      <c r="CO61" s="56"/>
      <c r="CP61" s="56"/>
      <c r="CQ61" s="611"/>
      <c r="CR61" s="56"/>
      <c r="CS61" s="56"/>
      <c r="CT61" s="56"/>
      <c r="CU61" s="56"/>
      <c r="CV61" s="611"/>
      <c r="CW61" s="56"/>
      <c r="CX61" s="56"/>
      <c r="CY61" s="56"/>
      <c r="CZ61" s="56"/>
      <c r="DA61" s="611"/>
      <c r="DB61" s="56"/>
      <c r="DC61" s="56"/>
      <c r="DD61" s="56"/>
      <c r="DE61" s="56"/>
      <c r="DF61" s="611"/>
      <c r="DG61" s="56"/>
      <c r="DH61" s="56"/>
      <c r="DI61" s="56"/>
      <c r="DJ61" s="56"/>
      <c r="DK61" s="611"/>
      <c r="DL61" s="56"/>
      <c r="DM61" s="56"/>
      <c r="DN61" s="56"/>
      <c r="DO61" s="56"/>
      <c r="DP61" s="611"/>
      <c r="DQ61" s="56"/>
      <c r="DR61" s="56"/>
      <c r="DS61" s="56"/>
      <c r="DT61" s="56"/>
      <c r="DU61" s="611"/>
      <c r="DV61" s="56"/>
      <c r="DW61" s="56"/>
      <c r="DX61" s="56"/>
      <c r="DY61" s="56"/>
      <c r="DZ61" s="611"/>
      <c r="EA61" s="56"/>
      <c r="EB61" s="56"/>
      <c r="EC61" s="56"/>
      <c r="ED61" s="56"/>
      <c r="EE61" s="611"/>
      <c r="EF61" s="56"/>
      <c r="EG61" s="56"/>
      <c r="EH61" s="56"/>
      <c r="EI61" s="56"/>
      <c r="EJ61" s="611"/>
      <c r="EK61" s="56"/>
      <c r="EL61" s="56"/>
      <c r="EM61" s="56"/>
      <c r="EN61" s="56"/>
      <c r="EO61" s="144"/>
    </row>
    <row r="62" spans="4:145" ht="12.75" customHeight="1" x14ac:dyDescent="0.3">
      <c r="D62" s="144" t="s">
        <v>431</v>
      </c>
      <c r="E62" s="494"/>
      <c r="G62" s="56">
        <v>0</v>
      </c>
      <c r="H62" s="56"/>
      <c r="I62" s="56"/>
      <c r="J62" s="611"/>
      <c r="K62" s="56"/>
      <c r="L62" s="56">
        <f>L63+L65</f>
        <v>0</v>
      </c>
      <c r="M62" s="56"/>
      <c r="N62" s="56"/>
      <c r="O62" s="611"/>
      <c r="P62" s="56"/>
      <c r="Q62" s="56">
        <f>Q63+Q65</f>
        <v>0</v>
      </c>
      <c r="R62" s="56"/>
      <c r="S62" s="56"/>
      <c r="T62" s="611"/>
      <c r="U62" s="56"/>
      <c r="V62" s="56">
        <f>V63+V65</f>
        <v>0</v>
      </c>
      <c r="W62" s="56"/>
      <c r="X62" s="56"/>
      <c r="Y62" s="611"/>
      <c r="Z62" s="56"/>
      <c r="AA62" s="56">
        <f>AA63+AA65</f>
        <v>0</v>
      </c>
      <c r="AB62" s="56"/>
      <c r="AC62" s="56"/>
      <c r="AD62" s="611"/>
      <c r="AE62" s="56"/>
      <c r="AF62" s="56">
        <f>AF63+AF65</f>
        <v>0</v>
      </c>
      <c r="AG62" s="56"/>
      <c r="AH62" s="56"/>
      <c r="AI62" s="611"/>
      <c r="AJ62" s="56"/>
      <c r="AK62" s="56">
        <f>AK63+AK65</f>
        <v>0</v>
      </c>
      <c r="AL62" s="56"/>
      <c r="AM62" s="56"/>
      <c r="AN62" s="611"/>
      <c r="AO62" s="56"/>
      <c r="AP62" s="56">
        <f>AP63+AP65</f>
        <v>0</v>
      </c>
      <c r="AQ62" s="56"/>
      <c r="AR62" s="56"/>
      <c r="AS62" s="611"/>
      <c r="AT62" s="56"/>
      <c r="AU62" s="56">
        <f>AU63+AU65</f>
        <v>0</v>
      </c>
      <c r="AV62" s="56"/>
      <c r="AW62" s="56"/>
      <c r="AX62" s="611"/>
      <c r="AY62" s="56"/>
      <c r="AZ62" s="56">
        <f>AZ63+AZ65</f>
        <v>0</v>
      </c>
      <c r="BA62" s="56"/>
      <c r="BB62" s="56"/>
      <c r="BC62" s="611"/>
      <c r="BD62" s="56"/>
      <c r="BE62" s="56">
        <f>BE63+BE65</f>
        <v>5596913</v>
      </c>
      <c r="BF62" s="56"/>
      <c r="BG62" s="56"/>
      <c r="BH62" s="611"/>
      <c r="BI62" s="56"/>
      <c r="BJ62" s="56">
        <f>BJ63+BJ65</f>
        <v>0</v>
      </c>
      <c r="BK62" s="56"/>
      <c r="BL62" s="56"/>
      <c r="BM62" s="611"/>
      <c r="BN62" s="56"/>
      <c r="BO62" s="56">
        <f>BO63+BO65</f>
        <v>0</v>
      </c>
      <c r="BP62" s="56"/>
      <c r="BQ62" s="56"/>
      <c r="BR62" s="611"/>
      <c r="BS62" s="56"/>
      <c r="BT62" s="56">
        <f>SUM(BT63:BT65)</f>
        <v>5596913</v>
      </c>
      <c r="BU62" s="56"/>
      <c r="BV62" s="56"/>
      <c r="BW62" s="611"/>
      <c r="BX62" s="56"/>
      <c r="BY62" s="56">
        <f>SUM(BY63:BY65)</f>
        <v>0</v>
      </c>
      <c r="BZ62" s="56"/>
      <c r="CA62" s="56"/>
      <c r="CB62" s="611"/>
      <c r="CC62" s="56"/>
      <c r="CD62" s="56">
        <f>CD63+CD65</f>
        <v>0</v>
      </c>
      <c r="CE62" s="56"/>
      <c r="CF62" s="56"/>
      <c r="CG62" s="611"/>
      <c r="CH62" s="56"/>
      <c r="CI62" s="56">
        <f>CI63+CI65</f>
        <v>0</v>
      </c>
      <c r="CJ62" s="56"/>
      <c r="CK62" s="56"/>
      <c r="CL62" s="611"/>
      <c r="CM62" s="56"/>
      <c r="CN62" s="56">
        <f>CN63+CN65</f>
        <v>0</v>
      </c>
      <c r="CO62" s="56"/>
      <c r="CP62" s="56"/>
      <c r="CQ62" s="611"/>
      <c r="CR62" s="56"/>
      <c r="CS62" s="56">
        <f>CS63+CS65</f>
        <v>0</v>
      </c>
      <c r="CT62" s="56"/>
      <c r="CU62" s="56"/>
      <c r="CV62" s="611"/>
      <c r="CW62" s="56"/>
      <c r="CX62" s="56">
        <f>CX63+CX65</f>
        <v>0</v>
      </c>
      <c r="CY62" s="56"/>
      <c r="CZ62" s="56"/>
      <c r="DA62" s="611"/>
      <c r="DB62" s="56"/>
      <c r="DC62" s="56">
        <f>DC63+DC65</f>
        <v>0</v>
      </c>
      <c r="DD62" s="56"/>
      <c r="DE62" s="56"/>
      <c r="DF62" s="611"/>
      <c r="DG62" s="56"/>
      <c r="DH62" s="56">
        <f>DH63+DH65</f>
        <v>0</v>
      </c>
      <c r="DI62" s="56"/>
      <c r="DJ62" s="56"/>
      <c r="DK62" s="611"/>
      <c r="DL62" s="56"/>
      <c r="DM62" s="56">
        <f>DM63+DM65</f>
        <v>0</v>
      </c>
      <c r="DN62" s="56"/>
      <c r="DO62" s="56"/>
      <c r="DP62" s="611"/>
      <c r="DQ62" s="56"/>
      <c r="DR62" s="56">
        <f>DR63+DR65</f>
        <v>0</v>
      </c>
      <c r="DS62" s="56"/>
      <c r="DT62" s="56"/>
      <c r="DU62" s="611"/>
      <c r="DV62" s="56"/>
      <c r="DW62" s="56">
        <f>DW63+DW65</f>
        <v>0</v>
      </c>
      <c r="DX62" s="56"/>
      <c r="DY62" s="56"/>
      <c r="DZ62" s="611"/>
      <c r="EA62" s="56"/>
      <c r="EB62" s="56">
        <f>EB63+EB65</f>
        <v>0</v>
      </c>
      <c r="EC62" s="56"/>
      <c r="ED62" s="56"/>
      <c r="EE62" s="611"/>
      <c r="EF62" s="56"/>
      <c r="EG62" s="56">
        <f>EG63+EG65</f>
        <v>0</v>
      </c>
      <c r="EH62" s="56"/>
      <c r="EI62" s="56"/>
      <c r="EJ62" s="611"/>
      <c r="EK62" s="56"/>
      <c r="EL62" s="56">
        <f>SUM(EL63:EL65)</f>
        <v>0</v>
      </c>
      <c r="EM62" s="56"/>
      <c r="EN62" s="56"/>
      <c r="EO62" s="144"/>
    </row>
    <row r="63" spans="4:145" ht="12.75" customHeight="1" x14ac:dyDescent="0.3">
      <c r="D63" s="144" t="s">
        <v>335</v>
      </c>
      <c r="E63" s="494"/>
      <c r="F63" s="500"/>
      <c r="G63" s="609">
        <v>0</v>
      </c>
      <c r="H63" s="610"/>
      <c r="I63" s="56"/>
      <c r="J63" s="611"/>
      <c r="K63" s="612"/>
      <c r="L63" s="609">
        <v>0</v>
      </c>
      <c r="M63" s="610"/>
      <c r="N63" s="56"/>
      <c r="O63" s="611"/>
      <c r="P63" s="612"/>
      <c r="Q63" s="609">
        <v>0</v>
      </c>
      <c r="R63" s="610"/>
      <c r="S63" s="56"/>
      <c r="T63" s="611"/>
      <c r="U63" s="612"/>
      <c r="V63" s="609">
        <v>0</v>
      </c>
      <c r="W63" s="610"/>
      <c r="X63" s="56"/>
      <c r="Y63" s="611"/>
      <c r="Z63" s="612"/>
      <c r="AA63" s="609">
        <v>0</v>
      </c>
      <c r="AB63" s="610"/>
      <c r="AC63" s="56"/>
      <c r="AD63" s="611"/>
      <c r="AE63" s="612"/>
      <c r="AF63" s="609">
        <v>0</v>
      </c>
      <c r="AG63" s="610"/>
      <c r="AH63" s="56"/>
      <c r="AI63" s="611"/>
      <c r="AJ63" s="612"/>
      <c r="AK63" s="609">
        <v>0</v>
      </c>
      <c r="AL63" s="610"/>
      <c r="AM63" s="56"/>
      <c r="AN63" s="611"/>
      <c r="AO63" s="612"/>
      <c r="AP63" s="609">
        <v>0</v>
      </c>
      <c r="AQ63" s="610"/>
      <c r="AR63" s="56"/>
      <c r="AS63" s="611"/>
      <c r="AT63" s="612"/>
      <c r="AU63" s="609">
        <v>0</v>
      </c>
      <c r="AV63" s="610"/>
      <c r="AW63" s="56"/>
      <c r="AX63" s="611"/>
      <c r="AY63" s="612"/>
      <c r="AZ63" s="609">
        <v>0</v>
      </c>
      <c r="BA63" s="610"/>
      <c r="BB63" s="56"/>
      <c r="BC63" s="611"/>
      <c r="BD63" s="612"/>
      <c r="BE63" s="609">
        <v>5596913</v>
      </c>
      <c r="BF63" s="610"/>
      <c r="BG63" s="56"/>
      <c r="BH63" s="611"/>
      <c r="BI63" s="612"/>
      <c r="BJ63" s="609">
        <v>0</v>
      </c>
      <c r="BK63" s="610"/>
      <c r="BL63" s="56"/>
      <c r="BM63" s="611"/>
      <c r="BN63" s="612"/>
      <c r="BO63" s="609">
        <v>0</v>
      </c>
      <c r="BP63" s="610"/>
      <c r="BQ63" s="56"/>
      <c r="BR63" s="611"/>
      <c r="BS63" s="612"/>
      <c r="BT63" s="609">
        <f>SUM(L63:BO63)</f>
        <v>5596913</v>
      </c>
      <c r="BU63" s="610"/>
      <c r="BV63" s="56"/>
      <c r="BW63" s="611"/>
      <c r="BX63" s="612"/>
      <c r="BY63" s="609">
        <v>0</v>
      </c>
      <c r="BZ63" s="610"/>
      <c r="CA63" s="56"/>
      <c r="CB63" s="611"/>
      <c r="CC63" s="612"/>
      <c r="CD63" s="609">
        <v>0</v>
      </c>
      <c r="CE63" s="610"/>
      <c r="CF63" s="56"/>
      <c r="CG63" s="611"/>
      <c r="CH63" s="612"/>
      <c r="CI63" s="609">
        <v>0</v>
      </c>
      <c r="CJ63" s="610"/>
      <c r="CK63" s="56"/>
      <c r="CL63" s="611"/>
      <c r="CM63" s="612"/>
      <c r="CN63" s="609">
        <v>0</v>
      </c>
      <c r="CO63" s="610"/>
      <c r="CP63" s="56"/>
      <c r="CQ63" s="611"/>
      <c r="CR63" s="612"/>
      <c r="CS63" s="609">
        <v>0</v>
      </c>
      <c r="CT63" s="610"/>
      <c r="CU63" s="56"/>
      <c r="CV63" s="611"/>
      <c r="CW63" s="612"/>
      <c r="CX63" s="609">
        <v>0</v>
      </c>
      <c r="CY63" s="610"/>
      <c r="CZ63" s="56"/>
      <c r="DA63" s="611"/>
      <c r="DB63" s="612"/>
      <c r="DC63" s="609">
        <v>0</v>
      </c>
      <c r="DD63" s="610"/>
      <c r="DE63" s="56"/>
      <c r="DF63" s="611"/>
      <c r="DG63" s="612"/>
      <c r="DH63" s="609">
        <v>0</v>
      </c>
      <c r="DI63" s="610"/>
      <c r="DJ63" s="56"/>
      <c r="DK63" s="611"/>
      <c r="DL63" s="612"/>
      <c r="DM63" s="609">
        <v>0</v>
      </c>
      <c r="DN63" s="610"/>
      <c r="DO63" s="56"/>
      <c r="DP63" s="611"/>
      <c r="DQ63" s="612"/>
      <c r="DR63" s="609">
        <v>0</v>
      </c>
      <c r="DS63" s="610"/>
      <c r="DT63" s="56"/>
      <c r="DU63" s="611"/>
      <c r="DV63" s="612"/>
      <c r="DW63" s="609">
        <v>0</v>
      </c>
      <c r="DX63" s="610"/>
      <c r="DY63" s="56"/>
      <c r="DZ63" s="611"/>
      <c r="EA63" s="612"/>
      <c r="EB63" s="609">
        <v>0</v>
      </c>
      <c r="EC63" s="610"/>
      <c r="ED63" s="56"/>
      <c r="EE63" s="611"/>
      <c r="EF63" s="612"/>
      <c r="EG63" s="609">
        <v>0</v>
      </c>
      <c r="EH63" s="610"/>
      <c r="EI63" s="56"/>
      <c r="EJ63" s="611"/>
      <c r="EK63" s="612"/>
      <c r="EL63" s="609">
        <f>SUM(CD63:DW63)</f>
        <v>0</v>
      </c>
      <c r="EM63" s="610"/>
      <c r="EN63" s="56"/>
      <c r="EO63" s="144"/>
    </row>
    <row r="64" spans="4:145" ht="12.75" customHeight="1" x14ac:dyDescent="0.3">
      <c r="D64" s="144" t="s">
        <v>338</v>
      </c>
      <c r="E64" s="494"/>
      <c r="F64" s="494"/>
      <c r="G64" s="56">
        <v>0</v>
      </c>
      <c r="H64" s="55"/>
      <c r="I64" s="56"/>
      <c r="J64" s="611"/>
      <c r="K64" s="611"/>
      <c r="L64" s="56">
        <v>0</v>
      </c>
      <c r="M64" s="55"/>
      <c r="N64" s="56"/>
      <c r="O64" s="611"/>
      <c r="P64" s="611"/>
      <c r="Q64" s="56">
        <v>0</v>
      </c>
      <c r="R64" s="55"/>
      <c r="S64" s="56"/>
      <c r="T64" s="611"/>
      <c r="U64" s="611"/>
      <c r="V64" s="56">
        <v>0</v>
      </c>
      <c r="W64" s="55"/>
      <c r="X64" s="56"/>
      <c r="Y64" s="611"/>
      <c r="Z64" s="611"/>
      <c r="AA64" s="56">
        <v>0</v>
      </c>
      <c r="AB64" s="55"/>
      <c r="AC64" s="56"/>
      <c r="AD64" s="611"/>
      <c r="AE64" s="611"/>
      <c r="AF64" s="56">
        <v>0</v>
      </c>
      <c r="AG64" s="55"/>
      <c r="AH64" s="56"/>
      <c r="AI64" s="611"/>
      <c r="AJ64" s="611"/>
      <c r="AK64" s="56">
        <v>0</v>
      </c>
      <c r="AL64" s="55"/>
      <c r="AM64" s="56"/>
      <c r="AN64" s="611"/>
      <c r="AO64" s="611"/>
      <c r="AP64" s="56">
        <v>0</v>
      </c>
      <c r="AQ64" s="55"/>
      <c r="AR64" s="56"/>
      <c r="AS64" s="611"/>
      <c r="AT64" s="611"/>
      <c r="AU64" s="56">
        <v>0</v>
      </c>
      <c r="AV64" s="55"/>
      <c r="AW64" s="56"/>
      <c r="AX64" s="611"/>
      <c r="AY64" s="611"/>
      <c r="AZ64" s="56">
        <v>0</v>
      </c>
      <c r="BA64" s="55"/>
      <c r="BB64" s="56"/>
      <c r="BC64" s="611"/>
      <c r="BD64" s="611"/>
      <c r="BE64" s="56">
        <v>0</v>
      </c>
      <c r="BF64" s="55"/>
      <c r="BG64" s="56"/>
      <c r="BH64" s="611"/>
      <c r="BI64" s="611"/>
      <c r="BJ64" s="56">
        <v>0</v>
      </c>
      <c r="BK64" s="55"/>
      <c r="BL64" s="56"/>
      <c r="BM64" s="611"/>
      <c r="BN64" s="611"/>
      <c r="BO64" s="56">
        <v>0</v>
      </c>
      <c r="BP64" s="55"/>
      <c r="BQ64" s="56"/>
      <c r="BR64" s="611"/>
      <c r="BS64" s="611"/>
      <c r="BT64" s="56">
        <f>SUM(L64:BO64)</f>
        <v>0</v>
      </c>
      <c r="BU64" s="55"/>
      <c r="BV64" s="56"/>
      <c r="BW64" s="611"/>
      <c r="BX64" s="611"/>
      <c r="BY64" s="56">
        <v>0</v>
      </c>
      <c r="BZ64" s="55"/>
      <c r="CA64" s="56"/>
      <c r="CB64" s="611"/>
      <c r="CC64" s="611"/>
      <c r="CD64" s="56">
        <v>0</v>
      </c>
      <c r="CE64" s="55"/>
      <c r="CF64" s="56"/>
      <c r="CG64" s="611"/>
      <c r="CH64" s="611"/>
      <c r="CI64" s="56">
        <v>0</v>
      </c>
      <c r="CJ64" s="55"/>
      <c r="CK64" s="56"/>
      <c r="CL64" s="611"/>
      <c r="CM64" s="611"/>
      <c r="CN64" s="56">
        <v>0</v>
      </c>
      <c r="CO64" s="55"/>
      <c r="CP64" s="56"/>
      <c r="CQ64" s="611"/>
      <c r="CR64" s="611"/>
      <c r="CS64" s="56">
        <v>0</v>
      </c>
      <c r="CT64" s="55"/>
      <c r="CU64" s="56"/>
      <c r="CV64" s="611"/>
      <c r="CW64" s="611"/>
      <c r="CX64" s="56">
        <v>0</v>
      </c>
      <c r="CY64" s="55"/>
      <c r="CZ64" s="56"/>
      <c r="DA64" s="611"/>
      <c r="DB64" s="611"/>
      <c r="DC64" s="56">
        <v>0</v>
      </c>
      <c r="DD64" s="55"/>
      <c r="DE64" s="56"/>
      <c r="DF64" s="611"/>
      <c r="DG64" s="611"/>
      <c r="DH64" s="56">
        <v>0</v>
      </c>
      <c r="DI64" s="55"/>
      <c r="DJ64" s="56"/>
      <c r="DK64" s="611"/>
      <c r="DL64" s="611"/>
      <c r="DM64" s="56">
        <v>0</v>
      </c>
      <c r="DN64" s="55"/>
      <c r="DO64" s="56"/>
      <c r="DP64" s="611"/>
      <c r="DQ64" s="611"/>
      <c r="DR64" s="56">
        <v>0</v>
      </c>
      <c r="DS64" s="55"/>
      <c r="DT64" s="56"/>
      <c r="DU64" s="611"/>
      <c r="DV64" s="611"/>
      <c r="DW64" s="56">
        <v>0</v>
      </c>
      <c r="DX64" s="55"/>
      <c r="DY64" s="56"/>
      <c r="DZ64" s="611"/>
      <c r="EA64" s="611"/>
      <c r="EB64" s="56">
        <v>0</v>
      </c>
      <c r="EC64" s="55"/>
      <c r="ED64" s="56"/>
      <c r="EE64" s="611"/>
      <c r="EF64" s="611"/>
      <c r="EG64" s="56">
        <v>0</v>
      </c>
      <c r="EH64" s="55"/>
      <c r="EI64" s="56"/>
      <c r="EJ64" s="611"/>
      <c r="EK64" s="611"/>
      <c r="EL64" s="56">
        <f t="shared" ref="EL64:EL65" si="13">SUM(CD64:DW64)</f>
        <v>0</v>
      </c>
      <c r="EM64" s="55"/>
      <c r="EN64" s="56"/>
      <c r="EO64" s="144"/>
    </row>
    <row r="65" spans="4:148" ht="12.75" customHeight="1" x14ac:dyDescent="0.3">
      <c r="D65" s="144" t="s">
        <v>352</v>
      </c>
      <c r="E65" s="494"/>
      <c r="F65" s="513"/>
      <c r="G65" s="117">
        <v>0</v>
      </c>
      <c r="H65" s="116"/>
      <c r="I65" s="56"/>
      <c r="J65" s="611"/>
      <c r="K65" s="620"/>
      <c r="L65" s="117">
        <v>0</v>
      </c>
      <c r="M65" s="116"/>
      <c r="N65" s="56"/>
      <c r="O65" s="611"/>
      <c r="P65" s="620"/>
      <c r="Q65" s="117">
        <v>0</v>
      </c>
      <c r="R65" s="116"/>
      <c r="S65" s="56"/>
      <c r="T65" s="611"/>
      <c r="U65" s="620"/>
      <c r="V65" s="117">
        <v>0</v>
      </c>
      <c r="W65" s="116"/>
      <c r="X65" s="56"/>
      <c r="Y65" s="611"/>
      <c r="Z65" s="620"/>
      <c r="AA65" s="117">
        <v>0</v>
      </c>
      <c r="AB65" s="116"/>
      <c r="AC65" s="56"/>
      <c r="AD65" s="611"/>
      <c r="AE65" s="620"/>
      <c r="AF65" s="117">
        <v>0</v>
      </c>
      <c r="AG65" s="116"/>
      <c r="AH65" s="56"/>
      <c r="AI65" s="611"/>
      <c r="AJ65" s="620"/>
      <c r="AK65" s="117">
        <v>0</v>
      </c>
      <c r="AL65" s="116"/>
      <c r="AM65" s="56"/>
      <c r="AN65" s="611"/>
      <c r="AO65" s="620"/>
      <c r="AP65" s="117">
        <v>0</v>
      </c>
      <c r="AQ65" s="116"/>
      <c r="AR65" s="56"/>
      <c r="AS65" s="611"/>
      <c r="AT65" s="620"/>
      <c r="AU65" s="117">
        <v>0</v>
      </c>
      <c r="AV65" s="116"/>
      <c r="AW65" s="56"/>
      <c r="AX65" s="611"/>
      <c r="AY65" s="620"/>
      <c r="AZ65" s="117">
        <v>0</v>
      </c>
      <c r="BA65" s="116"/>
      <c r="BB65" s="56"/>
      <c r="BC65" s="611"/>
      <c r="BD65" s="620"/>
      <c r="BE65" s="117">
        <v>0</v>
      </c>
      <c r="BF65" s="116"/>
      <c r="BG65" s="56"/>
      <c r="BH65" s="611"/>
      <c r="BI65" s="620"/>
      <c r="BJ65" s="117">
        <v>0</v>
      </c>
      <c r="BK65" s="116"/>
      <c r="BL65" s="56"/>
      <c r="BM65" s="611"/>
      <c r="BN65" s="620"/>
      <c r="BO65" s="117">
        <v>0</v>
      </c>
      <c r="BP65" s="116"/>
      <c r="BQ65" s="56"/>
      <c r="BR65" s="611"/>
      <c r="BS65" s="620"/>
      <c r="BT65" s="117">
        <f>SUM(L65:BO65)</f>
        <v>0</v>
      </c>
      <c r="BU65" s="116"/>
      <c r="BV65" s="56"/>
      <c r="BW65" s="611"/>
      <c r="BX65" s="620"/>
      <c r="BY65" s="117">
        <v>0</v>
      </c>
      <c r="BZ65" s="116"/>
      <c r="CA65" s="56"/>
      <c r="CB65" s="611"/>
      <c r="CC65" s="620"/>
      <c r="CD65" s="117">
        <v>0</v>
      </c>
      <c r="CE65" s="116"/>
      <c r="CF65" s="56"/>
      <c r="CG65" s="611"/>
      <c r="CH65" s="620"/>
      <c r="CI65" s="117">
        <v>0</v>
      </c>
      <c r="CJ65" s="116"/>
      <c r="CK65" s="56"/>
      <c r="CL65" s="611"/>
      <c r="CM65" s="620"/>
      <c r="CN65" s="117">
        <v>0</v>
      </c>
      <c r="CO65" s="116"/>
      <c r="CP65" s="56"/>
      <c r="CQ65" s="611"/>
      <c r="CR65" s="620"/>
      <c r="CS65" s="117">
        <v>0</v>
      </c>
      <c r="CT65" s="116"/>
      <c r="CU65" s="56"/>
      <c r="CV65" s="611"/>
      <c r="CW65" s="620"/>
      <c r="CX65" s="117">
        <v>0</v>
      </c>
      <c r="CY65" s="116"/>
      <c r="CZ65" s="56"/>
      <c r="DA65" s="611"/>
      <c r="DB65" s="620"/>
      <c r="DC65" s="117">
        <v>0</v>
      </c>
      <c r="DD65" s="116"/>
      <c r="DE65" s="56"/>
      <c r="DF65" s="611"/>
      <c r="DG65" s="620"/>
      <c r="DH65" s="117">
        <v>0</v>
      </c>
      <c r="DI65" s="116"/>
      <c r="DJ65" s="56"/>
      <c r="DK65" s="611"/>
      <c r="DL65" s="620"/>
      <c r="DM65" s="117">
        <v>0</v>
      </c>
      <c r="DN65" s="116"/>
      <c r="DO65" s="56"/>
      <c r="DP65" s="611"/>
      <c r="DQ65" s="620"/>
      <c r="DR65" s="117">
        <v>0</v>
      </c>
      <c r="DS65" s="116"/>
      <c r="DT65" s="56"/>
      <c r="DU65" s="611"/>
      <c r="DV65" s="620"/>
      <c r="DW65" s="117">
        <v>0</v>
      </c>
      <c r="DX65" s="116"/>
      <c r="DY65" s="56"/>
      <c r="DZ65" s="611"/>
      <c r="EA65" s="620"/>
      <c r="EB65" s="117">
        <v>0</v>
      </c>
      <c r="EC65" s="116"/>
      <c r="ED65" s="56"/>
      <c r="EE65" s="611"/>
      <c r="EF65" s="620"/>
      <c r="EG65" s="117">
        <v>0</v>
      </c>
      <c r="EH65" s="116"/>
      <c r="EI65" s="56"/>
      <c r="EJ65" s="611"/>
      <c r="EK65" s="620"/>
      <c r="EL65" s="117">
        <f t="shared" si="13"/>
        <v>0</v>
      </c>
      <c r="EM65" s="116"/>
      <c r="EN65" s="56"/>
      <c r="EO65" s="144"/>
    </row>
    <row r="66" spans="4:148" ht="12.75" hidden="1" customHeight="1" x14ac:dyDescent="0.3">
      <c r="D66" s="144"/>
      <c r="E66" s="494"/>
      <c r="G66" s="56"/>
      <c r="H66" s="56"/>
      <c r="I66" s="56"/>
      <c r="J66" s="611"/>
      <c r="K66" s="56"/>
      <c r="L66" s="56"/>
      <c r="M66" s="56"/>
      <c r="N66" s="56"/>
      <c r="O66" s="611"/>
      <c r="P66" s="56"/>
      <c r="Q66" s="56"/>
      <c r="R66" s="56"/>
      <c r="S66" s="56"/>
      <c r="T66" s="611"/>
      <c r="U66" s="56"/>
      <c r="V66" s="56"/>
      <c r="W66" s="56"/>
      <c r="X66" s="56"/>
      <c r="Y66" s="611"/>
      <c r="Z66" s="56"/>
      <c r="AA66" s="56"/>
      <c r="AB66" s="56"/>
      <c r="AC66" s="56"/>
      <c r="AD66" s="611"/>
      <c r="AE66" s="56"/>
      <c r="AF66" s="56"/>
      <c r="AG66" s="56"/>
      <c r="AH66" s="56"/>
      <c r="AI66" s="611"/>
      <c r="AJ66" s="56"/>
      <c r="AK66" s="56"/>
      <c r="AL66" s="56"/>
      <c r="AM66" s="56"/>
      <c r="AN66" s="611"/>
      <c r="AO66" s="56"/>
      <c r="AP66" s="56"/>
      <c r="AQ66" s="56"/>
      <c r="AR66" s="56"/>
      <c r="AS66" s="611"/>
      <c r="AT66" s="56"/>
      <c r="AU66" s="56"/>
      <c r="AV66" s="56"/>
      <c r="AW66" s="56"/>
      <c r="AX66" s="611"/>
      <c r="AY66" s="56"/>
      <c r="AZ66" s="56"/>
      <c r="BA66" s="56"/>
      <c r="BB66" s="56"/>
      <c r="BC66" s="611"/>
      <c r="BD66" s="56"/>
      <c r="BE66" s="56"/>
      <c r="BF66" s="56"/>
      <c r="BG66" s="56"/>
      <c r="BH66" s="611"/>
      <c r="BI66" s="56"/>
      <c r="BJ66" s="56"/>
      <c r="BK66" s="56"/>
      <c r="BL66" s="56"/>
      <c r="BM66" s="611"/>
      <c r="BN66" s="56"/>
      <c r="BO66" s="56"/>
      <c r="BP66" s="56"/>
      <c r="BQ66" s="56"/>
      <c r="BR66" s="611"/>
      <c r="BS66" s="56"/>
      <c r="BT66" s="56"/>
      <c r="BU66" s="56"/>
      <c r="BV66" s="56"/>
      <c r="BW66" s="611"/>
      <c r="BX66" s="56"/>
      <c r="BY66" s="56"/>
      <c r="BZ66" s="56"/>
      <c r="CA66" s="56"/>
      <c r="CB66" s="611"/>
      <c r="CC66" s="56"/>
      <c r="CD66" s="56"/>
      <c r="CE66" s="56"/>
      <c r="CF66" s="56"/>
      <c r="CG66" s="611"/>
      <c r="CH66" s="56"/>
      <c r="CI66" s="56"/>
      <c r="CJ66" s="56"/>
      <c r="CK66" s="56"/>
      <c r="CL66" s="611"/>
      <c r="CM66" s="56"/>
      <c r="CN66" s="56"/>
      <c r="CO66" s="56"/>
      <c r="CP66" s="56"/>
      <c r="CQ66" s="611"/>
      <c r="CR66" s="56"/>
      <c r="CS66" s="56"/>
      <c r="CT66" s="56"/>
      <c r="CU66" s="56"/>
      <c r="CV66" s="611"/>
      <c r="CW66" s="56"/>
      <c r="CX66" s="56"/>
      <c r="CY66" s="56"/>
      <c r="CZ66" s="56"/>
      <c r="DA66" s="611"/>
      <c r="DB66" s="56"/>
      <c r="DC66" s="56"/>
      <c r="DD66" s="56"/>
      <c r="DE66" s="56"/>
      <c r="DF66" s="611"/>
      <c r="DG66" s="56"/>
      <c r="DH66" s="56"/>
      <c r="DI66" s="56"/>
      <c r="DJ66" s="56"/>
      <c r="DK66" s="611"/>
      <c r="DL66" s="56"/>
      <c r="DM66" s="56"/>
      <c r="DN66" s="56"/>
      <c r="DO66" s="56"/>
      <c r="DP66" s="611"/>
      <c r="DQ66" s="56"/>
      <c r="DR66" s="56"/>
      <c r="DS66" s="56"/>
      <c r="DT66" s="56"/>
      <c r="DU66" s="611"/>
      <c r="DV66" s="56"/>
      <c r="DW66" s="56"/>
      <c r="DX66" s="56"/>
      <c r="DY66" s="56"/>
      <c r="DZ66" s="611"/>
      <c r="EA66" s="56"/>
      <c r="EB66" s="56"/>
      <c r="EC66" s="56"/>
      <c r="ED66" s="56"/>
      <c r="EE66" s="611"/>
      <c r="EF66" s="56"/>
      <c r="EG66" s="56"/>
      <c r="EH66" s="56"/>
      <c r="EI66" s="56"/>
      <c r="EJ66" s="611"/>
      <c r="EK66" s="56"/>
      <c r="EL66" s="56"/>
      <c r="EM66" s="56"/>
      <c r="EN66" s="56"/>
      <c r="EO66" s="144"/>
    </row>
    <row r="67" spans="4:148" ht="12.75" hidden="1" customHeight="1" x14ac:dyDescent="0.3">
      <c r="D67" s="144" t="s">
        <v>432</v>
      </c>
      <c r="E67" s="494"/>
      <c r="G67" s="56">
        <v>0</v>
      </c>
      <c r="H67" s="56"/>
      <c r="I67" s="56"/>
      <c r="J67" s="611"/>
      <c r="K67" s="56"/>
      <c r="L67" s="56">
        <f>L68+L70</f>
        <v>0</v>
      </c>
      <c r="M67" s="56"/>
      <c r="N67" s="56"/>
      <c r="O67" s="611"/>
      <c r="P67" s="56"/>
      <c r="Q67" s="56">
        <f>Q68+Q70</f>
        <v>0</v>
      </c>
      <c r="R67" s="56"/>
      <c r="S67" s="56"/>
      <c r="T67" s="611"/>
      <c r="U67" s="56"/>
      <c r="V67" s="56">
        <f>V68+V70</f>
        <v>0</v>
      </c>
      <c r="W67" s="56"/>
      <c r="X67" s="56"/>
      <c r="Y67" s="611"/>
      <c r="Z67" s="56"/>
      <c r="AA67" s="56">
        <f>AA68+AA70</f>
        <v>0</v>
      </c>
      <c r="AB67" s="56"/>
      <c r="AC67" s="56"/>
      <c r="AD67" s="611"/>
      <c r="AE67" s="56"/>
      <c r="AF67" s="56">
        <f>AF68+AF70</f>
        <v>0</v>
      </c>
      <c r="AG67" s="56"/>
      <c r="AH67" s="56"/>
      <c r="AI67" s="611"/>
      <c r="AJ67" s="56"/>
      <c r="AK67" s="56">
        <f>AK68+AK70</f>
        <v>0</v>
      </c>
      <c r="AL67" s="56"/>
      <c r="AM67" s="56"/>
      <c r="AN67" s="611"/>
      <c r="AO67" s="56"/>
      <c r="AP67" s="56">
        <f>AP68+AP70</f>
        <v>0</v>
      </c>
      <c r="AQ67" s="56"/>
      <c r="AR67" s="56"/>
      <c r="AS67" s="611"/>
      <c r="AT67" s="56"/>
      <c r="AU67" s="56">
        <f>AU68+AU70</f>
        <v>0</v>
      </c>
      <c r="AV67" s="56"/>
      <c r="AW67" s="56"/>
      <c r="AX67" s="611"/>
      <c r="AY67" s="56"/>
      <c r="AZ67" s="56">
        <f>AZ68+AZ70</f>
        <v>0</v>
      </c>
      <c r="BA67" s="56"/>
      <c r="BB67" s="56"/>
      <c r="BC67" s="611"/>
      <c r="BD67" s="56"/>
      <c r="BE67" s="56">
        <f>BE68+BE70</f>
        <v>0</v>
      </c>
      <c r="BF67" s="56"/>
      <c r="BG67" s="56"/>
      <c r="BH67" s="611"/>
      <c r="BI67" s="56"/>
      <c r="BJ67" s="56">
        <f>BJ68+BJ70</f>
        <v>0</v>
      </c>
      <c r="BK67" s="56"/>
      <c r="BL67" s="56"/>
      <c r="BM67" s="611"/>
      <c r="BN67" s="56"/>
      <c r="BO67" s="56">
        <f>BO68+BO70</f>
        <v>0</v>
      </c>
      <c r="BP67" s="56"/>
      <c r="BQ67" s="56"/>
      <c r="BR67" s="611"/>
      <c r="BS67" s="56"/>
      <c r="BT67" s="56">
        <f>SUM(BT68:BT70)</f>
        <v>0</v>
      </c>
      <c r="BU67" s="56"/>
      <c r="BV67" s="56"/>
      <c r="BW67" s="611"/>
      <c r="BX67" s="56"/>
      <c r="BY67" s="56">
        <f>SUM(BY68:BY70)</f>
        <v>0</v>
      </c>
      <c r="BZ67" s="56"/>
      <c r="CA67" s="56"/>
      <c r="CB67" s="611"/>
      <c r="CC67" s="56"/>
      <c r="CD67" s="56">
        <f>CD68+CD70</f>
        <v>0</v>
      </c>
      <c r="CE67" s="56"/>
      <c r="CF67" s="56"/>
      <c r="CG67" s="611"/>
      <c r="CH67" s="56"/>
      <c r="CI67" s="56">
        <f>CI68+CI70</f>
        <v>0</v>
      </c>
      <c r="CJ67" s="56"/>
      <c r="CK67" s="56"/>
      <c r="CL67" s="611"/>
      <c r="CM67" s="56"/>
      <c r="CN67" s="56">
        <f>CN68+CN70</f>
        <v>0</v>
      </c>
      <c r="CO67" s="56"/>
      <c r="CP67" s="56"/>
      <c r="CQ67" s="611"/>
      <c r="CR67" s="56"/>
      <c r="CS67" s="56">
        <f>CS68+CS70</f>
        <v>0</v>
      </c>
      <c r="CT67" s="56"/>
      <c r="CU67" s="56"/>
      <c r="CV67" s="611"/>
      <c r="CW67" s="56"/>
      <c r="CX67" s="56">
        <f>CX68+CX70</f>
        <v>0</v>
      </c>
      <c r="CY67" s="56"/>
      <c r="CZ67" s="56"/>
      <c r="DA67" s="611"/>
      <c r="DB67" s="56"/>
      <c r="DC67" s="56">
        <f>DC68+DC70</f>
        <v>0</v>
      </c>
      <c r="DD67" s="56"/>
      <c r="DE67" s="56"/>
      <c r="DF67" s="611"/>
      <c r="DG67" s="56"/>
      <c r="DH67" s="56">
        <f>DH68+DH70</f>
        <v>0</v>
      </c>
      <c r="DI67" s="56"/>
      <c r="DJ67" s="56"/>
      <c r="DK67" s="611"/>
      <c r="DL67" s="56"/>
      <c r="DM67" s="56">
        <f>DM68+DM70</f>
        <v>0</v>
      </c>
      <c r="DN67" s="56"/>
      <c r="DO67" s="56"/>
      <c r="DP67" s="611"/>
      <c r="DQ67" s="56"/>
      <c r="DR67" s="56">
        <f>DR68+DR70</f>
        <v>0</v>
      </c>
      <c r="DS67" s="56"/>
      <c r="DT67" s="56"/>
      <c r="DU67" s="611"/>
      <c r="DV67" s="56"/>
      <c r="DW67" s="56">
        <f>DW68+DW70</f>
        <v>0</v>
      </c>
      <c r="DX67" s="56"/>
      <c r="DY67" s="56"/>
      <c r="DZ67" s="611"/>
      <c r="EA67" s="56"/>
      <c r="EB67" s="56">
        <f>EB68+EB70</f>
        <v>0</v>
      </c>
      <c r="EC67" s="56"/>
      <c r="ED67" s="56"/>
      <c r="EE67" s="611"/>
      <c r="EF67" s="56"/>
      <c r="EG67" s="56">
        <f>EG68+EG70</f>
        <v>0</v>
      </c>
      <c r="EH67" s="56"/>
      <c r="EI67" s="56"/>
      <c r="EJ67" s="611"/>
      <c r="EK67" s="56"/>
      <c r="EL67" s="56">
        <f>SUM(EL68:EL70)</f>
        <v>0</v>
      </c>
      <c r="EM67" s="56"/>
      <c r="EN67" s="56"/>
      <c r="EO67" s="144"/>
    </row>
    <row r="68" spans="4:148" ht="12.75" hidden="1" customHeight="1" x14ac:dyDescent="0.3">
      <c r="D68" s="144" t="s">
        <v>335</v>
      </c>
      <c r="E68" s="494"/>
      <c r="F68" s="500"/>
      <c r="G68" s="609">
        <v>0</v>
      </c>
      <c r="H68" s="610"/>
      <c r="I68" s="56"/>
      <c r="J68" s="611"/>
      <c r="K68" s="612"/>
      <c r="L68" s="609">
        <v>0</v>
      </c>
      <c r="M68" s="610"/>
      <c r="N68" s="56"/>
      <c r="O68" s="611"/>
      <c r="P68" s="612"/>
      <c r="Q68" s="609">
        <v>0</v>
      </c>
      <c r="R68" s="610"/>
      <c r="S68" s="56"/>
      <c r="T68" s="611"/>
      <c r="U68" s="612"/>
      <c r="V68" s="609">
        <v>0</v>
      </c>
      <c r="W68" s="610"/>
      <c r="X68" s="56"/>
      <c r="Y68" s="611"/>
      <c r="Z68" s="612"/>
      <c r="AA68" s="609">
        <v>0</v>
      </c>
      <c r="AB68" s="610"/>
      <c r="AC68" s="56"/>
      <c r="AD68" s="611"/>
      <c r="AE68" s="612"/>
      <c r="AF68" s="609">
        <v>0</v>
      </c>
      <c r="AG68" s="610"/>
      <c r="AH68" s="56"/>
      <c r="AI68" s="611"/>
      <c r="AJ68" s="612"/>
      <c r="AK68" s="609">
        <v>0</v>
      </c>
      <c r="AL68" s="610"/>
      <c r="AM68" s="56"/>
      <c r="AN68" s="611"/>
      <c r="AO68" s="612"/>
      <c r="AP68" s="609">
        <v>0</v>
      </c>
      <c r="AQ68" s="610"/>
      <c r="AR68" s="56"/>
      <c r="AS68" s="611"/>
      <c r="AT68" s="612"/>
      <c r="AU68" s="609">
        <v>0</v>
      </c>
      <c r="AV68" s="610"/>
      <c r="AW68" s="56"/>
      <c r="AX68" s="611"/>
      <c r="AY68" s="612"/>
      <c r="AZ68" s="609">
        <v>0</v>
      </c>
      <c r="BA68" s="610"/>
      <c r="BB68" s="56"/>
      <c r="BC68" s="611"/>
      <c r="BD68" s="612"/>
      <c r="BE68" s="609">
        <v>0</v>
      </c>
      <c r="BF68" s="610"/>
      <c r="BG68" s="56"/>
      <c r="BH68" s="611"/>
      <c r="BI68" s="612"/>
      <c r="BJ68" s="609">
        <v>0</v>
      </c>
      <c r="BK68" s="610"/>
      <c r="BL68" s="56"/>
      <c r="BM68" s="611"/>
      <c r="BN68" s="612"/>
      <c r="BO68" s="609">
        <v>0</v>
      </c>
      <c r="BP68" s="610"/>
      <c r="BQ68" s="56"/>
      <c r="BR68" s="611"/>
      <c r="BS68" s="612"/>
      <c r="BT68" s="609">
        <f>SUM(L68:BO68)</f>
        <v>0</v>
      </c>
      <c r="BU68" s="610"/>
      <c r="BV68" s="56"/>
      <c r="BW68" s="611"/>
      <c r="BX68" s="612"/>
      <c r="BY68" s="609">
        <v>0</v>
      </c>
      <c r="BZ68" s="610"/>
      <c r="CA68" s="56"/>
      <c r="CB68" s="611"/>
      <c r="CC68" s="612"/>
      <c r="CD68" s="609">
        <v>0</v>
      </c>
      <c r="CE68" s="610"/>
      <c r="CF68" s="56"/>
      <c r="CG68" s="611"/>
      <c r="CH68" s="612"/>
      <c r="CI68" s="609">
        <v>0</v>
      </c>
      <c r="CJ68" s="610"/>
      <c r="CK68" s="56"/>
      <c r="CL68" s="611"/>
      <c r="CM68" s="612"/>
      <c r="CN68" s="609">
        <v>0</v>
      </c>
      <c r="CO68" s="610"/>
      <c r="CP68" s="56"/>
      <c r="CQ68" s="611"/>
      <c r="CR68" s="612"/>
      <c r="CS68" s="609">
        <v>0</v>
      </c>
      <c r="CT68" s="610"/>
      <c r="CU68" s="56"/>
      <c r="CV68" s="611"/>
      <c r="CW68" s="612"/>
      <c r="CX68" s="609">
        <v>0</v>
      </c>
      <c r="CY68" s="610"/>
      <c r="CZ68" s="56"/>
      <c r="DA68" s="611"/>
      <c r="DB68" s="612"/>
      <c r="DC68" s="609">
        <v>0</v>
      </c>
      <c r="DD68" s="610"/>
      <c r="DE68" s="56"/>
      <c r="DF68" s="611"/>
      <c r="DG68" s="612"/>
      <c r="DH68" s="609">
        <v>0</v>
      </c>
      <c r="DI68" s="610"/>
      <c r="DJ68" s="56"/>
      <c r="DK68" s="611"/>
      <c r="DL68" s="612"/>
      <c r="DM68" s="609">
        <v>0</v>
      </c>
      <c r="DN68" s="610"/>
      <c r="DO68" s="56"/>
      <c r="DP68" s="611"/>
      <c r="DQ68" s="612"/>
      <c r="DR68" s="609">
        <v>0</v>
      </c>
      <c r="DS68" s="610"/>
      <c r="DT68" s="56"/>
      <c r="DU68" s="611"/>
      <c r="DV68" s="612"/>
      <c r="DW68" s="609">
        <v>0</v>
      </c>
      <c r="DX68" s="610"/>
      <c r="DY68" s="56"/>
      <c r="DZ68" s="611"/>
      <c r="EA68" s="612"/>
      <c r="EB68" s="609">
        <v>0</v>
      </c>
      <c r="EC68" s="610"/>
      <c r="ED68" s="56"/>
      <c r="EE68" s="611"/>
      <c r="EF68" s="612"/>
      <c r="EG68" s="609">
        <v>0</v>
      </c>
      <c r="EH68" s="610"/>
      <c r="EI68" s="56"/>
      <c r="EJ68" s="611"/>
      <c r="EK68" s="612"/>
      <c r="EL68" s="609">
        <f>SUM(CD68:DW68)</f>
        <v>0</v>
      </c>
      <c r="EM68" s="610"/>
      <c r="EN68" s="56"/>
      <c r="EO68" s="144"/>
    </row>
    <row r="69" spans="4:148" ht="12.75" hidden="1" customHeight="1" x14ac:dyDescent="0.3">
      <c r="D69" s="144" t="s">
        <v>338</v>
      </c>
      <c r="E69" s="494"/>
      <c r="F69" s="494"/>
      <c r="G69" s="56">
        <v>0</v>
      </c>
      <c r="H69" s="55"/>
      <c r="I69" s="56"/>
      <c r="J69" s="611"/>
      <c r="K69" s="611"/>
      <c r="L69" s="56">
        <v>0</v>
      </c>
      <c r="M69" s="55"/>
      <c r="N69" s="56"/>
      <c r="O69" s="611"/>
      <c r="P69" s="611"/>
      <c r="Q69" s="56">
        <v>0</v>
      </c>
      <c r="R69" s="55"/>
      <c r="S69" s="56"/>
      <c r="T69" s="611"/>
      <c r="U69" s="611"/>
      <c r="V69" s="56">
        <v>0</v>
      </c>
      <c r="W69" s="55"/>
      <c r="X69" s="56"/>
      <c r="Y69" s="611"/>
      <c r="Z69" s="611"/>
      <c r="AA69" s="56">
        <v>0</v>
      </c>
      <c r="AB69" s="55"/>
      <c r="AC69" s="56"/>
      <c r="AD69" s="611"/>
      <c r="AE69" s="611"/>
      <c r="AF69" s="56">
        <v>0</v>
      </c>
      <c r="AG69" s="55"/>
      <c r="AH69" s="56"/>
      <c r="AI69" s="611"/>
      <c r="AJ69" s="611"/>
      <c r="AK69" s="56">
        <v>0</v>
      </c>
      <c r="AL69" s="55"/>
      <c r="AM69" s="56"/>
      <c r="AN69" s="611"/>
      <c r="AO69" s="611"/>
      <c r="AP69" s="56">
        <v>0</v>
      </c>
      <c r="AQ69" s="55"/>
      <c r="AR69" s="56"/>
      <c r="AS69" s="611"/>
      <c r="AT69" s="611"/>
      <c r="AU69" s="56">
        <v>0</v>
      </c>
      <c r="AV69" s="55"/>
      <c r="AW69" s="56"/>
      <c r="AX69" s="611"/>
      <c r="AY69" s="611"/>
      <c r="AZ69" s="56">
        <v>0</v>
      </c>
      <c r="BA69" s="55"/>
      <c r="BB69" s="56"/>
      <c r="BC69" s="611"/>
      <c r="BD69" s="611"/>
      <c r="BE69" s="56">
        <v>0</v>
      </c>
      <c r="BF69" s="55"/>
      <c r="BG69" s="56"/>
      <c r="BH69" s="611"/>
      <c r="BI69" s="611"/>
      <c r="BJ69" s="56">
        <v>0</v>
      </c>
      <c r="BK69" s="55"/>
      <c r="BL69" s="56"/>
      <c r="BM69" s="611"/>
      <c r="BN69" s="611"/>
      <c r="BO69" s="56">
        <v>0</v>
      </c>
      <c r="BP69" s="55"/>
      <c r="BQ69" s="56"/>
      <c r="BR69" s="611"/>
      <c r="BS69" s="611"/>
      <c r="BT69" s="56">
        <f>SUM(L69:BO69)</f>
        <v>0</v>
      </c>
      <c r="BU69" s="55"/>
      <c r="BV69" s="56"/>
      <c r="BW69" s="611"/>
      <c r="BX69" s="611"/>
      <c r="BY69" s="56">
        <v>0</v>
      </c>
      <c r="BZ69" s="55"/>
      <c r="CA69" s="56"/>
      <c r="CB69" s="611"/>
      <c r="CC69" s="611"/>
      <c r="CD69" s="56">
        <v>0</v>
      </c>
      <c r="CE69" s="55"/>
      <c r="CF69" s="56"/>
      <c r="CG69" s="611"/>
      <c r="CH69" s="611"/>
      <c r="CI69" s="56">
        <v>0</v>
      </c>
      <c r="CJ69" s="55"/>
      <c r="CK69" s="56"/>
      <c r="CL69" s="611"/>
      <c r="CM69" s="611"/>
      <c r="CN69" s="56">
        <v>0</v>
      </c>
      <c r="CO69" s="55"/>
      <c r="CP69" s="56"/>
      <c r="CQ69" s="611"/>
      <c r="CR69" s="611"/>
      <c r="CS69" s="56">
        <v>0</v>
      </c>
      <c r="CT69" s="55"/>
      <c r="CU69" s="56"/>
      <c r="CV69" s="611"/>
      <c r="CW69" s="611"/>
      <c r="CX69" s="56">
        <v>0</v>
      </c>
      <c r="CY69" s="55"/>
      <c r="CZ69" s="56"/>
      <c r="DA69" s="611"/>
      <c r="DB69" s="611"/>
      <c r="DC69" s="56">
        <v>0</v>
      </c>
      <c r="DD69" s="55"/>
      <c r="DE69" s="56"/>
      <c r="DF69" s="611"/>
      <c r="DG69" s="611"/>
      <c r="DH69" s="56">
        <v>0</v>
      </c>
      <c r="DI69" s="55"/>
      <c r="DJ69" s="56"/>
      <c r="DK69" s="611"/>
      <c r="DL69" s="611"/>
      <c r="DM69" s="56">
        <v>0</v>
      </c>
      <c r="DN69" s="55"/>
      <c r="DO69" s="56"/>
      <c r="DP69" s="611"/>
      <c r="DQ69" s="611"/>
      <c r="DR69" s="56">
        <v>0</v>
      </c>
      <c r="DS69" s="55"/>
      <c r="DT69" s="56"/>
      <c r="DU69" s="611"/>
      <c r="DV69" s="611"/>
      <c r="DW69" s="56">
        <v>0</v>
      </c>
      <c r="DX69" s="55"/>
      <c r="DY69" s="56"/>
      <c r="DZ69" s="611"/>
      <c r="EA69" s="611"/>
      <c r="EB69" s="56">
        <v>0</v>
      </c>
      <c r="EC69" s="55"/>
      <c r="ED69" s="56"/>
      <c r="EE69" s="611"/>
      <c r="EF69" s="611"/>
      <c r="EG69" s="56">
        <v>0</v>
      </c>
      <c r="EH69" s="55"/>
      <c r="EI69" s="56"/>
      <c r="EJ69" s="611"/>
      <c r="EK69" s="611"/>
      <c r="EL69" s="56">
        <f t="shared" ref="EL69:EL70" si="14">SUM(CD69:DW69)</f>
        <v>0</v>
      </c>
      <c r="EM69" s="55"/>
      <c r="EN69" s="56"/>
      <c r="EO69" s="144"/>
    </row>
    <row r="70" spans="4:148" ht="12.75" hidden="1" customHeight="1" x14ac:dyDescent="0.3">
      <c r="D70" s="144" t="s">
        <v>352</v>
      </c>
      <c r="E70" s="494"/>
      <c r="F70" s="513"/>
      <c r="G70" s="117">
        <v>0</v>
      </c>
      <c r="H70" s="116"/>
      <c r="I70" s="56"/>
      <c r="J70" s="611"/>
      <c r="K70" s="620"/>
      <c r="L70" s="117">
        <v>0</v>
      </c>
      <c r="M70" s="116"/>
      <c r="N70" s="56"/>
      <c r="O70" s="611"/>
      <c r="P70" s="620"/>
      <c r="Q70" s="117">
        <v>0</v>
      </c>
      <c r="R70" s="116"/>
      <c r="S70" s="56"/>
      <c r="T70" s="611"/>
      <c r="U70" s="620"/>
      <c r="V70" s="117">
        <v>0</v>
      </c>
      <c r="W70" s="116"/>
      <c r="X70" s="56"/>
      <c r="Y70" s="611"/>
      <c r="Z70" s="620"/>
      <c r="AA70" s="117">
        <v>0</v>
      </c>
      <c r="AB70" s="116"/>
      <c r="AC70" s="56"/>
      <c r="AD70" s="611"/>
      <c r="AE70" s="620"/>
      <c r="AF70" s="117">
        <v>0</v>
      </c>
      <c r="AG70" s="116"/>
      <c r="AH70" s="56"/>
      <c r="AI70" s="611"/>
      <c r="AJ70" s="620"/>
      <c r="AK70" s="117">
        <v>0</v>
      </c>
      <c r="AL70" s="116"/>
      <c r="AM70" s="56"/>
      <c r="AN70" s="611"/>
      <c r="AO70" s="620"/>
      <c r="AP70" s="117">
        <v>0</v>
      </c>
      <c r="AQ70" s="116"/>
      <c r="AR70" s="56"/>
      <c r="AS70" s="611"/>
      <c r="AT70" s="620"/>
      <c r="AU70" s="117">
        <v>0</v>
      </c>
      <c r="AV70" s="116"/>
      <c r="AW70" s="56"/>
      <c r="AX70" s="611"/>
      <c r="AY70" s="620"/>
      <c r="AZ70" s="117">
        <v>0</v>
      </c>
      <c r="BA70" s="116"/>
      <c r="BB70" s="56"/>
      <c r="BC70" s="611"/>
      <c r="BD70" s="620"/>
      <c r="BE70" s="117">
        <v>0</v>
      </c>
      <c r="BF70" s="116"/>
      <c r="BG70" s="56"/>
      <c r="BH70" s="611"/>
      <c r="BI70" s="620"/>
      <c r="BJ70" s="117">
        <v>0</v>
      </c>
      <c r="BK70" s="116"/>
      <c r="BL70" s="56"/>
      <c r="BM70" s="611"/>
      <c r="BN70" s="620"/>
      <c r="BO70" s="117">
        <v>0</v>
      </c>
      <c r="BP70" s="116"/>
      <c r="BQ70" s="56"/>
      <c r="BR70" s="611"/>
      <c r="BS70" s="620"/>
      <c r="BT70" s="117">
        <f>SUM(L70:BO70)</f>
        <v>0</v>
      </c>
      <c r="BU70" s="116"/>
      <c r="BV70" s="56"/>
      <c r="BW70" s="611"/>
      <c r="BX70" s="620"/>
      <c r="BY70" s="117">
        <v>0</v>
      </c>
      <c r="BZ70" s="116"/>
      <c r="CA70" s="56"/>
      <c r="CB70" s="611"/>
      <c r="CC70" s="620"/>
      <c r="CD70" s="117">
        <v>0</v>
      </c>
      <c r="CE70" s="116"/>
      <c r="CF70" s="56"/>
      <c r="CG70" s="611"/>
      <c r="CH70" s="620"/>
      <c r="CI70" s="117">
        <v>0</v>
      </c>
      <c r="CJ70" s="116"/>
      <c r="CK70" s="56"/>
      <c r="CL70" s="611"/>
      <c r="CM70" s="620"/>
      <c r="CN70" s="117">
        <v>0</v>
      </c>
      <c r="CO70" s="116"/>
      <c r="CP70" s="56"/>
      <c r="CQ70" s="611"/>
      <c r="CR70" s="620"/>
      <c r="CS70" s="117">
        <v>0</v>
      </c>
      <c r="CT70" s="116"/>
      <c r="CU70" s="56"/>
      <c r="CV70" s="611"/>
      <c r="CW70" s="620"/>
      <c r="CX70" s="117">
        <v>0</v>
      </c>
      <c r="CY70" s="116"/>
      <c r="CZ70" s="56"/>
      <c r="DA70" s="611"/>
      <c r="DB70" s="620"/>
      <c r="DC70" s="117">
        <v>0</v>
      </c>
      <c r="DD70" s="116"/>
      <c r="DE70" s="56"/>
      <c r="DF70" s="611"/>
      <c r="DG70" s="620"/>
      <c r="DH70" s="117">
        <v>0</v>
      </c>
      <c r="DI70" s="116"/>
      <c r="DJ70" s="56"/>
      <c r="DK70" s="611"/>
      <c r="DL70" s="620"/>
      <c r="DM70" s="117">
        <v>0</v>
      </c>
      <c r="DN70" s="116"/>
      <c r="DO70" s="56"/>
      <c r="DP70" s="611"/>
      <c r="DQ70" s="620"/>
      <c r="DR70" s="117">
        <v>0</v>
      </c>
      <c r="DS70" s="116"/>
      <c r="DT70" s="56"/>
      <c r="DU70" s="611"/>
      <c r="DV70" s="620"/>
      <c r="DW70" s="117">
        <v>0</v>
      </c>
      <c r="DX70" s="116"/>
      <c r="DY70" s="56"/>
      <c r="DZ70" s="611"/>
      <c r="EA70" s="620"/>
      <c r="EB70" s="117">
        <v>0</v>
      </c>
      <c r="EC70" s="116"/>
      <c r="ED70" s="56"/>
      <c r="EE70" s="611"/>
      <c r="EF70" s="620"/>
      <c r="EG70" s="117">
        <v>0</v>
      </c>
      <c r="EH70" s="116"/>
      <c r="EI70" s="56"/>
      <c r="EJ70" s="611"/>
      <c r="EK70" s="620"/>
      <c r="EL70" s="117">
        <f t="shared" si="14"/>
        <v>0</v>
      </c>
      <c r="EM70" s="116"/>
      <c r="EN70" s="56"/>
      <c r="EO70" s="144"/>
    </row>
    <row r="71" spans="4:148" ht="12.75" customHeight="1" x14ac:dyDescent="0.3">
      <c r="D71" s="144"/>
      <c r="E71" s="494"/>
      <c r="G71" s="56"/>
      <c r="H71" s="56"/>
      <c r="I71" s="56"/>
      <c r="J71" s="611"/>
      <c r="K71" s="56"/>
      <c r="L71" s="56"/>
      <c r="M71" s="56"/>
      <c r="N71" s="56"/>
      <c r="O71" s="611"/>
      <c r="P71" s="56"/>
      <c r="Q71" s="56"/>
      <c r="R71" s="56"/>
      <c r="S71" s="56"/>
      <c r="T71" s="611"/>
      <c r="U71" s="56"/>
      <c r="V71" s="56"/>
      <c r="W71" s="56"/>
      <c r="X71" s="56"/>
      <c r="Y71" s="611"/>
      <c r="Z71" s="56"/>
      <c r="AA71" s="56"/>
      <c r="AB71" s="56"/>
      <c r="AC71" s="56"/>
      <c r="AD71" s="611"/>
      <c r="AE71" s="56"/>
      <c r="AF71" s="56"/>
      <c r="AG71" s="56"/>
      <c r="AH71" s="56"/>
      <c r="AI71" s="611"/>
      <c r="AJ71" s="56"/>
      <c r="AK71" s="56"/>
      <c r="AL71" s="56"/>
      <c r="AM71" s="56"/>
      <c r="AN71" s="611"/>
      <c r="AO71" s="56"/>
      <c r="AP71" s="56"/>
      <c r="AQ71" s="56"/>
      <c r="AR71" s="56"/>
      <c r="AS71" s="611"/>
      <c r="AT71" s="56"/>
      <c r="AU71" s="56"/>
      <c r="AV71" s="56"/>
      <c r="AW71" s="56"/>
      <c r="AX71" s="611"/>
      <c r="AY71" s="56"/>
      <c r="AZ71" s="56"/>
      <c r="BA71" s="56"/>
      <c r="BB71" s="56"/>
      <c r="BC71" s="611"/>
      <c r="BD71" s="56"/>
      <c r="BE71" s="56"/>
      <c r="BF71" s="56"/>
      <c r="BG71" s="56"/>
      <c r="BH71" s="611"/>
      <c r="BI71" s="56"/>
      <c r="BJ71" s="56"/>
      <c r="BK71" s="56"/>
      <c r="BL71" s="56"/>
      <c r="BM71" s="611"/>
      <c r="BN71" s="56"/>
      <c r="BO71" s="56"/>
      <c r="BP71" s="56"/>
      <c r="BQ71" s="56"/>
      <c r="BR71" s="611"/>
      <c r="BS71" s="56"/>
      <c r="BT71" s="56"/>
      <c r="BU71" s="56"/>
      <c r="BV71" s="56"/>
      <c r="BW71" s="611"/>
      <c r="BX71" s="56"/>
      <c r="BY71" s="56"/>
      <c r="BZ71" s="56"/>
      <c r="CA71" s="56"/>
      <c r="CB71" s="611"/>
      <c r="CC71" s="56"/>
      <c r="CD71" s="56"/>
      <c r="CE71" s="56"/>
      <c r="CF71" s="56"/>
      <c r="CG71" s="611"/>
      <c r="CH71" s="56"/>
      <c r="CI71" s="56"/>
      <c r="CJ71" s="56"/>
      <c r="CK71" s="56"/>
      <c r="CL71" s="611"/>
      <c r="CM71" s="56"/>
      <c r="CN71" s="56"/>
      <c r="CO71" s="56"/>
      <c r="CP71" s="56"/>
      <c r="CQ71" s="611"/>
      <c r="CR71" s="56"/>
      <c r="CS71" s="56"/>
      <c r="CT71" s="56"/>
      <c r="CU71" s="56"/>
      <c r="CV71" s="611"/>
      <c r="CW71" s="56"/>
      <c r="CX71" s="56"/>
      <c r="CY71" s="56"/>
      <c r="CZ71" s="56"/>
      <c r="DA71" s="611"/>
      <c r="DB71" s="56"/>
      <c r="DC71" s="56"/>
      <c r="DD71" s="56"/>
      <c r="DE71" s="56"/>
      <c r="DF71" s="611"/>
      <c r="DG71" s="56"/>
      <c r="DH71" s="56"/>
      <c r="DI71" s="56"/>
      <c r="DJ71" s="56"/>
      <c r="DK71" s="611"/>
      <c r="DL71" s="56"/>
      <c r="DM71" s="56"/>
      <c r="DN71" s="56"/>
      <c r="DO71" s="56"/>
      <c r="DP71" s="611"/>
      <c r="DQ71" s="56"/>
      <c r="DR71" s="56"/>
      <c r="DS71" s="56"/>
      <c r="DT71" s="56"/>
      <c r="DU71" s="611"/>
      <c r="DV71" s="56"/>
      <c r="DW71" s="56"/>
      <c r="DX71" s="56"/>
      <c r="DY71" s="56"/>
      <c r="DZ71" s="611"/>
      <c r="EA71" s="56"/>
      <c r="EB71" s="56"/>
      <c r="EC71" s="56"/>
      <c r="ED71" s="56"/>
      <c r="EE71" s="611"/>
      <c r="EF71" s="56"/>
      <c r="EG71" s="56"/>
      <c r="EH71" s="56"/>
      <c r="EI71" s="56"/>
      <c r="EJ71" s="611"/>
      <c r="EK71" s="56"/>
      <c r="EL71" s="56"/>
      <c r="EM71" s="56"/>
      <c r="EN71" s="56"/>
      <c r="EO71" s="144"/>
    </row>
    <row r="72" spans="4:148" s="42" customFormat="1" ht="12.75" hidden="1" customHeight="1" x14ac:dyDescent="0.3">
      <c r="D72" s="234" t="s">
        <v>433</v>
      </c>
      <c r="E72" s="496"/>
      <c r="G72" s="44">
        <f>SUM(G73:G75)</f>
        <v>0</v>
      </c>
      <c r="H72" s="44"/>
      <c r="I72" s="44"/>
      <c r="J72" s="607"/>
      <c r="K72" s="44"/>
      <c r="L72" s="44">
        <f>SUM(L73:L75)</f>
        <v>0</v>
      </c>
      <c r="M72" s="44"/>
      <c r="N72" s="44"/>
      <c r="O72" s="607"/>
      <c r="P72" s="44"/>
      <c r="Q72" s="44">
        <f>SUM(Q73:Q75)</f>
        <v>0</v>
      </c>
      <c r="R72" s="44"/>
      <c r="S72" s="44"/>
      <c r="T72" s="607"/>
      <c r="U72" s="44"/>
      <c r="V72" s="44">
        <f>SUM(V73:V75)</f>
        <v>0</v>
      </c>
      <c r="W72" s="44"/>
      <c r="X72" s="44"/>
      <c r="Y72" s="607"/>
      <c r="Z72" s="44"/>
      <c r="AA72" s="44">
        <f>SUM(AA73:AA75)</f>
        <v>0</v>
      </c>
      <c r="AB72" s="44"/>
      <c r="AC72" s="44"/>
      <c r="AD72" s="607"/>
      <c r="AE72" s="44"/>
      <c r="AF72" s="44">
        <f>SUM(AF73:AF75)</f>
        <v>0</v>
      </c>
      <c r="AG72" s="44"/>
      <c r="AH72" s="44"/>
      <c r="AI72" s="607"/>
      <c r="AJ72" s="44"/>
      <c r="AK72" s="44">
        <f>SUM(AK73:AK75)</f>
        <v>0</v>
      </c>
      <c r="AL72" s="44"/>
      <c r="AM72" s="44"/>
      <c r="AN72" s="607"/>
      <c r="AO72" s="44"/>
      <c r="AP72" s="44">
        <f>SUM(AP73:AP75)</f>
        <v>0</v>
      </c>
      <c r="AQ72" s="44"/>
      <c r="AR72" s="44"/>
      <c r="AS72" s="607"/>
      <c r="AT72" s="44"/>
      <c r="AU72" s="44">
        <f>SUM(AU73:AU75)</f>
        <v>0</v>
      </c>
      <c r="AV72" s="44"/>
      <c r="AW72" s="44"/>
      <c r="AX72" s="607"/>
      <c r="AY72" s="44"/>
      <c r="AZ72" s="44">
        <f>SUM(AZ73:AZ75)</f>
        <v>0</v>
      </c>
      <c r="BA72" s="44"/>
      <c r="BB72" s="44"/>
      <c r="BC72" s="607"/>
      <c r="BD72" s="44"/>
      <c r="BE72" s="44">
        <f>SUM(BE73:BE75)</f>
        <v>0</v>
      </c>
      <c r="BF72" s="44"/>
      <c r="BG72" s="44"/>
      <c r="BH72" s="607"/>
      <c r="BI72" s="44"/>
      <c r="BJ72" s="44">
        <f>SUM(BJ73:BJ75)</f>
        <v>0</v>
      </c>
      <c r="BK72" s="44"/>
      <c r="BL72" s="44"/>
      <c r="BM72" s="607"/>
      <c r="BN72" s="44"/>
      <c r="BO72" s="44">
        <f>SUM(BO73:BO75)</f>
        <v>0</v>
      </c>
      <c r="BP72" s="44"/>
      <c r="BQ72" s="44"/>
      <c r="BR72" s="607"/>
      <c r="BS72" s="44"/>
      <c r="BT72" s="44">
        <f>SUM(BT73:BT75)</f>
        <v>0</v>
      </c>
      <c r="BU72" s="44"/>
      <c r="BV72" s="44"/>
      <c r="BW72" s="607"/>
      <c r="BX72" s="44"/>
      <c r="BY72" s="44">
        <f>SUM(BY73:BY75)</f>
        <v>0</v>
      </c>
      <c r="BZ72" s="44"/>
      <c r="CA72" s="44"/>
      <c r="CB72" s="607"/>
      <c r="CC72" s="44"/>
      <c r="CD72" s="44">
        <f>SUM(CD73:CD75)</f>
        <v>0</v>
      </c>
      <c r="CE72" s="44"/>
      <c r="CF72" s="44"/>
      <c r="CG72" s="607"/>
      <c r="CH72" s="44"/>
      <c r="CI72" s="44">
        <f>SUM(CI73:CI75)</f>
        <v>0</v>
      </c>
      <c r="CJ72" s="44"/>
      <c r="CK72" s="44"/>
      <c r="CL72" s="607"/>
      <c r="CM72" s="44"/>
      <c r="CN72" s="44">
        <f>SUM(CN73:CN75)</f>
        <v>0</v>
      </c>
      <c r="CO72" s="44"/>
      <c r="CP72" s="44"/>
      <c r="CQ72" s="607"/>
      <c r="CR72" s="44"/>
      <c r="CS72" s="44">
        <f>SUM(CS73:CS75)</f>
        <v>0</v>
      </c>
      <c r="CT72" s="44"/>
      <c r="CU72" s="44"/>
      <c r="CV72" s="607"/>
      <c r="CW72" s="44"/>
      <c r="CX72" s="44">
        <f>SUM(CX73:CX75)</f>
        <v>0</v>
      </c>
      <c r="CY72" s="44"/>
      <c r="CZ72" s="44"/>
      <c r="DA72" s="607"/>
      <c r="DB72" s="44"/>
      <c r="DC72" s="44">
        <f>SUM(DC73:DC75)</f>
        <v>0</v>
      </c>
      <c r="DD72" s="44"/>
      <c r="DE72" s="44"/>
      <c r="DF72" s="607"/>
      <c r="DG72" s="44"/>
      <c r="DH72" s="44">
        <f>SUM(DH73:DH75)</f>
        <v>0</v>
      </c>
      <c r="DI72" s="44"/>
      <c r="DJ72" s="44"/>
      <c r="DK72" s="607"/>
      <c r="DL72" s="44"/>
      <c r="DM72" s="44">
        <f>SUM(DM73:DM75)</f>
        <v>0</v>
      </c>
      <c r="DN72" s="44"/>
      <c r="DO72" s="44"/>
      <c r="DP72" s="607"/>
      <c r="DQ72" s="44"/>
      <c r="DR72" s="44">
        <f>SUM(DR73:DR75)</f>
        <v>0</v>
      </c>
      <c r="DS72" s="44"/>
      <c r="DT72" s="44"/>
      <c r="DU72" s="607"/>
      <c r="DV72" s="44"/>
      <c r="DW72" s="44">
        <f>SUM(DW73:DW75)</f>
        <v>0</v>
      </c>
      <c r="DX72" s="44"/>
      <c r="DY72" s="44"/>
      <c r="DZ72" s="607"/>
      <c r="EA72" s="44"/>
      <c r="EB72" s="44">
        <f>SUM(EB73:EB75)</f>
        <v>0</v>
      </c>
      <c r="EC72" s="44"/>
      <c r="ED72" s="44"/>
      <c r="EE72" s="607"/>
      <c r="EF72" s="44"/>
      <c r="EG72" s="44">
        <f>SUM(EG73:EG75)</f>
        <v>0</v>
      </c>
      <c r="EH72" s="44"/>
      <c r="EI72" s="44"/>
      <c r="EJ72" s="607"/>
      <c r="EK72" s="44"/>
      <c r="EL72" s="44">
        <f>SUM(EL73:EL75)</f>
        <v>0</v>
      </c>
      <c r="EM72" s="44"/>
      <c r="EN72" s="44"/>
      <c r="EO72" s="234"/>
      <c r="EQ72" s="136"/>
      <c r="ER72" s="136"/>
    </row>
    <row r="73" spans="4:148" ht="12.75" hidden="1" customHeight="1" x14ac:dyDescent="0.3">
      <c r="D73" s="144" t="s">
        <v>335</v>
      </c>
      <c r="E73" s="494"/>
      <c r="F73" s="500"/>
      <c r="G73" s="609">
        <v>0</v>
      </c>
      <c r="H73" s="610"/>
      <c r="I73" s="56"/>
      <c r="J73" s="611"/>
      <c r="K73" s="612"/>
      <c r="L73" s="609">
        <f>L78</f>
        <v>0</v>
      </c>
      <c r="M73" s="610"/>
      <c r="N73" s="56"/>
      <c r="O73" s="611"/>
      <c r="P73" s="612"/>
      <c r="Q73" s="609">
        <f>Q78</f>
        <v>0</v>
      </c>
      <c r="R73" s="610"/>
      <c r="S73" s="56"/>
      <c r="T73" s="611"/>
      <c r="U73" s="612"/>
      <c r="V73" s="609">
        <f>V78</f>
        <v>0</v>
      </c>
      <c r="W73" s="610"/>
      <c r="X73" s="56"/>
      <c r="Y73" s="611"/>
      <c r="Z73" s="612"/>
      <c r="AA73" s="609">
        <f>AA78</f>
        <v>0</v>
      </c>
      <c r="AB73" s="610"/>
      <c r="AC73" s="56"/>
      <c r="AD73" s="611"/>
      <c r="AE73" s="612"/>
      <c r="AF73" s="609">
        <f>AF78</f>
        <v>0</v>
      </c>
      <c r="AG73" s="610"/>
      <c r="AH73" s="56"/>
      <c r="AI73" s="611"/>
      <c r="AJ73" s="612"/>
      <c r="AK73" s="609">
        <f>AK78</f>
        <v>0</v>
      </c>
      <c r="AL73" s="610"/>
      <c r="AM73" s="56"/>
      <c r="AN73" s="611"/>
      <c r="AO73" s="612"/>
      <c r="AP73" s="609">
        <f>AP78</f>
        <v>0</v>
      </c>
      <c r="AQ73" s="610"/>
      <c r="AR73" s="56"/>
      <c r="AS73" s="611"/>
      <c r="AT73" s="612"/>
      <c r="AU73" s="609">
        <f>AU78</f>
        <v>0</v>
      </c>
      <c r="AV73" s="610"/>
      <c r="AW73" s="56"/>
      <c r="AX73" s="611"/>
      <c r="AY73" s="612"/>
      <c r="AZ73" s="609">
        <f>AZ78</f>
        <v>0</v>
      </c>
      <c r="BA73" s="610"/>
      <c r="BB73" s="56"/>
      <c r="BC73" s="611"/>
      <c r="BD73" s="612"/>
      <c r="BE73" s="609">
        <f>BE78</f>
        <v>0</v>
      </c>
      <c r="BF73" s="610"/>
      <c r="BG73" s="56"/>
      <c r="BH73" s="611"/>
      <c r="BI73" s="612"/>
      <c r="BJ73" s="609">
        <f>BJ78</f>
        <v>0</v>
      </c>
      <c r="BK73" s="610"/>
      <c r="BL73" s="56"/>
      <c r="BM73" s="611"/>
      <c r="BN73" s="612"/>
      <c r="BO73" s="609">
        <f>BO78</f>
        <v>0</v>
      </c>
      <c r="BP73" s="610"/>
      <c r="BQ73" s="56"/>
      <c r="BR73" s="611"/>
      <c r="BS73" s="612"/>
      <c r="BT73" s="609">
        <f>BT78</f>
        <v>0</v>
      </c>
      <c r="BU73" s="610"/>
      <c r="BV73" s="56"/>
      <c r="BW73" s="611"/>
      <c r="BX73" s="612"/>
      <c r="BY73" s="609">
        <f>BY78</f>
        <v>0</v>
      </c>
      <c r="BZ73" s="610"/>
      <c r="CA73" s="56"/>
      <c r="CB73" s="611"/>
      <c r="CC73" s="612"/>
      <c r="CD73" s="609">
        <f>CD78</f>
        <v>0</v>
      </c>
      <c r="CE73" s="610"/>
      <c r="CF73" s="56"/>
      <c r="CG73" s="611"/>
      <c r="CH73" s="612"/>
      <c r="CI73" s="609">
        <f>CI78</f>
        <v>0</v>
      </c>
      <c r="CJ73" s="610"/>
      <c r="CK73" s="56"/>
      <c r="CL73" s="611"/>
      <c r="CM73" s="612"/>
      <c r="CN73" s="609">
        <f>CN78</f>
        <v>0</v>
      </c>
      <c r="CO73" s="610"/>
      <c r="CP73" s="56"/>
      <c r="CQ73" s="611"/>
      <c r="CR73" s="612"/>
      <c r="CS73" s="609">
        <f>CS78</f>
        <v>0</v>
      </c>
      <c r="CT73" s="610"/>
      <c r="CU73" s="56"/>
      <c r="CV73" s="611"/>
      <c r="CW73" s="612"/>
      <c r="CX73" s="609">
        <f>CX78</f>
        <v>0</v>
      </c>
      <c r="CY73" s="610"/>
      <c r="CZ73" s="56"/>
      <c r="DA73" s="611"/>
      <c r="DB73" s="612"/>
      <c r="DC73" s="609">
        <f>DC78</f>
        <v>0</v>
      </c>
      <c r="DD73" s="610"/>
      <c r="DE73" s="56"/>
      <c r="DF73" s="611"/>
      <c r="DG73" s="612"/>
      <c r="DH73" s="609">
        <f>DH78</f>
        <v>0</v>
      </c>
      <c r="DI73" s="610"/>
      <c r="DJ73" s="56"/>
      <c r="DK73" s="611"/>
      <c r="DL73" s="612"/>
      <c r="DM73" s="609">
        <f>DM78</f>
        <v>0</v>
      </c>
      <c r="DN73" s="610"/>
      <c r="DO73" s="56"/>
      <c r="DP73" s="611"/>
      <c r="DQ73" s="612"/>
      <c r="DR73" s="609">
        <f>DR78</f>
        <v>0</v>
      </c>
      <c r="DS73" s="610"/>
      <c r="DT73" s="56"/>
      <c r="DU73" s="611"/>
      <c r="DV73" s="612"/>
      <c r="DW73" s="609">
        <f>DW78</f>
        <v>0</v>
      </c>
      <c r="DX73" s="610"/>
      <c r="DY73" s="56"/>
      <c r="DZ73" s="611"/>
      <c r="EA73" s="612"/>
      <c r="EB73" s="609">
        <f>EB78</f>
        <v>0</v>
      </c>
      <c r="EC73" s="610"/>
      <c r="ED73" s="56"/>
      <c r="EE73" s="611"/>
      <c r="EF73" s="612"/>
      <c r="EG73" s="609">
        <f>EG78</f>
        <v>0</v>
      </c>
      <c r="EH73" s="610"/>
      <c r="EI73" s="56"/>
      <c r="EJ73" s="611"/>
      <c r="EK73" s="612"/>
      <c r="EL73" s="609">
        <f>EL78</f>
        <v>0</v>
      </c>
      <c r="EM73" s="610"/>
      <c r="EN73" s="56"/>
      <c r="EO73" s="144"/>
    </row>
    <row r="74" spans="4:148" ht="12.75" hidden="1" customHeight="1" x14ac:dyDescent="0.3">
      <c r="D74" s="144" t="s">
        <v>338</v>
      </c>
      <c r="E74" s="494"/>
      <c r="F74" s="494"/>
      <c r="G74" s="56">
        <v>0</v>
      </c>
      <c r="H74" s="55"/>
      <c r="I74" s="56"/>
      <c r="J74" s="611"/>
      <c r="K74" s="611"/>
      <c r="L74" s="56">
        <f>L79</f>
        <v>0</v>
      </c>
      <c r="M74" s="55"/>
      <c r="N74" s="56"/>
      <c r="O74" s="611"/>
      <c r="P74" s="611"/>
      <c r="Q74" s="56">
        <f>Q79</f>
        <v>0</v>
      </c>
      <c r="R74" s="55"/>
      <c r="S74" s="56"/>
      <c r="T74" s="611"/>
      <c r="U74" s="611"/>
      <c r="V74" s="56">
        <f>V79</f>
        <v>0</v>
      </c>
      <c r="W74" s="55"/>
      <c r="X74" s="56"/>
      <c r="Y74" s="611"/>
      <c r="Z74" s="611"/>
      <c r="AA74" s="56">
        <f>AA79</f>
        <v>0</v>
      </c>
      <c r="AB74" s="55"/>
      <c r="AC74" s="56"/>
      <c r="AD74" s="611"/>
      <c r="AE74" s="611"/>
      <c r="AF74" s="56">
        <f>AF79</f>
        <v>0</v>
      </c>
      <c r="AG74" s="55"/>
      <c r="AH74" s="56"/>
      <c r="AI74" s="611"/>
      <c r="AJ74" s="611"/>
      <c r="AK74" s="56">
        <f>AK79</f>
        <v>0</v>
      </c>
      <c r="AL74" s="55"/>
      <c r="AM74" s="56"/>
      <c r="AN74" s="611"/>
      <c r="AO74" s="611"/>
      <c r="AP74" s="56">
        <f>AP79</f>
        <v>0</v>
      </c>
      <c r="AQ74" s="55"/>
      <c r="AR74" s="56"/>
      <c r="AS74" s="611"/>
      <c r="AT74" s="611"/>
      <c r="AU74" s="56">
        <f>AU79</f>
        <v>0</v>
      </c>
      <c r="AV74" s="55"/>
      <c r="AW74" s="56"/>
      <c r="AX74" s="611"/>
      <c r="AY74" s="611"/>
      <c r="AZ74" s="56">
        <f>AZ79</f>
        <v>0</v>
      </c>
      <c r="BA74" s="55"/>
      <c r="BB74" s="56"/>
      <c r="BC74" s="611"/>
      <c r="BD74" s="611"/>
      <c r="BE74" s="56">
        <f>BE79</f>
        <v>0</v>
      </c>
      <c r="BF74" s="55"/>
      <c r="BG74" s="56"/>
      <c r="BH74" s="611"/>
      <c r="BI74" s="611"/>
      <c r="BJ74" s="56">
        <f>BJ79</f>
        <v>0</v>
      </c>
      <c r="BK74" s="55"/>
      <c r="BL74" s="56"/>
      <c r="BM74" s="611"/>
      <c r="BN74" s="611"/>
      <c r="BO74" s="56">
        <f>BO79</f>
        <v>0</v>
      </c>
      <c r="BP74" s="55"/>
      <c r="BQ74" s="56"/>
      <c r="BR74" s="611"/>
      <c r="BS74" s="611"/>
      <c r="BT74" s="56">
        <f>BT79</f>
        <v>0</v>
      </c>
      <c r="BU74" s="55"/>
      <c r="BV74" s="56"/>
      <c r="BW74" s="611"/>
      <c r="BX74" s="611"/>
      <c r="BY74" s="56">
        <f>BY79</f>
        <v>0</v>
      </c>
      <c r="BZ74" s="55"/>
      <c r="CA74" s="56"/>
      <c r="CB74" s="611"/>
      <c r="CC74" s="611"/>
      <c r="CD74" s="56">
        <f>CD79</f>
        <v>0</v>
      </c>
      <c r="CE74" s="55"/>
      <c r="CF74" s="56"/>
      <c r="CG74" s="611"/>
      <c r="CH74" s="611"/>
      <c r="CI74" s="56">
        <f>CI79</f>
        <v>0</v>
      </c>
      <c r="CJ74" s="55"/>
      <c r="CK74" s="56"/>
      <c r="CL74" s="611"/>
      <c r="CM74" s="611"/>
      <c r="CN74" s="56">
        <f>CN79</f>
        <v>0</v>
      </c>
      <c r="CO74" s="55"/>
      <c r="CP74" s="56"/>
      <c r="CQ74" s="611"/>
      <c r="CR74" s="611"/>
      <c r="CS74" s="56">
        <f>CS79</f>
        <v>0</v>
      </c>
      <c r="CT74" s="55"/>
      <c r="CU74" s="56"/>
      <c r="CV74" s="611"/>
      <c r="CW74" s="611"/>
      <c r="CX74" s="56">
        <f>CX79</f>
        <v>0</v>
      </c>
      <c r="CY74" s="55"/>
      <c r="CZ74" s="56"/>
      <c r="DA74" s="611"/>
      <c r="DB74" s="611"/>
      <c r="DC74" s="56">
        <f>DC79</f>
        <v>0</v>
      </c>
      <c r="DD74" s="55"/>
      <c r="DE74" s="56"/>
      <c r="DF74" s="611"/>
      <c r="DG74" s="611"/>
      <c r="DH74" s="56">
        <f>DH79</f>
        <v>0</v>
      </c>
      <c r="DI74" s="55"/>
      <c r="DJ74" s="56"/>
      <c r="DK74" s="611"/>
      <c r="DL74" s="611"/>
      <c r="DM74" s="56">
        <f>DM79</f>
        <v>0</v>
      </c>
      <c r="DN74" s="55"/>
      <c r="DO74" s="56"/>
      <c r="DP74" s="611"/>
      <c r="DQ74" s="611"/>
      <c r="DR74" s="56">
        <f>DR79</f>
        <v>0</v>
      </c>
      <c r="DS74" s="55"/>
      <c r="DT74" s="56"/>
      <c r="DU74" s="611"/>
      <c r="DV74" s="611"/>
      <c r="DW74" s="56">
        <f>DW79</f>
        <v>0</v>
      </c>
      <c r="DX74" s="55"/>
      <c r="DY74" s="56"/>
      <c r="DZ74" s="611"/>
      <c r="EA74" s="611"/>
      <c r="EB74" s="56">
        <f>EB79</f>
        <v>0</v>
      </c>
      <c r="EC74" s="55"/>
      <c r="ED74" s="56"/>
      <c r="EE74" s="611"/>
      <c r="EF74" s="611"/>
      <c r="EG74" s="56">
        <f>EG79</f>
        <v>0</v>
      </c>
      <c r="EH74" s="55"/>
      <c r="EI74" s="56"/>
      <c r="EJ74" s="611"/>
      <c r="EK74" s="611"/>
      <c r="EL74" s="56">
        <f>EL79</f>
        <v>0</v>
      </c>
      <c r="EM74" s="55"/>
      <c r="EN74" s="56"/>
      <c r="EO74" s="144"/>
    </row>
    <row r="75" spans="4:148" ht="12.75" hidden="1" customHeight="1" x14ac:dyDescent="0.3">
      <c r="D75" s="144" t="s">
        <v>352</v>
      </c>
      <c r="E75" s="494"/>
      <c r="F75" s="513"/>
      <c r="G75" s="117">
        <v>0</v>
      </c>
      <c r="H75" s="116"/>
      <c r="I75" s="56"/>
      <c r="J75" s="611"/>
      <c r="K75" s="620"/>
      <c r="L75" s="117">
        <f>L80</f>
        <v>0</v>
      </c>
      <c r="M75" s="116"/>
      <c r="N75" s="56"/>
      <c r="O75" s="611"/>
      <c r="P75" s="620"/>
      <c r="Q75" s="117">
        <f>Q80</f>
        <v>0</v>
      </c>
      <c r="R75" s="116"/>
      <c r="S75" s="56"/>
      <c r="T75" s="611"/>
      <c r="U75" s="620"/>
      <c r="V75" s="117">
        <f>V80</f>
        <v>0</v>
      </c>
      <c r="W75" s="116"/>
      <c r="X75" s="56"/>
      <c r="Y75" s="611"/>
      <c r="Z75" s="620"/>
      <c r="AA75" s="117">
        <f>AA80</f>
        <v>0</v>
      </c>
      <c r="AB75" s="116"/>
      <c r="AC75" s="56"/>
      <c r="AD75" s="611"/>
      <c r="AE75" s="620"/>
      <c r="AF75" s="117">
        <f>AF80</f>
        <v>0</v>
      </c>
      <c r="AG75" s="116"/>
      <c r="AH75" s="56"/>
      <c r="AI75" s="611"/>
      <c r="AJ75" s="620"/>
      <c r="AK75" s="117">
        <f>AK80</f>
        <v>0</v>
      </c>
      <c r="AL75" s="116"/>
      <c r="AM75" s="56"/>
      <c r="AN75" s="611"/>
      <c r="AO75" s="620"/>
      <c r="AP75" s="117">
        <f>AP80</f>
        <v>0</v>
      </c>
      <c r="AQ75" s="116"/>
      <c r="AR75" s="56"/>
      <c r="AS75" s="611"/>
      <c r="AT75" s="620"/>
      <c r="AU75" s="117">
        <f>AU80</f>
        <v>0</v>
      </c>
      <c r="AV75" s="116"/>
      <c r="AW75" s="56"/>
      <c r="AX75" s="611"/>
      <c r="AY75" s="620"/>
      <c r="AZ75" s="117">
        <f>AZ80</f>
        <v>0</v>
      </c>
      <c r="BA75" s="116"/>
      <c r="BB75" s="56"/>
      <c r="BC75" s="611"/>
      <c r="BD75" s="620"/>
      <c r="BE75" s="117">
        <f>BE80</f>
        <v>0</v>
      </c>
      <c r="BF75" s="116"/>
      <c r="BG75" s="56"/>
      <c r="BH75" s="611"/>
      <c r="BI75" s="620"/>
      <c r="BJ75" s="117">
        <f>BJ80</f>
        <v>0</v>
      </c>
      <c r="BK75" s="116"/>
      <c r="BL75" s="56"/>
      <c r="BM75" s="611"/>
      <c r="BN75" s="620"/>
      <c r="BO75" s="117">
        <f>BO80</f>
        <v>0</v>
      </c>
      <c r="BP75" s="116"/>
      <c r="BQ75" s="56"/>
      <c r="BR75" s="611"/>
      <c r="BS75" s="620"/>
      <c r="BT75" s="117">
        <f>BT80</f>
        <v>0</v>
      </c>
      <c r="BU75" s="116"/>
      <c r="BV75" s="56"/>
      <c r="BW75" s="611"/>
      <c r="BX75" s="620"/>
      <c r="BY75" s="117">
        <f>BY80</f>
        <v>0</v>
      </c>
      <c r="BZ75" s="116"/>
      <c r="CA75" s="56"/>
      <c r="CB75" s="611"/>
      <c r="CC75" s="620"/>
      <c r="CD75" s="117">
        <f>CD80</f>
        <v>0</v>
      </c>
      <c r="CE75" s="116"/>
      <c r="CF75" s="56"/>
      <c r="CG75" s="611"/>
      <c r="CH75" s="620"/>
      <c r="CI75" s="117">
        <f>CI80</f>
        <v>0</v>
      </c>
      <c r="CJ75" s="116"/>
      <c r="CK75" s="56"/>
      <c r="CL75" s="611"/>
      <c r="CM75" s="620"/>
      <c r="CN75" s="117">
        <f>CN80</f>
        <v>0</v>
      </c>
      <c r="CO75" s="116"/>
      <c r="CP75" s="56"/>
      <c r="CQ75" s="611"/>
      <c r="CR75" s="620"/>
      <c r="CS75" s="117">
        <f>CS80</f>
        <v>0</v>
      </c>
      <c r="CT75" s="116"/>
      <c r="CU75" s="56"/>
      <c r="CV75" s="611"/>
      <c r="CW75" s="620"/>
      <c r="CX75" s="117">
        <f>CX80</f>
        <v>0</v>
      </c>
      <c r="CY75" s="116"/>
      <c r="CZ75" s="56"/>
      <c r="DA75" s="611"/>
      <c r="DB75" s="620"/>
      <c r="DC75" s="117">
        <f>DC80</f>
        <v>0</v>
      </c>
      <c r="DD75" s="116"/>
      <c r="DE75" s="56"/>
      <c r="DF75" s="611"/>
      <c r="DG75" s="620"/>
      <c r="DH75" s="117">
        <f>DH80</f>
        <v>0</v>
      </c>
      <c r="DI75" s="116"/>
      <c r="DJ75" s="56"/>
      <c r="DK75" s="611"/>
      <c r="DL75" s="620"/>
      <c r="DM75" s="117">
        <f>DM80</f>
        <v>0</v>
      </c>
      <c r="DN75" s="116"/>
      <c r="DO75" s="56"/>
      <c r="DP75" s="611"/>
      <c r="DQ75" s="620"/>
      <c r="DR75" s="117">
        <f>DR80</f>
        <v>0</v>
      </c>
      <c r="DS75" s="116"/>
      <c r="DT75" s="56"/>
      <c r="DU75" s="611"/>
      <c r="DV75" s="620"/>
      <c r="DW75" s="117">
        <f>DW80</f>
        <v>0</v>
      </c>
      <c r="DX75" s="116"/>
      <c r="DY75" s="56"/>
      <c r="DZ75" s="611"/>
      <c r="EA75" s="620"/>
      <c r="EB75" s="117">
        <f>EB80</f>
        <v>0</v>
      </c>
      <c r="EC75" s="116"/>
      <c r="ED75" s="56"/>
      <c r="EE75" s="611"/>
      <c r="EF75" s="620"/>
      <c r="EG75" s="117">
        <f>EG80</f>
        <v>0</v>
      </c>
      <c r="EH75" s="116"/>
      <c r="EI75" s="56"/>
      <c r="EJ75" s="611"/>
      <c r="EK75" s="620"/>
      <c r="EL75" s="117">
        <f>EL80</f>
        <v>0</v>
      </c>
      <c r="EM75" s="116"/>
      <c r="EN75" s="56"/>
      <c r="EO75" s="144"/>
    </row>
    <row r="76" spans="4:148" ht="12.75" hidden="1" customHeight="1" x14ac:dyDescent="0.3">
      <c r="D76" s="144"/>
      <c r="E76" s="494"/>
      <c r="G76" s="56"/>
      <c r="H76" s="56"/>
      <c r="I76" s="56"/>
      <c r="J76" s="611"/>
      <c r="K76" s="56"/>
      <c r="L76" s="56"/>
      <c r="M76" s="56"/>
      <c r="N76" s="56"/>
      <c r="O76" s="611"/>
      <c r="P76" s="56"/>
      <c r="Q76" s="56"/>
      <c r="R76" s="56"/>
      <c r="S76" s="56"/>
      <c r="T76" s="611"/>
      <c r="U76" s="56"/>
      <c r="V76" s="56"/>
      <c r="W76" s="56"/>
      <c r="X76" s="56"/>
      <c r="Y76" s="611"/>
      <c r="Z76" s="56"/>
      <c r="AA76" s="56"/>
      <c r="AB76" s="56"/>
      <c r="AC76" s="56"/>
      <c r="AD76" s="611"/>
      <c r="AE76" s="56"/>
      <c r="AF76" s="56"/>
      <c r="AG76" s="56"/>
      <c r="AH76" s="56"/>
      <c r="AI76" s="611"/>
      <c r="AJ76" s="56"/>
      <c r="AK76" s="56"/>
      <c r="AL76" s="56"/>
      <c r="AM76" s="56"/>
      <c r="AN76" s="611"/>
      <c r="AO76" s="56"/>
      <c r="AP76" s="56"/>
      <c r="AQ76" s="56"/>
      <c r="AR76" s="56"/>
      <c r="AS76" s="611"/>
      <c r="AT76" s="56"/>
      <c r="AU76" s="56"/>
      <c r="AV76" s="56"/>
      <c r="AW76" s="56"/>
      <c r="AX76" s="611"/>
      <c r="AY76" s="56"/>
      <c r="AZ76" s="56"/>
      <c r="BA76" s="56"/>
      <c r="BB76" s="56"/>
      <c r="BC76" s="611"/>
      <c r="BD76" s="56"/>
      <c r="BE76" s="56"/>
      <c r="BF76" s="56"/>
      <c r="BG76" s="56"/>
      <c r="BH76" s="611"/>
      <c r="BI76" s="56"/>
      <c r="BJ76" s="56"/>
      <c r="BK76" s="56"/>
      <c r="BL76" s="56"/>
      <c r="BM76" s="611"/>
      <c r="BN76" s="56"/>
      <c r="BO76" s="56"/>
      <c r="BP76" s="56"/>
      <c r="BQ76" s="56"/>
      <c r="BR76" s="611"/>
      <c r="BS76" s="56"/>
      <c r="BT76" s="56"/>
      <c r="BU76" s="56"/>
      <c r="BV76" s="56"/>
      <c r="BW76" s="611"/>
      <c r="BX76" s="56"/>
      <c r="BY76" s="56"/>
      <c r="BZ76" s="56"/>
      <c r="CA76" s="56"/>
      <c r="CB76" s="611"/>
      <c r="CC76" s="56"/>
      <c r="CD76" s="56"/>
      <c r="CE76" s="56"/>
      <c r="CF76" s="56"/>
      <c r="CG76" s="611"/>
      <c r="CH76" s="56"/>
      <c r="CI76" s="56"/>
      <c r="CJ76" s="56"/>
      <c r="CK76" s="56"/>
      <c r="CL76" s="611"/>
      <c r="CM76" s="56"/>
      <c r="CN76" s="56"/>
      <c r="CO76" s="56"/>
      <c r="CP76" s="56"/>
      <c r="CQ76" s="611"/>
      <c r="CR76" s="56"/>
      <c r="CS76" s="56"/>
      <c r="CT76" s="56"/>
      <c r="CU76" s="56"/>
      <c r="CV76" s="611"/>
      <c r="CW76" s="56"/>
      <c r="CX76" s="56"/>
      <c r="CY76" s="56"/>
      <c r="CZ76" s="56"/>
      <c r="DA76" s="611"/>
      <c r="DB76" s="56"/>
      <c r="DC76" s="56"/>
      <c r="DD76" s="56"/>
      <c r="DE76" s="56"/>
      <c r="DF76" s="611"/>
      <c r="DG76" s="56"/>
      <c r="DH76" s="56"/>
      <c r="DI76" s="56"/>
      <c r="DJ76" s="56"/>
      <c r="DK76" s="611"/>
      <c r="DL76" s="56"/>
      <c r="DM76" s="56"/>
      <c r="DN76" s="56"/>
      <c r="DO76" s="56"/>
      <c r="DP76" s="611"/>
      <c r="DQ76" s="56"/>
      <c r="DR76" s="56"/>
      <c r="DS76" s="56"/>
      <c r="DT76" s="56"/>
      <c r="DU76" s="611"/>
      <c r="DV76" s="56"/>
      <c r="DW76" s="56"/>
      <c r="DX76" s="56"/>
      <c r="DY76" s="56"/>
      <c r="DZ76" s="611"/>
      <c r="EA76" s="56"/>
      <c r="EB76" s="56"/>
      <c r="EC76" s="56"/>
      <c r="ED76" s="56"/>
      <c r="EE76" s="611"/>
      <c r="EF76" s="56"/>
      <c r="EG76" s="56"/>
      <c r="EH76" s="56"/>
      <c r="EI76" s="56"/>
      <c r="EJ76" s="611"/>
      <c r="EK76" s="56"/>
      <c r="EL76" s="56"/>
      <c r="EM76" s="56"/>
      <c r="EN76" s="56"/>
      <c r="EO76" s="144"/>
    </row>
    <row r="77" spans="4:148" ht="12.75" hidden="1" customHeight="1" x14ac:dyDescent="0.3">
      <c r="D77" s="144" t="s">
        <v>434</v>
      </c>
      <c r="E77" s="494"/>
      <c r="G77" s="56">
        <v>0</v>
      </c>
      <c r="H77" s="56"/>
      <c r="I77" s="56"/>
      <c r="J77" s="611"/>
      <c r="K77" s="56"/>
      <c r="L77" s="56">
        <f>SUM(L78:L80)</f>
        <v>0</v>
      </c>
      <c r="M77" s="56"/>
      <c r="N77" s="56"/>
      <c r="O77" s="611"/>
      <c r="P77" s="56"/>
      <c r="Q77" s="56">
        <f>SUM(Q78:Q80)</f>
        <v>0</v>
      </c>
      <c r="R77" s="56"/>
      <c r="S77" s="56"/>
      <c r="T77" s="611"/>
      <c r="U77" s="56"/>
      <c r="V77" s="56">
        <f>SUM(V78:V80)</f>
        <v>0</v>
      </c>
      <c r="W77" s="56"/>
      <c r="X77" s="56"/>
      <c r="Y77" s="611"/>
      <c r="Z77" s="56"/>
      <c r="AA77" s="56">
        <f>SUM(AA78:AA80)</f>
        <v>0</v>
      </c>
      <c r="AB77" s="56"/>
      <c r="AC77" s="56"/>
      <c r="AD77" s="611"/>
      <c r="AE77" s="56"/>
      <c r="AF77" s="56">
        <f>SUM(AF78:AF80)</f>
        <v>0</v>
      </c>
      <c r="AG77" s="56"/>
      <c r="AH77" s="56"/>
      <c r="AI77" s="611"/>
      <c r="AJ77" s="56"/>
      <c r="AK77" s="56">
        <f>SUM(AK78:AK80)</f>
        <v>0</v>
      </c>
      <c r="AL77" s="56"/>
      <c r="AM77" s="56"/>
      <c r="AN77" s="611"/>
      <c r="AO77" s="56"/>
      <c r="AP77" s="56">
        <f>SUM(AP78:AP80)</f>
        <v>0</v>
      </c>
      <c r="AQ77" s="56"/>
      <c r="AR77" s="56"/>
      <c r="AS77" s="611"/>
      <c r="AT77" s="56"/>
      <c r="AU77" s="56">
        <f>SUM(AU78:AU80)</f>
        <v>0</v>
      </c>
      <c r="AV77" s="56"/>
      <c r="AW77" s="56"/>
      <c r="AX77" s="611"/>
      <c r="AY77" s="56"/>
      <c r="AZ77" s="56">
        <f>SUM(AZ78:AZ80)</f>
        <v>0</v>
      </c>
      <c r="BA77" s="56"/>
      <c r="BB77" s="56"/>
      <c r="BC77" s="611"/>
      <c r="BD77" s="56"/>
      <c r="BE77" s="56">
        <f>SUM(BE78:BE80)</f>
        <v>0</v>
      </c>
      <c r="BF77" s="56"/>
      <c r="BG77" s="56"/>
      <c r="BH77" s="611"/>
      <c r="BI77" s="56"/>
      <c r="BJ77" s="56">
        <f>SUM(BJ78:BJ80)</f>
        <v>0</v>
      </c>
      <c r="BK77" s="56"/>
      <c r="BL77" s="56"/>
      <c r="BM77" s="611"/>
      <c r="BN77" s="56"/>
      <c r="BO77" s="56">
        <f>SUM(BO78:BO80)</f>
        <v>0</v>
      </c>
      <c r="BP77" s="56"/>
      <c r="BQ77" s="56"/>
      <c r="BR77" s="611"/>
      <c r="BS77" s="56"/>
      <c r="BT77" s="56">
        <f>SUM(BT78:BT80)</f>
        <v>0</v>
      </c>
      <c r="BU77" s="56"/>
      <c r="BV77" s="56"/>
      <c r="BW77" s="611"/>
      <c r="BX77" s="56"/>
      <c r="BY77" s="56">
        <f>SUM(BY78:BY80)</f>
        <v>0</v>
      </c>
      <c r="BZ77" s="56"/>
      <c r="CA77" s="56"/>
      <c r="CB77" s="611"/>
      <c r="CC77" s="56"/>
      <c r="CD77" s="56">
        <f>SUM(CD78:CD80)</f>
        <v>0</v>
      </c>
      <c r="CE77" s="56"/>
      <c r="CF77" s="56"/>
      <c r="CG77" s="611"/>
      <c r="CH77" s="56"/>
      <c r="CI77" s="56">
        <f>SUM(CI78:CI80)</f>
        <v>0</v>
      </c>
      <c r="CJ77" s="56"/>
      <c r="CK77" s="56"/>
      <c r="CL77" s="611"/>
      <c r="CM77" s="56"/>
      <c r="CN77" s="56">
        <f>SUM(CN78:CN80)</f>
        <v>0</v>
      </c>
      <c r="CO77" s="56"/>
      <c r="CP77" s="56"/>
      <c r="CQ77" s="611"/>
      <c r="CR77" s="56"/>
      <c r="CS77" s="56">
        <f>SUM(CS78:CS80)</f>
        <v>0</v>
      </c>
      <c r="CT77" s="56"/>
      <c r="CU77" s="56"/>
      <c r="CV77" s="611"/>
      <c r="CW77" s="56"/>
      <c r="CX77" s="56">
        <f>SUM(CX78:CX80)</f>
        <v>0</v>
      </c>
      <c r="CY77" s="56"/>
      <c r="CZ77" s="56"/>
      <c r="DA77" s="611"/>
      <c r="DB77" s="56"/>
      <c r="DC77" s="56">
        <f>SUM(DC78:DC80)</f>
        <v>0</v>
      </c>
      <c r="DD77" s="56"/>
      <c r="DE77" s="56"/>
      <c r="DF77" s="611"/>
      <c r="DG77" s="56"/>
      <c r="DH77" s="56">
        <f>SUM(DH78:DH80)</f>
        <v>0</v>
      </c>
      <c r="DI77" s="56"/>
      <c r="DJ77" s="56"/>
      <c r="DK77" s="611"/>
      <c r="DL77" s="56"/>
      <c r="DM77" s="56">
        <f>SUM(DM78:DM80)</f>
        <v>0</v>
      </c>
      <c r="DN77" s="56"/>
      <c r="DO77" s="56"/>
      <c r="DP77" s="611"/>
      <c r="DQ77" s="56"/>
      <c r="DR77" s="56">
        <f>SUM(DR78:DR80)</f>
        <v>0</v>
      </c>
      <c r="DS77" s="56"/>
      <c r="DT77" s="56"/>
      <c r="DU77" s="611"/>
      <c r="DV77" s="56"/>
      <c r="DW77" s="56">
        <f>SUM(DW78:DW80)</f>
        <v>0</v>
      </c>
      <c r="DX77" s="56"/>
      <c r="DY77" s="56"/>
      <c r="DZ77" s="611"/>
      <c r="EA77" s="56"/>
      <c r="EB77" s="56">
        <f>SUM(EB78:EB80)</f>
        <v>0</v>
      </c>
      <c r="EC77" s="56"/>
      <c r="ED77" s="56"/>
      <c r="EE77" s="611"/>
      <c r="EF77" s="56"/>
      <c r="EG77" s="56">
        <f>SUM(EG78:EG80)</f>
        <v>0</v>
      </c>
      <c r="EH77" s="56"/>
      <c r="EI77" s="56"/>
      <c r="EJ77" s="611"/>
      <c r="EK77" s="56"/>
      <c r="EL77" s="56">
        <f>SUM(EL78:EL80)</f>
        <v>0</v>
      </c>
      <c r="EM77" s="56"/>
      <c r="EN77" s="56"/>
      <c r="EO77" s="144"/>
    </row>
    <row r="78" spans="4:148" ht="12.75" hidden="1" customHeight="1" x14ac:dyDescent="0.3">
      <c r="D78" s="144" t="s">
        <v>335</v>
      </c>
      <c r="E78" s="494"/>
      <c r="F78" s="500"/>
      <c r="G78" s="609">
        <v>0</v>
      </c>
      <c r="H78" s="610"/>
      <c r="I78" s="56"/>
      <c r="J78" s="611"/>
      <c r="K78" s="612"/>
      <c r="L78" s="609">
        <v>0</v>
      </c>
      <c r="M78" s="610"/>
      <c r="N78" s="56"/>
      <c r="O78" s="611"/>
      <c r="P78" s="612"/>
      <c r="Q78" s="609">
        <v>0</v>
      </c>
      <c r="R78" s="610"/>
      <c r="S78" s="56"/>
      <c r="T78" s="611"/>
      <c r="U78" s="612"/>
      <c r="V78" s="609">
        <v>0</v>
      </c>
      <c r="W78" s="610"/>
      <c r="X78" s="56"/>
      <c r="Y78" s="611"/>
      <c r="Z78" s="612"/>
      <c r="AA78" s="609">
        <v>0</v>
      </c>
      <c r="AB78" s="610"/>
      <c r="AC78" s="56"/>
      <c r="AD78" s="611"/>
      <c r="AE78" s="612"/>
      <c r="AF78" s="609">
        <v>0</v>
      </c>
      <c r="AG78" s="610"/>
      <c r="AH78" s="56"/>
      <c r="AI78" s="611"/>
      <c r="AJ78" s="612"/>
      <c r="AK78" s="609">
        <v>0</v>
      </c>
      <c r="AL78" s="610"/>
      <c r="AM78" s="56"/>
      <c r="AN78" s="611"/>
      <c r="AO78" s="612"/>
      <c r="AP78" s="609">
        <v>0</v>
      </c>
      <c r="AQ78" s="610"/>
      <c r="AR78" s="56"/>
      <c r="AS78" s="611"/>
      <c r="AT78" s="612"/>
      <c r="AU78" s="609">
        <v>0</v>
      </c>
      <c r="AV78" s="610"/>
      <c r="AW78" s="56"/>
      <c r="AX78" s="611"/>
      <c r="AY78" s="612"/>
      <c r="AZ78" s="609">
        <v>0</v>
      </c>
      <c r="BA78" s="610"/>
      <c r="BB78" s="56"/>
      <c r="BC78" s="611"/>
      <c r="BD78" s="612"/>
      <c r="BE78" s="609">
        <v>0</v>
      </c>
      <c r="BF78" s="610"/>
      <c r="BG78" s="56"/>
      <c r="BH78" s="611"/>
      <c r="BI78" s="612"/>
      <c r="BJ78" s="609">
        <v>0</v>
      </c>
      <c r="BK78" s="610"/>
      <c r="BL78" s="56"/>
      <c r="BM78" s="611"/>
      <c r="BN78" s="612"/>
      <c r="BO78" s="609">
        <v>0</v>
      </c>
      <c r="BP78" s="610"/>
      <c r="BQ78" s="56"/>
      <c r="BR78" s="611"/>
      <c r="BS78" s="612"/>
      <c r="BT78" s="609">
        <f>SUM(L78:BO78)</f>
        <v>0</v>
      </c>
      <c r="BU78" s="610"/>
      <c r="BV78" s="56"/>
      <c r="BW78" s="611"/>
      <c r="BX78" s="612"/>
      <c r="BY78" s="609">
        <f>SUM(Q78:BT78)</f>
        <v>0</v>
      </c>
      <c r="BZ78" s="610"/>
      <c r="CA78" s="56"/>
      <c r="CB78" s="611"/>
      <c r="CC78" s="612"/>
      <c r="CD78" s="609">
        <v>0</v>
      </c>
      <c r="CE78" s="610"/>
      <c r="CF78" s="56"/>
      <c r="CG78" s="611"/>
      <c r="CH78" s="612"/>
      <c r="CI78" s="609">
        <v>0</v>
      </c>
      <c r="CJ78" s="610"/>
      <c r="CK78" s="56"/>
      <c r="CL78" s="611"/>
      <c r="CM78" s="612"/>
      <c r="CN78" s="609">
        <v>0</v>
      </c>
      <c r="CO78" s="610"/>
      <c r="CP78" s="56"/>
      <c r="CQ78" s="611"/>
      <c r="CR78" s="612"/>
      <c r="CS78" s="609">
        <v>0</v>
      </c>
      <c r="CT78" s="610"/>
      <c r="CU78" s="56"/>
      <c r="CV78" s="611"/>
      <c r="CW78" s="612"/>
      <c r="CX78" s="609">
        <v>0</v>
      </c>
      <c r="CY78" s="610"/>
      <c r="CZ78" s="56"/>
      <c r="DA78" s="611"/>
      <c r="DB78" s="612"/>
      <c r="DC78" s="609">
        <v>0</v>
      </c>
      <c r="DD78" s="610"/>
      <c r="DE78" s="56"/>
      <c r="DF78" s="611"/>
      <c r="DG78" s="612"/>
      <c r="DH78" s="609">
        <v>0</v>
      </c>
      <c r="DI78" s="610"/>
      <c r="DJ78" s="56"/>
      <c r="DK78" s="611"/>
      <c r="DL78" s="612"/>
      <c r="DM78" s="609">
        <v>0</v>
      </c>
      <c r="DN78" s="610"/>
      <c r="DO78" s="56"/>
      <c r="DP78" s="611"/>
      <c r="DQ78" s="612"/>
      <c r="DR78" s="609">
        <v>0</v>
      </c>
      <c r="DS78" s="610"/>
      <c r="DT78" s="56"/>
      <c r="DU78" s="611"/>
      <c r="DV78" s="612"/>
      <c r="DW78" s="609">
        <v>0</v>
      </c>
      <c r="DX78" s="610"/>
      <c r="DY78" s="56"/>
      <c r="DZ78" s="611"/>
      <c r="EA78" s="612"/>
      <c r="EB78" s="609">
        <v>0</v>
      </c>
      <c r="EC78" s="610"/>
      <c r="ED78" s="56"/>
      <c r="EE78" s="611"/>
      <c r="EF78" s="612"/>
      <c r="EG78" s="609">
        <v>0</v>
      </c>
      <c r="EH78" s="610"/>
      <c r="EI78" s="56"/>
      <c r="EJ78" s="611"/>
      <c r="EK78" s="612"/>
      <c r="EL78" s="609">
        <f>SUM(CD78:EG78)</f>
        <v>0</v>
      </c>
      <c r="EM78" s="610"/>
      <c r="EN78" s="56"/>
      <c r="EO78" s="144"/>
    </row>
    <row r="79" spans="4:148" ht="12.75" hidden="1" customHeight="1" x14ac:dyDescent="0.3">
      <c r="D79" s="144" t="s">
        <v>338</v>
      </c>
      <c r="E79" s="494"/>
      <c r="F79" s="494"/>
      <c r="G79" s="56">
        <v>0</v>
      </c>
      <c r="H79" s="55"/>
      <c r="I79" s="56"/>
      <c r="J79" s="611"/>
      <c r="K79" s="611"/>
      <c r="L79" s="56">
        <v>0</v>
      </c>
      <c r="M79" s="55"/>
      <c r="N79" s="56"/>
      <c r="O79" s="611"/>
      <c r="P79" s="611"/>
      <c r="Q79" s="56">
        <v>0</v>
      </c>
      <c r="R79" s="55"/>
      <c r="S79" s="56"/>
      <c r="T79" s="611"/>
      <c r="U79" s="611"/>
      <c r="V79" s="56">
        <v>0</v>
      </c>
      <c r="W79" s="55"/>
      <c r="X79" s="56"/>
      <c r="Y79" s="611"/>
      <c r="Z79" s="611"/>
      <c r="AA79" s="56">
        <v>0</v>
      </c>
      <c r="AB79" s="55"/>
      <c r="AC79" s="56"/>
      <c r="AD79" s="611"/>
      <c r="AE79" s="611"/>
      <c r="AF79" s="56">
        <v>0</v>
      </c>
      <c r="AG79" s="55"/>
      <c r="AH79" s="56"/>
      <c r="AI79" s="611"/>
      <c r="AJ79" s="611"/>
      <c r="AK79" s="56">
        <v>0</v>
      </c>
      <c r="AL79" s="55"/>
      <c r="AM79" s="56"/>
      <c r="AN79" s="611"/>
      <c r="AO79" s="611"/>
      <c r="AP79" s="56">
        <v>0</v>
      </c>
      <c r="AQ79" s="55"/>
      <c r="AR79" s="56"/>
      <c r="AS79" s="611"/>
      <c r="AT79" s="611"/>
      <c r="AU79" s="56">
        <v>0</v>
      </c>
      <c r="AV79" s="55"/>
      <c r="AW79" s="56"/>
      <c r="AX79" s="611"/>
      <c r="AY79" s="611"/>
      <c r="AZ79" s="56">
        <v>0</v>
      </c>
      <c r="BA79" s="55"/>
      <c r="BB79" s="56"/>
      <c r="BC79" s="611"/>
      <c r="BD79" s="611"/>
      <c r="BE79" s="56">
        <v>0</v>
      </c>
      <c r="BF79" s="55"/>
      <c r="BG79" s="56"/>
      <c r="BH79" s="611"/>
      <c r="BI79" s="611"/>
      <c r="BJ79" s="56">
        <v>0</v>
      </c>
      <c r="BK79" s="55"/>
      <c r="BL79" s="56"/>
      <c r="BM79" s="611"/>
      <c r="BN79" s="611"/>
      <c r="BO79" s="56">
        <v>0</v>
      </c>
      <c r="BP79" s="55"/>
      <c r="BQ79" s="56"/>
      <c r="BR79" s="611"/>
      <c r="BS79" s="611"/>
      <c r="BT79" s="56">
        <f>SUM(L79:BO79)</f>
        <v>0</v>
      </c>
      <c r="BU79" s="55"/>
      <c r="BV79" s="56"/>
      <c r="BW79" s="611"/>
      <c r="BX79" s="611"/>
      <c r="BY79" s="56">
        <f>SUM(Q79:BT79)</f>
        <v>0</v>
      </c>
      <c r="BZ79" s="55"/>
      <c r="CA79" s="56"/>
      <c r="CB79" s="611"/>
      <c r="CC79" s="611"/>
      <c r="CD79" s="56">
        <v>0</v>
      </c>
      <c r="CE79" s="55"/>
      <c r="CF79" s="56"/>
      <c r="CG79" s="611"/>
      <c r="CH79" s="611"/>
      <c r="CI79" s="56">
        <v>0</v>
      </c>
      <c r="CJ79" s="55"/>
      <c r="CK79" s="56"/>
      <c r="CL79" s="611"/>
      <c r="CM79" s="611"/>
      <c r="CN79" s="56">
        <v>0</v>
      </c>
      <c r="CO79" s="55"/>
      <c r="CP79" s="56"/>
      <c r="CQ79" s="611"/>
      <c r="CR79" s="611"/>
      <c r="CS79" s="56">
        <v>0</v>
      </c>
      <c r="CT79" s="55"/>
      <c r="CU79" s="56"/>
      <c r="CV79" s="611"/>
      <c r="CW79" s="611"/>
      <c r="CX79" s="56">
        <v>0</v>
      </c>
      <c r="CY79" s="55"/>
      <c r="CZ79" s="56"/>
      <c r="DA79" s="611"/>
      <c r="DB79" s="611"/>
      <c r="DC79" s="56">
        <v>0</v>
      </c>
      <c r="DD79" s="55"/>
      <c r="DE79" s="56"/>
      <c r="DF79" s="611"/>
      <c r="DG79" s="611"/>
      <c r="DH79" s="56">
        <v>0</v>
      </c>
      <c r="DI79" s="55"/>
      <c r="DJ79" s="56"/>
      <c r="DK79" s="611"/>
      <c r="DL79" s="611"/>
      <c r="DM79" s="56">
        <v>0</v>
      </c>
      <c r="DN79" s="55"/>
      <c r="DO79" s="56"/>
      <c r="DP79" s="611"/>
      <c r="DQ79" s="611"/>
      <c r="DR79" s="56">
        <v>0</v>
      </c>
      <c r="DS79" s="55"/>
      <c r="DT79" s="56"/>
      <c r="DU79" s="611"/>
      <c r="DV79" s="611"/>
      <c r="DW79" s="56">
        <v>0</v>
      </c>
      <c r="DX79" s="55"/>
      <c r="DY79" s="56"/>
      <c r="DZ79" s="611"/>
      <c r="EA79" s="611"/>
      <c r="EB79" s="56">
        <v>0</v>
      </c>
      <c r="EC79" s="55"/>
      <c r="ED79" s="56"/>
      <c r="EE79" s="611"/>
      <c r="EF79" s="611"/>
      <c r="EG79" s="56">
        <v>0</v>
      </c>
      <c r="EH79" s="55"/>
      <c r="EI79" s="56"/>
      <c r="EJ79" s="611"/>
      <c r="EK79" s="611"/>
      <c r="EL79" s="56">
        <f>SUM(CD79:EG79)</f>
        <v>0</v>
      </c>
      <c r="EM79" s="55"/>
      <c r="EN79" s="56"/>
      <c r="EO79" s="144"/>
    </row>
    <row r="80" spans="4:148" ht="12.75" hidden="1" customHeight="1" x14ac:dyDescent="0.3">
      <c r="D80" s="144" t="s">
        <v>352</v>
      </c>
      <c r="E80" s="494"/>
      <c r="F80" s="513"/>
      <c r="G80" s="117">
        <v>0</v>
      </c>
      <c r="H80" s="116"/>
      <c r="I80" s="56"/>
      <c r="J80" s="611"/>
      <c r="K80" s="620"/>
      <c r="L80" s="117">
        <v>0</v>
      </c>
      <c r="M80" s="116"/>
      <c r="N80" s="56"/>
      <c r="O80" s="611"/>
      <c r="P80" s="620"/>
      <c r="Q80" s="117">
        <v>0</v>
      </c>
      <c r="R80" s="116"/>
      <c r="S80" s="56"/>
      <c r="T80" s="611"/>
      <c r="U80" s="620"/>
      <c r="V80" s="117">
        <v>0</v>
      </c>
      <c r="W80" s="116"/>
      <c r="X80" s="56"/>
      <c r="Y80" s="611"/>
      <c r="Z80" s="620"/>
      <c r="AA80" s="117">
        <v>0</v>
      </c>
      <c r="AB80" s="116"/>
      <c r="AC80" s="56"/>
      <c r="AD80" s="611"/>
      <c r="AE80" s="620"/>
      <c r="AF80" s="117">
        <v>0</v>
      </c>
      <c r="AG80" s="116"/>
      <c r="AH80" s="56"/>
      <c r="AI80" s="611"/>
      <c r="AJ80" s="620"/>
      <c r="AK80" s="117">
        <v>0</v>
      </c>
      <c r="AL80" s="116"/>
      <c r="AM80" s="56"/>
      <c r="AN80" s="611"/>
      <c r="AO80" s="620"/>
      <c r="AP80" s="117">
        <v>0</v>
      </c>
      <c r="AQ80" s="116"/>
      <c r="AR80" s="56"/>
      <c r="AS80" s="611"/>
      <c r="AT80" s="620"/>
      <c r="AU80" s="117">
        <v>0</v>
      </c>
      <c r="AV80" s="116"/>
      <c r="AW80" s="56"/>
      <c r="AX80" s="611"/>
      <c r="AY80" s="620"/>
      <c r="AZ80" s="117">
        <v>0</v>
      </c>
      <c r="BA80" s="116"/>
      <c r="BB80" s="56"/>
      <c r="BC80" s="611"/>
      <c r="BD80" s="620"/>
      <c r="BE80" s="117">
        <v>0</v>
      </c>
      <c r="BF80" s="116"/>
      <c r="BG80" s="56"/>
      <c r="BH80" s="611"/>
      <c r="BI80" s="620"/>
      <c r="BJ80" s="117">
        <v>0</v>
      </c>
      <c r="BK80" s="116"/>
      <c r="BL80" s="56"/>
      <c r="BM80" s="611"/>
      <c r="BN80" s="620"/>
      <c r="BO80" s="117">
        <v>0</v>
      </c>
      <c r="BP80" s="116"/>
      <c r="BQ80" s="56"/>
      <c r="BR80" s="611"/>
      <c r="BS80" s="620"/>
      <c r="BT80" s="117">
        <f>SUM(L80:BO80)</f>
        <v>0</v>
      </c>
      <c r="BU80" s="116"/>
      <c r="BV80" s="56"/>
      <c r="BW80" s="611"/>
      <c r="BX80" s="620"/>
      <c r="BY80" s="117">
        <f>SUM(Q80:BT80)</f>
        <v>0</v>
      </c>
      <c r="BZ80" s="116"/>
      <c r="CA80" s="56"/>
      <c r="CB80" s="611"/>
      <c r="CC80" s="620"/>
      <c r="CD80" s="117">
        <v>0</v>
      </c>
      <c r="CE80" s="116"/>
      <c r="CF80" s="56"/>
      <c r="CG80" s="611"/>
      <c r="CH80" s="620"/>
      <c r="CI80" s="117">
        <v>0</v>
      </c>
      <c r="CJ80" s="116"/>
      <c r="CK80" s="56"/>
      <c r="CL80" s="611"/>
      <c r="CM80" s="620"/>
      <c r="CN80" s="117">
        <v>0</v>
      </c>
      <c r="CO80" s="116"/>
      <c r="CP80" s="56"/>
      <c r="CQ80" s="611"/>
      <c r="CR80" s="620"/>
      <c r="CS80" s="117">
        <v>0</v>
      </c>
      <c r="CT80" s="116"/>
      <c r="CU80" s="56"/>
      <c r="CV80" s="611"/>
      <c r="CW80" s="620"/>
      <c r="CX80" s="117">
        <v>0</v>
      </c>
      <c r="CY80" s="116"/>
      <c r="CZ80" s="56"/>
      <c r="DA80" s="611"/>
      <c r="DB80" s="620"/>
      <c r="DC80" s="117">
        <v>0</v>
      </c>
      <c r="DD80" s="116"/>
      <c r="DE80" s="56"/>
      <c r="DF80" s="611"/>
      <c r="DG80" s="620"/>
      <c r="DH80" s="117">
        <v>0</v>
      </c>
      <c r="DI80" s="116"/>
      <c r="DJ80" s="56"/>
      <c r="DK80" s="611"/>
      <c r="DL80" s="620"/>
      <c r="DM80" s="117">
        <v>0</v>
      </c>
      <c r="DN80" s="116"/>
      <c r="DO80" s="56"/>
      <c r="DP80" s="611"/>
      <c r="DQ80" s="620"/>
      <c r="DR80" s="117">
        <v>0</v>
      </c>
      <c r="DS80" s="116"/>
      <c r="DT80" s="56"/>
      <c r="DU80" s="611"/>
      <c r="DV80" s="620"/>
      <c r="DW80" s="117">
        <v>0</v>
      </c>
      <c r="DX80" s="116"/>
      <c r="DY80" s="56"/>
      <c r="DZ80" s="611"/>
      <c r="EA80" s="620"/>
      <c r="EB80" s="117">
        <v>0</v>
      </c>
      <c r="EC80" s="116"/>
      <c r="ED80" s="56"/>
      <c r="EE80" s="611"/>
      <c r="EF80" s="620"/>
      <c r="EG80" s="117">
        <v>0</v>
      </c>
      <c r="EH80" s="116"/>
      <c r="EI80" s="56"/>
      <c r="EJ80" s="611"/>
      <c r="EK80" s="620"/>
      <c r="EL80" s="117">
        <f>SUM(CD80:EG80)</f>
        <v>0</v>
      </c>
      <c r="EM80" s="116"/>
      <c r="EN80" s="56"/>
      <c r="EO80" s="144"/>
    </row>
    <row r="81" spans="4:148" ht="12.75" hidden="1" customHeight="1" x14ac:dyDescent="0.3">
      <c r="D81" s="144"/>
      <c r="E81" s="494"/>
      <c r="G81" s="56"/>
      <c r="H81" s="56"/>
      <c r="I81" s="56"/>
      <c r="J81" s="611"/>
      <c r="K81" s="56"/>
      <c r="L81" s="56"/>
      <c r="M81" s="56"/>
      <c r="N81" s="56"/>
      <c r="O81" s="611"/>
      <c r="P81" s="56"/>
      <c r="Q81" s="56"/>
      <c r="R81" s="56"/>
      <c r="S81" s="56"/>
      <c r="T81" s="611"/>
      <c r="U81" s="56"/>
      <c r="V81" s="56"/>
      <c r="W81" s="56"/>
      <c r="X81" s="56"/>
      <c r="Y81" s="611"/>
      <c r="Z81" s="56"/>
      <c r="AA81" s="56"/>
      <c r="AB81" s="56"/>
      <c r="AC81" s="56"/>
      <c r="AD81" s="611"/>
      <c r="AE81" s="56"/>
      <c r="AF81" s="56"/>
      <c r="AG81" s="56"/>
      <c r="AH81" s="56"/>
      <c r="AI81" s="611"/>
      <c r="AJ81" s="56"/>
      <c r="AK81" s="56"/>
      <c r="AL81" s="56"/>
      <c r="AM81" s="56"/>
      <c r="AN81" s="611"/>
      <c r="AO81" s="56"/>
      <c r="AP81" s="56"/>
      <c r="AQ81" s="56"/>
      <c r="AR81" s="56"/>
      <c r="AS81" s="611"/>
      <c r="AT81" s="56"/>
      <c r="AU81" s="56"/>
      <c r="AV81" s="56"/>
      <c r="AW81" s="56"/>
      <c r="AX81" s="611"/>
      <c r="AY81" s="56"/>
      <c r="AZ81" s="56"/>
      <c r="BA81" s="56"/>
      <c r="BB81" s="56"/>
      <c r="BC81" s="611"/>
      <c r="BD81" s="56"/>
      <c r="BE81" s="56"/>
      <c r="BF81" s="56"/>
      <c r="BG81" s="56"/>
      <c r="BH81" s="611"/>
      <c r="BI81" s="56"/>
      <c r="BJ81" s="56"/>
      <c r="BK81" s="56"/>
      <c r="BL81" s="56"/>
      <c r="BM81" s="611"/>
      <c r="BN81" s="56"/>
      <c r="BO81" s="56"/>
      <c r="BP81" s="56"/>
      <c r="BQ81" s="56"/>
      <c r="BR81" s="611"/>
      <c r="BS81" s="56"/>
      <c r="BT81" s="56"/>
      <c r="BU81" s="56"/>
      <c r="BV81" s="56"/>
      <c r="BW81" s="611"/>
      <c r="BX81" s="56"/>
      <c r="BY81" s="56"/>
      <c r="BZ81" s="56"/>
      <c r="CA81" s="56"/>
      <c r="CB81" s="611"/>
      <c r="CC81" s="56"/>
      <c r="CD81" s="56"/>
      <c r="CE81" s="56"/>
      <c r="CF81" s="56"/>
      <c r="CG81" s="611"/>
      <c r="CH81" s="56"/>
      <c r="CI81" s="56"/>
      <c r="CJ81" s="56"/>
      <c r="CK81" s="56"/>
      <c r="CL81" s="611"/>
      <c r="CM81" s="56"/>
      <c r="CN81" s="56"/>
      <c r="CO81" s="56"/>
      <c r="CP81" s="56"/>
      <c r="CQ81" s="611"/>
      <c r="CR81" s="56"/>
      <c r="CS81" s="56"/>
      <c r="CT81" s="56"/>
      <c r="CU81" s="56"/>
      <c r="CV81" s="611"/>
      <c r="CW81" s="56"/>
      <c r="CX81" s="56"/>
      <c r="CY81" s="56"/>
      <c r="CZ81" s="56"/>
      <c r="DA81" s="611"/>
      <c r="DB81" s="56"/>
      <c r="DC81" s="56"/>
      <c r="DD81" s="56"/>
      <c r="DE81" s="56"/>
      <c r="DF81" s="611"/>
      <c r="DG81" s="56"/>
      <c r="DH81" s="56"/>
      <c r="DI81" s="56"/>
      <c r="DJ81" s="56"/>
      <c r="DK81" s="611"/>
      <c r="DL81" s="56"/>
      <c r="DM81" s="56"/>
      <c r="DN81" s="56"/>
      <c r="DO81" s="56"/>
      <c r="DP81" s="611"/>
      <c r="DQ81" s="56"/>
      <c r="DR81" s="56"/>
      <c r="DS81" s="56"/>
      <c r="DT81" s="56"/>
      <c r="DU81" s="611"/>
      <c r="DV81" s="56"/>
      <c r="DW81" s="56"/>
      <c r="DX81" s="56"/>
      <c r="DY81" s="56"/>
      <c r="DZ81" s="611"/>
      <c r="EA81" s="56"/>
      <c r="EB81" s="56"/>
      <c r="EC81" s="56"/>
      <c r="ED81" s="56"/>
      <c r="EE81" s="611"/>
      <c r="EF81" s="56"/>
      <c r="EG81" s="56"/>
      <c r="EH81" s="56"/>
      <c r="EI81" s="56"/>
      <c r="EJ81" s="611"/>
      <c r="EK81" s="56"/>
      <c r="EL81" s="56"/>
      <c r="EM81" s="56"/>
      <c r="EN81" s="56"/>
      <c r="EO81" s="144"/>
    </row>
    <row r="82" spans="4:148" s="42" customFormat="1" ht="12.75" hidden="1" customHeight="1" x14ac:dyDescent="0.3">
      <c r="D82" s="234" t="s">
        <v>435</v>
      </c>
      <c r="E82" s="496"/>
      <c r="G82" s="44">
        <v>0</v>
      </c>
      <c r="H82" s="44"/>
      <c r="I82" s="44"/>
      <c r="J82" s="607"/>
      <c r="K82" s="44"/>
      <c r="L82" s="44">
        <f>SUM(L83:L85)</f>
        <v>0</v>
      </c>
      <c r="M82" s="44"/>
      <c r="N82" s="44"/>
      <c r="O82" s="607"/>
      <c r="P82" s="44"/>
      <c r="Q82" s="44">
        <f>SUM(Q83:Q85)</f>
        <v>0</v>
      </c>
      <c r="R82" s="44"/>
      <c r="S82" s="44"/>
      <c r="T82" s="607"/>
      <c r="U82" s="44"/>
      <c r="V82" s="44">
        <f>SUM(V83:V85)</f>
        <v>0</v>
      </c>
      <c r="W82" s="44"/>
      <c r="X82" s="44"/>
      <c r="Y82" s="607"/>
      <c r="Z82" s="44"/>
      <c r="AA82" s="44">
        <f>SUM(AA83:AA85)</f>
        <v>0</v>
      </c>
      <c r="AB82" s="44"/>
      <c r="AC82" s="44"/>
      <c r="AD82" s="607"/>
      <c r="AE82" s="44"/>
      <c r="AF82" s="44">
        <f>SUM(AF83:AF85)</f>
        <v>0</v>
      </c>
      <c r="AG82" s="44"/>
      <c r="AH82" s="44"/>
      <c r="AI82" s="607"/>
      <c r="AJ82" s="44"/>
      <c r="AK82" s="44">
        <f>SUM(AK83:AK85)</f>
        <v>0</v>
      </c>
      <c r="AL82" s="44"/>
      <c r="AM82" s="44"/>
      <c r="AN82" s="607"/>
      <c r="AO82" s="44"/>
      <c r="AP82" s="44">
        <f>SUM(AP83:AP85)</f>
        <v>0</v>
      </c>
      <c r="AQ82" s="44"/>
      <c r="AR82" s="44"/>
      <c r="AS82" s="607"/>
      <c r="AT82" s="44"/>
      <c r="AU82" s="44">
        <f>SUM(AU83:AU85)</f>
        <v>0</v>
      </c>
      <c r="AV82" s="44"/>
      <c r="AW82" s="44"/>
      <c r="AX82" s="607"/>
      <c r="AY82" s="44"/>
      <c r="AZ82" s="44">
        <f>SUM(AZ83:AZ85)</f>
        <v>0</v>
      </c>
      <c r="BA82" s="44"/>
      <c r="BB82" s="44"/>
      <c r="BC82" s="607"/>
      <c r="BD82" s="44"/>
      <c r="BE82" s="44">
        <f>SUM(BE83:BE85)</f>
        <v>0</v>
      </c>
      <c r="BF82" s="44"/>
      <c r="BG82" s="44"/>
      <c r="BH82" s="607"/>
      <c r="BI82" s="44"/>
      <c r="BJ82" s="44">
        <f>SUM(BJ83:BJ85)</f>
        <v>0</v>
      </c>
      <c r="BK82" s="44"/>
      <c r="BL82" s="44"/>
      <c r="BM82" s="607"/>
      <c r="BN82" s="44"/>
      <c r="BO82" s="44">
        <f>SUM(BO83:BO85)</f>
        <v>0</v>
      </c>
      <c r="BP82" s="44"/>
      <c r="BQ82" s="44"/>
      <c r="BR82" s="607"/>
      <c r="BS82" s="44"/>
      <c r="BT82" s="44">
        <f>SUM(BT83:BT85)</f>
        <v>0</v>
      </c>
      <c r="BU82" s="44"/>
      <c r="BV82" s="44"/>
      <c r="BW82" s="607"/>
      <c r="BX82" s="44"/>
      <c r="BY82" s="44">
        <f>SUM(BY83:BY85)</f>
        <v>0</v>
      </c>
      <c r="BZ82" s="44"/>
      <c r="CA82" s="44"/>
      <c r="CB82" s="607"/>
      <c r="CC82" s="44"/>
      <c r="CD82" s="44">
        <f>SUM(CD83:CD85)</f>
        <v>0</v>
      </c>
      <c r="CE82" s="44"/>
      <c r="CF82" s="44"/>
      <c r="CG82" s="607"/>
      <c r="CH82" s="44"/>
      <c r="CI82" s="44">
        <f>SUM(CI83:CI85)</f>
        <v>0</v>
      </c>
      <c r="CJ82" s="44"/>
      <c r="CK82" s="44"/>
      <c r="CL82" s="607"/>
      <c r="CM82" s="44"/>
      <c r="CN82" s="44">
        <f>SUM(CN83:CN85)</f>
        <v>0</v>
      </c>
      <c r="CO82" s="44"/>
      <c r="CP82" s="44"/>
      <c r="CQ82" s="607"/>
      <c r="CR82" s="44"/>
      <c r="CS82" s="44">
        <f>SUM(CS83:CS85)</f>
        <v>0</v>
      </c>
      <c r="CT82" s="44"/>
      <c r="CU82" s="44"/>
      <c r="CV82" s="607"/>
      <c r="CW82" s="44"/>
      <c r="CX82" s="44">
        <f>SUM(CX83:CX85)</f>
        <v>0</v>
      </c>
      <c r="CY82" s="44"/>
      <c r="CZ82" s="44"/>
      <c r="DA82" s="607"/>
      <c r="DB82" s="44"/>
      <c r="DC82" s="44">
        <f>SUM(DC83:DC85)</f>
        <v>0</v>
      </c>
      <c r="DD82" s="44"/>
      <c r="DE82" s="44"/>
      <c r="DF82" s="607"/>
      <c r="DG82" s="44"/>
      <c r="DH82" s="44">
        <f>SUM(DH83:DH85)</f>
        <v>0</v>
      </c>
      <c r="DI82" s="44"/>
      <c r="DJ82" s="44"/>
      <c r="DK82" s="607"/>
      <c r="DL82" s="44"/>
      <c r="DM82" s="44">
        <f>SUM(DM83:DM85)</f>
        <v>0</v>
      </c>
      <c r="DN82" s="44"/>
      <c r="DO82" s="44"/>
      <c r="DP82" s="607"/>
      <c r="DQ82" s="44"/>
      <c r="DR82" s="44">
        <f>SUM(DR83:DR85)</f>
        <v>0</v>
      </c>
      <c r="DS82" s="44"/>
      <c r="DT82" s="44"/>
      <c r="DU82" s="607"/>
      <c r="DV82" s="44"/>
      <c r="DW82" s="44">
        <f>SUM(DW83:DW85)</f>
        <v>0</v>
      </c>
      <c r="DX82" s="44"/>
      <c r="DY82" s="44"/>
      <c r="DZ82" s="607"/>
      <c r="EA82" s="44"/>
      <c r="EB82" s="44">
        <f>SUM(EB83:EB85)</f>
        <v>0</v>
      </c>
      <c r="EC82" s="44"/>
      <c r="ED82" s="44"/>
      <c r="EE82" s="607"/>
      <c r="EF82" s="44"/>
      <c r="EG82" s="44">
        <f>SUM(EG83:EG85)</f>
        <v>0</v>
      </c>
      <c r="EH82" s="44"/>
      <c r="EI82" s="44"/>
      <c r="EJ82" s="607"/>
      <c r="EK82" s="44"/>
      <c r="EL82" s="44">
        <f>SUM(EL83:EL85)</f>
        <v>0</v>
      </c>
      <c r="EM82" s="44"/>
      <c r="EN82" s="44"/>
      <c r="EO82" s="234"/>
      <c r="EQ82" s="136"/>
      <c r="ER82" s="136"/>
    </row>
    <row r="83" spans="4:148" ht="12.75" hidden="1" customHeight="1" x14ac:dyDescent="0.3">
      <c r="D83" s="144" t="s">
        <v>335</v>
      </c>
      <c r="E83" s="494"/>
      <c r="F83" s="500"/>
      <c r="G83" s="609">
        <v>0</v>
      </c>
      <c r="H83" s="610"/>
      <c r="I83" s="56"/>
      <c r="J83" s="611"/>
      <c r="K83" s="612"/>
      <c r="L83" s="609">
        <f>L88</f>
        <v>0</v>
      </c>
      <c r="M83" s="610"/>
      <c r="N83" s="56"/>
      <c r="O83" s="611"/>
      <c r="P83" s="612"/>
      <c r="Q83" s="609">
        <f>Q88</f>
        <v>0</v>
      </c>
      <c r="R83" s="610"/>
      <c r="S83" s="56"/>
      <c r="T83" s="611"/>
      <c r="U83" s="612"/>
      <c r="V83" s="609">
        <f>V88</f>
        <v>0</v>
      </c>
      <c r="W83" s="610"/>
      <c r="X83" s="56"/>
      <c r="Y83" s="611"/>
      <c r="Z83" s="612"/>
      <c r="AA83" s="609">
        <f>AA88</f>
        <v>0</v>
      </c>
      <c r="AB83" s="610"/>
      <c r="AC83" s="56"/>
      <c r="AD83" s="611"/>
      <c r="AE83" s="612"/>
      <c r="AF83" s="609">
        <f>AF88</f>
        <v>0</v>
      </c>
      <c r="AG83" s="610"/>
      <c r="AH83" s="56"/>
      <c r="AI83" s="611"/>
      <c r="AJ83" s="612"/>
      <c r="AK83" s="609">
        <f>AK88</f>
        <v>0</v>
      </c>
      <c r="AL83" s="610"/>
      <c r="AM83" s="56"/>
      <c r="AN83" s="611"/>
      <c r="AO83" s="612"/>
      <c r="AP83" s="609">
        <f>AP88</f>
        <v>0</v>
      </c>
      <c r="AQ83" s="610"/>
      <c r="AR83" s="56"/>
      <c r="AS83" s="611"/>
      <c r="AT83" s="612"/>
      <c r="AU83" s="609">
        <f>AU88</f>
        <v>0</v>
      </c>
      <c r="AV83" s="610"/>
      <c r="AW83" s="56"/>
      <c r="AX83" s="611"/>
      <c r="AY83" s="612"/>
      <c r="AZ83" s="609">
        <f>AZ88</f>
        <v>0</v>
      </c>
      <c r="BA83" s="610"/>
      <c r="BB83" s="56"/>
      <c r="BC83" s="611"/>
      <c r="BD83" s="612"/>
      <c r="BE83" s="609">
        <f>BE88</f>
        <v>0</v>
      </c>
      <c r="BF83" s="610"/>
      <c r="BG83" s="56"/>
      <c r="BH83" s="611"/>
      <c r="BI83" s="612"/>
      <c r="BJ83" s="609">
        <f>BJ88</f>
        <v>0</v>
      </c>
      <c r="BK83" s="610"/>
      <c r="BL83" s="56"/>
      <c r="BM83" s="611"/>
      <c r="BN83" s="612"/>
      <c r="BO83" s="609">
        <f>BO88</f>
        <v>0</v>
      </c>
      <c r="BP83" s="610"/>
      <c r="BQ83" s="56"/>
      <c r="BR83" s="611"/>
      <c r="BS83" s="612"/>
      <c r="BT83" s="609">
        <f>BT88</f>
        <v>0</v>
      </c>
      <c r="BU83" s="610"/>
      <c r="BV83" s="56"/>
      <c r="BW83" s="611"/>
      <c r="BX83" s="612"/>
      <c r="BY83" s="609">
        <f>BY88</f>
        <v>0</v>
      </c>
      <c r="BZ83" s="610"/>
      <c r="CA83" s="56"/>
      <c r="CB83" s="611"/>
      <c r="CC83" s="612"/>
      <c r="CD83" s="609">
        <f>CD88</f>
        <v>0</v>
      </c>
      <c r="CE83" s="610"/>
      <c r="CF83" s="56"/>
      <c r="CG83" s="611"/>
      <c r="CH83" s="612"/>
      <c r="CI83" s="609">
        <f>CI88</f>
        <v>0</v>
      </c>
      <c r="CJ83" s="610"/>
      <c r="CK83" s="56"/>
      <c r="CL83" s="611"/>
      <c r="CM83" s="612"/>
      <c r="CN83" s="609">
        <f>CN88</f>
        <v>0</v>
      </c>
      <c r="CO83" s="610"/>
      <c r="CP83" s="56"/>
      <c r="CQ83" s="611"/>
      <c r="CR83" s="612"/>
      <c r="CS83" s="609">
        <f>CS88</f>
        <v>0</v>
      </c>
      <c r="CT83" s="610"/>
      <c r="CU83" s="56"/>
      <c r="CV83" s="611"/>
      <c r="CW83" s="612"/>
      <c r="CX83" s="609">
        <f>CX88</f>
        <v>0</v>
      </c>
      <c r="CY83" s="610"/>
      <c r="CZ83" s="56"/>
      <c r="DA83" s="611"/>
      <c r="DB83" s="612"/>
      <c r="DC83" s="609">
        <f>DC88</f>
        <v>0</v>
      </c>
      <c r="DD83" s="610"/>
      <c r="DE83" s="56"/>
      <c r="DF83" s="611"/>
      <c r="DG83" s="612"/>
      <c r="DH83" s="609">
        <f>DH88</f>
        <v>0</v>
      </c>
      <c r="DI83" s="610"/>
      <c r="DJ83" s="56"/>
      <c r="DK83" s="611"/>
      <c r="DL83" s="612"/>
      <c r="DM83" s="609">
        <f>DM88</f>
        <v>0</v>
      </c>
      <c r="DN83" s="610"/>
      <c r="DO83" s="56"/>
      <c r="DP83" s="611"/>
      <c r="DQ83" s="612"/>
      <c r="DR83" s="609">
        <f>DR88</f>
        <v>0</v>
      </c>
      <c r="DS83" s="610"/>
      <c r="DT83" s="56"/>
      <c r="DU83" s="611"/>
      <c r="DV83" s="612"/>
      <c r="DW83" s="609">
        <f>DW88</f>
        <v>0</v>
      </c>
      <c r="DX83" s="610"/>
      <c r="DY83" s="56"/>
      <c r="DZ83" s="611"/>
      <c r="EA83" s="612"/>
      <c r="EB83" s="609">
        <f>EB88</f>
        <v>0</v>
      </c>
      <c r="EC83" s="610"/>
      <c r="ED83" s="56"/>
      <c r="EE83" s="611"/>
      <c r="EF83" s="612"/>
      <c r="EG83" s="609">
        <f>EG88</f>
        <v>0</v>
      </c>
      <c r="EH83" s="610"/>
      <c r="EI83" s="56"/>
      <c r="EJ83" s="611"/>
      <c r="EK83" s="612"/>
      <c r="EL83" s="609">
        <f>EL88</f>
        <v>0</v>
      </c>
      <c r="EM83" s="610"/>
      <c r="EN83" s="56"/>
      <c r="EO83" s="144"/>
    </row>
    <row r="84" spans="4:148" ht="12.75" hidden="1" customHeight="1" x14ac:dyDescent="0.3">
      <c r="D84" s="144" t="s">
        <v>338</v>
      </c>
      <c r="E84" s="494"/>
      <c r="F84" s="494"/>
      <c r="G84" s="56">
        <v>0</v>
      </c>
      <c r="H84" s="55"/>
      <c r="I84" s="56"/>
      <c r="J84" s="611"/>
      <c r="K84" s="611"/>
      <c r="L84" s="56">
        <f>L89</f>
        <v>0</v>
      </c>
      <c r="M84" s="55"/>
      <c r="N84" s="56"/>
      <c r="O84" s="611"/>
      <c r="P84" s="611"/>
      <c r="Q84" s="56">
        <f>Q89</f>
        <v>0</v>
      </c>
      <c r="R84" s="55"/>
      <c r="S84" s="56"/>
      <c r="T84" s="611"/>
      <c r="U84" s="611"/>
      <c r="V84" s="56">
        <f>V89</f>
        <v>0</v>
      </c>
      <c r="W84" s="55"/>
      <c r="X84" s="56"/>
      <c r="Y84" s="611"/>
      <c r="Z84" s="611"/>
      <c r="AA84" s="56">
        <f>AA89</f>
        <v>0</v>
      </c>
      <c r="AB84" s="55"/>
      <c r="AC84" s="56"/>
      <c r="AD84" s="611"/>
      <c r="AE84" s="611"/>
      <c r="AF84" s="56">
        <f>AF89</f>
        <v>0</v>
      </c>
      <c r="AG84" s="55"/>
      <c r="AH84" s="56"/>
      <c r="AI84" s="611"/>
      <c r="AJ84" s="611"/>
      <c r="AK84" s="56">
        <f>AK89</f>
        <v>0</v>
      </c>
      <c r="AL84" s="55"/>
      <c r="AM84" s="56"/>
      <c r="AN84" s="611"/>
      <c r="AO84" s="611"/>
      <c r="AP84" s="56">
        <f>AP89</f>
        <v>0</v>
      </c>
      <c r="AQ84" s="55"/>
      <c r="AR84" s="56"/>
      <c r="AS84" s="611"/>
      <c r="AT84" s="611"/>
      <c r="AU84" s="56">
        <f>AU89</f>
        <v>0</v>
      </c>
      <c r="AV84" s="55"/>
      <c r="AW84" s="56"/>
      <c r="AX84" s="611"/>
      <c r="AY84" s="611"/>
      <c r="AZ84" s="56">
        <f>AZ89</f>
        <v>0</v>
      </c>
      <c r="BA84" s="55"/>
      <c r="BB84" s="56"/>
      <c r="BC84" s="611"/>
      <c r="BD84" s="611"/>
      <c r="BE84" s="56">
        <f>BE89</f>
        <v>0</v>
      </c>
      <c r="BF84" s="55"/>
      <c r="BG84" s="56"/>
      <c r="BH84" s="611"/>
      <c r="BI84" s="611"/>
      <c r="BJ84" s="56">
        <f>BJ89</f>
        <v>0</v>
      </c>
      <c r="BK84" s="55"/>
      <c r="BL84" s="56"/>
      <c r="BM84" s="611"/>
      <c r="BN84" s="611"/>
      <c r="BO84" s="56">
        <f>BO89</f>
        <v>0</v>
      </c>
      <c r="BP84" s="55"/>
      <c r="BQ84" s="56"/>
      <c r="BR84" s="611"/>
      <c r="BS84" s="611"/>
      <c r="BT84" s="56">
        <f>BT89</f>
        <v>0</v>
      </c>
      <c r="BU84" s="55"/>
      <c r="BV84" s="56"/>
      <c r="BW84" s="611"/>
      <c r="BX84" s="611"/>
      <c r="BY84" s="56">
        <f>BY89</f>
        <v>0</v>
      </c>
      <c r="BZ84" s="55"/>
      <c r="CA84" s="56"/>
      <c r="CB84" s="611"/>
      <c r="CC84" s="611"/>
      <c r="CD84" s="56">
        <f>CD89</f>
        <v>0</v>
      </c>
      <c r="CE84" s="55"/>
      <c r="CF84" s="56"/>
      <c r="CG84" s="611"/>
      <c r="CH84" s="611"/>
      <c r="CI84" s="56">
        <f>CI89</f>
        <v>0</v>
      </c>
      <c r="CJ84" s="55"/>
      <c r="CK84" s="56"/>
      <c r="CL84" s="611"/>
      <c r="CM84" s="611"/>
      <c r="CN84" s="56">
        <f>CN89</f>
        <v>0</v>
      </c>
      <c r="CO84" s="55"/>
      <c r="CP84" s="56"/>
      <c r="CQ84" s="611"/>
      <c r="CR84" s="611"/>
      <c r="CS84" s="56">
        <f>CS89</f>
        <v>0</v>
      </c>
      <c r="CT84" s="55"/>
      <c r="CU84" s="56"/>
      <c r="CV84" s="611"/>
      <c r="CW84" s="611"/>
      <c r="CX84" s="56">
        <f>CX89</f>
        <v>0</v>
      </c>
      <c r="CY84" s="55"/>
      <c r="CZ84" s="56"/>
      <c r="DA84" s="611"/>
      <c r="DB84" s="611"/>
      <c r="DC84" s="56">
        <f>DC89</f>
        <v>0</v>
      </c>
      <c r="DD84" s="55"/>
      <c r="DE84" s="56"/>
      <c r="DF84" s="611"/>
      <c r="DG84" s="611"/>
      <c r="DH84" s="56">
        <f>DH89</f>
        <v>0</v>
      </c>
      <c r="DI84" s="55"/>
      <c r="DJ84" s="56"/>
      <c r="DK84" s="611"/>
      <c r="DL84" s="611"/>
      <c r="DM84" s="56">
        <f>DM89</f>
        <v>0</v>
      </c>
      <c r="DN84" s="55"/>
      <c r="DO84" s="56"/>
      <c r="DP84" s="611"/>
      <c r="DQ84" s="611"/>
      <c r="DR84" s="56">
        <f>DR89</f>
        <v>0</v>
      </c>
      <c r="DS84" s="55"/>
      <c r="DT84" s="56"/>
      <c r="DU84" s="611"/>
      <c r="DV84" s="611"/>
      <c r="DW84" s="56">
        <f>DW89</f>
        <v>0</v>
      </c>
      <c r="DX84" s="55"/>
      <c r="DY84" s="56"/>
      <c r="DZ84" s="611"/>
      <c r="EA84" s="611"/>
      <c r="EB84" s="56">
        <f>EB89</f>
        <v>0</v>
      </c>
      <c r="EC84" s="55"/>
      <c r="ED84" s="56"/>
      <c r="EE84" s="611"/>
      <c r="EF84" s="611"/>
      <c r="EG84" s="56">
        <f>EG89</f>
        <v>0</v>
      </c>
      <c r="EH84" s="55"/>
      <c r="EI84" s="56"/>
      <c r="EJ84" s="611"/>
      <c r="EK84" s="611"/>
      <c r="EL84" s="56">
        <f>EL89</f>
        <v>0</v>
      </c>
      <c r="EM84" s="55"/>
      <c r="EN84" s="56"/>
      <c r="EO84" s="144"/>
    </row>
    <row r="85" spans="4:148" ht="12.75" hidden="1" customHeight="1" x14ac:dyDescent="0.3">
      <c r="D85" s="144" t="s">
        <v>352</v>
      </c>
      <c r="E85" s="494"/>
      <c r="F85" s="513"/>
      <c r="G85" s="117">
        <v>0</v>
      </c>
      <c r="H85" s="116"/>
      <c r="I85" s="56"/>
      <c r="J85" s="611"/>
      <c r="K85" s="620"/>
      <c r="L85" s="117">
        <f>L90</f>
        <v>0</v>
      </c>
      <c r="M85" s="116"/>
      <c r="N85" s="56"/>
      <c r="O85" s="611"/>
      <c r="P85" s="620"/>
      <c r="Q85" s="117">
        <f>Q90</f>
        <v>0</v>
      </c>
      <c r="R85" s="116"/>
      <c r="S85" s="56"/>
      <c r="T85" s="611"/>
      <c r="U85" s="620"/>
      <c r="V85" s="117">
        <f>V90</f>
        <v>0</v>
      </c>
      <c r="W85" s="116"/>
      <c r="X85" s="56"/>
      <c r="Y85" s="611"/>
      <c r="Z85" s="620"/>
      <c r="AA85" s="117">
        <f>AA90</f>
        <v>0</v>
      </c>
      <c r="AB85" s="116"/>
      <c r="AC85" s="56"/>
      <c r="AD85" s="611"/>
      <c r="AE85" s="620"/>
      <c r="AF85" s="117">
        <f>AF90</f>
        <v>0</v>
      </c>
      <c r="AG85" s="116"/>
      <c r="AH85" s="56"/>
      <c r="AI85" s="611"/>
      <c r="AJ85" s="620"/>
      <c r="AK85" s="117">
        <f>AK90</f>
        <v>0</v>
      </c>
      <c r="AL85" s="116"/>
      <c r="AM85" s="56"/>
      <c r="AN85" s="611"/>
      <c r="AO85" s="620"/>
      <c r="AP85" s="117">
        <f>AP90</f>
        <v>0</v>
      </c>
      <c r="AQ85" s="116"/>
      <c r="AR85" s="56"/>
      <c r="AS85" s="611"/>
      <c r="AT85" s="620"/>
      <c r="AU85" s="117">
        <f>AU90</f>
        <v>0</v>
      </c>
      <c r="AV85" s="116"/>
      <c r="AW85" s="56"/>
      <c r="AX85" s="611"/>
      <c r="AY85" s="620"/>
      <c r="AZ85" s="117">
        <f>AZ90</f>
        <v>0</v>
      </c>
      <c r="BA85" s="116"/>
      <c r="BB85" s="56"/>
      <c r="BC85" s="611"/>
      <c r="BD85" s="620"/>
      <c r="BE85" s="117">
        <f>BE90</f>
        <v>0</v>
      </c>
      <c r="BF85" s="116"/>
      <c r="BG85" s="56"/>
      <c r="BH85" s="611"/>
      <c r="BI85" s="620"/>
      <c r="BJ85" s="117">
        <f>BJ90</f>
        <v>0</v>
      </c>
      <c r="BK85" s="116"/>
      <c r="BL85" s="56"/>
      <c r="BM85" s="611"/>
      <c r="BN85" s="620"/>
      <c r="BO85" s="117">
        <f>BO90</f>
        <v>0</v>
      </c>
      <c r="BP85" s="116"/>
      <c r="BQ85" s="56"/>
      <c r="BR85" s="611"/>
      <c r="BS85" s="620"/>
      <c r="BT85" s="117">
        <f>BT90</f>
        <v>0</v>
      </c>
      <c r="BU85" s="116"/>
      <c r="BV85" s="56"/>
      <c r="BW85" s="611"/>
      <c r="BX85" s="620"/>
      <c r="BY85" s="117">
        <f>BY90</f>
        <v>0</v>
      </c>
      <c r="BZ85" s="116"/>
      <c r="CA85" s="56"/>
      <c r="CB85" s="611"/>
      <c r="CC85" s="620"/>
      <c r="CD85" s="117">
        <f>CD90</f>
        <v>0</v>
      </c>
      <c r="CE85" s="116"/>
      <c r="CF85" s="56"/>
      <c r="CG85" s="611"/>
      <c r="CH85" s="620"/>
      <c r="CI85" s="117">
        <f>CI90</f>
        <v>0</v>
      </c>
      <c r="CJ85" s="116"/>
      <c r="CK85" s="56"/>
      <c r="CL85" s="611"/>
      <c r="CM85" s="620"/>
      <c r="CN85" s="117">
        <f>CN90</f>
        <v>0</v>
      </c>
      <c r="CO85" s="116"/>
      <c r="CP85" s="56"/>
      <c r="CQ85" s="611"/>
      <c r="CR85" s="620"/>
      <c r="CS85" s="117">
        <f>CS90</f>
        <v>0</v>
      </c>
      <c r="CT85" s="116"/>
      <c r="CU85" s="56"/>
      <c r="CV85" s="611"/>
      <c r="CW85" s="620"/>
      <c r="CX85" s="117">
        <f>CX90</f>
        <v>0</v>
      </c>
      <c r="CY85" s="116"/>
      <c r="CZ85" s="56"/>
      <c r="DA85" s="611"/>
      <c r="DB85" s="620"/>
      <c r="DC85" s="117">
        <f>DC90</f>
        <v>0</v>
      </c>
      <c r="DD85" s="116"/>
      <c r="DE85" s="56"/>
      <c r="DF85" s="611"/>
      <c r="DG85" s="620"/>
      <c r="DH85" s="117">
        <f>DH90</f>
        <v>0</v>
      </c>
      <c r="DI85" s="116"/>
      <c r="DJ85" s="56"/>
      <c r="DK85" s="611"/>
      <c r="DL85" s="620"/>
      <c r="DM85" s="117">
        <f>DM90</f>
        <v>0</v>
      </c>
      <c r="DN85" s="116"/>
      <c r="DO85" s="56"/>
      <c r="DP85" s="611"/>
      <c r="DQ85" s="620"/>
      <c r="DR85" s="117">
        <f>DR90</f>
        <v>0</v>
      </c>
      <c r="DS85" s="116"/>
      <c r="DT85" s="56"/>
      <c r="DU85" s="611"/>
      <c r="DV85" s="620"/>
      <c r="DW85" s="117">
        <f>DW90</f>
        <v>0</v>
      </c>
      <c r="DX85" s="116"/>
      <c r="DY85" s="56"/>
      <c r="DZ85" s="611"/>
      <c r="EA85" s="620"/>
      <c r="EB85" s="117">
        <f>EB90</f>
        <v>0</v>
      </c>
      <c r="EC85" s="116"/>
      <c r="ED85" s="56"/>
      <c r="EE85" s="611"/>
      <c r="EF85" s="620"/>
      <c r="EG85" s="117">
        <f>EG90</f>
        <v>0</v>
      </c>
      <c r="EH85" s="116"/>
      <c r="EI85" s="56"/>
      <c r="EJ85" s="611"/>
      <c r="EK85" s="620"/>
      <c r="EL85" s="117">
        <f>EL90</f>
        <v>0</v>
      </c>
      <c r="EM85" s="116"/>
      <c r="EN85" s="56"/>
      <c r="EO85" s="144"/>
    </row>
    <row r="86" spans="4:148" ht="12.75" hidden="1" customHeight="1" x14ac:dyDescent="0.3">
      <c r="D86" s="144"/>
      <c r="E86" s="494"/>
      <c r="G86" s="56"/>
      <c r="H86" s="56"/>
      <c r="I86" s="56"/>
      <c r="J86" s="611"/>
      <c r="K86" s="56"/>
      <c r="L86" s="56"/>
      <c r="M86" s="56"/>
      <c r="N86" s="56"/>
      <c r="O86" s="611"/>
      <c r="P86" s="56"/>
      <c r="Q86" s="56"/>
      <c r="R86" s="56"/>
      <c r="S86" s="56"/>
      <c r="T86" s="611"/>
      <c r="U86" s="56"/>
      <c r="V86" s="56"/>
      <c r="W86" s="56"/>
      <c r="X86" s="56"/>
      <c r="Y86" s="611"/>
      <c r="Z86" s="56"/>
      <c r="AA86" s="56"/>
      <c r="AB86" s="56"/>
      <c r="AC86" s="56"/>
      <c r="AD86" s="611"/>
      <c r="AE86" s="56"/>
      <c r="AF86" s="56"/>
      <c r="AG86" s="56"/>
      <c r="AH86" s="56"/>
      <c r="AI86" s="611"/>
      <c r="AJ86" s="56"/>
      <c r="AK86" s="56"/>
      <c r="AL86" s="56"/>
      <c r="AM86" s="56"/>
      <c r="AN86" s="611"/>
      <c r="AO86" s="56"/>
      <c r="AP86" s="56"/>
      <c r="AQ86" s="56"/>
      <c r="AR86" s="56"/>
      <c r="AS86" s="611"/>
      <c r="AT86" s="56"/>
      <c r="AU86" s="56"/>
      <c r="AV86" s="56"/>
      <c r="AW86" s="56"/>
      <c r="AX86" s="611"/>
      <c r="AY86" s="56"/>
      <c r="AZ86" s="56"/>
      <c r="BA86" s="56"/>
      <c r="BB86" s="56"/>
      <c r="BC86" s="611"/>
      <c r="BD86" s="56"/>
      <c r="BE86" s="56"/>
      <c r="BF86" s="56"/>
      <c r="BG86" s="56"/>
      <c r="BH86" s="611"/>
      <c r="BI86" s="56"/>
      <c r="BJ86" s="56"/>
      <c r="BK86" s="56"/>
      <c r="BL86" s="56"/>
      <c r="BM86" s="611"/>
      <c r="BN86" s="56"/>
      <c r="BO86" s="56"/>
      <c r="BP86" s="56"/>
      <c r="BQ86" s="56"/>
      <c r="BR86" s="611"/>
      <c r="BS86" s="56"/>
      <c r="BT86" s="56"/>
      <c r="BU86" s="56"/>
      <c r="BV86" s="56"/>
      <c r="BW86" s="611"/>
      <c r="BX86" s="56"/>
      <c r="BY86" s="56"/>
      <c r="BZ86" s="56"/>
      <c r="CA86" s="56"/>
      <c r="CB86" s="611"/>
      <c r="CC86" s="56"/>
      <c r="CD86" s="56"/>
      <c r="CE86" s="56"/>
      <c r="CF86" s="56"/>
      <c r="CG86" s="611"/>
      <c r="CH86" s="56"/>
      <c r="CI86" s="56"/>
      <c r="CJ86" s="56"/>
      <c r="CK86" s="56"/>
      <c r="CL86" s="611"/>
      <c r="CM86" s="56"/>
      <c r="CN86" s="56"/>
      <c r="CO86" s="56"/>
      <c r="CP86" s="56"/>
      <c r="CQ86" s="611"/>
      <c r="CR86" s="56"/>
      <c r="CS86" s="56"/>
      <c r="CT86" s="56"/>
      <c r="CU86" s="56"/>
      <c r="CV86" s="611"/>
      <c r="CW86" s="56"/>
      <c r="CX86" s="56"/>
      <c r="CY86" s="56"/>
      <c r="CZ86" s="56"/>
      <c r="DA86" s="611"/>
      <c r="DB86" s="56"/>
      <c r="DC86" s="56"/>
      <c r="DD86" s="56"/>
      <c r="DE86" s="56"/>
      <c r="DF86" s="611"/>
      <c r="DG86" s="56"/>
      <c r="DH86" s="56"/>
      <c r="DI86" s="56"/>
      <c r="DJ86" s="56"/>
      <c r="DK86" s="611"/>
      <c r="DL86" s="56"/>
      <c r="DM86" s="56"/>
      <c r="DN86" s="56"/>
      <c r="DO86" s="56"/>
      <c r="DP86" s="611"/>
      <c r="DQ86" s="56"/>
      <c r="DR86" s="56"/>
      <c r="DS86" s="56"/>
      <c r="DT86" s="56"/>
      <c r="DU86" s="611"/>
      <c r="DV86" s="56"/>
      <c r="DW86" s="56"/>
      <c r="DX86" s="56"/>
      <c r="DY86" s="56"/>
      <c r="DZ86" s="611"/>
      <c r="EA86" s="56"/>
      <c r="EB86" s="56"/>
      <c r="EC86" s="56"/>
      <c r="ED86" s="56"/>
      <c r="EE86" s="611"/>
      <c r="EF86" s="56"/>
      <c r="EG86" s="56"/>
      <c r="EH86" s="56"/>
      <c r="EI86" s="56"/>
      <c r="EJ86" s="611"/>
      <c r="EK86" s="56"/>
      <c r="EL86" s="56"/>
      <c r="EM86" s="56"/>
      <c r="EN86" s="56"/>
      <c r="EO86" s="144"/>
    </row>
    <row r="87" spans="4:148" ht="12.75" hidden="1" customHeight="1" x14ac:dyDescent="0.3">
      <c r="D87" s="144" t="s">
        <v>436</v>
      </c>
      <c r="E87" s="494"/>
      <c r="G87" s="56">
        <v>0</v>
      </c>
      <c r="H87" s="56"/>
      <c r="I87" s="56"/>
      <c r="J87" s="611"/>
      <c r="K87" s="56"/>
      <c r="L87" s="56">
        <f>SUM(L88:L90)</f>
        <v>0</v>
      </c>
      <c r="M87" s="56"/>
      <c r="N87" s="56"/>
      <c r="O87" s="611"/>
      <c r="P87" s="56"/>
      <c r="Q87" s="56">
        <f>SUM(Q88:Q90)</f>
        <v>0</v>
      </c>
      <c r="R87" s="56"/>
      <c r="S87" s="56"/>
      <c r="T87" s="611"/>
      <c r="U87" s="56"/>
      <c r="V87" s="56">
        <f>SUM(V88:V90)</f>
        <v>0</v>
      </c>
      <c r="W87" s="56"/>
      <c r="X87" s="56"/>
      <c r="Y87" s="611"/>
      <c r="Z87" s="56"/>
      <c r="AA87" s="56">
        <f>SUM(AA88:AA90)</f>
        <v>0</v>
      </c>
      <c r="AB87" s="56"/>
      <c r="AC87" s="56"/>
      <c r="AD87" s="611"/>
      <c r="AE87" s="56"/>
      <c r="AF87" s="56">
        <f>SUM(AF88:AF90)</f>
        <v>0</v>
      </c>
      <c r="AG87" s="56"/>
      <c r="AH87" s="56"/>
      <c r="AI87" s="611"/>
      <c r="AJ87" s="56"/>
      <c r="AK87" s="56">
        <f>SUM(AK88:AK90)</f>
        <v>0</v>
      </c>
      <c r="AL87" s="56"/>
      <c r="AM87" s="56"/>
      <c r="AN87" s="611"/>
      <c r="AO87" s="56"/>
      <c r="AP87" s="56">
        <f>SUM(AP88:AP90)</f>
        <v>0</v>
      </c>
      <c r="AQ87" s="56"/>
      <c r="AR87" s="56"/>
      <c r="AS87" s="611"/>
      <c r="AT87" s="56"/>
      <c r="AU87" s="56">
        <f>SUM(AU88:AU90)</f>
        <v>0</v>
      </c>
      <c r="AV87" s="56"/>
      <c r="AW87" s="56"/>
      <c r="AX87" s="611"/>
      <c r="AY87" s="56"/>
      <c r="AZ87" s="56">
        <f>SUM(AZ88:AZ90)</f>
        <v>0</v>
      </c>
      <c r="BA87" s="56"/>
      <c r="BB87" s="56"/>
      <c r="BC87" s="611"/>
      <c r="BD87" s="56"/>
      <c r="BE87" s="56">
        <f>SUM(BE88:BE90)</f>
        <v>0</v>
      </c>
      <c r="BF87" s="56"/>
      <c r="BG87" s="56"/>
      <c r="BH87" s="611"/>
      <c r="BI87" s="56"/>
      <c r="BJ87" s="56">
        <f>SUM(BJ88:BJ90)</f>
        <v>0</v>
      </c>
      <c r="BK87" s="56"/>
      <c r="BL87" s="56"/>
      <c r="BM87" s="611"/>
      <c r="BN87" s="56"/>
      <c r="BO87" s="56">
        <f>SUM(BO88:BO90)</f>
        <v>0</v>
      </c>
      <c r="BP87" s="56"/>
      <c r="BQ87" s="56"/>
      <c r="BR87" s="611"/>
      <c r="BS87" s="56"/>
      <c r="BT87" s="56">
        <f>SUM(BT88:BT90)</f>
        <v>0</v>
      </c>
      <c r="BU87" s="56"/>
      <c r="BV87" s="56"/>
      <c r="BW87" s="611"/>
      <c r="BX87" s="56"/>
      <c r="BY87" s="56">
        <f>SUM(BY88:BY90)</f>
        <v>0</v>
      </c>
      <c r="BZ87" s="56"/>
      <c r="CA87" s="56"/>
      <c r="CB87" s="611"/>
      <c r="CC87" s="56"/>
      <c r="CD87" s="56">
        <f>SUM(CD88:CD90)</f>
        <v>0</v>
      </c>
      <c r="CE87" s="56"/>
      <c r="CF87" s="56"/>
      <c r="CG87" s="611"/>
      <c r="CH87" s="56"/>
      <c r="CI87" s="56">
        <f>SUM(CI88:CI90)</f>
        <v>0</v>
      </c>
      <c r="CJ87" s="56"/>
      <c r="CK87" s="56"/>
      <c r="CL87" s="611"/>
      <c r="CM87" s="56"/>
      <c r="CN87" s="56">
        <f>SUM(CN88:CN90)</f>
        <v>0</v>
      </c>
      <c r="CO87" s="56"/>
      <c r="CP87" s="56"/>
      <c r="CQ87" s="611"/>
      <c r="CR87" s="56"/>
      <c r="CS87" s="56">
        <f>SUM(CS88:CS90)</f>
        <v>0</v>
      </c>
      <c r="CT87" s="56"/>
      <c r="CU87" s="56"/>
      <c r="CV87" s="611"/>
      <c r="CW87" s="56"/>
      <c r="CX87" s="56">
        <f>SUM(CX88:CX90)</f>
        <v>0</v>
      </c>
      <c r="CY87" s="56"/>
      <c r="CZ87" s="56"/>
      <c r="DA87" s="611"/>
      <c r="DB87" s="56"/>
      <c r="DC87" s="56">
        <f>SUM(DC88:DC90)</f>
        <v>0</v>
      </c>
      <c r="DD87" s="56"/>
      <c r="DE87" s="56"/>
      <c r="DF87" s="611"/>
      <c r="DG87" s="56"/>
      <c r="DH87" s="56">
        <f>SUM(DH88:DH90)</f>
        <v>0</v>
      </c>
      <c r="DI87" s="56"/>
      <c r="DJ87" s="56"/>
      <c r="DK87" s="611"/>
      <c r="DL87" s="56"/>
      <c r="DM87" s="56">
        <f>SUM(DM88:DM90)</f>
        <v>0</v>
      </c>
      <c r="DN87" s="56"/>
      <c r="DO87" s="56"/>
      <c r="DP87" s="611"/>
      <c r="DQ87" s="56"/>
      <c r="DR87" s="56">
        <f>SUM(DR88:DR90)</f>
        <v>0</v>
      </c>
      <c r="DS87" s="56"/>
      <c r="DT87" s="56"/>
      <c r="DU87" s="611"/>
      <c r="DV87" s="56"/>
      <c r="DW87" s="56">
        <f>SUM(DW88:DW90)</f>
        <v>0</v>
      </c>
      <c r="DX87" s="56"/>
      <c r="DY87" s="56"/>
      <c r="DZ87" s="611"/>
      <c r="EA87" s="56"/>
      <c r="EB87" s="56">
        <f>SUM(EB88:EB90)</f>
        <v>0</v>
      </c>
      <c r="EC87" s="56"/>
      <c r="ED87" s="56"/>
      <c r="EE87" s="611"/>
      <c r="EF87" s="56"/>
      <c r="EG87" s="56">
        <f>SUM(EG88:EG90)</f>
        <v>0</v>
      </c>
      <c r="EH87" s="56"/>
      <c r="EI87" s="56"/>
      <c r="EJ87" s="611"/>
      <c r="EK87" s="56"/>
      <c r="EL87" s="56">
        <f>SUM(EL88:EL90)</f>
        <v>0</v>
      </c>
      <c r="EM87" s="56"/>
      <c r="EN87" s="56"/>
      <c r="EO87" s="144"/>
    </row>
    <row r="88" spans="4:148" ht="12.75" hidden="1" customHeight="1" x14ac:dyDescent="0.3">
      <c r="D88" s="144" t="s">
        <v>335</v>
      </c>
      <c r="E88" s="494"/>
      <c r="F88" s="500"/>
      <c r="G88" s="609">
        <v>0</v>
      </c>
      <c r="H88" s="610"/>
      <c r="I88" s="56"/>
      <c r="J88" s="611"/>
      <c r="K88" s="612"/>
      <c r="L88" s="609">
        <v>0</v>
      </c>
      <c r="M88" s="610"/>
      <c r="N88" s="56"/>
      <c r="O88" s="611"/>
      <c r="P88" s="612"/>
      <c r="Q88" s="609">
        <v>0</v>
      </c>
      <c r="R88" s="610"/>
      <c r="S88" s="56"/>
      <c r="T88" s="611"/>
      <c r="U88" s="612"/>
      <c r="V88" s="609">
        <v>0</v>
      </c>
      <c r="W88" s="610"/>
      <c r="X88" s="56"/>
      <c r="Y88" s="611"/>
      <c r="Z88" s="612"/>
      <c r="AA88" s="609">
        <v>0</v>
      </c>
      <c r="AB88" s="610"/>
      <c r="AC88" s="56"/>
      <c r="AD88" s="611"/>
      <c r="AE88" s="612"/>
      <c r="AF88" s="609">
        <v>0</v>
      </c>
      <c r="AG88" s="610"/>
      <c r="AH88" s="56"/>
      <c r="AI88" s="611"/>
      <c r="AJ88" s="612"/>
      <c r="AK88" s="609">
        <v>0</v>
      </c>
      <c r="AL88" s="610"/>
      <c r="AM88" s="56"/>
      <c r="AN88" s="611"/>
      <c r="AO88" s="612"/>
      <c r="AP88" s="609">
        <v>0</v>
      </c>
      <c r="AQ88" s="610"/>
      <c r="AR88" s="56"/>
      <c r="AS88" s="611"/>
      <c r="AT88" s="612"/>
      <c r="AU88" s="609">
        <v>0</v>
      </c>
      <c r="AV88" s="610"/>
      <c r="AW88" s="56"/>
      <c r="AX88" s="611"/>
      <c r="AY88" s="612"/>
      <c r="AZ88" s="609">
        <v>0</v>
      </c>
      <c r="BA88" s="610"/>
      <c r="BB88" s="56"/>
      <c r="BC88" s="611"/>
      <c r="BD88" s="612"/>
      <c r="BE88" s="609">
        <v>0</v>
      </c>
      <c r="BF88" s="610"/>
      <c r="BG88" s="56"/>
      <c r="BH88" s="611"/>
      <c r="BI88" s="612"/>
      <c r="BJ88" s="609">
        <v>0</v>
      </c>
      <c r="BK88" s="610"/>
      <c r="BL88" s="56"/>
      <c r="BM88" s="611"/>
      <c r="BN88" s="612"/>
      <c r="BO88" s="609">
        <v>0</v>
      </c>
      <c r="BP88" s="610"/>
      <c r="BQ88" s="56"/>
      <c r="BR88" s="611"/>
      <c r="BS88" s="612"/>
      <c r="BT88" s="609">
        <f>SUM(L88:BO88)</f>
        <v>0</v>
      </c>
      <c r="BU88" s="610"/>
      <c r="BV88" s="56"/>
      <c r="BW88" s="611"/>
      <c r="BX88" s="612"/>
      <c r="BY88" s="609">
        <f>SUM(Q88:BT88)</f>
        <v>0</v>
      </c>
      <c r="BZ88" s="610"/>
      <c r="CA88" s="56"/>
      <c r="CB88" s="611"/>
      <c r="CC88" s="612"/>
      <c r="CD88" s="609">
        <v>0</v>
      </c>
      <c r="CE88" s="610"/>
      <c r="CF88" s="56"/>
      <c r="CG88" s="611"/>
      <c r="CH88" s="612"/>
      <c r="CI88" s="609">
        <v>0</v>
      </c>
      <c r="CJ88" s="610"/>
      <c r="CK88" s="56"/>
      <c r="CL88" s="611"/>
      <c r="CM88" s="612"/>
      <c r="CN88" s="609">
        <v>0</v>
      </c>
      <c r="CO88" s="610"/>
      <c r="CP88" s="56"/>
      <c r="CQ88" s="611"/>
      <c r="CR88" s="612"/>
      <c r="CS88" s="609">
        <v>0</v>
      </c>
      <c r="CT88" s="610"/>
      <c r="CU88" s="56"/>
      <c r="CV88" s="611"/>
      <c r="CW88" s="612"/>
      <c r="CX88" s="609">
        <v>0</v>
      </c>
      <c r="CY88" s="610"/>
      <c r="CZ88" s="56"/>
      <c r="DA88" s="611"/>
      <c r="DB88" s="612"/>
      <c r="DC88" s="609">
        <v>0</v>
      </c>
      <c r="DD88" s="610"/>
      <c r="DE88" s="56"/>
      <c r="DF88" s="611"/>
      <c r="DG88" s="612"/>
      <c r="DH88" s="609">
        <v>0</v>
      </c>
      <c r="DI88" s="610"/>
      <c r="DJ88" s="56"/>
      <c r="DK88" s="611"/>
      <c r="DL88" s="612"/>
      <c r="DM88" s="609">
        <v>0</v>
      </c>
      <c r="DN88" s="610"/>
      <c r="DO88" s="56"/>
      <c r="DP88" s="611"/>
      <c r="DQ88" s="612"/>
      <c r="DR88" s="609">
        <v>0</v>
      </c>
      <c r="DS88" s="610"/>
      <c r="DT88" s="56"/>
      <c r="DU88" s="611"/>
      <c r="DV88" s="612"/>
      <c r="DW88" s="609">
        <v>0</v>
      </c>
      <c r="DX88" s="610"/>
      <c r="DY88" s="56"/>
      <c r="DZ88" s="611"/>
      <c r="EA88" s="612"/>
      <c r="EB88" s="609">
        <v>0</v>
      </c>
      <c r="EC88" s="610"/>
      <c r="ED88" s="56"/>
      <c r="EE88" s="611"/>
      <c r="EF88" s="612"/>
      <c r="EG88" s="609">
        <v>0</v>
      </c>
      <c r="EH88" s="610"/>
      <c r="EI88" s="56"/>
      <c r="EJ88" s="611"/>
      <c r="EK88" s="612"/>
      <c r="EL88" s="609">
        <f>SUM(CD88:EG88)</f>
        <v>0</v>
      </c>
      <c r="EM88" s="610"/>
      <c r="EN88" s="56"/>
      <c r="EO88" s="144"/>
    </row>
    <row r="89" spans="4:148" ht="12.75" hidden="1" customHeight="1" x14ac:dyDescent="0.3">
      <c r="D89" s="144" t="s">
        <v>338</v>
      </c>
      <c r="E89" s="494"/>
      <c r="F89" s="494"/>
      <c r="G89" s="56">
        <v>0</v>
      </c>
      <c r="H89" s="55"/>
      <c r="I89" s="56"/>
      <c r="J89" s="611"/>
      <c r="K89" s="611"/>
      <c r="L89" s="56">
        <v>0</v>
      </c>
      <c r="M89" s="55"/>
      <c r="N89" s="56"/>
      <c r="O89" s="611"/>
      <c r="P89" s="611"/>
      <c r="Q89" s="56">
        <v>0</v>
      </c>
      <c r="R89" s="55"/>
      <c r="S89" s="56"/>
      <c r="T89" s="611"/>
      <c r="U89" s="611"/>
      <c r="V89" s="56">
        <v>0</v>
      </c>
      <c r="W89" s="55"/>
      <c r="X89" s="56"/>
      <c r="Y89" s="611"/>
      <c r="Z89" s="611"/>
      <c r="AA89" s="56">
        <v>0</v>
      </c>
      <c r="AB89" s="55"/>
      <c r="AC89" s="56"/>
      <c r="AD89" s="611"/>
      <c r="AE89" s="611"/>
      <c r="AF89" s="56">
        <v>0</v>
      </c>
      <c r="AG89" s="55"/>
      <c r="AH89" s="56"/>
      <c r="AI89" s="611"/>
      <c r="AJ89" s="611"/>
      <c r="AK89" s="56">
        <v>0</v>
      </c>
      <c r="AL89" s="55"/>
      <c r="AM89" s="56"/>
      <c r="AN89" s="611"/>
      <c r="AO89" s="611"/>
      <c r="AP89" s="56">
        <v>0</v>
      </c>
      <c r="AQ89" s="55"/>
      <c r="AR89" s="56"/>
      <c r="AS89" s="611"/>
      <c r="AT89" s="611"/>
      <c r="AU89" s="56">
        <v>0</v>
      </c>
      <c r="AV89" s="55"/>
      <c r="AW89" s="56"/>
      <c r="AX89" s="611"/>
      <c r="AY89" s="611"/>
      <c r="AZ89" s="56">
        <v>0</v>
      </c>
      <c r="BA89" s="55"/>
      <c r="BB89" s="56"/>
      <c r="BC89" s="611"/>
      <c r="BD89" s="611"/>
      <c r="BE89" s="56">
        <v>0</v>
      </c>
      <c r="BF89" s="55"/>
      <c r="BG89" s="56"/>
      <c r="BH89" s="611"/>
      <c r="BI89" s="611"/>
      <c r="BJ89" s="56">
        <v>0</v>
      </c>
      <c r="BK89" s="55"/>
      <c r="BL89" s="56"/>
      <c r="BM89" s="611"/>
      <c r="BN89" s="611"/>
      <c r="BO89" s="56">
        <v>0</v>
      </c>
      <c r="BP89" s="55"/>
      <c r="BQ89" s="56"/>
      <c r="BR89" s="611"/>
      <c r="BS89" s="611"/>
      <c r="BT89" s="56">
        <f>SUM(L89:BO89)</f>
        <v>0</v>
      </c>
      <c r="BU89" s="55"/>
      <c r="BV89" s="56"/>
      <c r="BW89" s="611"/>
      <c r="BX89" s="611"/>
      <c r="BY89" s="56">
        <f>SUM(Q89:BT89)</f>
        <v>0</v>
      </c>
      <c r="BZ89" s="55"/>
      <c r="CA89" s="56"/>
      <c r="CB89" s="611"/>
      <c r="CC89" s="611"/>
      <c r="CD89" s="56">
        <v>0</v>
      </c>
      <c r="CE89" s="55"/>
      <c r="CF89" s="56"/>
      <c r="CG89" s="611"/>
      <c r="CH89" s="611"/>
      <c r="CI89" s="56">
        <v>0</v>
      </c>
      <c r="CJ89" s="55"/>
      <c r="CK89" s="56"/>
      <c r="CL89" s="611"/>
      <c r="CM89" s="611"/>
      <c r="CN89" s="56">
        <v>0</v>
      </c>
      <c r="CO89" s="55"/>
      <c r="CP89" s="56"/>
      <c r="CQ89" s="611"/>
      <c r="CR89" s="611"/>
      <c r="CS89" s="56">
        <v>0</v>
      </c>
      <c r="CT89" s="55"/>
      <c r="CU89" s="56"/>
      <c r="CV89" s="611"/>
      <c r="CW89" s="611"/>
      <c r="CX89" s="56">
        <v>0</v>
      </c>
      <c r="CY89" s="55"/>
      <c r="CZ89" s="56"/>
      <c r="DA89" s="611"/>
      <c r="DB89" s="611"/>
      <c r="DC89" s="56">
        <v>0</v>
      </c>
      <c r="DD89" s="55"/>
      <c r="DE89" s="56"/>
      <c r="DF89" s="611"/>
      <c r="DG89" s="611"/>
      <c r="DH89" s="56">
        <v>0</v>
      </c>
      <c r="DI89" s="55"/>
      <c r="DJ89" s="56"/>
      <c r="DK89" s="611"/>
      <c r="DL89" s="611"/>
      <c r="DM89" s="56">
        <v>0</v>
      </c>
      <c r="DN89" s="55"/>
      <c r="DO89" s="56"/>
      <c r="DP89" s="611"/>
      <c r="DQ89" s="611"/>
      <c r="DR89" s="56">
        <v>0</v>
      </c>
      <c r="DS89" s="55"/>
      <c r="DT89" s="56"/>
      <c r="DU89" s="611"/>
      <c r="DV89" s="611"/>
      <c r="DW89" s="56">
        <v>0</v>
      </c>
      <c r="DX89" s="55"/>
      <c r="DY89" s="56"/>
      <c r="DZ89" s="611"/>
      <c r="EA89" s="611"/>
      <c r="EB89" s="56">
        <v>0</v>
      </c>
      <c r="EC89" s="55"/>
      <c r="ED89" s="56"/>
      <c r="EE89" s="611"/>
      <c r="EF89" s="611"/>
      <c r="EG89" s="56">
        <v>0</v>
      </c>
      <c r="EH89" s="55"/>
      <c r="EI89" s="56"/>
      <c r="EJ89" s="611"/>
      <c r="EK89" s="611"/>
      <c r="EL89" s="56">
        <f>SUM(CD89:EG89)</f>
        <v>0</v>
      </c>
      <c r="EM89" s="55"/>
      <c r="EN89" s="56"/>
      <c r="EO89" s="144"/>
    </row>
    <row r="90" spans="4:148" ht="12.75" hidden="1" customHeight="1" x14ac:dyDescent="0.3">
      <c r="D90" s="144" t="s">
        <v>352</v>
      </c>
      <c r="E90" s="494"/>
      <c r="F90" s="513"/>
      <c r="G90" s="117">
        <v>0</v>
      </c>
      <c r="H90" s="116"/>
      <c r="I90" s="56"/>
      <c r="J90" s="611"/>
      <c r="K90" s="620"/>
      <c r="L90" s="117">
        <v>0</v>
      </c>
      <c r="M90" s="116"/>
      <c r="N90" s="56"/>
      <c r="O90" s="611"/>
      <c r="P90" s="620"/>
      <c r="Q90" s="117">
        <v>0</v>
      </c>
      <c r="R90" s="116"/>
      <c r="S90" s="56"/>
      <c r="T90" s="611"/>
      <c r="U90" s="620"/>
      <c r="V90" s="117">
        <v>0</v>
      </c>
      <c r="W90" s="116"/>
      <c r="X90" s="56"/>
      <c r="Y90" s="611"/>
      <c r="Z90" s="620"/>
      <c r="AA90" s="117">
        <v>0</v>
      </c>
      <c r="AB90" s="116"/>
      <c r="AC90" s="56"/>
      <c r="AD90" s="611"/>
      <c r="AE90" s="620"/>
      <c r="AF90" s="117">
        <v>0</v>
      </c>
      <c r="AG90" s="116"/>
      <c r="AH90" s="56"/>
      <c r="AI90" s="611"/>
      <c r="AJ90" s="620"/>
      <c r="AK90" s="117">
        <v>0</v>
      </c>
      <c r="AL90" s="116"/>
      <c r="AM90" s="56"/>
      <c r="AN90" s="611"/>
      <c r="AO90" s="620"/>
      <c r="AP90" s="117">
        <v>0</v>
      </c>
      <c r="AQ90" s="116"/>
      <c r="AR90" s="56"/>
      <c r="AS90" s="611"/>
      <c r="AT90" s="620"/>
      <c r="AU90" s="117">
        <v>0</v>
      </c>
      <c r="AV90" s="116"/>
      <c r="AW90" s="56"/>
      <c r="AX90" s="611"/>
      <c r="AY90" s="620"/>
      <c r="AZ90" s="117">
        <v>0</v>
      </c>
      <c r="BA90" s="116"/>
      <c r="BB90" s="56"/>
      <c r="BC90" s="611"/>
      <c r="BD90" s="620"/>
      <c r="BE90" s="117">
        <v>0</v>
      </c>
      <c r="BF90" s="116"/>
      <c r="BG90" s="56"/>
      <c r="BH90" s="611"/>
      <c r="BI90" s="620"/>
      <c r="BJ90" s="117">
        <v>0</v>
      </c>
      <c r="BK90" s="116"/>
      <c r="BL90" s="56"/>
      <c r="BM90" s="611"/>
      <c r="BN90" s="620"/>
      <c r="BO90" s="117">
        <v>0</v>
      </c>
      <c r="BP90" s="116"/>
      <c r="BQ90" s="56"/>
      <c r="BR90" s="611"/>
      <c r="BS90" s="620"/>
      <c r="BT90" s="117">
        <f>SUM(L90:BO90)</f>
        <v>0</v>
      </c>
      <c r="BU90" s="116"/>
      <c r="BV90" s="56"/>
      <c r="BW90" s="611"/>
      <c r="BX90" s="620"/>
      <c r="BY90" s="117">
        <f>SUM(Q90:BT90)</f>
        <v>0</v>
      </c>
      <c r="BZ90" s="116"/>
      <c r="CA90" s="56"/>
      <c r="CB90" s="611"/>
      <c r="CC90" s="620"/>
      <c r="CD90" s="117">
        <v>0</v>
      </c>
      <c r="CE90" s="116"/>
      <c r="CF90" s="56"/>
      <c r="CG90" s="611"/>
      <c r="CH90" s="620"/>
      <c r="CI90" s="117">
        <v>0</v>
      </c>
      <c r="CJ90" s="116"/>
      <c r="CK90" s="56"/>
      <c r="CL90" s="611"/>
      <c r="CM90" s="620"/>
      <c r="CN90" s="117">
        <v>0</v>
      </c>
      <c r="CO90" s="116"/>
      <c r="CP90" s="56"/>
      <c r="CQ90" s="611"/>
      <c r="CR90" s="620"/>
      <c r="CS90" s="117">
        <v>0</v>
      </c>
      <c r="CT90" s="116"/>
      <c r="CU90" s="56"/>
      <c r="CV90" s="611"/>
      <c r="CW90" s="620"/>
      <c r="CX90" s="117">
        <v>0</v>
      </c>
      <c r="CY90" s="116"/>
      <c r="CZ90" s="56"/>
      <c r="DA90" s="611"/>
      <c r="DB90" s="620"/>
      <c r="DC90" s="117">
        <v>0</v>
      </c>
      <c r="DD90" s="116"/>
      <c r="DE90" s="56"/>
      <c r="DF90" s="611"/>
      <c r="DG90" s="620"/>
      <c r="DH90" s="117">
        <v>0</v>
      </c>
      <c r="DI90" s="116"/>
      <c r="DJ90" s="56"/>
      <c r="DK90" s="611"/>
      <c r="DL90" s="620"/>
      <c r="DM90" s="117">
        <v>0</v>
      </c>
      <c r="DN90" s="116"/>
      <c r="DO90" s="56"/>
      <c r="DP90" s="611"/>
      <c r="DQ90" s="620"/>
      <c r="DR90" s="117">
        <v>0</v>
      </c>
      <c r="DS90" s="116"/>
      <c r="DT90" s="56"/>
      <c r="DU90" s="611"/>
      <c r="DV90" s="620"/>
      <c r="DW90" s="117">
        <v>0</v>
      </c>
      <c r="DX90" s="116"/>
      <c r="DY90" s="56"/>
      <c r="DZ90" s="611"/>
      <c r="EA90" s="620"/>
      <c r="EB90" s="117">
        <v>0</v>
      </c>
      <c r="EC90" s="116"/>
      <c r="ED90" s="56"/>
      <c r="EE90" s="611"/>
      <c r="EF90" s="620"/>
      <c r="EG90" s="117">
        <v>0</v>
      </c>
      <c r="EH90" s="116"/>
      <c r="EI90" s="56"/>
      <c r="EJ90" s="611"/>
      <c r="EK90" s="620"/>
      <c r="EL90" s="117">
        <f>SUM(CD90:EG90)</f>
        <v>0</v>
      </c>
      <c r="EM90" s="116"/>
      <c r="EN90" s="56"/>
      <c r="EO90" s="144"/>
    </row>
    <row r="91" spans="4:148" ht="12.75" hidden="1" customHeight="1" x14ac:dyDescent="0.3">
      <c r="D91" s="144"/>
      <c r="E91" s="494"/>
      <c r="G91" s="56"/>
      <c r="H91" s="56"/>
      <c r="I91" s="56"/>
      <c r="J91" s="611"/>
      <c r="K91" s="56"/>
      <c r="L91" s="56"/>
      <c r="M91" s="56"/>
      <c r="N91" s="56"/>
      <c r="O91" s="611"/>
      <c r="P91" s="56"/>
      <c r="Q91" s="56"/>
      <c r="R91" s="56"/>
      <c r="S91" s="56"/>
      <c r="T91" s="611"/>
      <c r="U91" s="56"/>
      <c r="V91" s="56"/>
      <c r="W91" s="56"/>
      <c r="X91" s="56"/>
      <c r="Y91" s="611"/>
      <c r="Z91" s="56"/>
      <c r="AA91" s="56"/>
      <c r="AB91" s="56"/>
      <c r="AC91" s="56"/>
      <c r="AD91" s="611"/>
      <c r="AE91" s="56"/>
      <c r="AF91" s="56"/>
      <c r="AG91" s="56"/>
      <c r="AH91" s="56"/>
      <c r="AI91" s="611"/>
      <c r="AJ91" s="56"/>
      <c r="AK91" s="56"/>
      <c r="AL91" s="56"/>
      <c r="AM91" s="56"/>
      <c r="AN91" s="611"/>
      <c r="AO91" s="56"/>
      <c r="AP91" s="56"/>
      <c r="AQ91" s="56"/>
      <c r="AR91" s="56"/>
      <c r="AS91" s="611"/>
      <c r="AT91" s="56"/>
      <c r="AU91" s="56"/>
      <c r="AV91" s="56"/>
      <c r="AW91" s="56"/>
      <c r="AX91" s="611"/>
      <c r="AY91" s="56"/>
      <c r="AZ91" s="56"/>
      <c r="BA91" s="56"/>
      <c r="BB91" s="56"/>
      <c r="BC91" s="611"/>
      <c r="BD91" s="56"/>
      <c r="BE91" s="56"/>
      <c r="BF91" s="56"/>
      <c r="BG91" s="56"/>
      <c r="BH91" s="611"/>
      <c r="BI91" s="56"/>
      <c r="BJ91" s="56"/>
      <c r="BK91" s="56"/>
      <c r="BL91" s="56"/>
      <c r="BM91" s="611"/>
      <c r="BN91" s="56"/>
      <c r="BO91" s="56"/>
      <c r="BP91" s="56"/>
      <c r="BQ91" s="56"/>
      <c r="BR91" s="611"/>
      <c r="BS91" s="56"/>
      <c r="BT91" s="56"/>
      <c r="BU91" s="56"/>
      <c r="BV91" s="56"/>
      <c r="BW91" s="611"/>
      <c r="BX91" s="56"/>
      <c r="BY91" s="56"/>
      <c r="BZ91" s="56"/>
      <c r="CA91" s="56"/>
      <c r="CB91" s="611"/>
      <c r="CC91" s="56"/>
      <c r="CD91" s="56"/>
      <c r="CE91" s="56"/>
      <c r="CF91" s="56"/>
      <c r="CG91" s="611"/>
      <c r="CH91" s="56"/>
      <c r="CI91" s="56"/>
      <c r="CJ91" s="56"/>
      <c r="CK91" s="56"/>
      <c r="CL91" s="611"/>
      <c r="CM91" s="56"/>
      <c r="CN91" s="56"/>
      <c r="CO91" s="56"/>
      <c r="CP91" s="56"/>
      <c r="CQ91" s="611"/>
      <c r="CR91" s="56"/>
      <c r="CS91" s="56"/>
      <c r="CT91" s="56"/>
      <c r="CU91" s="56"/>
      <c r="CV91" s="611"/>
      <c r="CW91" s="56"/>
      <c r="CX91" s="56"/>
      <c r="CY91" s="56"/>
      <c r="CZ91" s="56"/>
      <c r="DA91" s="611"/>
      <c r="DB91" s="56"/>
      <c r="DC91" s="56"/>
      <c r="DD91" s="56"/>
      <c r="DE91" s="56"/>
      <c r="DF91" s="611"/>
      <c r="DG91" s="56"/>
      <c r="DH91" s="56"/>
      <c r="DI91" s="56"/>
      <c r="DJ91" s="56"/>
      <c r="DK91" s="611"/>
      <c r="DL91" s="56"/>
      <c r="DM91" s="56"/>
      <c r="DN91" s="56"/>
      <c r="DO91" s="56"/>
      <c r="DP91" s="611"/>
      <c r="DQ91" s="56"/>
      <c r="DR91" s="56"/>
      <c r="DS91" s="56"/>
      <c r="DT91" s="56"/>
      <c r="DU91" s="611"/>
      <c r="DV91" s="56"/>
      <c r="DW91" s="56"/>
      <c r="DX91" s="56"/>
      <c r="DY91" s="56"/>
      <c r="DZ91" s="611"/>
      <c r="EA91" s="56"/>
      <c r="EB91" s="56"/>
      <c r="EC91" s="56"/>
      <c r="ED91" s="56"/>
      <c r="EE91" s="611"/>
      <c r="EF91" s="56"/>
      <c r="EG91" s="56"/>
      <c r="EH91" s="56"/>
      <c r="EI91" s="56"/>
      <c r="EJ91" s="611"/>
      <c r="EK91" s="56"/>
      <c r="EL91" s="56"/>
      <c r="EM91" s="56"/>
      <c r="EN91" s="56"/>
      <c r="EO91" s="144"/>
    </row>
    <row r="92" spans="4:148" ht="12.75" hidden="1" customHeight="1" x14ac:dyDescent="0.3">
      <c r="D92" s="144" t="s">
        <v>437</v>
      </c>
      <c r="E92" s="494"/>
      <c r="G92" s="56">
        <v>0</v>
      </c>
      <c r="H92" s="56"/>
      <c r="I92" s="56"/>
      <c r="J92" s="611"/>
      <c r="K92" s="56"/>
      <c r="L92" s="56">
        <f>SUM(L93:L95)</f>
        <v>0</v>
      </c>
      <c r="M92" s="56"/>
      <c r="N92" s="56"/>
      <c r="O92" s="611"/>
      <c r="P92" s="56"/>
      <c r="Q92" s="56">
        <f>SUM(Q93:Q95)</f>
        <v>0</v>
      </c>
      <c r="R92" s="56"/>
      <c r="S92" s="56"/>
      <c r="T92" s="611"/>
      <c r="U92" s="56"/>
      <c r="V92" s="56">
        <f>SUM(V93:V95)</f>
        <v>0</v>
      </c>
      <c r="W92" s="56"/>
      <c r="X92" s="56"/>
      <c r="Y92" s="611"/>
      <c r="Z92" s="56"/>
      <c r="AA92" s="56">
        <f>SUM(AA93:AA95)</f>
        <v>0</v>
      </c>
      <c r="AB92" s="56"/>
      <c r="AC92" s="56"/>
      <c r="AD92" s="611"/>
      <c r="AE92" s="56"/>
      <c r="AF92" s="56">
        <f>SUM(AF93:AF95)</f>
        <v>0</v>
      </c>
      <c r="AG92" s="56"/>
      <c r="AH92" s="56"/>
      <c r="AI92" s="611"/>
      <c r="AJ92" s="56"/>
      <c r="AK92" s="56">
        <f>SUM(AK93:AK95)</f>
        <v>0</v>
      </c>
      <c r="AL92" s="56"/>
      <c r="AM92" s="56"/>
      <c r="AN92" s="611"/>
      <c r="AO92" s="56"/>
      <c r="AP92" s="56">
        <f>SUM(AP93:AP95)</f>
        <v>0</v>
      </c>
      <c r="AQ92" s="56"/>
      <c r="AR92" s="56"/>
      <c r="AS92" s="611"/>
      <c r="AT92" s="56"/>
      <c r="AU92" s="56">
        <f>SUM(AU93:AU95)</f>
        <v>0</v>
      </c>
      <c r="AV92" s="56"/>
      <c r="AW92" s="56"/>
      <c r="AX92" s="611"/>
      <c r="AY92" s="56"/>
      <c r="AZ92" s="56">
        <f>SUM(AZ93:AZ95)</f>
        <v>0</v>
      </c>
      <c r="BA92" s="56"/>
      <c r="BB92" s="56"/>
      <c r="BC92" s="611"/>
      <c r="BD92" s="56"/>
      <c r="BE92" s="56">
        <f>SUM(BE93:BE95)</f>
        <v>0</v>
      </c>
      <c r="BF92" s="56"/>
      <c r="BG92" s="56"/>
      <c r="BH92" s="611"/>
      <c r="BI92" s="56"/>
      <c r="BJ92" s="56">
        <f>SUM(BJ93:BJ95)</f>
        <v>0</v>
      </c>
      <c r="BK92" s="56"/>
      <c r="BL92" s="56"/>
      <c r="BM92" s="611"/>
      <c r="BN92" s="56"/>
      <c r="BO92" s="56">
        <f>SUM(BO93:BO95)</f>
        <v>0</v>
      </c>
      <c r="BP92" s="56"/>
      <c r="BQ92" s="56"/>
      <c r="BR92" s="611"/>
      <c r="BS92" s="56"/>
      <c r="BT92" s="56">
        <f>SUM(BT93:BT95)</f>
        <v>0</v>
      </c>
      <c r="BU92" s="56"/>
      <c r="BV92" s="56"/>
      <c r="BW92" s="611"/>
      <c r="BX92" s="56"/>
      <c r="BY92" s="56">
        <f>SUM(BY93:BY95)</f>
        <v>0</v>
      </c>
      <c r="BZ92" s="56"/>
      <c r="CA92" s="56"/>
      <c r="CB92" s="611"/>
      <c r="CC92" s="56"/>
      <c r="CD92" s="56">
        <f>SUM(CD93:CD95)</f>
        <v>0</v>
      </c>
      <c r="CE92" s="56"/>
      <c r="CF92" s="56"/>
      <c r="CG92" s="611"/>
      <c r="CH92" s="56"/>
      <c r="CI92" s="56">
        <f>SUM(CI93:CI95)</f>
        <v>0</v>
      </c>
      <c r="CJ92" s="56"/>
      <c r="CK92" s="56"/>
      <c r="CL92" s="611"/>
      <c r="CM92" s="56"/>
      <c r="CN92" s="56">
        <f>SUM(CN93:CN95)</f>
        <v>0</v>
      </c>
      <c r="CO92" s="56"/>
      <c r="CP92" s="56"/>
      <c r="CQ92" s="611"/>
      <c r="CR92" s="56"/>
      <c r="CS92" s="56">
        <f>SUM(CS93:CS95)</f>
        <v>0</v>
      </c>
      <c r="CT92" s="56"/>
      <c r="CU92" s="56"/>
      <c r="CV92" s="611"/>
      <c r="CW92" s="56"/>
      <c r="CX92" s="56">
        <f>SUM(CX93:CX95)</f>
        <v>0</v>
      </c>
      <c r="CY92" s="56"/>
      <c r="CZ92" s="56"/>
      <c r="DA92" s="611"/>
      <c r="DB92" s="56"/>
      <c r="DC92" s="56">
        <f>SUM(DC93:DC95)</f>
        <v>0</v>
      </c>
      <c r="DD92" s="56"/>
      <c r="DE92" s="56"/>
      <c r="DF92" s="611"/>
      <c r="DG92" s="56"/>
      <c r="DH92" s="56">
        <f>SUM(DH93:DH95)</f>
        <v>0</v>
      </c>
      <c r="DI92" s="56"/>
      <c r="DJ92" s="56"/>
      <c r="DK92" s="611"/>
      <c r="DL92" s="56"/>
      <c r="DM92" s="56">
        <f>SUM(DM93:DM95)</f>
        <v>0</v>
      </c>
      <c r="DN92" s="56"/>
      <c r="DO92" s="56"/>
      <c r="DP92" s="611"/>
      <c r="DQ92" s="56"/>
      <c r="DR92" s="56">
        <f>SUM(DR93:DR95)</f>
        <v>0</v>
      </c>
      <c r="DS92" s="56"/>
      <c r="DT92" s="56"/>
      <c r="DU92" s="611"/>
      <c r="DV92" s="56"/>
      <c r="DW92" s="56">
        <f>SUM(DW93:DW95)</f>
        <v>0</v>
      </c>
      <c r="DX92" s="56"/>
      <c r="DY92" s="56"/>
      <c r="DZ92" s="611"/>
      <c r="EA92" s="56"/>
      <c r="EB92" s="56">
        <f>SUM(EB93:EB95)</f>
        <v>0</v>
      </c>
      <c r="EC92" s="56"/>
      <c r="ED92" s="56"/>
      <c r="EE92" s="611"/>
      <c r="EF92" s="56"/>
      <c r="EG92" s="56">
        <f>SUM(EG93:EG95)</f>
        <v>0</v>
      </c>
      <c r="EH92" s="56"/>
      <c r="EI92" s="56"/>
      <c r="EJ92" s="611"/>
      <c r="EK92" s="56"/>
      <c r="EL92" s="56">
        <f>SUM(EL93:EL95)</f>
        <v>0</v>
      </c>
      <c r="EM92" s="56"/>
      <c r="EN92" s="56"/>
      <c r="EO92" s="144"/>
    </row>
    <row r="93" spans="4:148" ht="12.75" hidden="1" customHeight="1" x14ac:dyDescent="0.3">
      <c r="D93" s="144" t="s">
        <v>335</v>
      </c>
      <c r="E93" s="494"/>
      <c r="F93" s="500"/>
      <c r="G93" s="609">
        <v>0</v>
      </c>
      <c r="H93" s="610"/>
      <c r="I93" s="56"/>
      <c r="J93" s="611"/>
      <c r="K93" s="612"/>
      <c r="L93" s="609">
        <v>0</v>
      </c>
      <c r="M93" s="610"/>
      <c r="N93" s="56"/>
      <c r="O93" s="611"/>
      <c r="P93" s="612"/>
      <c r="Q93" s="609">
        <v>0</v>
      </c>
      <c r="R93" s="610"/>
      <c r="S93" s="56"/>
      <c r="T93" s="611"/>
      <c r="U93" s="612"/>
      <c r="V93" s="609">
        <v>0</v>
      </c>
      <c r="W93" s="610"/>
      <c r="X93" s="56"/>
      <c r="Y93" s="611"/>
      <c r="Z93" s="612"/>
      <c r="AA93" s="609">
        <v>0</v>
      </c>
      <c r="AB93" s="610"/>
      <c r="AC93" s="56"/>
      <c r="AD93" s="611"/>
      <c r="AE93" s="612"/>
      <c r="AF93" s="609">
        <v>0</v>
      </c>
      <c r="AG93" s="610"/>
      <c r="AH93" s="56"/>
      <c r="AI93" s="611"/>
      <c r="AJ93" s="612"/>
      <c r="AK93" s="609">
        <v>0</v>
      </c>
      <c r="AL93" s="610"/>
      <c r="AM93" s="56"/>
      <c r="AN93" s="611"/>
      <c r="AO93" s="612"/>
      <c r="AP93" s="609">
        <v>0</v>
      </c>
      <c r="AQ93" s="610"/>
      <c r="AR93" s="56"/>
      <c r="AS93" s="611"/>
      <c r="AT93" s="612"/>
      <c r="AU93" s="609">
        <v>0</v>
      </c>
      <c r="AV93" s="610"/>
      <c r="AW93" s="56"/>
      <c r="AX93" s="611"/>
      <c r="AY93" s="612"/>
      <c r="AZ93" s="609">
        <v>0</v>
      </c>
      <c r="BA93" s="610"/>
      <c r="BB93" s="56"/>
      <c r="BC93" s="611"/>
      <c r="BD93" s="612"/>
      <c r="BE93" s="609">
        <v>0</v>
      </c>
      <c r="BF93" s="610"/>
      <c r="BG93" s="56"/>
      <c r="BH93" s="611"/>
      <c r="BI93" s="612"/>
      <c r="BJ93" s="609">
        <v>0</v>
      </c>
      <c r="BK93" s="610"/>
      <c r="BL93" s="56"/>
      <c r="BM93" s="611"/>
      <c r="BN93" s="612"/>
      <c r="BO93" s="609">
        <v>0</v>
      </c>
      <c r="BP93" s="610"/>
      <c r="BQ93" s="56"/>
      <c r="BR93" s="611"/>
      <c r="BS93" s="612"/>
      <c r="BT93" s="609">
        <f>SUM(L93:BO93)</f>
        <v>0</v>
      </c>
      <c r="BU93" s="610"/>
      <c r="BV93" s="56"/>
      <c r="BW93" s="611"/>
      <c r="BX93" s="612"/>
      <c r="BY93" s="609">
        <f>SUM(Q93:BT93)</f>
        <v>0</v>
      </c>
      <c r="BZ93" s="610"/>
      <c r="CA93" s="56"/>
      <c r="CB93" s="611"/>
      <c r="CC93" s="612"/>
      <c r="CD93" s="609">
        <v>0</v>
      </c>
      <c r="CE93" s="610"/>
      <c r="CF93" s="56"/>
      <c r="CG93" s="611"/>
      <c r="CH93" s="612"/>
      <c r="CI93" s="609">
        <v>0</v>
      </c>
      <c r="CJ93" s="610"/>
      <c r="CK93" s="56"/>
      <c r="CL93" s="611"/>
      <c r="CM93" s="612"/>
      <c r="CN93" s="609">
        <v>0</v>
      </c>
      <c r="CO93" s="610"/>
      <c r="CP93" s="56"/>
      <c r="CQ93" s="611"/>
      <c r="CR93" s="612"/>
      <c r="CS93" s="609">
        <v>0</v>
      </c>
      <c r="CT93" s="610"/>
      <c r="CU93" s="56"/>
      <c r="CV93" s="611"/>
      <c r="CW93" s="612"/>
      <c r="CX93" s="609">
        <v>0</v>
      </c>
      <c r="CY93" s="610"/>
      <c r="CZ93" s="56"/>
      <c r="DA93" s="611"/>
      <c r="DB93" s="612"/>
      <c r="DC93" s="609">
        <v>0</v>
      </c>
      <c r="DD93" s="610"/>
      <c r="DE93" s="56"/>
      <c r="DF93" s="611"/>
      <c r="DG93" s="612"/>
      <c r="DH93" s="609">
        <v>0</v>
      </c>
      <c r="DI93" s="610"/>
      <c r="DJ93" s="56"/>
      <c r="DK93" s="611"/>
      <c r="DL93" s="612"/>
      <c r="DM93" s="609">
        <v>0</v>
      </c>
      <c r="DN93" s="610"/>
      <c r="DO93" s="56"/>
      <c r="DP93" s="611"/>
      <c r="DQ93" s="612"/>
      <c r="DR93" s="609">
        <v>0</v>
      </c>
      <c r="DS93" s="610"/>
      <c r="DT93" s="56"/>
      <c r="DU93" s="611"/>
      <c r="DV93" s="612"/>
      <c r="DW93" s="609">
        <v>0</v>
      </c>
      <c r="DX93" s="610"/>
      <c r="DY93" s="56"/>
      <c r="DZ93" s="611"/>
      <c r="EA93" s="612"/>
      <c r="EB93" s="609">
        <v>0</v>
      </c>
      <c r="EC93" s="610"/>
      <c r="ED93" s="56"/>
      <c r="EE93" s="611"/>
      <c r="EF93" s="612"/>
      <c r="EG93" s="609">
        <v>0</v>
      </c>
      <c r="EH93" s="610"/>
      <c r="EI93" s="56"/>
      <c r="EJ93" s="611"/>
      <c r="EK93" s="612"/>
      <c r="EL93" s="609">
        <f>SUM(CD93:EG93)</f>
        <v>0</v>
      </c>
      <c r="EM93" s="610"/>
      <c r="EN93" s="56"/>
      <c r="EO93" s="144"/>
    </row>
    <row r="94" spans="4:148" ht="12.75" hidden="1" customHeight="1" x14ac:dyDescent="0.3">
      <c r="D94" s="144" t="s">
        <v>338</v>
      </c>
      <c r="E94" s="494"/>
      <c r="F94" s="494"/>
      <c r="G94" s="56">
        <v>0</v>
      </c>
      <c r="H94" s="55"/>
      <c r="I94" s="56"/>
      <c r="J94" s="611"/>
      <c r="K94" s="611"/>
      <c r="L94" s="56">
        <v>0</v>
      </c>
      <c r="M94" s="55"/>
      <c r="N94" s="56"/>
      <c r="O94" s="611"/>
      <c r="P94" s="611"/>
      <c r="Q94" s="56">
        <v>0</v>
      </c>
      <c r="R94" s="55"/>
      <c r="S94" s="56"/>
      <c r="T94" s="611"/>
      <c r="U94" s="611"/>
      <c r="V94" s="56">
        <v>0</v>
      </c>
      <c r="W94" s="55"/>
      <c r="X94" s="56"/>
      <c r="Y94" s="611"/>
      <c r="Z94" s="611"/>
      <c r="AA94" s="56">
        <v>0</v>
      </c>
      <c r="AB94" s="55"/>
      <c r="AC94" s="56"/>
      <c r="AD94" s="611"/>
      <c r="AE94" s="611"/>
      <c r="AF94" s="56">
        <v>0</v>
      </c>
      <c r="AG94" s="55"/>
      <c r="AH94" s="56"/>
      <c r="AI94" s="611"/>
      <c r="AJ94" s="611"/>
      <c r="AK94" s="56">
        <v>0</v>
      </c>
      <c r="AL94" s="55"/>
      <c r="AM94" s="56"/>
      <c r="AN94" s="611"/>
      <c r="AO94" s="611"/>
      <c r="AP94" s="56">
        <v>0</v>
      </c>
      <c r="AQ94" s="55"/>
      <c r="AR94" s="56"/>
      <c r="AS94" s="611"/>
      <c r="AT94" s="611"/>
      <c r="AU94" s="56">
        <v>0</v>
      </c>
      <c r="AV94" s="55"/>
      <c r="AW94" s="56"/>
      <c r="AX94" s="611"/>
      <c r="AY94" s="611"/>
      <c r="AZ94" s="56">
        <v>0</v>
      </c>
      <c r="BA94" s="55"/>
      <c r="BB94" s="56"/>
      <c r="BC94" s="611"/>
      <c r="BD94" s="611"/>
      <c r="BE94" s="56">
        <v>0</v>
      </c>
      <c r="BF94" s="55"/>
      <c r="BG94" s="56"/>
      <c r="BH94" s="611"/>
      <c r="BI94" s="611"/>
      <c r="BJ94" s="56">
        <v>0</v>
      </c>
      <c r="BK94" s="55"/>
      <c r="BL94" s="56"/>
      <c r="BM94" s="611"/>
      <c r="BN94" s="611"/>
      <c r="BO94" s="56">
        <v>0</v>
      </c>
      <c r="BP94" s="55"/>
      <c r="BQ94" s="56"/>
      <c r="BR94" s="611"/>
      <c r="BS94" s="611"/>
      <c r="BT94" s="56">
        <f>SUM(L94:BO94)</f>
        <v>0</v>
      </c>
      <c r="BU94" s="55"/>
      <c r="BV94" s="56"/>
      <c r="BW94" s="611"/>
      <c r="BX94" s="611"/>
      <c r="BY94" s="56">
        <f>SUM(Q94:BT94)</f>
        <v>0</v>
      </c>
      <c r="BZ94" s="55"/>
      <c r="CA94" s="56"/>
      <c r="CB94" s="611"/>
      <c r="CC94" s="611"/>
      <c r="CD94" s="56">
        <v>0</v>
      </c>
      <c r="CE94" s="55"/>
      <c r="CF94" s="56"/>
      <c r="CG94" s="611"/>
      <c r="CH94" s="611"/>
      <c r="CI94" s="56">
        <v>0</v>
      </c>
      <c r="CJ94" s="55"/>
      <c r="CK94" s="56"/>
      <c r="CL94" s="611"/>
      <c r="CM94" s="611"/>
      <c r="CN94" s="56">
        <v>0</v>
      </c>
      <c r="CO94" s="55"/>
      <c r="CP94" s="56"/>
      <c r="CQ94" s="611"/>
      <c r="CR94" s="611"/>
      <c r="CS94" s="56">
        <v>0</v>
      </c>
      <c r="CT94" s="55"/>
      <c r="CU94" s="56"/>
      <c r="CV94" s="611"/>
      <c r="CW94" s="611"/>
      <c r="CX94" s="56">
        <v>0</v>
      </c>
      <c r="CY94" s="55"/>
      <c r="CZ94" s="56"/>
      <c r="DA94" s="611"/>
      <c r="DB94" s="611"/>
      <c r="DC94" s="56">
        <v>0</v>
      </c>
      <c r="DD94" s="55"/>
      <c r="DE94" s="56"/>
      <c r="DF94" s="611"/>
      <c r="DG94" s="611"/>
      <c r="DH94" s="56">
        <v>0</v>
      </c>
      <c r="DI94" s="55"/>
      <c r="DJ94" s="56"/>
      <c r="DK94" s="611"/>
      <c r="DL94" s="611"/>
      <c r="DM94" s="56">
        <v>0</v>
      </c>
      <c r="DN94" s="55"/>
      <c r="DO94" s="56"/>
      <c r="DP94" s="611"/>
      <c r="DQ94" s="611"/>
      <c r="DR94" s="56">
        <v>0</v>
      </c>
      <c r="DS94" s="55"/>
      <c r="DT94" s="56"/>
      <c r="DU94" s="611"/>
      <c r="DV94" s="611"/>
      <c r="DW94" s="56">
        <v>0</v>
      </c>
      <c r="DX94" s="55"/>
      <c r="DY94" s="56"/>
      <c r="DZ94" s="611"/>
      <c r="EA94" s="611"/>
      <c r="EB94" s="56">
        <v>0</v>
      </c>
      <c r="EC94" s="55"/>
      <c r="ED94" s="56"/>
      <c r="EE94" s="611"/>
      <c r="EF94" s="611"/>
      <c r="EG94" s="56">
        <v>0</v>
      </c>
      <c r="EH94" s="55"/>
      <c r="EI94" s="56"/>
      <c r="EJ94" s="611"/>
      <c r="EK94" s="611"/>
      <c r="EL94" s="56">
        <f>SUM(CD94:EG94)</f>
        <v>0</v>
      </c>
      <c r="EM94" s="55"/>
      <c r="EN94" s="56"/>
      <c r="EO94" s="144"/>
    </row>
    <row r="95" spans="4:148" ht="12.75" hidden="1" customHeight="1" x14ac:dyDescent="0.3">
      <c r="D95" s="144" t="s">
        <v>352</v>
      </c>
      <c r="E95" s="494"/>
      <c r="F95" s="513"/>
      <c r="G95" s="117">
        <v>0</v>
      </c>
      <c r="H95" s="116"/>
      <c r="I95" s="56"/>
      <c r="J95" s="611"/>
      <c r="K95" s="620"/>
      <c r="L95" s="117">
        <v>0</v>
      </c>
      <c r="M95" s="116"/>
      <c r="N95" s="56"/>
      <c r="O95" s="611"/>
      <c r="P95" s="620"/>
      <c r="Q95" s="117">
        <v>0</v>
      </c>
      <c r="R95" s="116"/>
      <c r="S95" s="56"/>
      <c r="T95" s="611"/>
      <c r="U95" s="620"/>
      <c r="V95" s="117">
        <v>0</v>
      </c>
      <c r="W95" s="116"/>
      <c r="X95" s="56"/>
      <c r="Y95" s="611"/>
      <c r="Z95" s="620"/>
      <c r="AA95" s="117">
        <v>0</v>
      </c>
      <c r="AB95" s="116"/>
      <c r="AC95" s="56"/>
      <c r="AD95" s="611"/>
      <c r="AE95" s="620"/>
      <c r="AF95" s="117">
        <v>0</v>
      </c>
      <c r="AG95" s="116"/>
      <c r="AH95" s="56"/>
      <c r="AI95" s="611"/>
      <c r="AJ95" s="620"/>
      <c r="AK95" s="117">
        <v>0</v>
      </c>
      <c r="AL95" s="116"/>
      <c r="AM95" s="56"/>
      <c r="AN95" s="611"/>
      <c r="AO95" s="620"/>
      <c r="AP95" s="117">
        <v>0</v>
      </c>
      <c r="AQ95" s="116"/>
      <c r="AR95" s="56"/>
      <c r="AS95" s="611"/>
      <c r="AT95" s="620"/>
      <c r="AU95" s="117">
        <v>0</v>
      </c>
      <c r="AV95" s="116"/>
      <c r="AW95" s="56"/>
      <c r="AX95" s="611"/>
      <c r="AY95" s="620"/>
      <c r="AZ95" s="117">
        <v>0</v>
      </c>
      <c r="BA95" s="116"/>
      <c r="BB95" s="56"/>
      <c r="BC95" s="611"/>
      <c r="BD95" s="620"/>
      <c r="BE95" s="117">
        <v>0</v>
      </c>
      <c r="BF95" s="116"/>
      <c r="BG95" s="56"/>
      <c r="BH95" s="611"/>
      <c r="BI95" s="620"/>
      <c r="BJ95" s="117">
        <v>0</v>
      </c>
      <c r="BK95" s="116"/>
      <c r="BL95" s="56"/>
      <c r="BM95" s="611"/>
      <c r="BN95" s="620"/>
      <c r="BO95" s="117">
        <v>0</v>
      </c>
      <c r="BP95" s="116"/>
      <c r="BQ95" s="56"/>
      <c r="BR95" s="611"/>
      <c r="BS95" s="620"/>
      <c r="BT95" s="117">
        <f>SUM(L95:BO95)</f>
        <v>0</v>
      </c>
      <c r="BU95" s="116"/>
      <c r="BV95" s="56"/>
      <c r="BW95" s="611"/>
      <c r="BX95" s="620"/>
      <c r="BY95" s="117">
        <f>SUM(Q95:BT95)</f>
        <v>0</v>
      </c>
      <c r="BZ95" s="116"/>
      <c r="CA95" s="56"/>
      <c r="CB95" s="611"/>
      <c r="CC95" s="620"/>
      <c r="CD95" s="117">
        <v>0</v>
      </c>
      <c r="CE95" s="116"/>
      <c r="CF95" s="56"/>
      <c r="CG95" s="611"/>
      <c r="CH95" s="620"/>
      <c r="CI95" s="117">
        <v>0</v>
      </c>
      <c r="CJ95" s="116"/>
      <c r="CK95" s="56"/>
      <c r="CL95" s="611"/>
      <c r="CM95" s="620"/>
      <c r="CN95" s="117">
        <v>0</v>
      </c>
      <c r="CO95" s="116"/>
      <c r="CP95" s="56"/>
      <c r="CQ95" s="611"/>
      <c r="CR95" s="620"/>
      <c r="CS95" s="117">
        <v>0</v>
      </c>
      <c r="CT95" s="116"/>
      <c r="CU95" s="56"/>
      <c r="CV95" s="611"/>
      <c r="CW95" s="620"/>
      <c r="CX95" s="117">
        <v>0</v>
      </c>
      <c r="CY95" s="116"/>
      <c r="CZ95" s="56"/>
      <c r="DA95" s="611"/>
      <c r="DB95" s="620"/>
      <c r="DC95" s="117">
        <v>0</v>
      </c>
      <c r="DD95" s="116"/>
      <c r="DE95" s="56"/>
      <c r="DF95" s="611"/>
      <c r="DG95" s="620"/>
      <c r="DH95" s="117">
        <v>0</v>
      </c>
      <c r="DI95" s="116"/>
      <c r="DJ95" s="56"/>
      <c r="DK95" s="611"/>
      <c r="DL95" s="620"/>
      <c r="DM95" s="117">
        <v>0</v>
      </c>
      <c r="DN95" s="116"/>
      <c r="DO95" s="56"/>
      <c r="DP95" s="611"/>
      <c r="DQ95" s="620"/>
      <c r="DR95" s="117">
        <v>0</v>
      </c>
      <c r="DS95" s="116"/>
      <c r="DT95" s="56"/>
      <c r="DU95" s="611"/>
      <c r="DV95" s="620"/>
      <c r="DW95" s="117">
        <v>0</v>
      </c>
      <c r="DX95" s="116"/>
      <c r="DY95" s="56"/>
      <c r="DZ95" s="611"/>
      <c r="EA95" s="620"/>
      <c r="EB95" s="117">
        <v>0</v>
      </c>
      <c r="EC95" s="116"/>
      <c r="ED95" s="56"/>
      <c r="EE95" s="611"/>
      <c r="EF95" s="620"/>
      <c r="EG95" s="117">
        <v>0</v>
      </c>
      <c r="EH95" s="116"/>
      <c r="EI95" s="56"/>
      <c r="EJ95" s="611"/>
      <c r="EK95" s="620"/>
      <c r="EL95" s="117">
        <f>SUM(CD95:EG95)</f>
        <v>0</v>
      </c>
      <c r="EM95" s="116"/>
      <c r="EN95" s="56"/>
      <c r="EO95" s="144"/>
    </row>
    <row r="96" spans="4:148" ht="12.75" hidden="1" customHeight="1" x14ac:dyDescent="0.3">
      <c r="D96" s="144"/>
      <c r="E96" s="494"/>
      <c r="G96" s="56"/>
      <c r="H96" s="56"/>
      <c r="I96" s="56"/>
      <c r="J96" s="611"/>
      <c r="K96" s="56"/>
      <c r="L96" s="56"/>
      <c r="M96" s="56"/>
      <c r="N96" s="56"/>
      <c r="O96" s="611"/>
      <c r="P96" s="56"/>
      <c r="Q96" s="56"/>
      <c r="R96" s="56"/>
      <c r="S96" s="56"/>
      <c r="T96" s="611"/>
      <c r="U96" s="56"/>
      <c r="V96" s="56"/>
      <c r="W96" s="56"/>
      <c r="X96" s="56"/>
      <c r="Y96" s="611"/>
      <c r="Z96" s="56"/>
      <c r="AA96" s="56"/>
      <c r="AB96" s="56"/>
      <c r="AC96" s="56"/>
      <c r="AD96" s="611"/>
      <c r="AE96" s="56"/>
      <c r="AF96" s="56"/>
      <c r="AG96" s="56"/>
      <c r="AH96" s="56"/>
      <c r="AI96" s="611"/>
      <c r="AJ96" s="56"/>
      <c r="AK96" s="56"/>
      <c r="AL96" s="56"/>
      <c r="AM96" s="56"/>
      <c r="AN96" s="611"/>
      <c r="AO96" s="56"/>
      <c r="AP96" s="56"/>
      <c r="AQ96" s="56"/>
      <c r="AR96" s="56"/>
      <c r="AS96" s="611"/>
      <c r="AT96" s="56"/>
      <c r="AU96" s="56"/>
      <c r="AV96" s="56"/>
      <c r="AW96" s="56"/>
      <c r="AX96" s="611"/>
      <c r="AY96" s="56"/>
      <c r="AZ96" s="56"/>
      <c r="BA96" s="56"/>
      <c r="BB96" s="56"/>
      <c r="BC96" s="611"/>
      <c r="BD96" s="56"/>
      <c r="BE96" s="56"/>
      <c r="BF96" s="56"/>
      <c r="BG96" s="56"/>
      <c r="BH96" s="611"/>
      <c r="BI96" s="56"/>
      <c r="BJ96" s="56"/>
      <c r="BK96" s="56"/>
      <c r="BL96" s="56"/>
      <c r="BM96" s="611"/>
      <c r="BN96" s="56"/>
      <c r="BO96" s="56"/>
      <c r="BP96" s="56"/>
      <c r="BQ96" s="56"/>
      <c r="BR96" s="611"/>
      <c r="BS96" s="56"/>
      <c r="BT96" s="56"/>
      <c r="BU96" s="56"/>
      <c r="BV96" s="56"/>
      <c r="BW96" s="611"/>
      <c r="BX96" s="56"/>
      <c r="BY96" s="56"/>
      <c r="BZ96" s="56"/>
      <c r="CA96" s="56"/>
      <c r="CB96" s="611"/>
      <c r="CC96" s="56"/>
      <c r="CD96" s="56"/>
      <c r="CE96" s="56"/>
      <c r="CF96" s="56"/>
      <c r="CG96" s="611"/>
      <c r="CH96" s="56"/>
      <c r="CI96" s="56"/>
      <c r="CJ96" s="56"/>
      <c r="CK96" s="56"/>
      <c r="CL96" s="611"/>
      <c r="CM96" s="56"/>
      <c r="CN96" s="56"/>
      <c r="CO96" s="56"/>
      <c r="CP96" s="56"/>
      <c r="CQ96" s="611"/>
      <c r="CR96" s="56"/>
      <c r="CS96" s="56"/>
      <c r="CT96" s="56"/>
      <c r="CU96" s="56"/>
      <c r="CV96" s="611"/>
      <c r="CW96" s="56"/>
      <c r="CX96" s="56"/>
      <c r="CY96" s="56"/>
      <c r="CZ96" s="56"/>
      <c r="DA96" s="611"/>
      <c r="DB96" s="56"/>
      <c r="DC96" s="56"/>
      <c r="DD96" s="56"/>
      <c r="DE96" s="56"/>
      <c r="DF96" s="611"/>
      <c r="DG96" s="56"/>
      <c r="DH96" s="56"/>
      <c r="DI96" s="56"/>
      <c r="DJ96" s="56"/>
      <c r="DK96" s="611"/>
      <c r="DL96" s="56"/>
      <c r="DM96" s="56"/>
      <c r="DN96" s="56"/>
      <c r="DO96" s="56"/>
      <c r="DP96" s="611"/>
      <c r="DQ96" s="56"/>
      <c r="DR96" s="56"/>
      <c r="DS96" s="56"/>
      <c r="DT96" s="56"/>
      <c r="DU96" s="611"/>
      <c r="DV96" s="56"/>
      <c r="DW96" s="56"/>
      <c r="DX96" s="56"/>
      <c r="DY96" s="56"/>
      <c r="DZ96" s="611"/>
      <c r="EA96" s="56"/>
      <c r="EB96" s="56"/>
      <c r="EC96" s="56"/>
      <c r="ED96" s="56"/>
      <c r="EE96" s="611"/>
      <c r="EF96" s="56"/>
      <c r="EG96" s="56"/>
      <c r="EH96" s="56"/>
      <c r="EI96" s="56"/>
      <c r="EJ96" s="611"/>
      <c r="EK96" s="56"/>
      <c r="EL96" s="56"/>
      <c r="EM96" s="56"/>
      <c r="EN96" s="56"/>
      <c r="EO96" s="144"/>
    </row>
    <row r="97" spans="4:145" ht="12.75" hidden="1" customHeight="1" x14ac:dyDescent="0.3">
      <c r="D97" s="144" t="s">
        <v>438</v>
      </c>
      <c r="E97" s="494"/>
      <c r="G97" s="56">
        <v>0</v>
      </c>
      <c r="H97" s="56"/>
      <c r="I97" s="56"/>
      <c r="J97" s="611"/>
      <c r="K97" s="56"/>
      <c r="L97" s="56">
        <f>SUM(L98:L100)</f>
        <v>0</v>
      </c>
      <c r="M97" s="56"/>
      <c r="N97" s="56"/>
      <c r="O97" s="611"/>
      <c r="P97" s="56"/>
      <c r="Q97" s="56">
        <f>SUM(Q98:Q100)</f>
        <v>0</v>
      </c>
      <c r="R97" s="56"/>
      <c r="S97" s="56"/>
      <c r="T97" s="611"/>
      <c r="U97" s="56"/>
      <c r="V97" s="56">
        <f>SUM(V98:V100)</f>
        <v>0</v>
      </c>
      <c r="W97" s="56"/>
      <c r="X97" s="56"/>
      <c r="Y97" s="611"/>
      <c r="Z97" s="56"/>
      <c r="AA97" s="56">
        <f>SUM(AA98:AA100)</f>
        <v>0</v>
      </c>
      <c r="AB97" s="56"/>
      <c r="AC97" s="56"/>
      <c r="AD97" s="611"/>
      <c r="AE97" s="56"/>
      <c r="AF97" s="56">
        <f>SUM(AF98:AF100)</f>
        <v>0</v>
      </c>
      <c r="AG97" s="56"/>
      <c r="AH97" s="56"/>
      <c r="AI97" s="611"/>
      <c r="AJ97" s="56"/>
      <c r="AK97" s="56">
        <f>SUM(AK98:AK100)</f>
        <v>0</v>
      </c>
      <c r="AL97" s="56"/>
      <c r="AM97" s="56"/>
      <c r="AN97" s="611"/>
      <c r="AO97" s="56"/>
      <c r="AP97" s="56">
        <f>SUM(AP98:AP100)</f>
        <v>0</v>
      </c>
      <c r="AQ97" s="56"/>
      <c r="AR97" s="56"/>
      <c r="AS97" s="611"/>
      <c r="AT97" s="56"/>
      <c r="AU97" s="56">
        <f>SUM(AU98:AU100)</f>
        <v>0</v>
      </c>
      <c r="AV97" s="56"/>
      <c r="AW97" s="56"/>
      <c r="AX97" s="611"/>
      <c r="AY97" s="56"/>
      <c r="AZ97" s="56">
        <f>SUM(AZ98:AZ100)</f>
        <v>0</v>
      </c>
      <c r="BA97" s="56"/>
      <c r="BB97" s="56"/>
      <c r="BC97" s="611"/>
      <c r="BD97" s="56"/>
      <c r="BE97" s="56">
        <f>SUM(BE98:BE100)</f>
        <v>0</v>
      </c>
      <c r="BF97" s="56"/>
      <c r="BG97" s="56"/>
      <c r="BH97" s="611"/>
      <c r="BI97" s="56"/>
      <c r="BJ97" s="56">
        <f>SUM(BJ98:BJ100)</f>
        <v>0</v>
      </c>
      <c r="BK97" s="56"/>
      <c r="BL97" s="56"/>
      <c r="BM97" s="611"/>
      <c r="BN97" s="56"/>
      <c r="BO97" s="56">
        <f>SUM(BO98:BO100)</f>
        <v>0</v>
      </c>
      <c r="BP97" s="56"/>
      <c r="BQ97" s="56"/>
      <c r="BR97" s="611"/>
      <c r="BS97" s="56"/>
      <c r="BT97" s="56">
        <f>SUM(BT98:BT100)</f>
        <v>0</v>
      </c>
      <c r="BU97" s="56"/>
      <c r="BV97" s="56"/>
      <c r="BW97" s="611"/>
      <c r="BX97" s="56"/>
      <c r="BY97" s="56">
        <f>SUM(BY98:BY100)</f>
        <v>0</v>
      </c>
      <c r="BZ97" s="56"/>
      <c r="CA97" s="56"/>
      <c r="CB97" s="611"/>
      <c r="CC97" s="56"/>
      <c r="CD97" s="56">
        <f>SUM(CD98:CD100)</f>
        <v>0</v>
      </c>
      <c r="CE97" s="56"/>
      <c r="CF97" s="56"/>
      <c r="CG97" s="611"/>
      <c r="CH97" s="56"/>
      <c r="CI97" s="56">
        <f>SUM(CI98:CI100)</f>
        <v>0</v>
      </c>
      <c r="CJ97" s="56"/>
      <c r="CK97" s="56"/>
      <c r="CL97" s="611"/>
      <c r="CM97" s="56"/>
      <c r="CN97" s="56">
        <f>SUM(CN98:CN100)</f>
        <v>0</v>
      </c>
      <c r="CO97" s="56"/>
      <c r="CP97" s="56"/>
      <c r="CQ97" s="611"/>
      <c r="CR97" s="56"/>
      <c r="CS97" s="56">
        <f>SUM(CS98:CS100)</f>
        <v>0</v>
      </c>
      <c r="CT97" s="56"/>
      <c r="CU97" s="56"/>
      <c r="CV97" s="611"/>
      <c r="CW97" s="56"/>
      <c r="CX97" s="56">
        <f>SUM(CX98:CX100)</f>
        <v>0</v>
      </c>
      <c r="CY97" s="56"/>
      <c r="CZ97" s="56"/>
      <c r="DA97" s="611"/>
      <c r="DB97" s="56"/>
      <c r="DC97" s="56">
        <f>SUM(DC98:DC100)</f>
        <v>0</v>
      </c>
      <c r="DD97" s="56"/>
      <c r="DE97" s="56"/>
      <c r="DF97" s="611"/>
      <c r="DG97" s="56"/>
      <c r="DH97" s="56">
        <f>SUM(DH98:DH100)</f>
        <v>0</v>
      </c>
      <c r="DI97" s="56"/>
      <c r="DJ97" s="56"/>
      <c r="DK97" s="611"/>
      <c r="DL97" s="56"/>
      <c r="DM97" s="56">
        <f>SUM(DM98:DM100)</f>
        <v>0</v>
      </c>
      <c r="DN97" s="56"/>
      <c r="DO97" s="56"/>
      <c r="DP97" s="611"/>
      <c r="DQ97" s="56"/>
      <c r="DR97" s="56">
        <f>SUM(DR98:DR100)</f>
        <v>0</v>
      </c>
      <c r="DS97" s="56"/>
      <c r="DT97" s="56"/>
      <c r="DU97" s="611"/>
      <c r="DV97" s="56"/>
      <c r="DW97" s="56">
        <f>SUM(DW98:DW100)</f>
        <v>0</v>
      </c>
      <c r="DX97" s="56"/>
      <c r="DY97" s="56"/>
      <c r="DZ97" s="611"/>
      <c r="EA97" s="56"/>
      <c r="EB97" s="56">
        <f>SUM(EB98:EB100)</f>
        <v>0</v>
      </c>
      <c r="EC97" s="56"/>
      <c r="ED97" s="56"/>
      <c r="EE97" s="611"/>
      <c r="EF97" s="56"/>
      <c r="EG97" s="56">
        <f>SUM(EG98:EG100)</f>
        <v>0</v>
      </c>
      <c r="EH97" s="56"/>
      <c r="EI97" s="56"/>
      <c r="EJ97" s="611"/>
      <c r="EK97" s="56"/>
      <c r="EL97" s="56">
        <f>SUM(EL98:EL100)</f>
        <v>0</v>
      </c>
      <c r="EM97" s="56"/>
      <c r="EN97" s="56"/>
      <c r="EO97" s="144"/>
    </row>
    <row r="98" spans="4:145" ht="12.75" hidden="1" customHeight="1" x14ac:dyDescent="0.3">
      <c r="D98" s="144" t="s">
        <v>335</v>
      </c>
      <c r="E98" s="494"/>
      <c r="F98" s="500"/>
      <c r="G98" s="609">
        <v>0</v>
      </c>
      <c r="H98" s="610"/>
      <c r="I98" s="56"/>
      <c r="J98" s="611"/>
      <c r="K98" s="612"/>
      <c r="L98" s="609">
        <v>0</v>
      </c>
      <c r="M98" s="610"/>
      <c r="N98" s="56"/>
      <c r="O98" s="611"/>
      <c r="P98" s="612"/>
      <c r="Q98" s="609">
        <v>0</v>
      </c>
      <c r="R98" s="610"/>
      <c r="S98" s="56"/>
      <c r="T98" s="611"/>
      <c r="U98" s="612"/>
      <c r="V98" s="609">
        <v>0</v>
      </c>
      <c r="W98" s="610"/>
      <c r="X98" s="56"/>
      <c r="Y98" s="611"/>
      <c r="Z98" s="612"/>
      <c r="AA98" s="609">
        <v>0</v>
      </c>
      <c r="AB98" s="610"/>
      <c r="AC98" s="56"/>
      <c r="AD98" s="611"/>
      <c r="AE98" s="612"/>
      <c r="AF98" s="609">
        <v>0</v>
      </c>
      <c r="AG98" s="610"/>
      <c r="AH98" s="56"/>
      <c r="AI98" s="611"/>
      <c r="AJ98" s="612"/>
      <c r="AK98" s="609">
        <v>0</v>
      </c>
      <c r="AL98" s="610"/>
      <c r="AM98" s="56"/>
      <c r="AN98" s="611"/>
      <c r="AO98" s="612"/>
      <c r="AP98" s="609">
        <v>0</v>
      </c>
      <c r="AQ98" s="610"/>
      <c r="AR98" s="56"/>
      <c r="AS98" s="611"/>
      <c r="AT98" s="612"/>
      <c r="AU98" s="609">
        <v>0</v>
      </c>
      <c r="AV98" s="610"/>
      <c r="AW98" s="56"/>
      <c r="AX98" s="611"/>
      <c r="AY98" s="612"/>
      <c r="AZ98" s="609">
        <v>0</v>
      </c>
      <c r="BA98" s="610"/>
      <c r="BB98" s="56"/>
      <c r="BC98" s="611"/>
      <c r="BD98" s="612"/>
      <c r="BE98" s="609">
        <v>0</v>
      </c>
      <c r="BF98" s="610"/>
      <c r="BG98" s="56"/>
      <c r="BH98" s="611"/>
      <c r="BI98" s="612"/>
      <c r="BJ98" s="609">
        <v>0</v>
      </c>
      <c r="BK98" s="610"/>
      <c r="BL98" s="56"/>
      <c r="BM98" s="611"/>
      <c r="BN98" s="612"/>
      <c r="BO98" s="609">
        <v>0</v>
      </c>
      <c r="BP98" s="610"/>
      <c r="BQ98" s="56"/>
      <c r="BR98" s="611"/>
      <c r="BS98" s="612"/>
      <c r="BT98" s="609">
        <f>SUM(L98:BO98)</f>
        <v>0</v>
      </c>
      <c r="BU98" s="610"/>
      <c r="BV98" s="56"/>
      <c r="BW98" s="611"/>
      <c r="BX98" s="612"/>
      <c r="BY98" s="609">
        <f>SUM(Q98:BT98)</f>
        <v>0</v>
      </c>
      <c r="BZ98" s="610"/>
      <c r="CA98" s="56"/>
      <c r="CB98" s="611"/>
      <c r="CC98" s="612"/>
      <c r="CD98" s="609">
        <v>0</v>
      </c>
      <c r="CE98" s="610"/>
      <c r="CF98" s="56"/>
      <c r="CG98" s="611"/>
      <c r="CH98" s="612"/>
      <c r="CI98" s="609">
        <v>0</v>
      </c>
      <c r="CJ98" s="610"/>
      <c r="CK98" s="56"/>
      <c r="CL98" s="611"/>
      <c r="CM98" s="612"/>
      <c r="CN98" s="609">
        <v>0</v>
      </c>
      <c r="CO98" s="610"/>
      <c r="CP98" s="56"/>
      <c r="CQ98" s="611"/>
      <c r="CR98" s="612"/>
      <c r="CS98" s="609">
        <v>0</v>
      </c>
      <c r="CT98" s="610"/>
      <c r="CU98" s="56"/>
      <c r="CV98" s="611"/>
      <c r="CW98" s="612"/>
      <c r="CX98" s="609">
        <v>0</v>
      </c>
      <c r="CY98" s="610"/>
      <c r="CZ98" s="56"/>
      <c r="DA98" s="611"/>
      <c r="DB98" s="612"/>
      <c r="DC98" s="609">
        <v>0</v>
      </c>
      <c r="DD98" s="610"/>
      <c r="DE98" s="56"/>
      <c r="DF98" s="611"/>
      <c r="DG98" s="612"/>
      <c r="DH98" s="609">
        <v>0</v>
      </c>
      <c r="DI98" s="610"/>
      <c r="DJ98" s="56"/>
      <c r="DK98" s="611"/>
      <c r="DL98" s="612"/>
      <c r="DM98" s="609">
        <v>0</v>
      </c>
      <c r="DN98" s="610"/>
      <c r="DO98" s="56"/>
      <c r="DP98" s="611"/>
      <c r="DQ98" s="612"/>
      <c r="DR98" s="609">
        <v>0</v>
      </c>
      <c r="DS98" s="610"/>
      <c r="DT98" s="56"/>
      <c r="DU98" s="611"/>
      <c r="DV98" s="612"/>
      <c r="DW98" s="609">
        <v>0</v>
      </c>
      <c r="DX98" s="610"/>
      <c r="DY98" s="56"/>
      <c r="DZ98" s="611"/>
      <c r="EA98" s="612"/>
      <c r="EB98" s="609">
        <v>0</v>
      </c>
      <c r="EC98" s="610"/>
      <c r="ED98" s="56"/>
      <c r="EE98" s="611"/>
      <c r="EF98" s="612"/>
      <c r="EG98" s="609">
        <v>0</v>
      </c>
      <c r="EH98" s="610"/>
      <c r="EI98" s="56"/>
      <c r="EJ98" s="611"/>
      <c r="EK98" s="612"/>
      <c r="EL98" s="609">
        <f>SUM(CD98:EG98)</f>
        <v>0</v>
      </c>
      <c r="EM98" s="610"/>
      <c r="EN98" s="56"/>
      <c r="EO98" s="144"/>
    </row>
    <row r="99" spans="4:145" ht="12.75" hidden="1" customHeight="1" x14ac:dyDescent="0.3">
      <c r="D99" s="144" t="s">
        <v>338</v>
      </c>
      <c r="E99" s="494"/>
      <c r="F99" s="494"/>
      <c r="G99" s="56">
        <v>0</v>
      </c>
      <c r="H99" s="55"/>
      <c r="I99" s="56"/>
      <c r="J99" s="611"/>
      <c r="K99" s="611"/>
      <c r="L99" s="56">
        <v>0</v>
      </c>
      <c r="M99" s="55"/>
      <c r="N99" s="56"/>
      <c r="O99" s="611"/>
      <c r="P99" s="611"/>
      <c r="Q99" s="56">
        <v>0</v>
      </c>
      <c r="R99" s="55"/>
      <c r="S99" s="56"/>
      <c r="T99" s="611"/>
      <c r="U99" s="611"/>
      <c r="V99" s="56">
        <v>0</v>
      </c>
      <c r="W99" s="55"/>
      <c r="X99" s="56"/>
      <c r="Y99" s="611"/>
      <c r="Z99" s="611"/>
      <c r="AA99" s="56">
        <v>0</v>
      </c>
      <c r="AB99" s="55"/>
      <c r="AC99" s="56"/>
      <c r="AD99" s="611"/>
      <c r="AE99" s="611"/>
      <c r="AF99" s="56">
        <v>0</v>
      </c>
      <c r="AG99" s="55"/>
      <c r="AH99" s="56"/>
      <c r="AI99" s="611"/>
      <c r="AJ99" s="611"/>
      <c r="AK99" s="56">
        <v>0</v>
      </c>
      <c r="AL99" s="55"/>
      <c r="AM99" s="56"/>
      <c r="AN99" s="611"/>
      <c r="AO99" s="611"/>
      <c r="AP99" s="56">
        <v>0</v>
      </c>
      <c r="AQ99" s="55"/>
      <c r="AR99" s="56"/>
      <c r="AS99" s="611"/>
      <c r="AT99" s="611"/>
      <c r="AU99" s="56">
        <v>0</v>
      </c>
      <c r="AV99" s="55"/>
      <c r="AW99" s="56"/>
      <c r="AX99" s="611"/>
      <c r="AY99" s="611"/>
      <c r="AZ99" s="56">
        <v>0</v>
      </c>
      <c r="BA99" s="55"/>
      <c r="BB99" s="56"/>
      <c r="BC99" s="611"/>
      <c r="BD99" s="611"/>
      <c r="BE99" s="56">
        <v>0</v>
      </c>
      <c r="BF99" s="55"/>
      <c r="BG99" s="56"/>
      <c r="BH99" s="611"/>
      <c r="BI99" s="611"/>
      <c r="BJ99" s="56">
        <v>0</v>
      </c>
      <c r="BK99" s="55"/>
      <c r="BL99" s="56"/>
      <c r="BM99" s="611"/>
      <c r="BN99" s="611"/>
      <c r="BO99" s="56">
        <v>0</v>
      </c>
      <c r="BP99" s="55"/>
      <c r="BQ99" s="56"/>
      <c r="BR99" s="611"/>
      <c r="BS99" s="611"/>
      <c r="BT99" s="56">
        <f>SUM(L99:BO99)</f>
        <v>0</v>
      </c>
      <c r="BU99" s="55"/>
      <c r="BV99" s="56"/>
      <c r="BW99" s="611"/>
      <c r="BX99" s="611"/>
      <c r="BY99" s="56">
        <f>SUM(Q99:BT99)</f>
        <v>0</v>
      </c>
      <c r="BZ99" s="55"/>
      <c r="CA99" s="56"/>
      <c r="CB99" s="611"/>
      <c r="CC99" s="611"/>
      <c r="CD99" s="56">
        <v>0</v>
      </c>
      <c r="CE99" s="55"/>
      <c r="CF99" s="56"/>
      <c r="CG99" s="611"/>
      <c r="CH99" s="611"/>
      <c r="CI99" s="56">
        <v>0</v>
      </c>
      <c r="CJ99" s="55"/>
      <c r="CK99" s="56"/>
      <c r="CL99" s="611"/>
      <c r="CM99" s="611"/>
      <c r="CN99" s="56">
        <v>0</v>
      </c>
      <c r="CO99" s="55"/>
      <c r="CP99" s="56"/>
      <c r="CQ99" s="611"/>
      <c r="CR99" s="611"/>
      <c r="CS99" s="56">
        <v>0</v>
      </c>
      <c r="CT99" s="55"/>
      <c r="CU99" s="56"/>
      <c r="CV99" s="611"/>
      <c r="CW99" s="611"/>
      <c r="CX99" s="56">
        <v>0</v>
      </c>
      <c r="CY99" s="55"/>
      <c r="CZ99" s="56"/>
      <c r="DA99" s="611"/>
      <c r="DB99" s="611"/>
      <c r="DC99" s="56">
        <v>0</v>
      </c>
      <c r="DD99" s="55"/>
      <c r="DE99" s="56"/>
      <c r="DF99" s="611"/>
      <c r="DG99" s="611"/>
      <c r="DH99" s="56">
        <v>0</v>
      </c>
      <c r="DI99" s="55"/>
      <c r="DJ99" s="56"/>
      <c r="DK99" s="611"/>
      <c r="DL99" s="611"/>
      <c r="DM99" s="56">
        <v>0</v>
      </c>
      <c r="DN99" s="55"/>
      <c r="DO99" s="56"/>
      <c r="DP99" s="611"/>
      <c r="DQ99" s="611"/>
      <c r="DR99" s="56">
        <v>0</v>
      </c>
      <c r="DS99" s="55"/>
      <c r="DT99" s="56"/>
      <c r="DU99" s="611"/>
      <c r="DV99" s="611"/>
      <c r="DW99" s="56">
        <v>0</v>
      </c>
      <c r="DX99" s="55"/>
      <c r="DY99" s="56"/>
      <c r="DZ99" s="611"/>
      <c r="EA99" s="611"/>
      <c r="EB99" s="56">
        <v>0</v>
      </c>
      <c r="EC99" s="55"/>
      <c r="ED99" s="56"/>
      <c r="EE99" s="611"/>
      <c r="EF99" s="611"/>
      <c r="EG99" s="56">
        <v>0</v>
      </c>
      <c r="EH99" s="55"/>
      <c r="EI99" s="56"/>
      <c r="EJ99" s="611"/>
      <c r="EK99" s="611"/>
      <c r="EL99" s="56">
        <f>SUM(CD99:EG99)</f>
        <v>0</v>
      </c>
      <c r="EM99" s="55"/>
      <c r="EN99" s="56"/>
      <c r="EO99" s="144"/>
    </row>
    <row r="100" spans="4:145" ht="12.75" hidden="1" customHeight="1" x14ac:dyDescent="0.3">
      <c r="D100" s="144" t="s">
        <v>352</v>
      </c>
      <c r="E100" s="494"/>
      <c r="F100" s="513"/>
      <c r="G100" s="117">
        <v>0</v>
      </c>
      <c r="H100" s="116"/>
      <c r="I100" s="56"/>
      <c r="J100" s="611"/>
      <c r="K100" s="620"/>
      <c r="L100" s="117">
        <v>0</v>
      </c>
      <c r="M100" s="116"/>
      <c r="N100" s="56"/>
      <c r="O100" s="611"/>
      <c r="P100" s="620"/>
      <c r="Q100" s="117">
        <v>0</v>
      </c>
      <c r="R100" s="116"/>
      <c r="S100" s="56"/>
      <c r="T100" s="611"/>
      <c r="U100" s="620"/>
      <c r="V100" s="117">
        <v>0</v>
      </c>
      <c r="W100" s="116"/>
      <c r="X100" s="56"/>
      <c r="Y100" s="611"/>
      <c r="Z100" s="620"/>
      <c r="AA100" s="117">
        <v>0</v>
      </c>
      <c r="AB100" s="116"/>
      <c r="AC100" s="56"/>
      <c r="AD100" s="611"/>
      <c r="AE100" s="620"/>
      <c r="AF100" s="117">
        <v>0</v>
      </c>
      <c r="AG100" s="116"/>
      <c r="AH100" s="56"/>
      <c r="AI100" s="611"/>
      <c r="AJ100" s="620"/>
      <c r="AK100" s="117">
        <v>0</v>
      </c>
      <c r="AL100" s="116"/>
      <c r="AM100" s="56"/>
      <c r="AN100" s="611"/>
      <c r="AO100" s="620"/>
      <c r="AP100" s="117">
        <v>0</v>
      </c>
      <c r="AQ100" s="116"/>
      <c r="AR100" s="56"/>
      <c r="AS100" s="611"/>
      <c r="AT100" s="620"/>
      <c r="AU100" s="117">
        <v>0</v>
      </c>
      <c r="AV100" s="116"/>
      <c r="AW100" s="56"/>
      <c r="AX100" s="611"/>
      <c r="AY100" s="620"/>
      <c r="AZ100" s="117">
        <v>0</v>
      </c>
      <c r="BA100" s="116"/>
      <c r="BB100" s="56"/>
      <c r="BC100" s="611"/>
      <c r="BD100" s="620"/>
      <c r="BE100" s="117">
        <v>0</v>
      </c>
      <c r="BF100" s="116"/>
      <c r="BG100" s="56"/>
      <c r="BH100" s="611"/>
      <c r="BI100" s="620"/>
      <c r="BJ100" s="117">
        <v>0</v>
      </c>
      <c r="BK100" s="116"/>
      <c r="BL100" s="56"/>
      <c r="BM100" s="611"/>
      <c r="BN100" s="620"/>
      <c r="BO100" s="117">
        <v>0</v>
      </c>
      <c r="BP100" s="116"/>
      <c r="BQ100" s="56"/>
      <c r="BR100" s="611"/>
      <c r="BS100" s="620"/>
      <c r="BT100" s="117">
        <f>SUM(L100:BO100)</f>
        <v>0</v>
      </c>
      <c r="BU100" s="116"/>
      <c r="BV100" s="56"/>
      <c r="BW100" s="611"/>
      <c r="BX100" s="620"/>
      <c r="BY100" s="117">
        <f>SUM(Q100:BT100)</f>
        <v>0</v>
      </c>
      <c r="BZ100" s="116"/>
      <c r="CA100" s="56"/>
      <c r="CB100" s="611"/>
      <c r="CC100" s="620"/>
      <c r="CD100" s="117">
        <v>0</v>
      </c>
      <c r="CE100" s="116"/>
      <c r="CF100" s="56"/>
      <c r="CG100" s="611"/>
      <c r="CH100" s="620"/>
      <c r="CI100" s="117">
        <v>0</v>
      </c>
      <c r="CJ100" s="116"/>
      <c r="CK100" s="56"/>
      <c r="CL100" s="611"/>
      <c r="CM100" s="620"/>
      <c r="CN100" s="117">
        <v>0</v>
      </c>
      <c r="CO100" s="116"/>
      <c r="CP100" s="56"/>
      <c r="CQ100" s="611"/>
      <c r="CR100" s="620"/>
      <c r="CS100" s="117">
        <v>0</v>
      </c>
      <c r="CT100" s="116"/>
      <c r="CU100" s="56"/>
      <c r="CV100" s="611"/>
      <c r="CW100" s="620"/>
      <c r="CX100" s="117">
        <v>0</v>
      </c>
      <c r="CY100" s="116"/>
      <c r="CZ100" s="56"/>
      <c r="DA100" s="611"/>
      <c r="DB100" s="620"/>
      <c r="DC100" s="117">
        <v>0</v>
      </c>
      <c r="DD100" s="116"/>
      <c r="DE100" s="56"/>
      <c r="DF100" s="611"/>
      <c r="DG100" s="620"/>
      <c r="DH100" s="117">
        <v>0</v>
      </c>
      <c r="DI100" s="116"/>
      <c r="DJ100" s="56"/>
      <c r="DK100" s="611"/>
      <c r="DL100" s="620"/>
      <c r="DM100" s="117">
        <v>0</v>
      </c>
      <c r="DN100" s="116"/>
      <c r="DO100" s="56"/>
      <c r="DP100" s="611"/>
      <c r="DQ100" s="620"/>
      <c r="DR100" s="117">
        <v>0</v>
      </c>
      <c r="DS100" s="116"/>
      <c r="DT100" s="56"/>
      <c r="DU100" s="611"/>
      <c r="DV100" s="620"/>
      <c r="DW100" s="117">
        <v>0</v>
      </c>
      <c r="DX100" s="116"/>
      <c r="DY100" s="56"/>
      <c r="DZ100" s="611"/>
      <c r="EA100" s="620"/>
      <c r="EB100" s="117">
        <v>0</v>
      </c>
      <c r="EC100" s="116"/>
      <c r="ED100" s="56"/>
      <c r="EE100" s="611"/>
      <c r="EF100" s="620"/>
      <c r="EG100" s="117">
        <v>0</v>
      </c>
      <c r="EH100" s="116"/>
      <c r="EI100" s="56"/>
      <c r="EJ100" s="611"/>
      <c r="EK100" s="620"/>
      <c r="EL100" s="117">
        <f>SUM(CD100:EG100)</f>
        <v>0</v>
      </c>
      <c r="EM100" s="116"/>
      <c r="EN100" s="56"/>
      <c r="EO100" s="144"/>
    </row>
    <row r="101" spans="4:145" ht="12.75" hidden="1" customHeight="1" x14ac:dyDescent="0.3">
      <c r="D101" s="144"/>
      <c r="E101" s="494"/>
      <c r="G101" s="56"/>
      <c r="H101" s="56"/>
      <c r="I101" s="56"/>
      <c r="J101" s="611"/>
      <c r="K101" s="56"/>
      <c r="L101" s="56"/>
      <c r="M101" s="56"/>
      <c r="N101" s="56"/>
      <c r="O101" s="611"/>
      <c r="P101" s="56"/>
      <c r="Q101" s="56"/>
      <c r="R101" s="56"/>
      <c r="S101" s="56"/>
      <c r="T101" s="611"/>
      <c r="U101" s="56"/>
      <c r="V101" s="56"/>
      <c r="W101" s="56"/>
      <c r="X101" s="56"/>
      <c r="Y101" s="611"/>
      <c r="Z101" s="56"/>
      <c r="AA101" s="56"/>
      <c r="AB101" s="56"/>
      <c r="AC101" s="56"/>
      <c r="AD101" s="611"/>
      <c r="AE101" s="56"/>
      <c r="AF101" s="56"/>
      <c r="AG101" s="56"/>
      <c r="AH101" s="56"/>
      <c r="AI101" s="611"/>
      <c r="AJ101" s="56"/>
      <c r="AK101" s="56"/>
      <c r="AL101" s="56"/>
      <c r="AM101" s="56"/>
      <c r="AN101" s="611"/>
      <c r="AO101" s="56"/>
      <c r="AP101" s="56"/>
      <c r="AQ101" s="56"/>
      <c r="AR101" s="56"/>
      <c r="AS101" s="611"/>
      <c r="AT101" s="56"/>
      <c r="AU101" s="56"/>
      <c r="AV101" s="56"/>
      <c r="AW101" s="56"/>
      <c r="AX101" s="611"/>
      <c r="AY101" s="56"/>
      <c r="AZ101" s="56"/>
      <c r="BA101" s="56"/>
      <c r="BB101" s="56"/>
      <c r="BC101" s="611"/>
      <c r="BD101" s="56"/>
      <c r="BE101" s="56"/>
      <c r="BF101" s="56"/>
      <c r="BG101" s="56"/>
      <c r="BH101" s="611"/>
      <c r="BI101" s="56"/>
      <c r="BJ101" s="56"/>
      <c r="BK101" s="56"/>
      <c r="BL101" s="56"/>
      <c r="BM101" s="611"/>
      <c r="BN101" s="56"/>
      <c r="BO101" s="56"/>
      <c r="BP101" s="56"/>
      <c r="BQ101" s="56"/>
      <c r="BR101" s="611"/>
      <c r="BS101" s="56"/>
      <c r="BT101" s="56"/>
      <c r="BU101" s="56"/>
      <c r="BV101" s="56"/>
      <c r="BW101" s="611"/>
      <c r="BX101" s="56"/>
      <c r="BY101" s="56"/>
      <c r="BZ101" s="56"/>
      <c r="CA101" s="56"/>
      <c r="CB101" s="611"/>
      <c r="CC101" s="56"/>
      <c r="CD101" s="56"/>
      <c r="CE101" s="56"/>
      <c r="CF101" s="56"/>
      <c r="CG101" s="611"/>
      <c r="CH101" s="56"/>
      <c r="CI101" s="56"/>
      <c r="CJ101" s="56"/>
      <c r="CK101" s="56"/>
      <c r="CL101" s="611"/>
      <c r="CM101" s="56"/>
      <c r="CN101" s="56"/>
      <c r="CO101" s="56"/>
      <c r="CP101" s="56"/>
      <c r="CQ101" s="611"/>
      <c r="CR101" s="56"/>
      <c r="CS101" s="56"/>
      <c r="CT101" s="56"/>
      <c r="CU101" s="56"/>
      <c r="CV101" s="611"/>
      <c r="CW101" s="56"/>
      <c r="CX101" s="56"/>
      <c r="CY101" s="56"/>
      <c r="CZ101" s="56"/>
      <c r="DA101" s="611"/>
      <c r="DB101" s="56"/>
      <c r="DC101" s="56"/>
      <c r="DD101" s="56"/>
      <c r="DE101" s="56"/>
      <c r="DF101" s="611"/>
      <c r="DG101" s="56"/>
      <c r="DH101" s="56"/>
      <c r="DI101" s="56"/>
      <c r="DJ101" s="56"/>
      <c r="DK101" s="611"/>
      <c r="DL101" s="56"/>
      <c r="DM101" s="56"/>
      <c r="DN101" s="56"/>
      <c r="DO101" s="56"/>
      <c r="DP101" s="611"/>
      <c r="DQ101" s="56"/>
      <c r="DR101" s="56"/>
      <c r="DS101" s="56"/>
      <c r="DT101" s="56"/>
      <c r="DU101" s="611"/>
      <c r="DV101" s="56"/>
      <c r="DW101" s="56"/>
      <c r="DX101" s="56"/>
      <c r="DY101" s="56"/>
      <c r="DZ101" s="611"/>
      <c r="EA101" s="56"/>
      <c r="EB101" s="56"/>
      <c r="EC101" s="56"/>
      <c r="ED101" s="56"/>
      <c r="EE101" s="611"/>
      <c r="EF101" s="56"/>
      <c r="EG101" s="56"/>
      <c r="EH101" s="56"/>
      <c r="EI101" s="56"/>
      <c r="EJ101" s="611"/>
      <c r="EK101" s="56"/>
      <c r="EL101" s="56"/>
      <c r="EM101" s="56"/>
      <c r="EN101" s="56"/>
      <c r="EO101" s="144"/>
    </row>
    <row r="102" spans="4:145" ht="12.75" hidden="1" customHeight="1" x14ac:dyDescent="0.3">
      <c r="D102" s="144" t="s">
        <v>439</v>
      </c>
      <c r="E102" s="494"/>
      <c r="G102" s="56">
        <v>0</v>
      </c>
      <c r="H102" s="56"/>
      <c r="I102" s="56"/>
      <c r="J102" s="611"/>
      <c r="K102" s="56"/>
      <c r="L102" s="56">
        <f>SUM(L103:L105)</f>
        <v>0</v>
      </c>
      <c r="M102" s="56"/>
      <c r="N102" s="56"/>
      <c r="O102" s="611"/>
      <c r="P102" s="56"/>
      <c r="Q102" s="56">
        <f>SUM(Q103:Q105)</f>
        <v>0</v>
      </c>
      <c r="R102" s="56"/>
      <c r="S102" s="56"/>
      <c r="T102" s="611"/>
      <c r="U102" s="56"/>
      <c r="V102" s="56">
        <f>SUM(V103:V105)</f>
        <v>0</v>
      </c>
      <c r="W102" s="56"/>
      <c r="X102" s="56"/>
      <c r="Y102" s="611"/>
      <c r="Z102" s="56"/>
      <c r="AA102" s="56">
        <f>SUM(AA103:AA105)</f>
        <v>0</v>
      </c>
      <c r="AB102" s="56"/>
      <c r="AC102" s="56"/>
      <c r="AD102" s="611"/>
      <c r="AE102" s="56"/>
      <c r="AF102" s="56">
        <f>SUM(AF103:AF105)</f>
        <v>0</v>
      </c>
      <c r="AG102" s="56"/>
      <c r="AH102" s="56"/>
      <c r="AI102" s="611"/>
      <c r="AJ102" s="56"/>
      <c r="AK102" s="56">
        <f>SUM(AK103:AK105)</f>
        <v>0</v>
      </c>
      <c r="AL102" s="56"/>
      <c r="AM102" s="56"/>
      <c r="AN102" s="611"/>
      <c r="AO102" s="56"/>
      <c r="AP102" s="56">
        <f>SUM(AP103:AP105)</f>
        <v>0</v>
      </c>
      <c r="AQ102" s="56"/>
      <c r="AR102" s="56"/>
      <c r="AS102" s="611"/>
      <c r="AT102" s="56"/>
      <c r="AU102" s="56">
        <f>SUM(AU103:AU105)</f>
        <v>0</v>
      </c>
      <c r="AV102" s="56"/>
      <c r="AW102" s="56"/>
      <c r="AX102" s="611"/>
      <c r="AY102" s="56"/>
      <c r="AZ102" s="56">
        <f>SUM(AZ103:AZ105)</f>
        <v>0</v>
      </c>
      <c r="BA102" s="56"/>
      <c r="BB102" s="56"/>
      <c r="BC102" s="611"/>
      <c r="BD102" s="56"/>
      <c r="BE102" s="56">
        <f>SUM(BE103:BE105)</f>
        <v>0</v>
      </c>
      <c r="BF102" s="56"/>
      <c r="BG102" s="56"/>
      <c r="BH102" s="611"/>
      <c r="BI102" s="56"/>
      <c r="BJ102" s="56">
        <f>SUM(BJ103:BJ105)</f>
        <v>0</v>
      </c>
      <c r="BK102" s="56"/>
      <c r="BL102" s="56"/>
      <c r="BM102" s="611"/>
      <c r="BN102" s="56"/>
      <c r="BO102" s="56">
        <f>SUM(BO103:BO105)</f>
        <v>0</v>
      </c>
      <c r="BP102" s="56"/>
      <c r="BQ102" s="56"/>
      <c r="BR102" s="611"/>
      <c r="BS102" s="56"/>
      <c r="BT102" s="56">
        <f>SUM(BT103:BT105)</f>
        <v>0</v>
      </c>
      <c r="BU102" s="56"/>
      <c r="BV102" s="56"/>
      <c r="BW102" s="611"/>
      <c r="BX102" s="56"/>
      <c r="BY102" s="56">
        <f>SUM(BY103:BY105)</f>
        <v>0</v>
      </c>
      <c r="BZ102" s="56"/>
      <c r="CA102" s="56"/>
      <c r="CB102" s="611"/>
      <c r="CC102" s="56"/>
      <c r="CD102" s="56">
        <f>SUM(CD103:CD105)</f>
        <v>0</v>
      </c>
      <c r="CE102" s="56"/>
      <c r="CF102" s="56"/>
      <c r="CG102" s="611"/>
      <c r="CH102" s="56"/>
      <c r="CI102" s="56">
        <f>SUM(CI103:CI105)</f>
        <v>0</v>
      </c>
      <c r="CJ102" s="56"/>
      <c r="CK102" s="56"/>
      <c r="CL102" s="611"/>
      <c r="CM102" s="56"/>
      <c r="CN102" s="56">
        <f>SUM(CN103:CN105)</f>
        <v>0</v>
      </c>
      <c r="CO102" s="56"/>
      <c r="CP102" s="56"/>
      <c r="CQ102" s="611"/>
      <c r="CR102" s="56"/>
      <c r="CS102" s="56">
        <f>SUM(CS103:CS105)</f>
        <v>0</v>
      </c>
      <c r="CT102" s="56"/>
      <c r="CU102" s="56"/>
      <c r="CV102" s="611"/>
      <c r="CW102" s="56"/>
      <c r="CX102" s="56">
        <f>SUM(CX103:CX105)</f>
        <v>0</v>
      </c>
      <c r="CY102" s="56"/>
      <c r="CZ102" s="56"/>
      <c r="DA102" s="611"/>
      <c r="DB102" s="56"/>
      <c r="DC102" s="56">
        <f>SUM(DC103:DC105)</f>
        <v>0</v>
      </c>
      <c r="DD102" s="56"/>
      <c r="DE102" s="56"/>
      <c r="DF102" s="611"/>
      <c r="DG102" s="56"/>
      <c r="DH102" s="56">
        <f>SUM(DH103:DH105)</f>
        <v>0</v>
      </c>
      <c r="DI102" s="56"/>
      <c r="DJ102" s="56"/>
      <c r="DK102" s="611"/>
      <c r="DL102" s="56"/>
      <c r="DM102" s="56">
        <f>SUM(DM103:DM105)</f>
        <v>0</v>
      </c>
      <c r="DN102" s="56"/>
      <c r="DO102" s="56"/>
      <c r="DP102" s="611"/>
      <c r="DQ102" s="56"/>
      <c r="DR102" s="56">
        <f>SUM(DR103:DR105)</f>
        <v>0</v>
      </c>
      <c r="DS102" s="56"/>
      <c r="DT102" s="56"/>
      <c r="DU102" s="611"/>
      <c r="DV102" s="56"/>
      <c r="DW102" s="56">
        <f>SUM(DW103:DW105)</f>
        <v>0</v>
      </c>
      <c r="DX102" s="56"/>
      <c r="DY102" s="56"/>
      <c r="DZ102" s="611"/>
      <c r="EA102" s="56"/>
      <c r="EB102" s="56">
        <f>SUM(EB103:EB105)</f>
        <v>0</v>
      </c>
      <c r="EC102" s="56"/>
      <c r="ED102" s="56"/>
      <c r="EE102" s="611"/>
      <c r="EF102" s="56"/>
      <c r="EG102" s="56">
        <f>SUM(EG103:EG105)</f>
        <v>0</v>
      </c>
      <c r="EH102" s="56"/>
      <c r="EI102" s="56"/>
      <c r="EJ102" s="611"/>
      <c r="EK102" s="56"/>
      <c r="EL102" s="56">
        <f>SUM(EL103:EL105)</f>
        <v>0</v>
      </c>
      <c r="EM102" s="56"/>
      <c r="EN102" s="56"/>
      <c r="EO102" s="144"/>
    </row>
    <row r="103" spans="4:145" ht="12.75" hidden="1" customHeight="1" x14ac:dyDescent="0.3">
      <c r="D103" s="144" t="s">
        <v>335</v>
      </c>
      <c r="E103" s="494"/>
      <c r="F103" s="500"/>
      <c r="G103" s="609">
        <v>0</v>
      </c>
      <c r="H103" s="610"/>
      <c r="I103" s="56"/>
      <c r="J103" s="611"/>
      <c r="K103" s="612"/>
      <c r="L103" s="609">
        <v>0</v>
      </c>
      <c r="M103" s="610"/>
      <c r="N103" s="56"/>
      <c r="O103" s="611"/>
      <c r="P103" s="612"/>
      <c r="Q103" s="609">
        <v>0</v>
      </c>
      <c r="R103" s="610"/>
      <c r="S103" s="56"/>
      <c r="T103" s="611"/>
      <c r="U103" s="612"/>
      <c r="V103" s="609">
        <v>0</v>
      </c>
      <c r="W103" s="610"/>
      <c r="X103" s="56"/>
      <c r="Y103" s="611"/>
      <c r="Z103" s="612"/>
      <c r="AA103" s="609">
        <v>0</v>
      </c>
      <c r="AB103" s="610"/>
      <c r="AC103" s="56"/>
      <c r="AD103" s="611"/>
      <c r="AE103" s="612"/>
      <c r="AF103" s="609">
        <v>0</v>
      </c>
      <c r="AG103" s="610"/>
      <c r="AH103" s="56"/>
      <c r="AI103" s="611"/>
      <c r="AJ103" s="612"/>
      <c r="AK103" s="609">
        <v>0</v>
      </c>
      <c r="AL103" s="610"/>
      <c r="AM103" s="56"/>
      <c r="AN103" s="611"/>
      <c r="AO103" s="612"/>
      <c r="AP103" s="609">
        <v>0</v>
      </c>
      <c r="AQ103" s="610"/>
      <c r="AR103" s="56"/>
      <c r="AS103" s="611"/>
      <c r="AT103" s="612"/>
      <c r="AU103" s="609">
        <v>0</v>
      </c>
      <c r="AV103" s="610"/>
      <c r="AW103" s="56"/>
      <c r="AX103" s="611"/>
      <c r="AY103" s="612"/>
      <c r="AZ103" s="609">
        <v>0</v>
      </c>
      <c r="BA103" s="610"/>
      <c r="BB103" s="56"/>
      <c r="BC103" s="611"/>
      <c r="BD103" s="612"/>
      <c r="BE103" s="609">
        <v>0</v>
      </c>
      <c r="BF103" s="610"/>
      <c r="BG103" s="56"/>
      <c r="BH103" s="611"/>
      <c r="BI103" s="612"/>
      <c r="BJ103" s="609">
        <v>0</v>
      </c>
      <c r="BK103" s="610"/>
      <c r="BL103" s="56"/>
      <c r="BM103" s="611"/>
      <c r="BN103" s="612"/>
      <c r="BO103" s="609">
        <v>0</v>
      </c>
      <c r="BP103" s="610"/>
      <c r="BQ103" s="56"/>
      <c r="BR103" s="611"/>
      <c r="BS103" s="612"/>
      <c r="BT103" s="609">
        <f>SUM(L103:BO103)</f>
        <v>0</v>
      </c>
      <c r="BU103" s="610"/>
      <c r="BV103" s="56"/>
      <c r="BW103" s="611"/>
      <c r="BX103" s="612"/>
      <c r="BY103" s="609">
        <f>SUM(Q103:BT103)</f>
        <v>0</v>
      </c>
      <c r="BZ103" s="610"/>
      <c r="CA103" s="56"/>
      <c r="CB103" s="611"/>
      <c r="CC103" s="612"/>
      <c r="CD103" s="609">
        <v>0</v>
      </c>
      <c r="CE103" s="610"/>
      <c r="CF103" s="56"/>
      <c r="CG103" s="611"/>
      <c r="CH103" s="612"/>
      <c r="CI103" s="609">
        <v>0</v>
      </c>
      <c r="CJ103" s="610"/>
      <c r="CK103" s="56"/>
      <c r="CL103" s="611"/>
      <c r="CM103" s="612"/>
      <c r="CN103" s="609">
        <v>0</v>
      </c>
      <c r="CO103" s="610"/>
      <c r="CP103" s="56"/>
      <c r="CQ103" s="611"/>
      <c r="CR103" s="612"/>
      <c r="CS103" s="609">
        <v>0</v>
      </c>
      <c r="CT103" s="610"/>
      <c r="CU103" s="56"/>
      <c r="CV103" s="611"/>
      <c r="CW103" s="612"/>
      <c r="CX103" s="609">
        <v>0</v>
      </c>
      <c r="CY103" s="610"/>
      <c r="CZ103" s="56"/>
      <c r="DA103" s="611"/>
      <c r="DB103" s="612"/>
      <c r="DC103" s="609">
        <v>0</v>
      </c>
      <c r="DD103" s="610"/>
      <c r="DE103" s="56"/>
      <c r="DF103" s="611"/>
      <c r="DG103" s="612"/>
      <c r="DH103" s="609">
        <v>0</v>
      </c>
      <c r="DI103" s="610"/>
      <c r="DJ103" s="56"/>
      <c r="DK103" s="611"/>
      <c r="DL103" s="612"/>
      <c r="DM103" s="609">
        <v>0</v>
      </c>
      <c r="DN103" s="610"/>
      <c r="DO103" s="56"/>
      <c r="DP103" s="611"/>
      <c r="DQ103" s="612"/>
      <c r="DR103" s="609">
        <v>0</v>
      </c>
      <c r="DS103" s="610"/>
      <c r="DT103" s="56"/>
      <c r="DU103" s="611"/>
      <c r="DV103" s="612"/>
      <c r="DW103" s="609">
        <v>0</v>
      </c>
      <c r="DX103" s="610"/>
      <c r="DY103" s="56"/>
      <c r="DZ103" s="611"/>
      <c r="EA103" s="612"/>
      <c r="EB103" s="609">
        <v>0</v>
      </c>
      <c r="EC103" s="610"/>
      <c r="ED103" s="56"/>
      <c r="EE103" s="611"/>
      <c r="EF103" s="612"/>
      <c r="EG103" s="609">
        <v>0</v>
      </c>
      <c r="EH103" s="610"/>
      <c r="EI103" s="56"/>
      <c r="EJ103" s="611"/>
      <c r="EK103" s="612"/>
      <c r="EL103" s="609">
        <f>SUM(CD103:EG103)</f>
        <v>0</v>
      </c>
      <c r="EM103" s="610"/>
      <c r="EN103" s="56"/>
      <c r="EO103" s="144"/>
    </row>
    <row r="104" spans="4:145" ht="12.75" hidden="1" customHeight="1" x14ac:dyDescent="0.3">
      <c r="D104" s="144" t="s">
        <v>338</v>
      </c>
      <c r="E104" s="494"/>
      <c r="F104" s="494"/>
      <c r="G104" s="56">
        <v>0</v>
      </c>
      <c r="H104" s="55"/>
      <c r="I104" s="56"/>
      <c r="J104" s="611"/>
      <c r="K104" s="611"/>
      <c r="L104" s="56">
        <v>0</v>
      </c>
      <c r="M104" s="55"/>
      <c r="N104" s="56"/>
      <c r="O104" s="611"/>
      <c r="P104" s="611"/>
      <c r="Q104" s="56">
        <v>0</v>
      </c>
      <c r="R104" s="55"/>
      <c r="S104" s="56"/>
      <c r="T104" s="611"/>
      <c r="U104" s="611"/>
      <c r="V104" s="56">
        <v>0</v>
      </c>
      <c r="W104" s="55"/>
      <c r="X104" s="56"/>
      <c r="Y104" s="611"/>
      <c r="Z104" s="611"/>
      <c r="AA104" s="56">
        <v>0</v>
      </c>
      <c r="AB104" s="55"/>
      <c r="AC104" s="56"/>
      <c r="AD104" s="611"/>
      <c r="AE104" s="611"/>
      <c r="AF104" s="56">
        <v>0</v>
      </c>
      <c r="AG104" s="55"/>
      <c r="AH104" s="56"/>
      <c r="AI104" s="611"/>
      <c r="AJ104" s="611"/>
      <c r="AK104" s="56">
        <v>0</v>
      </c>
      <c r="AL104" s="55"/>
      <c r="AM104" s="56"/>
      <c r="AN104" s="611"/>
      <c r="AO104" s="611"/>
      <c r="AP104" s="56">
        <v>0</v>
      </c>
      <c r="AQ104" s="55"/>
      <c r="AR104" s="56"/>
      <c r="AS104" s="611"/>
      <c r="AT104" s="611"/>
      <c r="AU104" s="56">
        <v>0</v>
      </c>
      <c r="AV104" s="55"/>
      <c r="AW104" s="56"/>
      <c r="AX104" s="611"/>
      <c r="AY104" s="611"/>
      <c r="AZ104" s="56">
        <v>0</v>
      </c>
      <c r="BA104" s="55"/>
      <c r="BB104" s="56"/>
      <c r="BC104" s="611"/>
      <c r="BD104" s="611"/>
      <c r="BE104" s="56">
        <v>0</v>
      </c>
      <c r="BF104" s="55"/>
      <c r="BG104" s="56"/>
      <c r="BH104" s="611"/>
      <c r="BI104" s="611"/>
      <c r="BJ104" s="56">
        <v>0</v>
      </c>
      <c r="BK104" s="55"/>
      <c r="BL104" s="56"/>
      <c r="BM104" s="611"/>
      <c r="BN104" s="611"/>
      <c r="BO104" s="56">
        <v>0</v>
      </c>
      <c r="BP104" s="55"/>
      <c r="BQ104" s="56"/>
      <c r="BR104" s="611"/>
      <c r="BS104" s="611"/>
      <c r="BT104" s="56">
        <f>SUM(L104:BO104)</f>
        <v>0</v>
      </c>
      <c r="BU104" s="55"/>
      <c r="BV104" s="56"/>
      <c r="BW104" s="611"/>
      <c r="BX104" s="611"/>
      <c r="BY104" s="56">
        <f>SUM(Q104:BT104)</f>
        <v>0</v>
      </c>
      <c r="BZ104" s="55"/>
      <c r="CA104" s="56"/>
      <c r="CB104" s="611"/>
      <c r="CC104" s="611"/>
      <c r="CD104" s="56">
        <v>0</v>
      </c>
      <c r="CE104" s="55"/>
      <c r="CF104" s="56"/>
      <c r="CG104" s="611"/>
      <c r="CH104" s="611"/>
      <c r="CI104" s="56">
        <v>0</v>
      </c>
      <c r="CJ104" s="55"/>
      <c r="CK104" s="56"/>
      <c r="CL104" s="611"/>
      <c r="CM104" s="611"/>
      <c r="CN104" s="56">
        <v>0</v>
      </c>
      <c r="CO104" s="55"/>
      <c r="CP104" s="56"/>
      <c r="CQ104" s="611"/>
      <c r="CR104" s="611"/>
      <c r="CS104" s="56">
        <v>0</v>
      </c>
      <c r="CT104" s="55"/>
      <c r="CU104" s="56"/>
      <c r="CV104" s="611"/>
      <c r="CW104" s="611"/>
      <c r="CX104" s="56">
        <v>0</v>
      </c>
      <c r="CY104" s="55"/>
      <c r="CZ104" s="56"/>
      <c r="DA104" s="611"/>
      <c r="DB104" s="611"/>
      <c r="DC104" s="56">
        <v>0</v>
      </c>
      <c r="DD104" s="55"/>
      <c r="DE104" s="56"/>
      <c r="DF104" s="611"/>
      <c r="DG104" s="611"/>
      <c r="DH104" s="56">
        <v>0</v>
      </c>
      <c r="DI104" s="55"/>
      <c r="DJ104" s="56"/>
      <c r="DK104" s="611"/>
      <c r="DL104" s="611"/>
      <c r="DM104" s="56">
        <v>0</v>
      </c>
      <c r="DN104" s="55"/>
      <c r="DO104" s="56"/>
      <c r="DP104" s="611"/>
      <c r="DQ104" s="611"/>
      <c r="DR104" s="56">
        <v>0</v>
      </c>
      <c r="DS104" s="55"/>
      <c r="DT104" s="56"/>
      <c r="DU104" s="611"/>
      <c r="DV104" s="611"/>
      <c r="DW104" s="56">
        <v>0</v>
      </c>
      <c r="DX104" s="55"/>
      <c r="DY104" s="56"/>
      <c r="DZ104" s="611"/>
      <c r="EA104" s="611"/>
      <c r="EB104" s="56">
        <v>0</v>
      </c>
      <c r="EC104" s="55"/>
      <c r="ED104" s="56"/>
      <c r="EE104" s="611"/>
      <c r="EF104" s="611"/>
      <c r="EG104" s="56">
        <v>0</v>
      </c>
      <c r="EH104" s="55"/>
      <c r="EI104" s="56"/>
      <c r="EJ104" s="611"/>
      <c r="EK104" s="611"/>
      <c r="EL104" s="56">
        <f>SUM(CD104:EG104)</f>
        <v>0</v>
      </c>
      <c r="EM104" s="55"/>
      <c r="EN104" s="56"/>
      <c r="EO104" s="144"/>
    </row>
    <row r="105" spans="4:145" ht="12.75" hidden="1" customHeight="1" x14ac:dyDescent="0.3">
      <c r="D105" s="144" t="s">
        <v>352</v>
      </c>
      <c r="E105" s="494"/>
      <c r="F105" s="513"/>
      <c r="G105" s="117">
        <v>0</v>
      </c>
      <c r="H105" s="116"/>
      <c r="I105" s="56"/>
      <c r="J105" s="611"/>
      <c r="K105" s="620"/>
      <c r="L105" s="117">
        <v>0</v>
      </c>
      <c r="M105" s="116"/>
      <c r="N105" s="56"/>
      <c r="O105" s="611"/>
      <c r="P105" s="620"/>
      <c r="Q105" s="117">
        <v>0</v>
      </c>
      <c r="R105" s="116"/>
      <c r="S105" s="56"/>
      <c r="T105" s="611"/>
      <c r="U105" s="620"/>
      <c r="V105" s="117">
        <v>0</v>
      </c>
      <c r="W105" s="116"/>
      <c r="X105" s="56"/>
      <c r="Y105" s="611"/>
      <c r="Z105" s="620"/>
      <c r="AA105" s="117">
        <v>0</v>
      </c>
      <c r="AB105" s="116"/>
      <c r="AC105" s="56"/>
      <c r="AD105" s="611"/>
      <c r="AE105" s="620"/>
      <c r="AF105" s="117">
        <v>0</v>
      </c>
      <c r="AG105" s="116"/>
      <c r="AH105" s="56"/>
      <c r="AI105" s="611"/>
      <c r="AJ105" s="620"/>
      <c r="AK105" s="117">
        <v>0</v>
      </c>
      <c r="AL105" s="116"/>
      <c r="AM105" s="56"/>
      <c r="AN105" s="611"/>
      <c r="AO105" s="620"/>
      <c r="AP105" s="117">
        <v>0</v>
      </c>
      <c r="AQ105" s="116"/>
      <c r="AR105" s="56"/>
      <c r="AS105" s="611"/>
      <c r="AT105" s="620"/>
      <c r="AU105" s="117">
        <v>0</v>
      </c>
      <c r="AV105" s="116"/>
      <c r="AW105" s="56"/>
      <c r="AX105" s="611"/>
      <c r="AY105" s="620"/>
      <c r="AZ105" s="117">
        <v>0</v>
      </c>
      <c r="BA105" s="116"/>
      <c r="BB105" s="56"/>
      <c r="BC105" s="611"/>
      <c r="BD105" s="620"/>
      <c r="BE105" s="117">
        <v>0</v>
      </c>
      <c r="BF105" s="116"/>
      <c r="BG105" s="56"/>
      <c r="BH105" s="611"/>
      <c r="BI105" s="620"/>
      <c r="BJ105" s="117">
        <v>0</v>
      </c>
      <c r="BK105" s="116"/>
      <c r="BL105" s="56"/>
      <c r="BM105" s="611"/>
      <c r="BN105" s="620"/>
      <c r="BO105" s="117">
        <v>0</v>
      </c>
      <c r="BP105" s="116"/>
      <c r="BQ105" s="56"/>
      <c r="BR105" s="611"/>
      <c r="BS105" s="620"/>
      <c r="BT105" s="117">
        <f>SUM(L105:BO105)</f>
        <v>0</v>
      </c>
      <c r="BU105" s="116"/>
      <c r="BV105" s="56"/>
      <c r="BW105" s="611"/>
      <c r="BX105" s="620"/>
      <c r="BY105" s="117">
        <f>SUM(Q105:BT105)</f>
        <v>0</v>
      </c>
      <c r="BZ105" s="116"/>
      <c r="CA105" s="56"/>
      <c r="CB105" s="611"/>
      <c r="CC105" s="620"/>
      <c r="CD105" s="117">
        <v>0</v>
      </c>
      <c r="CE105" s="116"/>
      <c r="CF105" s="56"/>
      <c r="CG105" s="611"/>
      <c r="CH105" s="620"/>
      <c r="CI105" s="117">
        <v>0</v>
      </c>
      <c r="CJ105" s="116"/>
      <c r="CK105" s="56"/>
      <c r="CL105" s="611"/>
      <c r="CM105" s="620"/>
      <c r="CN105" s="117">
        <v>0</v>
      </c>
      <c r="CO105" s="116"/>
      <c r="CP105" s="56"/>
      <c r="CQ105" s="611"/>
      <c r="CR105" s="620"/>
      <c r="CS105" s="117">
        <v>0</v>
      </c>
      <c r="CT105" s="116"/>
      <c r="CU105" s="56"/>
      <c r="CV105" s="611"/>
      <c r="CW105" s="620"/>
      <c r="CX105" s="117">
        <v>0</v>
      </c>
      <c r="CY105" s="116"/>
      <c r="CZ105" s="56"/>
      <c r="DA105" s="611"/>
      <c r="DB105" s="620"/>
      <c r="DC105" s="117">
        <v>0</v>
      </c>
      <c r="DD105" s="116"/>
      <c r="DE105" s="56"/>
      <c r="DF105" s="611"/>
      <c r="DG105" s="620"/>
      <c r="DH105" s="117">
        <v>0</v>
      </c>
      <c r="DI105" s="116"/>
      <c r="DJ105" s="56"/>
      <c r="DK105" s="611"/>
      <c r="DL105" s="620"/>
      <c r="DM105" s="117">
        <v>0</v>
      </c>
      <c r="DN105" s="116"/>
      <c r="DO105" s="56"/>
      <c r="DP105" s="611"/>
      <c r="DQ105" s="620"/>
      <c r="DR105" s="117">
        <v>0</v>
      </c>
      <c r="DS105" s="116"/>
      <c r="DT105" s="56"/>
      <c r="DU105" s="611"/>
      <c r="DV105" s="620"/>
      <c r="DW105" s="117">
        <v>0</v>
      </c>
      <c r="DX105" s="116"/>
      <c r="DY105" s="56"/>
      <c r="DZ105" s="611"/>
      <c r="EA105" s="620"/>
      <c r="EB105" s="117">
        <v>0</v>
      </c>
      <c r="EC105" s="116"/>
      <c r="ED105" s="56"/>
      <c r="EE105" s="611"/>
      <c r="EF105" s="620"/>
      <c r="EG105" s="117">
        <v>0</v>
      </c>
      <c r="EH105" s="116"/>
      <c r="EI105" s="56"/>
      <c r="EJ105" s="611"/>
      <c r="EK105" s="620"/>
      <c r="EL105" s="117">
        <f>SUM(CD105:EG105)</f>
        <v>0</v>
      </c>
      <c r="EM105" s="116"/>
      <c r="EN105" s="56"/>
      <c r="EO105" s="144"/>
    </row>
    <row r="106" spans="4:145" ht="12.75" hidden="1" customHeight="1" x14ac:dyDescent="0.3">
      <c r="D106" s="144"/>
      <c r="E106" s="494"/>
      <c r="G106" s="56"/>
      <c r="H106" s="56"/>
      <c r="I106" s="56"/>
      <c r="J106" s="611"/>
      <c r="K106" s="56"/>
      <c r="L106" s="56"/>
      <c r="M106" s="56"/>
      <c r="N106" s="56"/>
      <c r="O106" s="611"/>
      <c r="P106" s="56"/>
      <c r="Q106" s="56"/>
      <c r="R106" s="56"/>
      <c r="S106" s="56"/>
      <c r="T106" s="611"/>
      <c r="U106" s="56"/>
      <c r="V106" s="56"/>
      <c r="W106" s="56"/>
      <c r="X106" s="56"/>
      <c r="Y106" s="611"/>
      <c r="Z106" s="56"/>
      <c r="AA106" s="56"/>
      <c r="AB106" s="56"/>
      <c r="AC106" s="56"/>
      <c r="AD106" s="611"/>
      <c r="AE106" s="56"/>
      <c r="AF106" s="56"/>
      <c r="AG106" s="56"/>
      <c r="AH106" s="56"/>
      <c r="AI106" s="611"/>
      <c r="AJ106" s="56"/>
      <c r="AK106" s="56"/>
      <c r="AL106" s="56"/>
      <c r="AM106" s="56"/>
      <c r="AN106" s="611"/>
      <c r="AO106" s="56"/>
      <c r="AP106" s="56"/>
      <c r="AQ106" s="56"/>
      <c r="AR106" s="56"/>
      <c r="AS106" s="611"/>
      <c r="AT106" s="56"/>
      <c r="AU106" s="56"/>
      <c r="AV106" s="56"/>
      <c r="AW106" s="56"/>
      <c r="AX106" s="611"/>
      <c r="AY106" s="56"/>
      <c r="AZ106" s="56"/>
      <c r="BA106" s="56"/>
      <c r="BB106" s="56"/>
      <c r="BC106" s="611"/>
      <c r="BD106" s="56"/>
      <c r="BE106" s="56"/>
      <c r="BF106" s="56"/>
      <c r="BG106" s="56"/>
      <c r="BH106" s="611"/>
      <c r="BI106" s="56"/>
      <c r="BJ106" s="56"/>
      <c r="BK106" s="56"/>
      <c r="BL106" s="56"/>
      <c r="BM106" s="611"/>
      <c r="BN106" s="56"/>
      <c r="BO106" s="56"/>
      <c r="BP106" s="56"/>
      <c r="BQ106" s="56"/>
      <c r="BR106" s="611"/>
      <c r="BS106" s="56"/>
      <c r="BT106" s="56"/>
      <c r="BU106" s="56"/>
      <c r="BV106" s="56"/>
      <c r="BW106" s="611"/>
      <c r="BX106" s="56"/>
      <c r="BY106" s="56"/>
      <c r="BZ106" s="56"/>
      <c r="CA106" s="56"/>
      <c r="CB106" s="611"/>
      <c r="CC106" s="56"/>
      <c r="CD106" s="56"/>
      <c r="CE106" s="56"/>
      <c r="CF106" s="56"/>
      <c r="CG106" s="611"/>
      <c r="CH106" s="56"/>
      <c r="CI106" s="56"/>
      <c r="CJ106" s="56"/>
      <c r="CK106" s="56"/>
      <c r="CL106" s="611"/>
      <c r="CM106" s="56"/>
      <c r="CN106" s="56"/>
      <c r="CO106" s="56"/>
      <c r="CP106" s="56"/>
      <c r="CQ106" s="611"/>
      <c r="CR106" s="56"/>
      <c r="CS106" s="56"/>
      <c r="CT106" s="56"/>
      <c r="CU106" s="56"/>
      <c r="CV106" s="611"/>
      <c r="CW106" s="56"/>
      <c r="CX106" s="56"/>
      <c r="CY106" s="56"/>
      <c r="CZ106" s="56"/>
      <c r="DA106" s="611"/>
      <c r="DB106" s="56"/>
      <c r="DC106" s="56"/>
      <c r="DD106" s="56"/>
      <c r="DE106" s="56"/>
      <c r="DF106" s="611"/>
      <c r="DG106" s="56"/>
      <c r="DH106" s="56"/>
      <c r="DI106" s="56"/>
      <c r="DJ106" s="56"/>
      <c r="DK106" s="611"/>
      <c r="DL106" s="56"/>
      <c r="DM106" s="56"/>
      <c r="DN106" s="56"/>
      <c r="DO106" s="56"/>
      <c r="DP106" s="611"/>
      <c r="DQ106" s="56"/>
      <c r="DR106" s="56"/>
      <c r="DS106" s="56"/>
      <c r="DT106" s="56"/>
      <c r="DU106" s="611"/>
      <c r="DV106" s="56"/>
      <c r="DW106" s="56"/>
      <c r="DX106" s="56"/>
      <c r="DY106" s="56"/>
      <c r="DZ106" s="611"/>
      <c r="EA106" s="56"/>
      <c r="EB106" s="56"/>
      <c r="EC106" s="56"/>
      <c r="ED106" s="56"/>
      <c r="EE106" s="611"/>
      <c r="EF106" s="56"/>
      <c r="EG106" s="56"/>
      <c r="EH106" s="56"/>
      <c r="EI106" s="56"/>
      <c r="EJ106" s="611"/>
      <c r="EK106" s="56"/>
      <c r="EL106" s="56"/>
      <c r="EM106" s="56"/>
      <c r="EN106" s="56"/>
      <c r="EO106" s="144"/>
    </row>
    <row r="107" spans="4:145" ht="12.75" hidden="1" customHeight="1" x14ac:dyDescent="0.3">
      <c r="D107" s="144" t="s">
        <v>440</v>
      </c>
      <c r="E107" s="494"/>
      <c r="G107" s="56">
        <v>0</v>
      </c>
      <c r="H107" s="56"/>
      <c r="I107" s="56"/>
      <c r="J107" s="611"/>
      <c r="K107" s="56"/>
      <c r="L107" s="56">
        <f>SUM(L108:L110)</f>
        <v>0</v>
      </c>
      <c r="M107" s="56"/>
      <c r="N107" s="56"/>
      <c r="O107" s="611"/>
      <c r="P107" s="56"/>
      <c r="Q107" s="56">
        <f>SUM(Q108:Q110)</f>
        <v>0</v>
      </c>
      <c r="R107" s="56"/>
      <c r="S107" s="56"/>
      <c r="T107" s="611"/>
      <c r="U107" s="56"/>
      <c r="V107" s="56">
        <f>SUM(V108:V110)</f>
        <v>0</v>
      </c>
      <c r="W107" s="56"/>
      <c r="X107" s="56"/>
      <c r="Y107" s="611"/>
      <c r="Z107" s="56"/>
      <c r="AA107" s="56">
        <f>SUM(AA108:AA110)</f>
        <v>0</v>
      </c>
      <c r="AB107" s="56"/>
      <c r="AC107" s="56"/>
      <c r="AD107" s="611"/>
      <c r="AE107" s="56"/>
      <c r="AF107" s="56">
        <f>SUM(AF108:AF110)</f>
        <v>0</v>
      </c>
      <c r="AG107" s="56"/>
      <c r="AH107" s="56"/>
      <c r="AI107" s="611"/>
      <c r="AJ107" s="56"/>
      <c r="AK107" s="56">
        <f>SUM(AK108:AK110)</f>
        <v>0</v>
      </c>
      <c r="AL107" s="56"/>
      <c r="AM107" s="56"/>
      <c r="AN107" s="611"/>
      <c r="AO107" s="56"/>
      <c r="AP107" s="56">
        <f>SUM(AP108:AP110)</f>
        <v>0</v>
      </c>
      <c r="AQ107" s="56"/>
      <c r="AR107" s="56"/>
      <c r="AS107" s="611"/>
      <c r="AT107" s="56"/>
      <c r="AU107" s="56">
        <f>SUM(AU108:AU110)</f>
        <v>0</v>
      </c>
      <c r="AV107" s="56"/>
      <c r="AW107" s="56"/>
      <c r="AX107" s="611"/>
      <c r="AY107" s="56"/>
      <c r="AZ107" s="56">
        <f>SUM(AZ108:AZ110)</f>
        <v>0</v>
      </c>
      <c r="BA107" s="56"/>
      <c r="BB107" s="56"/>
      <c r="BC107" s="611"/>
      <c r="BD107" s="56"/>
      <c r="BE107" s="56">
        <f>SUM(BE108:BE110)</f>
        <v>0</v>
      </c>
      <c r="BF107" s="56"/>
      <c r="BG107" s="56"/>
      <c r="BH107" s="611"/>
      <c r="BI107" s="56"/>
      <c r="BJ107" s="56">
        <f>SUM(BJ108:BJ110)</f>
        <v>0</v>
      </c>
      <c r="BK107" s="56"/>
      <c r="BL107" s="56"/>
      <c r="BM107" s="611"/>
      <c r="BN107" s="56"/>
      <c r="BO107" s="56">
        <f>SUM(BO108:BO110)</f>
        <v>0</v>
      </c>
      <c r="BP107" s="56"/>
      <c r="BQ107" s="56"/>
      <c r="BR107" s="611"/>
      <c r="BS107" s="56"/>
      <c r="BT107" s="56">
        <f>SUM(BT108:BT110)</f>
        <v>0</v>
      </c>
      <c r="BU107" s="56"/>
      <c r="BV107" s="56"/>
      <c r="BW107" s="611"/>
      <c r="BX107" s="56"/>
      <c r="BY107" s="56">
        <f>SUM(BY108:BY110)</f>
        <v>0</v>
      </c>
      <c r="BZ107" s="56"/>
      <c r="CA107" s="56"/>
      <c r="CB107" s="611"/>
      <c r="CC107" s="56"/>
      <c r="CD107" s="56">
        <f>SUM(CD108:CD110)</f>
        <v>0</v>
      </c>
      <c r="CE107" s="56"/>
      <c r="CF107" s="56"/>
      <c r="CG107" s="611"/>
      <c r="CH107" s="56"/>
      <c r="CI107" s="56">
        <f>SUM(CI108:CI110)</f>
        <v>0</v>
      </c>
      <c r="CJ107" s="56"/>
      <c r="CK107" s="56"/>
      <c r="CL107" s="611"/>
      <c r="CM107" s="56"/>
      <c r="CN107" s="56">
        <f>SUM(CN108:CN110)</f>
        <v>0</v>
      </c>
      <c r="CO107" s="56"/>
      <c r="CP107" s="56"/>
      <c r="CQ107" s="611"/>
      <c r="CR107" s="56"/>
      <c r="CS107" s="56">
        <f>SUM(CS108:CS110)</f>
        <v>0</v>
      </c>
      <c r="CT107" s="56"/>
      <c r="CU107" s="56"/>
      <c r="CV107" s="611"/>
      <c r="CW107" s="56"/>
      <c r="CX107" s="56">
        <f>SUM(CX108:CX110)</f>
        <v>0</v>
      </c>
      <c r="CY107" s="56"/>
      <c r="CZ107" s="56"/>
      <c r="DA107" s="611"/>
      <c r="DB107" s="56"/>
      <c r="DC107" s="56">
        <f>SUM(DC108:DC110)</f>
        <v>0</v>
      </c>
      <c r="DD107" s="56"/>
      <c r="DE107" s="56"/>
      <c r="DF107" s="611"/>
      <c r="DG107" s="56"/>
      <c r="DH107" s="56">
        <f>SUM(DH108:DH110)</f>
        <v>0</v>
      </c>
      <c r="DI107" s="56"/>
      <c r="DJ107" s="56"/>
      <c r="DK107" s="611"/>
      <c r="DL107" s="56"/>
      <c r="DM107" s="56">
        <f>SUM(DM108:DM110)</f>
        <v>0</v>
      </c>
      <c r="DN107" s="56"/>
      <c r="DO107" s="56"/>
      <c r="DP107" s="611"/>
      <c r="DQ107" s="56"/>
      <c r="DR107" s="56">
        <f>SUM(DR108:DR110)</f>
        <v>0</v>
      </c>
      <c r="DS107" s="56"/>
      <c r="DT107" s="56"/>
      <c r="DU107" s="611"/>
      <c r="DV107" s="56"/>
      <c r="DW107" s="56">
        <f>SUM(DW108:DW110)</f>
        <v>0</v>
      </c>
      <c r="DX107" s="56"/>
      <c r="DY107" s="56"/>
      <c r="DZ107" s="611"/>
      <c r="EA107" s="56"/>
      <c r="EB107" s="56">
        <f>SUM(EB108:EB110)</f>
        <v>0</v>
      </c>
      <c r="EC107" s="56"/>
      <c r="ED107" s="56"/>
      <c r="EE107" s="611"/>
      <c r="EF107" s="56"/>
      <c r="EG107" s="56">
        <f>SUM(EG108:EG110)</f>
        <v>0</v>
      </c>
      <c r="EH107" s="56"/>
      <c r="EI107" s="56"/>
      <c r="EJ107" s="611"/>
      <c r="EK107" s="56"/>
      <c r="EL107" s="56">
        <f>SUM(EL108:EL110)</f>
        <v>0</v>
      </c>
      <c r="EM107" s="56"/>
      <c r="EN107" s="56"/>
      <c r="EO107" s="144"/>
    </row>
    <row r="108" spans="4:145" ht="12.75" hidden="1" customHeight="1" x14ac:dyDescent="0.3">
      <c r="D108" s="144" t="s">
        <v>335</v>
      </c>
      <c r="E108" s="494"/>
      <c r="F108" s="500"/>
      <c r="G108" s="609">
        <v>0</v>
      </c>
      <c r="H108" s="610"/>
      <c r="I108" s="56"/>
      <c r="J108" s="611"/>
      <c r="K108" s="612"/>
      <c r="L108" s="609">
        <v>0</v>
      </c>
      <c r="M108" s="610"/>
      <c r="N108" s="56"/>
      <c r="O108" s="611"/>
      <c r="P108" s="612"/>
      <c r="Q108" s="609">
        <v>0</v>
      </c>
      <c r="R108" s="610"/>
      <c r="S108" s="56"/>
      <c r="T108" s="611"/>
      <c r="U108" s="612"/>
      <c r="V108" s="609">
        <v>0</v>
      </c>
      <c r="W108" s="610"/>
      <c r="X108" s="56"/>
      <c r="Y108" s="611"/>
      <c r="Z108" s="612"/>
      <c r="AA108" s="609">
        <v>0</v>
      </c>
      <c r="AB108" s="610"/>
      <c r="AC108" s="56"/>
      <c r="AD108" s="611"/>
      <c r="AE108" s="612"/>
      <c r="AF108" s="609">
        <v>0</v>
      </c>
      <c r="AG108" s="610"/>
      <c r="AH108" s="56"/>
      <c r="AI108" s="611"/>
      <c r="AJ108" s="612"/>
      <c r="AK108" s="609">
        <v>0</v>
      </c>
      <c r="AL108" s="610"/>
      <c r="AM108" s="56"/>
      <c r="AN108" s="611"/>
      <c r="AO108" s="612"/>
      <c r="AP108" s="609">
        <v>0</v>
      </c>
      <c r="AQ108" s="610"/>
      <c r="AR108" s="56"/>
      <c r="AS108" s="611"/>
      <c r="AT108" s="612"/>
      <c r="AU108" s="609">
        <v>0</v>
      </c>
      <c r="AV108" s="610"/>
      <c r="AW108" s="56"/>
      <c r="AX108" s="611"/>
      <c r="AY108" s="612"/>
      <c r="AZ108" s="609">
        <v>0</v>
      </c>
      <c r="BA108" s="610"/>
      <c r="BB108" s="56"/>
      <c r="BC108" s="611"/>
      <c r="BD108" s="612"/>
      <c r="BE108" s="609">
        <v>0</v>
      </c>
      <c r="BF108" s="610"/>
      <c r="BG108" s="56"/>
      <c r="BH108" s="611"/>
      <c r="BI108" s="612"/>
      <c r="BJ108" s="609">
        <v>0</v>
      </c>
      <c r="BK108" s="610"/>
      <c r="BL108" s="56"/>
      <c r="BM108" s="611"/>
      <c r="BN108" s="612"/>
      <c r="BO108" s="609">
        <v>0</v>
      </c>
      <c r="BP108" s="610"/>
      <c r="BQ108" s="56"/>
      <c r="BR108" s="611"/>
      <c r="BS108" s="612"/>
      <c r="BT108" s="609">
        <f>SUM(L108:BO108)</f>
        <v>0</v>
      </c>
      <c r="BU108" s="610"/>
      <c r="BV108" s="56"/>
      <c r="BW108" s="611"/>
      <c r="BX108" s="612"/>
      <c r="BY108" s="609">
        <f>SUM(Q108:BT108)</f>
        <v>0</v>
      </c>
      <c r="BZ108" s="610"/>
      <c r="CA108" s="56"/>
      <c r="CB108" s="611"/>
      <c r="CC108" s="612"/>
      <c r="CD108" s="609">
        <v>0</v>
      </c>
      <c r="CE108" s="610"/>
      <c r="CF108" s="56"/>
      <c r="CG108" s="611"/>
      <c r="CH108" s="612"/>
      <c r="CI108" s="609">
        <v>0</v>
      </c>
      <c r="CJ108" s="610"/>
      <c r="CK108" s="56"/>
      <c r="CL108" s="611"/>
      <c r="CM108" s="612"/>
      <c r="CN108" s="609">
        <v>0</v>
      </c>
      <c r="CO108" s="610"/>
      <c r="CP108" s="56"/>
      <c r="CQ108" s="611"/>
      <c r="CR108" s="612"/>
      <c r="CS108" s="609">
        <v>0</v>
      </c>
      <c r="CT108" s="610"/>
      <c r="CU108" s="56"/>
      <c r="CV108" s="611"/>
      <c r="CW108" s="612"/>
      <c r="CX108" s="609">
        <v>0</v>
      </c>
      <c r="CY108" s="610"/>
      <c r="CZ108" s="56"/>
      <c r="DA108" s="611"/>
      <c r="DB108" s="612"/>
      <c r="DC108" s="609">
        <v>0</v>
      </c>
      <c r="DD108" s="610"/>
      <c r="DE108" s="56"/>
      <c r="DF108" s="611"/>
      <c r="DG108" s="612"/>
      <c r="DH108" s="609">
        <v>0</v>
      </c>
      <c r="DI108" s="610"/>
      <c r="DJ108" s="56"/>
      <c r="DK108" s="611"/>
      <c r="DL108" s="612"/>
      <c r="DM108" s="609">
        <v>0</v>
      </c>
      <c r="DN108" s="610"/>
      <c r="DO108" s="56"/>
      <c r="DP108" s="611"/>
      <c r="DQ108" s="612"/>
      <c r="DR108" s="609">
        <v>0</v>
      </c>
      <c r="DS108" s="610"/>
      <c r="DT108" s="56"/>
      <c r="DU108" s="611"/>
      <c r="DV108" s="612"/>
      <c r="DW108" s="609">
        <v>0</v>
      </c>
      <c r="DX108" s="610"/>
      <c r="DY108" s="56"/>
      <c r="DZ108" s="611"/>
      <c r="EA108" s="612"/>
      <c r="EB108" s="609">
        <v>0</v>
      </c>
      <c r="EC108" s="610"/>
      <c r="ED108" s="56"/>
      <c r="EE108" s="611"/>
      <c r="EF108" s="612"/>
      <c r="EG108" s="609">
        <v>0</v>
      </c>
      <c r="EH108" s="610"/>
      <c r="EI108" s="56"/>
      <c r="EJ108" s="611"/>
      <c r="EK108" s="612"/>
      <c r="EL108" s="609">
        <f>SUM(CD108:EG108)</f>
        <v>0</v>
      </c>
      <c r="EM108" s="610"/>
      <c r="EN108" s="56"/>
      <c r="EO108" s="144"/>
    </row>
    <row r="109" spans="4:145" ht="12.75" hidden="1" customHeight="1" x14ac:dyDescent="0.3">
      <c r="D109" s="144" t="s">
        <v>338</v>
      </c>
      <c r="E109" s="494"/>
      <c r="F109" s="494"/>
      <c r="G109" s="56">
        <v>0</v>
      </c>
      <c r="H109" s="55"/>
      <c r="I109" s="56"/>
      <c r="J109" s="611"/>
      <c r="K109" s="611"/>
      <c r="L109" s="56">
        <v>0</v>
      </c>
      <c r="M109" s="55"/>
      <c r="N109" s="56"/>
      <c r="O109" s="611"/>
      <c r="P109" s="611"/>
      <c r="Q109" s="56">
        <v>0</v>
      </c>
      <c r="R109" s="55"/>
      <c r="S109" s="56"/>
      <c r="T109" s="611"/>
      <c r="U109" s="611"/>
      <c r="V109" s="56">
        <v>0</v>
      </c>
      <c r="W109" s="55"/>
      <c r="X109" s="56"/>
      <c r="Y109" s="611"/>
      <c r="Z109" s="611"/>
      <c r="AA109" s="56">
        <v>0</v>
      </c>
      <c r="AB109" s="55"/>
      <c r="AC109" s="56"/>
      <c r="AD109" s="611"/>
      <c r="AE109" s="611"/>
      <c r="AF109" s="56">
        <v>0</v>
      </c>
      <c r="AG109" s="55"/>
      <c r="AH109" s="56"/>
      <c r="AI109" s="611"/>
      <c r="AJ109" s="611"/>
      <c r="AK109" s="56">
        <v>0</v>
      </c>
      <c r="AL109" s="55"/>
      <c r="AM109" s="56"/>
      <c r="AN109" s="611"/>
      <c r="AO109" s="611"/>
      <c r="AP109" s="56">
        <v>0</v>
      </c>
      <c r="AQ109" s="55"/>
      <c r="AR109" s="56"/>
      <c r="AS109" s="611"/>
      <c r="AT109" s="611"/>
      <c r="AU109" s="56">
        <v>0</v>
      </c>
      <c r="AV109" s="55"/>
      <c r="AW109" s="56"/>
      <c r="AX109" s="611"/>
      <c r="AY109" s="611"/>
      <c r="AZ109" s="56">
        <v>0</v>
      </c>
      <c r="BA109" s="55"/>
      <c r="BB109" s="56"/>
      <c r="BC109" s="611"/>
      <c r="BD109" s="611"/>
      <c r="BE109" s="56">
        <v>0</v>
      </c>
      <c r="BF109" s="55"/>
      <c r="BG109" s="56"/>
      <c r="BH109" s="611"/>
      <c r="BI109" s="611"/>
      <c r="BJ109" s="56">
        <v>0</v>
      </c>
      <c r="BK109" s="55"/>
      <c r="BL109" s="56"/>
      <c r="BM109" s="611"/>
      <c r="BN109" s="611"/>
      <c r="BO109" s="56">
        <v>0</v>
      </c>
      <c r="BP109" s="55"/>
      <c r="BQ109" s="56"/>
      <c r="BR109" s="611"/>
      <c r="BS109" s="611"/>
      <c r="BT109" s="56">
        <f>SUM(L109:BO109)</f>
        <v>0</v>
      </c>
      <c r="BU109" s="55"/>
      <c r="BV109" s="56"/>
      <c r="BW109" s="611"/>
      <c r="BX109" s="611"/>
      <c r="BY109" s="56">
        <f>SUM(Q109:BT109)</f>
        <v>0</v>
      </c>
      <c r="BZ109" s="55"/>
      <c r="CA109" s="56"/>
      <c r="CB109" s="611"/>
      <c r="CC109" s="611"/>
      <c r="CD109" s="56">
        <v>0</v>
      </c>
      <c r="CE109" s="55"/>
      <c r="CF109" s="56"/>
      <c r="CG109" s="611"/>
      <c r="CH109" s="611"/>
      <c r="CI109" s="56">
        <v>0</v>
      </c>
      <c r="CJ109" s="55"/>
      <c r="CK109" s="56"/>
      <c r="CL109" s="611"/>
      <c r="CM109" s="611"/>
      <c r="CN109" s="56">
        <v>0</v>
      </c>
      <c r="CO109" s="55"/>
      <c r="CP109" s="56"/>
      <c r="CQ109" s="611"/>
      <c r="CR109" s="611"/>
      <c r="CS109" s="56">
        <v>0</v>
      </c>
      <c r="CT109" s="55"/>
      <c r="CU109" s="56"/>
      <c r="CV109" s="611"/>
      <c r="CW109" s="611"/>
      <c r="CX109" s="56">
        <v>0</v>
      </c>
      <c r="CY109" s="55"/>
      <c r="CZ109" s="56"/>
      <c r="DA109" s="611"/>
      <c r="DB109" s="611"/>
      <c r="DC109" s="56">
        <v>0</v>
      </c>
      <c r="DD109" s="55"/>
      <c r="DE109" s="56"/>
      <c r="DF109" s="611"/>
      <c r="DG109" s="611"/>
      <c r="DH109" s="56">
        <v>0</v>
      </c>
      <c r="DI109" s="55"/>
      <c r="DJ109" s="56"/>
      <c r="DK109" s="611"/>
      <c r="DL109" s="611"/>
      <c r="DM109" s="56">
        <v>0</v>
      </c>
      <c r="DN109" s="55"/>
      <c r="DO109" s="56"/>
      <c r="DP109" s="611"/>
      <c r="DQ109" s="611"/>
      <c r="DR109" s="56">
        <v>0</v>
      </c>
      <c r="DS109" s="55"/>
      <c r="DT109" s="56"/>
      <c r="DU109" s="611"/>
      <c r="DV109" s="611"/>
      <c r="DW109" s="56">
        <v>0</v>
      </c>
      <c r="DX109" s="55"/>
      <c r="DY109" s="56"/>
      <c r="DZ109" s="611"/>
      <c r="EA109" s="611"/>
      <c r="EB109" s="56">
        <v>0</v>
      </c>
      <c r="EC109" s="55"/>
      <c r="ED109" s="56"/>
      <c r="EE109" s="611"/>
      <c r="EF109" s="611"/>
      <c r="EG109" s="56">
        <v>0</v>
      </c>
      <c r="EH109" s="55"/>
      <c r="EI109" s="56"/>
      <c r="EJ109" s="611"/>
      <c r="EK109" s="611"/>
      <c r="EL109" s="56">
        <f>SUM(CD109:EG109)</f>
        <v>0</v>
      </c>
      <c r="EM109" s="55"/>
      <c r="EN109" s="56"/>
      <c r="EO109" s="144"/>
    </row>
    <row r="110" spans="4:145" ht="12.75" hidden="1" customHeight="1" x14ac:dyDescent="0.3">
      <c r="D110" s="144" t="s">
        <v>352</v>
      </c>
      <c r="E110" s="494"/>
      <c r="F110" s="513"/>
      <c r="G110" s="117">
        <v>0</v>
      </c>
      <c r="H110" s="116"/>
      <c r="I110" s="56"/>
      <c r="J110" s="611"/>
      <c r="K110" s="620"/>
      <c r="L110" s="117">
        <v>0</v>
      </c>
      <c r="M110" s="116"/>
      <c r="N110" s="56"/>
      <c r="O110" s="611"/>
      <c r="P110" s="620"/>
      <c r="Q110" s="117">
        <v>0</v>
      </c>
      <c r="R110" s="116"/>
      <c r="S110" s="56"/>
      <c r="T110" s="611"/>
      <c r="U110" s="620"/>
      <c r="V110" s="117">
        <v>0</v>
      </c>
      <c r="W110" s="116"/>
      <c r="X110" s="56"/>
      <c r="Y110" s="611"/>
      <c r="Z110" s="620"/>
      <c r="AA110" s="117">
        <v>0</v>
      </c>
      <c r="AB110" s="116"/>
      <c r="AC110" s="56"/>
      <c r="AD110" s="611"/>
      <c r="AE110" s="620"/>
      <c r="AF110" s="117">
        <v>0</v>
      </c>
      <c r="AG110" s="116"/>
      <c r="AH110" s="56"/>
      <c r="AI110" s="611"/>
      <c r="AJ110" s="620"/>
      <c r="AK110" s="117">
        <v>0</v>
      </c>
      <c r="AL110" s="116"/>
      <c r="AM110" s="56"/>
      <c r="AN110" s="611"/>
      <c r="AO110" s="620"/>
      <c r="AP110" s="117">
        <v>0</v>
      </c>
      <c r="AQ110" s="116"/>
      <c r="AR110" s="56"/>
      <c r="AS110" s="611"/>
      <c r="AT110" s="620"/>
      <c r="AU110" s="117">
        <v>0</v>
      </c>
      <c r="AV110" s="116"/>
      <c r="AW110" s="56"/>
      <c r="AX110" s="611"/>
      <c r="AY110" s="620"/>
      <c r="AZ110" s="117">
        <v>0</v>
      </c>
      <c r="BA110" s="116"/>
      <c r="BB110" s="56"/>
      <c r="BC110" s="611"/>
      <c r="BD110" s="620"/>
      <c r="BE110" s="117">
        <v>0</v>
      </c>
      <c r="BF110" s="116"/>
      <c r="BG110" s="56"/>
      <c r="BH110" s="611"/>
      <c r="BI110" s="620"/>
      <c r="BJ110" s="117">
        <v>0</v>
      </c>
      <c r="BK110" s="116"/>
      <c r="BL110" s="56"/>
      <c r="BM110" s="611"/>
      <c r="BN110" s="620"/>
      <c r="BO110" s="117">
        <v>0</v>
      </c>
      <c r="BP110" s="116"/>
      <c r="BQ110" s="56"/>
      <c r="BR110" s="611"/>
      <c r="BS110" s="620"/>
      <c r="BT110" s="117">
        <f>SUM(L110:BO110)</f>
        <v>0</v>
      </c>
      <c r="BU110" s="116"/>
      <c r="BV110" s="56"/>
      <c r="BW110" s="611"/>
      <c r="BX110" s="620"/>
      <c r="BY110" s="117">
        <f>SUM(Q110:BT110)</f>
        <v>0</v>
      </c>
      <c r="BZ110" s="116"/>
      <c r="CA110" s="56"/>
      <c r="CB110" s="611"/>
      <c r="CC110" s="620"/>
      <c r="CD110" s="117">
        <v>0</v>
      </c>
      <c r="CE110" s="116"/>
      <c r="CF110" s="56"/>
      <c r="CG110" s="611"/>
      <c r="CH110" s="620"/>
      <c r="CI110" s="117">
        <v>0</v>
      </c>
      <c r="CJ110" s="116"/>
      <c r="CK110" s="56"/>
      <c r="CL110" s="611"/>
      <c r="CM110" s="620"/>
      <c r="CN110" s="117">
        <v>0</v>
      </c>
      <c r="CO110" s="116"/>
      <c r="CP110" s="56"/>
      <c r="CQ110" s="611"/>
      <c r="CR110" s="620"/>
      <c r="CS110" s="117">
        <v>0</v>
      </c>
      <c r="CT110" s="116"/>
      <c r="CU110" s="56"/>
      <c r="CV110" s="611"/>
      <c r="CW110" s="620"/>
      <c r="CX110" s="117">
        <v>0</v>
      </c>
      <c r="CY110" s="116"/>
      <c r="CZ110" s="56"/>
      <c r="DA110" s="611"/>
      <c r="DB110" s="620"/>
      <c r="DC110" s="117">
        <v>0</v>
      </c>
      <c r="DD110" s="116"/>
      <c r="DE110" s="56"/>
      <c r="DF110" s="611"/>
      <c r="DG110" s="620"/>
      <c r="DH110" s="117">
        <v>0</v>
      </c>
      <c r="DI110" s="116"/>
      <c r="DJ110" s="56"/>
      <c r="DK110" s="611"/>
      <c r="DL110" s="620"/>
      <c r="DM110" s="117">
        <v>0</v>
      </c>
      <c r="DN110" s="116"/>
      <c r="DO110" s="56"/>
      <c r="DP110" s="611"/>
      <c r="DQ110" s="620"/>
      <c r="DR110" s="117">
        <v>0</v>
      </c>
      <c r="DS110" s="116"/>
      <c r="DT110" s="56"/>
      <c r="DU110" s="611"/>
      <c r="DV110" s="620"/>
      <c r="DW110" s="117">
        <v>0</v>
      </c>
      <c r="DX110" s="116"/>
      <c r="DY110" s="56"/>
      <c r="DZ110" s="611"/>
      <c r="EA110" s="620"/>
      <c r="EB110" s="117">
        <v>0</v>
      </c>
      <c r="EC110" s="116"/>
      <c r="ED110" s="56"/>
      <c r="EE110" s="611"/>
      <c r="EF110" s="620"/>
      <c r="EG110" s="117">
        <v>0</v>
      </c>
      <c r="EH110" s="116"/>
      <c r="EI110" s="56"/>
      <c r="EJ110" s="611"/>
      <c r="EK110" s="620"/>
      <c r="EL110" s="117">
        <f>SUM(CD110:EG110)</f>
        <v>0</v>
      </c>
      <c r="EM110" s="116"/>
      <c r="EN110" s="56"/>
      <c r="EO110" s="144"/>
    </row>
    <row r="111" spans="4:145" hidden="1" x14ac:dyDescent="0.3">
      <c r="D111" s="144"/>
      <c r="E111" s="494"/>
      <c r="G111" s="56"/>
      <c r="H111" s="56"/>
      <c r="I111" s="56"/>
      <c r="J111" s="611"/>
      <c r="K111" s="56"/>
      <c r="L111" s="56"/>
      <c r="M111" s="56"/>
      <c r="N111" s="56"/>
      <c r="O111" s="611"/>
      <c r="P111" s="56"/>
      <c r="Q111" s="56"/>
      <c r="R111" s="56"/>
      <c r="S111" s="56"/>
      <c r="T111" s="611"/>
      <c r="U111" s="56"/>
      <c r="V111" s="56"/>
      <c r="W111" s="56"/>
      <c r="X111" s="56"/>
      <c r="Y111" s="611"/>
      <c r="Z111" s="56"/>
      <c r="AA111" s="56"/>
      <c r="AB111" s="56"/>
      <c r="AC111" s="56"/>
      <c r="AD111" s="611"/>
      <c r="AE111" s="56"/>
      <c r="AF111" s="56"/>
      <c r="AG111" s="56"/>
      <c r="AH111" s="56"/>
      <c r="AI111" s="611"/>
      <c r="AJ111" s="56"/>
      <c r="AK111" s="56"/>
      <c r="AL111" s="56"/>
      <c r="AM111" s="56"/>
      <c r="AN111" s="611"/>
      <c r="AO111" s="56"/>
      <c r="AP111" s="56"/>
      <c r="AQ111" s="56"/>
      <c r="AR111" s="56"/>
      <c r="AS111" s="611"/>
      <c r="AT111" s="56"/>
      <c r="AU111" s="56"/>
      <c r="AV111" s="56"/>
      <c r="AW111" s="56"/>
      <c r="AX111" s="611"/>
      <c r="AY111" s="56"/>
      <c r="AZ111" s="56"/>
      <c r="BA111" s="56"/>
      <c r="BB111" s="56"/>
      <c r="BC111" s="611"/>
      <c r="BD111" s="56"/>
      <c r="BE111" s="56"/>
      <c r="BF111" s="56"/>
      <c r="BG111" s="56"/>
      <c r="BH111" s="611"/>
      <c r="BI111" s="56"/>
      <c r="BJ111" s="56"/>
      <c r="BK111" s="56"/>
      <c r="BL111" s="56"/>
      <c r="BM111" s="611"/>
      <c r="BN111" s="56"/>
      <c r="BO111" s="56"/>
      <c r="BP111" s="56"/>
      <c r="BQ111" s="56"/>
      <c r="BR111" s="611"/>
      <c r="BS111" s="56"/>
      <c r="BT111" s="56"/>
      <c r="BU111" s="56"/>
      <c r="BV111" s="56"/>
      <c r="BW111" s="611"/>
      <c r="BX111" s="56"/>
      <c r="BY111" s="56"/>
      <c r="BZ111" s="56"/>
      <c r="CA111" s="56"/>
      <c r="CB111" s="611"/>
      <c r="CC111" s="56"/>
      <c r="CD111" s="56"/>
      <c r="CE111" s="56"/>
      <c r="CF111" s="56"/>
      <c r="CG111" s="611"/>
      <c r="CH111" s="56"/>
      <c r="CI111" s="56"/>
      <c r="CJ111" s="56"/>
      <c r="CK111" s="56"/>
      <c r="CL111" s="611"/>
      <c r="CM111" s="56"/>
      <c r="CN111" s="56"/>
      <c r="CO111" s="56"/>
      <c r="CP111" s="56"/>
      <c r="CQ111" s="611"/>
      <c r="CR111" s="56"/>
      <c r="CS111" s="56"/>
      <c r="CT111" s="56"/>
      <c r="CU111" s="56"/>
      <c r="CV111" s="611"/>
      <c r="CW111" s="56"/>
      <c r="CX111" s="56"/>
      <c r="CY111" s="56"/>
      <c r="CZ111" s="56"/>
      <c r="DA111" s="611"/>
      <c r="DB111" s="56"/>
      <c r="DC111" s="56"/>
      <c r="DD111" s="56"/>
      <c r="DE111" s="56"/>
      <c r="DF111" s="611"/>
      <c r="DG111" s="56"/>
      <c r="DH111" s="56"/>
      <c r="DI111" s="56"/>
      <c r="DJ111" s="56"/>
      <c r="DK111" s="611"/>
      <c r="DL111" s="56"/>
      <c r="DM111" s="56"/>
      <c r="DN111" s="56"/>
      <c r="DO111" s="56"/>
      <c r="DP111" s="611"/>
      <c r="DQ111" s="56"/>
      <c r="DR111" s="56"/>
      <c r="DS111" s="56"/>
      <c r="DT111" s="56"/>
      <c r="DU111" s="611"/>
      <c r="DV111" s="56"/>
      <c r="DW111" s="56"/>
      <c r="DX111" s="56"/>
      <c r="DY111" s="56"/>
      <c r="DZ111" s="611"/>
      <c r="EA111" s="56"/>
      <c r="EB111" s="56"/>
      <c r="EC111" s="56"/>
      <c r="ED111" s="56"/>
      <c r="EE111" s="611"/>
      <c r="EF111" s="56"/>
      <c r="EG111" s="56"/>
      <c r="EH111" s="56"/>
      <c r="EI111" s="56"/>
      <c r="EJ111" s="611"/>
      <c r="EK111" s="56"/>
      <c r="EL111" s="56"/>
      <c r="EM111" s="56"/>
      <c r="EN111" s="56"/>
      <c r="EO111" s="144"/>
    </row>
    <row r="112" spans="4:145" x14ac:dyDescent="0.3">
      <c r="D112" s="234" t="s">
        <v>441</v>
      </c>
      <c r="E112" s="494"/>
      <c r="G112" s="499">
        <f>SUM(G113:G115)</f>
        <v>15761600</v>
      </c>
      <c r="J112" s="494"/>
      <c r="L112" s="42">
        <f>SUM(L113:L115)</f>
        <v>0</v>
      </c>
      <c r="O112" s="494"/>
      <c r="Q112" s="42">
        <f>SUM(Q113:Q115)</f>
        <v>15761600</v>
      </c>
      <c r="T112" s="494"/>
      <c r="V112" s="42">
        <f>SUM(V113:V115)</f>
        <v>0</v>
      </c>
      <c r="Y112" s="494"/>
      <c r="AA112" s="42">
        <f>SUM(AA113:AA115)</f>
        <v>0</v>
      </c>
      <c r="AD112" s="494"/>
      <c r="AF112" s="42">
        <f>SUM(AF113:AF115)</f>
        <v>0</v>
      </c>
      <c r="AI112" s="494"/>
      <c r="AK112" s="42">
        <f>SUM(AK113:AK115)</f>
        <v>0</v>
      </c>
      <c r="AN112" s="494"/>
      <c r="AP112" s="42">
        <f>SUM(AP113:AP115)</f>
        <v>0</v>
      </c>
      <c r="AS112" s="494"/>
      <c r="AU112" s="42">
        <f>SUM(AU113:AU115)</f>
        <v>0</v>
      </c>
      <c r="AX112" s="494"/>
      <c r="AZ112" s="42">
        <f>SUM(AZ113:AZ115)</f>
        <v>0</v>
      </c>
      <c r="BC112" s="494"/>
      <c r="BE112" s="42">
        <f>SUM(BE113:BE115)</f>
        <v>0</v>
      </c>
      <c r="BH112" s="494"/>
      <c r="BJ112" s="42">
        <f>SUM(BJ113:BJ115)</f>
        <v>0</v>
      </c>
      <c r="BM112" s="494"/>
      <c r="BO112" s="42">
        <f>SUM(BO113:BO115)</f>
        <v>0</v>
      </c>
      <c r="BR112" s="494"/>
      <c r="BT112" s="42">
        <f>SUM(BT113:BT115)</f>
        <v>15761600</v>
      </c>
      <c r="BW112" s="494"/>
      <c r="BY112" s="42">
        <f>SUM(BY113:BY115)</f>
        <v>3918834</v>
      </c>
      <c r="CB112" s="494"/>
      <c r="CD112" s="42">
        <f>SUM(CD113:CD115)</f>
        <v>0</v>
      </c>
      <c r="CG112" s="494"/>
      <c r="CI112" s="42">
        <f>SUM(CI113:CI115)</f>
        <v>6054</v>
      </c>
      <c r="CL112" s="494"/>
      <c r="CN112" s="42">
        <f>SUM(CN113:CN115)</f>
        <v>0</v>
      </c>
      <c r="CQ112" s="494"/>
      <c r="CS112" s="42">
        <f>SUM(CS113:CS115)</f>
        <v>0</v>
      </c>
      <c r="CV112" s="494"/>
      <c r="CX112" s="42">
        <f>SUM(CX113:CX115)</f>
        <v>0</v>
      </c>
      <c r="DA112" s="494"/>
      <c r="DC112" s="42">
        <f>SUM(DC113:DC115)</f>
        <v>3912780</v>
      </c>
      <c r="DF112" s="494"/>
      <c r="DH112" s="42">
        <f>SUM(DH113:DH115)</f>
        <v>0</v>
      </c>
      <c r="DK112" s="494"/>
      <c r="DM112" s="42">
        <f>SUM(DM113:DM115)</f>
        <v>0</v>
      </c>
      <c r="DP112" s="494"/>
      <c r="DR112" s="42">
        <f>SUM(DR113:DR115)</f>
        <v>0</v>
      </c>
      <c r="DU112" s="494"/>
      <c r="DW112" s="42">
        <f>SUM(DW113:DW115)</f>
        <v>0</v>
      </c>
      <c r="DZ112" s="494"/>
      <c r="EB112" s="42">
        <f>SUM(EB113:EB115)</f>
        <v>0</v>
      </c>
      <c r="EE112" s="494"/>
      <c r="EG112" s="42">
        <f>SUM(EG113:EG115)</f>
        <v>0</v>
      </c>
      <c r="EJ112" s="494"/>
      <c r="EL112" s="42">
        <f>SUM(EL113:EL115)</f>
        <v>3918834</v>
      </c>
      <c r="EO112" s="144"/>
    </row>
    <row r="113" spans="4:145" x14ac:dyDescent="0.3">
      <c r="D113" s="271" t="s">
        <v>442</v>
      </c>
      <c r="E113" s="494"/>
      <c r="F113" s="500"/>
      <c r="G113" s="504">
        <f>G117</f>
        <v>15761600</v>
      </c>
      <c r="H113" s="501"/>
      <c r="J113" s="494"/>
      <c r="K113" s="500"/>
      <c r="L113" s="214">
        <f>L117</f>
        <v>0</v>
      </c>
      <c r="M113" s="501"/>
      <c r="O113" s="494"/>
      <c r="P113" s="500"/>
      <c r="Q113" s="214">
        <f>Q117</f>
        <v>15761600</v>
      </c>
      <c r="R113" s="501"/>
      <c r="T113" s="494"/>
      <c r="U113" s="500"/>
      <c r="V113" s="214">
        <f>V117</f>
        <v>0</v>
      </c>
      <c r="W113" s="501"/>
      <c r="Y113" s="494"/>
      <c r="Z113" s="500"/>
      <c r="AA113" s="214">
        <f>AA117</f>
        <v>0</v>
      </c>
      <c r="AB113" s="501"/>
      <c r="AD113" s="494"/>
      <c r="AE113" s="500"/>
      <c r="AF113" s="214">
        <f>AF117</f>
        <v>0</v>
      </c>
      <c r="AG113" s="501"/>
      <c r="AI113" s="494"/>
      <c r="AJ113" s="500"/>
      <c r="AK113" s="214">
        <f>AK117</f>
        <v>0</v>
      </c>
      <c r="AL113" s="501"/>
      <c r="AN113" s="494"/>
      <c r="AO113" s="500"/>
      <c r="AP113" s="214">
        <f>AP117</f>
        <v>0</v>
      </c>
      <c r="AQ113" s="501"/>
      <c r="AS113" s="494"/>
      <c r="AT113" s="500"/>
      <c r="AU113" s="504">
        <f>AU117</f>
        <v>0</v>
      </c>
      <c r="AV113" s="501"/>
      <c r="AX113" s="494"/>
      <c r="AY113" s="500"/>
      <c r="AZ113" s="504">
        <f>AZ117</f>
        <v>0</v>
      </c>
      <c r="BA113" s="501"/>
      <c r="BC113" s="494"/>
      <c r="BD113" s="500"/>
      <c r="BE113" s="504">
        <f>BE117</f>
        <v>0</v>
      </c>
      <c r="BF113" s="501"/>
      <c r="BH113" s="494"/>
      <c r="BI113" s="500"/>
      <c r="BJ113" s="504">
        <f>BJ117</f>
        <v>0</v>
      </c>
      <c r="BK113" s="501"/>
      <c r="BM113" s="494"/>
      <c r="BN113" s="500"/>
      <c r="BO113" s="504">
        <f>BO117</f>
        <v>0</v>
      </c>
      <c r="BP113" s="501"/>
      <c r="BR113" s="494"/>
      <c r="BS113" s="500"/>
      <c r="BT113" s="214">
        <f>BT117</f>
        <v>15761600</v>
      </c>
      <c r="BU113" s="501"/>
      <c r="BW113" s="494"/>
      <c r="BX113" s="500"/>
      <c r="BY113" s="214">
        <f>BY117</f>
        <v>3918834</v>
      </c>
      <c r="BZ113" s="501"/>
      <c r="CB113" s="494"/>
      <c r="CC113" s="500"/>
      <c r="CD113" s="214">
        <f>CD1125</f>
        <v>0</v>
      </c>
      <c r="CE113" s="501"/>
      <c r="CG113" s="494"/>
      <c r="CH113" s="500"/>
      <c r="CI113" s="214">
        <f>CI117</f>
        <v>6054</v>
      </c>
      <c r="CJ113" s="501"/>
      <c r="CL113" s="494"/>
      <c r="CM113" s="500"/>
      <c r="CN113" s="214">
        <f>CN117</f>
        <v>0</v>
      </c>
      <c r="CO113" s="501"/>
      <c r="CQ113" s="494"/>
      <c r="CR113" s="500"/>
      <c r="CS113" s="214">
        <f>CS117</f>
        <v>0</v>
      </c>
      <c r="CT113" s="501"/>
      <c r="CV113" s="494"/>
      <c r="CW113" s="500"/>
      <c r="CX113" s="214">
        <f>CX117</f>
        <v>0</v>
      </c>
      <c r="CY113" s="501"/>
      <c r="DA113" s="494"/>
      <c r="DB113" s="500"/>
      <c r="DC113" s="214">
        <f>DC117</f>
        <v>3912780</v>
      </c>
      <c r="DD113" s="501"/>
      <c r="DF113" s="494"/>
      <c r="DG113" s="500"/>
      <c r="DH113" s="214">
        <f>DH117</f>
        <v>0</v>
      </c>
      <c r="DI113" s="501"/>
      <c r="DK113" s="494"/>
      <c r="DL113" s="500"/>
      <c r="DM113" s="504">
        <f>DM117</f>
        <v>0</v>
      </c>
      <c r="DN113" s="501"/>
      <c r="DP113" s="494"/>
      <c r="DQ113" s="500"/>
      <c r="DR113" s="504">
        <f>DR117</f>
        <v>0</v>
      </c>
      <c r="DS113" s="501"/>
      <c r="DU113" s="494"/>
      <c r="DV113" s="500"/>
      <c r="DW113" s="504">
        <f>DW117</f>
        <v>0</v>
      </c>
      <c r="DX113" s="501"/>
      <c r="DZ113" s="494"/>
      <c r="EA113" s="500"/>
      <c r="EB113" s="504">
        <f>EB117</f>
        <v>0</v>
      </c>
      <c r="EC113" s="501"/>
      <c r="EE113" s="494"/>
      <c r="EF113" s="500"/>
      <c r="EG113" s="504">
        <f>EG117</f>
        <v>0</v>
      </c>
      <c r="EH113" s="501"/>
      <c r="EJ113" s="494"/>
      <c r="EK113" s="500"/>
      <c r="EL113" s="214">
        <f>EL117</f>
        <v>3918834</v>
      </c>
      <c r="EM113" s="501"/>
      <c r="EO113" s="144"/>
    </row>
    <row r="114" spans="4:145" x14ac:dyDescent="0.3">
      <c r="D114" s="271" t="s">
        <v>443</v>
      </c>
      <c r="E114" s="494"/>
      <c r="F114" s="494"/>
      <c r="G114" s="512">
        <f>G165</f>
        <v>0</v>
      </c>
      <c r="H114" s="506"/>
      <c r="J114" s="494"/>
      <c r="K114" s="494"/>
      <c r="L114" s="136">
        <f>L165</f>
        <v>0</v>
      </c>
      <c r="M114" s="506"/>
      <c r="O114" s="494"/>
      <c r="P114" s="494"/>
      <c r="Q114" s="136">
        <f>Q165</f>
        <v>0</v>
      </c>
      <c r="R114" s="506"/>
      <c r="T114" s="494"/>
      <c r="U114" s="494"/>
      <c r="V114" s="136">
        <f>V165</f>
        <v>0</v>
      </c>
      <c r="W114" s="506"/>
      <c r="Y114" s="494"/>
      <c r="Z114" s="494"/>
      <c r="AA114" s="136">
        <f>AA165</f>
        <v>0</v>
      </c>
      <c r="AB114" s="506"/>
      <c r="AD114" s="494"/>
      <c r="AE114" s="494"/>
      <c r="AF114" s="136">
        <f>AF165</f>
        <v>0</v>
      </c>
      <c r="AG114" s="506"/>
      <c r="AI114" s="494"/>
      <c r="AJ114" s="494"/>
      <c r="AK114" s="136">
        <f>AK165</f>
        <v>0</v>
      </c>
      <c r="AL114" s="506"/>
      <c r="AN114" s="494"/>
      <c r="AO114" s="494"/>
      <c r="AP114" s="136">
        <f>AP165</f>
        <v>0</v>
      </c>
      <c r="AQ114" s="506"/>
      <c r="AS114" s="494"/>
      <c r="AT114" s="494"/>
      <c r="AU114" s="512">
        <f>AU165</f>
        <v>0</v>
      </c>
      <c r="AV114" s="506"/>
      <c r="AX114" s="494"/>
      <c r="AY114" s="494"/>
      <c r="AZ114" s="512">
        <f>AZ165</f>
        <v>0</v>
      </c>
      <c r="BA114" s="506"/>
      <c r="BC114" s="494"/>
      <c r="BD114" s="494"/>
      <c r="BE114" s="512">
        <f>BE165</f>
        <v>0</v>
      </c>
      <c r="BF114" s="506"/>
      <c r="BH114" s="494"/>
      <c r="BI114" s="494"/>
      <c r="BJ114" s="512">
        <f>BJ165</f>
        <v>0</v>
      </c>
      <c r="BK114" s="506"/>
      <c r="BM114" s="494"/>
      <c r="BN114" s="494"/>
      <c r="BO114" s="512">
        <f>BO165</f>
        <v>0</v>
      </c>
      <c r="BP114" s="506"/>
      <c r="BR114" s="494"/>
      <c r="BS114" s="494"/>
      <c r="BT114" s="136">
        <f>BT165</f>
        <v>0</v>
      </c>
      <c r="BU114" s="506"/>
      <c r="BW114" s="494"/>
      <c r="BX114" s="494"/>
      <c r="BY114" s="136">
        <v>0</v>
      </c>
      <c r="BZ114" s="506"/>
      <c r="CB114" s="494"/>
      <c r="CC114" s="494"/>
      <c r="CD114" s="136">
        <f>CD165</f>
        <v>0</v>
      </c>
      <c r="CE114" s="506"/>
      <c r="CG114" s="494"/>
      <c r="CH114" s="494"/>
      <c r="CI114" s="136">
        <f>CI165</f>
        <v>0</v>
      </c>
      <c r="CJ114" s="506"/>
      <c r="CL114" s="494"/>
      <c r="CM114" s="494"/>
      <c r="CN114" s="136">
        <f>CN165</f>
        <v>0</v>
      </c>
      <c r="CO114" s="506"/>
      <c r="CQ114" s="494"/>
      <c r="CR114" s="494"/>
      <c r="CS114" s="136">
        <f>CS165</f>
        <v>0</v>
      </c>
      <c r="CT114" s="506"/>
      <c r="CV114" s="494"/>
      <c r="CW114" s="494"/>
      <c r="CX114" s="136">
        <f>CX165</f>
        <v>0</v>
      </c>
      <c r="CY114" s="506"/>
      <c r="DA114" s="494"/>
      <c r="DB114" s="494"/>
      <c r="DC114" s="136">
        <f>DC165</f>
        <v>0</v>
      </c>
      <c r="DD114" s="506"/>
      <c r="DF114" s="494"/>
      <c r="DG114" s="494"/>
      <c r="DH114" s="136">
        <f>DH165</f>
        <v>0</v>
      </c>
      <c r="DI114" s="506"/>
      <c r="DK114" s="494"/>
      <c r="DL114" s="494"/>
      <c r="DM114" s="512">
        <f>DM165</f>
        <v>0</v>
      </c>
      <c r="DN114" s="506"/>
      <c r="DP114" s="494"/>
      <c r="DQ114" s="494"/>
      <c r="DR114" s="512">
        <f>DR165</f>
        <v>0</v>
      </c>
      <c r="DS114" s="506"/>
      <c r="DU114" s="494"/>
      <c r="DV114" s="494"/>
      <c r="DW114" s="512">
        <f>DW165</f>
        <v>0</v>
      </c>
      <c r="DX114" s="506"/>
      <c r="DZ114" s="494"/>
      <c r="EA114" s="494"/>
      <c r="EB114" s="512">
        <f>EB165</f>
        <v>0</v>
      </c>
      <c r="EC114" s="506"/>
      <c r="EE114" s="494"/>
      <c r="EF114" s="494"/>
      <c r="EG114" s="512">
        <f>EG165</f>
        <v>0</v>
      </c>
      <c r="EH114" s="506"/>
      <c r="EJ114" s="494"/>
      <c r="EK114" s="494"/>
      <c r="EL114" s="136">
        <f>EL165</f>
        <v>0</v>
      </c>
      <c r="EM114" s="506"/>
      <c r="EO114" s="144"/>
    </row>
    <row r="115" spans="4:145" x14ac:dyDescent="0.3">
      <c r="D115" s="271" t="s">
        <v>444</v>
      </c>
      <c r="E115" s="494"/>
      <c r="F115" s="513"/>
      <c r="G115" s="514">
        <f>G177</f>
        <v>0</v>
      </c>
      <c r="H115" s="515"/>
      <c r="J115" s="494"/>
      <c r="K115" s="513"/>
      <c r="L115" s="277">
        <f>L177</f>
        <v>0</v>
      </c>
      <c r="M115" s="515"/>
      <c r="O115" s="494"/>
      <c r="P115" s="513"/>
      <c r="Q115" s="277">
        <f>Q177</f>
        <v>0</v>
      </c>
      <c r="R115" s="515"/>
      <c r="T115" s="494"/>
      <c r="U115" s="513"/>
      <c r="V115" s="277">
        <f>V177</f>
        <v>0</v>
      </c>
      <c r="W115" s="515"/>
      <c r="Y115" s="494"/>
      <c r="Z115" s="513"/>
      <c r="AA115" s="277">
        <f>AA177</f>
        <v>0</v>
      </c>
      <c r="AB115" s="515"/>
      <c r="AD115" s="494"/>
      <c r="AE115" s="513"/>
      <c r="AF115" s="277">
        <f>AF177</f>
        <v>0</v>
      </c>
      <c r="AG115" s="515"/>
      <c r="AI115" s="494"/>
      <c r="AJ115" s="513"/>
      <c r="AK115" s="277">
        <f>AK177</f>
        <v>0</v>
      </c>
      <c r="AL115" s="515"/>
      <c r="AN115" s="494"/>
      <c r="AO115" s="513"/>
      <c r="AP115" s="277">
        <f>AP177</f>
        <v>0</v>
      </c>
      <c r="AQ115" s="515"/>
      <c r="AS115" s="494"/>
      <c r="AT115" s="513"/>
      <c r="AU115" s="514">
        <f>AU177</f>
        <v>0</v>
      </c>
      <c r="AV115" s="515"/>
      <c r="AX115" s="494"/>
      <c r="AY115" s="513"/>
      <c r="AZ115" s="514">
        <f>AZ177</f>
        <v>0</v>
      </c>
      <c r="BA115" s="515"/>
      <c r="BC115" s="494"/>
      <c r="BD115" s="513"/>
      <c r="BE115" s="514">
        <f>BE177</f>
        <v>0</v>
      </c>
      <c r="BF115" s="515"/>
      <c r="BH115" s="494"/>
      <c r="BI115" s="513"/>
      <c r="BJ115" s="514">
        <f>BJ177</f>
        <v>0</v>
      </c>
      <c r="BK115" s="515"/>
      <c r="BM115" s="494"/>
      <c r="BN115" s="513"/>
      <c r="BO115" s="514">
        <f>BO177</f>
        <v>0</v>
      </c>
      <c r="BP115" s="515"/>
      <c r="BR115" s="494"/>
      <c r="BS115" s="513"/>
      <c r="BT115" s="277">
        <f>BT177</f>
        <v>0</v>
      </c>
      <c r="BU115" s="515"/>
      <c r="BW115" s="494"/>
      <c r="BX115" s="513"/>
      <c r="BY115" s="277">
        <v>0</v>
      </c>
      <c r="BZ115" s="515"/>
      <c r="CB115" s="494"/>
      <c r="CC115" s="513"/>
      <c r="CD115" s="277">
        <f>CD177</f>
        <v>0</v>
      </c>
      <c r="CE115" s="515"/>
      <c r="CG115" s="494"/>
      <c r="CH115" s="513"/>
      <c r="CI115" s="277">
        <f>CI177</f>
        <v>0</v>
      </c>
      <c r="CJ115" s="515"/>
      <c r="CL115" s="494"/>
      <c r="CM115" s="513"/>
      <c r="CN115" s="277">
        <f>CN177</f>
        <v>0</v>
      </c>
      <c r="CO115" s="515"/>
      <c r="CQ115" s="494"/>
      <c r="CR115" s="513"/>
      <c r="CS115" s="277">
        <f>CS177</f>
        <v>0</v>
      </c>
      <c r="CT115" s="515"/>
      <c r="CV115" s="494"/>
      <c r="CW115" s="513"/>
      <c r="CX115" s="277">
        <f>CX177</f>
        <v>0</v>
      </c>
      <c r="CY115" s="515"/>
      <c r="DA115" s="494"/>
      <c r="DB115" s="513"/>
      <c r="DC115" s="277">
        <f>DC177</f>
        <v>0</v>
      </c>
      <c r="DD115" s="515"/>
      <c r="DF115" s="494"/>
      <c r="DG115" s="513"/>
      <c r="DH115" s="277">
        <f>DH177</f>
        <v>0</v>
      </c>
      <c r="DI115" s="515"/>
      <c r="DK115" s="494"/>
      <c r="DL115" s="513"/>
      <c r="DM115" s="514">
        <f>DM177</f>
        <v>0</v>
      </c>
      <c r="DN115" s="515"/>
      <c r="DP115" s="494"/>
      <c r="DQ115" s="513"/>
      <c r="DR115" s="514">
        <f>DR177</f>
        <v>0</v>
      </c>
      <c r="DS115" s="515"/>
      <c r="DU115" s="494"/>
      <c r="DV115" s="513"/>
      <c r="DW115" s="514">
        <f>DW177</f>
        <v>0</v>
      </c>
      <c r="DX115" s="515"/>
      <c r="DZ115" s="494"/>
      <c r="EA115" s="513"/>
      <c r="EB115" s="514">
        <f>EB177</f>
        <v>0</v>
      </c>
      <c r="EC115" s="515"/>
      <c r="EE115" s="494"/>
      <c r="EF115" s="513"/>
      <c r="EG115" s="514">
        <f>EG177</f>
        <v>0</v>
      </c>
      <c r="EH115" s="515"/>
      <c r="EJ115" s="494"/>
      <c r="EK115" s="513"/>
      <c r="EL115" s="277">
        <f>EL177</f>
        <v>0</v>
      </c>
      <c r="EM115" s="515"/>
      <c r="EO115" s="144"/>
    </row>
    <row r="116" spans="4:145" x14ac:dyDescent="0.3">
      <c r="D116" s="144"/>
      <c r="E116" s="494"/>
      <c r="G116" s="512"/>
      <c r="J116" s="494"/>
      <c r="O116" s="494"/>
      <c r="T116" s="494"/>
      <c r="Y116" s="494"/>
      <c r="AD116" s="494"/>
      <c r="AI116" s="494"/>
      <c r="AN116" s="494"/>
      <c r="AS116" s="494"/>
      <c r="AX116" s="494"/>
      <c r="BC116" s="494"/>
      <c r="BH116" s="494"/>
      <c r="BM116" s="494"/>
      <c r="BR116" s="494"/>
      <c r="BW116" s="494"/>
      <c r="CB116" s="494"/>
      <c r="CG116" s="494"/>
      <c r="CL116" s="494"/>
      <c r="CQ116" s="494"/>
      <c r="CV116" s="494"/>
      <c r="DA116" s="494"/>
      <c r="DF116" s="494"/>
      <c r="DK116" s="494"/>
      <c r="DP116" s="494"/>
      <c r="DU116" s="494"/>
      <c r="DZ116" s="494"/>
      <c r="EE116" s="494"/>
      <c r="EJ116" s="494"/>
      <c r="EO116" s="144"/>
    </row>
    <row r="117" spans="4:145" x14ac:dyDescent="0.3">
      <c r="D117" s="144" t="s">
        <v>445</v>
      </c>
      <c r="E117" s="494"/>
      <c r="G117" s="56">
        <f>SUM(G118:G119)</f>
        <v>15761600</v>
      </c>
      <c r="H117" s="56"/>
      <c r="I117" s="56"/>
      <c r="J117" s="611"/>
      <c r="K117" s="56"/>
      <c r="L117" s="56">
        <f>SUM(L118:L119)</f>
        <v>0</v>
      </c>
      <c r="M117" s="56"/>
      <c r="N117" s="56"/>
      <c r="O117" s="611"/>
      <c r="P117" s="56"/>
      <c r="Q117" s="56">
        <f>SUM(Q118:Q119)</f>
        <v>15761600</v>
      </c>
      <c r="R117" s="56"/>
      <c r="S117" s="56"/>
      <c r="T117" s="611"/>
      <c r="U117" s="56"/>
      <c r="V117" s="56">
        <f>SUM(V118:V119)</f>
        <v>0</v>
      </c>
      <c r="W117" s="56"/>
      <c r="X117" s="56"/>
      <c r="Y117" s="611"/>
      <c r="Z117" s="56"/>
      <c r="AA117" s="56">
        <f>SUM(AA118:AA119)</f>
        <v>0</v>
      </c>
      <c r="AB117" s="56"/>
      <c r="AC117" s="56"/>
      <c r="AD117" s="611"/>
      <c r="AE117" s="56"/>
      <c r="AF117" s="56">
        <f>SUM(AF118:AF119)</f>
        <v>0</v>
      </c>
      <c r="AG117" s="56"/>
      <c r="AH117" s="56"/>
      <c r="AI117" s="611"/>
      <c r="AJ117" s="56"/>
      <c r="AK117" s="56">
        <f>SUM(AK118:AK119)</f>
        <v>0</v>
      </c>
      <c r="AL117" s="56"/>
      <c r="AM117" s="56"/>
      <c r="AN117" s="611"/>
      <c r="AO117" s="56"/>
      <c r="AP117" s="56">
        <f>SUM(AP118:AP119)</f>
        <v>0</v>
      </c>
      <c r="AQ117" s="56"/>
      <c r="AR117" s="56"/>
      <c r="AS117" s="611"/>
      <c r="AT117" s="56"/>
      <c r="AU117" s="56">
        <f>SUM(AU118:AU119)</f>
        <v>0</v>
      </c>
      <c r="AV117" s="56"/>
      <c r="AW117" s="56"/>
      <c r="AX117" s="611"/>
      <c r="AY117" s="56"/>
      <c r="AZ117" s="56">
        <f>SUM(AZ118:AZ119)</f>
        <v>0</v>
      </c>
      <c r="BA117" s="56"/>
      <c r="BB117" s="56"/>
      <c r="BC117" s="611"/>
      <c r="BD117" s="56"/>
      <c r="BE117" s="56">
        <f>SUM(BE118:BE119)</f>
        <v>0</v>
      </c>
      <c r="BF117" s="56"/>
      <c r="BG117" s="56"/>
      <c r="BH117" s="611"/>
      <c r="BI117" s="56"/>
      <c r="BJ117" s="56">
        <f>SUM(BJ118:BJ119)</f>
        <v>0</v>
      </c>
      <c r="BK117" s="56"/>
      <c r="BL117" s="56"/>
      <c r="BM117" s="611"/>
      <c r="BN117" s="56"/>
      <c r="BO117" s="56">
        <f>SUM(BO118:BO119)</f>
        <v>0</v>
      </c>
      <c r="BP117" s="56"/>
      <c r="BQ117" s="56"/>
      <c r="BR117" s="611"/>
      <c r="BS117" s="56"/>
      <c r="BT117" s="56">
        <f>SUM(BT118:BT119)</f>
        <v>15761600</v>
      </c>
      <c r="BU117" s="56"/>
      <c r="BV117" s="56"/>
      <c r="BW117" s="611"/>
      <c r="BX117" s="56"/>
      <c r="BY117" s="56">
        <f>SUM(BY118:BY119)</f>
        <v>3918834</v>
      </c>
      <c r="BZ117" s="56"/>
      <c r="CA117" s="56"/>
      <c r="CB117" s="611"/>
      <c r="CC117" s="56"/>
      <c r="CD117" s="56">
        <f>SUM(CD118:CD119)</f>
        <v>0</v>
      </c>
      <c r="CE117" s="56"/>
      <c r="CF117" s="56"/>
      <c r="CG117" s="611"/>
      <c r="CH117" s="56"/>
      <c r="CI117" s="56">
        <f>SUM(CI118:CI119)</f>
        <v>6054</v>
      </c>
      <c r="CJ117" s="56"/>
      <c r="CK117" s="56"/>
      <c r="CL117" s="611"/>
      <c r="CM117" s="56"/>
      <c r="CN117" s="56">
        <f>SUM(CN118:CN119)</f>
        <v>0</v>
      </c>
      <c r="CO117" s="56"/>
      <c r="CP117" s="56"/>
      <c r="CQ117" s="611"/>
      <c r="CR117" s="56"/>
      <c r="CS117" s="56">
        <f>SUM(CS118:CS119)</f>
        <v>0</v>
      </c>
      <c r="CT117" s="56"/>
      <c r="CU117" s="56"/>
      <c r="CV117" s="611"/>
      <c r="CW117" s="56"/>
      <c r="CX117" s="56">
        <f>SUM(CX118:CX119)</f>
        <v>0</v>
      </c>
      <c r="CY117" s="56"/>
      <c r="CZ117" s="56"/>
      <c r="DA117" s="611"/>
      <c r="DB117" s="56"/>
      <c r="DC117" s="56">
        <f>SUM(DC118:DC119)</f>
        <v>3912780</v>
      </c>
      <c r="DD117" s="56"/>
      <c r="DE117" s="56"/>
      <c r="DF117" s="611"/>
      <c r="DG117" s="56"/>
      <c r="DH117" s="56">
        <f>SUM(DH118:DH119)</f>
        <v>0</v>
      </c>
      <c r="DI117" s="56"/>
      <c r="DJ117" s="56"/>
      <c r="DK117" s="611"/>
      <c r="DL117" s="56"/>
      <c r="DM117" s="56">
        <f>SUM(DM118:DM119)</f>
        <v>0</v>
      </c>
      <c r="DN117" s="56"/>
      <c r="DO117" s="56"/>
      <c r="DP117" s="611"/>
      <c r="DQ117" s="56"/>
      <c r="DR117" s="56">
        <f>SUM(DR118:DR119)</f>
        <v>0</v>
      </c>
      <c r="DS117" s="56"/>
      <c r="DT117" s="56"/>
      <c r="DU117" s="611"/>
      <c r="DV117" s="56"/>
      <c r="DW117" s="56">
        <f>SUM(DW118:DW119)</f>
        <v>0</v>
      </c>
      <c r="DX117" s="56"/>
      <c r="DY117" s="56"/>
      <c r="DZ117" s="611"/>
      <c r="EA117" s="56"/>
      <c r="EB117" s="56">
        <f>SUM(EB118:EB119)</f>
        <v>0</v>
      </c>
      <c r="EC117" s="56"/>
      <c r="ED117" s="56"/>
      <c r="EE117" s="611"/>
      <c r="EF117" s="56"/>
      <c r="EG117" s="56">
        <f>SUM(EG118:EG119)</f>
        <v>0</v>
      </c>
      <c r="EH117" s="56"/>
      <c r="EI117" s="56"/>
      <c r="EJ117" s="611"/>
      <c r="EK117" s="56"/>
      <c r="EL117" s="56">
        <f>SUM(EL118:EL119)</f>
        <v>3918834</v>
      </c>
      <c r="EM117" s="56"/>
      <c r="EN117" s="56"/>
      <c r="EO117" s="144"/>
    </row>
    <row r="118" spans="4:145" x14ac:dyDescent="0.3">
      <c r="D118" s="144" t="s">
        <v>446</v>
      </c>
      <c r="E118" s="494"/>
      <c r="F118" s="500"/>
      <c r="G118" s="609">
        <f>+G122+G130+G134+G138+G142+G146+G126+G150+G158+G162+G154</f>
        <v>7115000</v>
      </c>
      <c r="H118" s="610"/>
      <c r="I118" s="56"/>
      <c r="J118" s="611"/>
      <c r="K118" s="612"/>
      <c r="L118" s="609">
        <f>+L122+L130+L134+L138+L142+L146+L126+L150+L158+L162+L154</f>
        <v>0</v>
      </c>
      <c r="M118" s="610"/>
      <c r="N118" s="56"/>
      <c r="O118" s="611"/>
      <c r="P118" s="612"/>
      <c r="Q118" s="609">
        <f>+Q122+Q130+Q134+Q138+Q142+Q146+Q126+Q150+Q158+Q162+Q154</f>
        <v>7115000</v>
      </c>
      <c r="R118" s="610"/>
      <c r="S118" s="56"/>
      <c r="T118" s="611"/>
      <c r="U118" s="612"/>
      <c r="V118" s="609">
        <f>+V122+V130+V134+V138+V142+V146+V126+V150+V158+V162+V154</f>
        <v>0</v>
      </c>
      <c r="W118" s="610"/>
      <c r="X118" s="56"/>
      <c r="Y118" s="611"/>
      <c r="Z118" s="612"/>
      <c r="AA118" s="609">
        <f>+AA122+AA130+AA134+AA138+AA142+AA146+AA126+AA150+AA158+AA162+AA154</f>
        <v>0</v>
      </c>
      <c r="AB118" s="610"/>
      <c r="AC118" s="56"/>
      <c r="AD118" s="611"/>
      <c r="AE118" s="612"/>
      <c r="AF118" s="609">
        <f>+AF122+AF130+AF134+AF138+AF142+AF146+AF126+AF150+AF158+AF162+AF154</f>
        <v>0</v>
      </c>
      <c r="AG118" s="610"/>
      <c r="AH118" s="56"/>
      <c r="AI118" s="611"/>
      <c r="AJ118" s="612"/>
      <c r="AK118" s="609">
        <f>+AK122+AK130+AK134+AK138+AK142+AK146+AK126+AK150+AK158+AK162+AK154</f>
        <v>0</v>
      </c>
      <c r="AL118" s="610"/>
      <c r="AM118" s="56"/>
      <c r="AN118" s="611"/>
      <c r="AO118" s="612"/>
      <c r="AP118" s="609">
        <f>+AP122+AP130+AP134+AP138+AP142+AP146+AP126+AP150+AP158+AP162+AP154</f>
        <v>0</v>
      </c>
      <c r="AQ118" s="610"/>
      <c r="AR118" s="56"/>
      <c r="AS118" s="611"/>
      <c r="AT118" s="612"/>
      <c r="AU118" s="609">
        <f>+AU122+AU130+AU134+AU138+AU142+AU146+AU126+AU150+AU158+AU162+AU154</f>
        <v>0</v>
      </c>
      <c r="AV118" s="610"/>
      <c r="AW118" s="56"/>
      <c r="AX118" s="611"/>
      <c r="AY118" s="612"/>
      <c r="AZ118" s="609">
        <f>+AZ122+AZ130+AZ134+AZ138+AZ142+AZ146+AZ126+AZ150+AZ158+AZ162+AZ154</f>
        <v>0</v>
      </c>
      <c r="BA118" s="610"/>
      <c r="BB118" s="56"/>
      <c r="BC118" s="611"/>
      <c r="BD118" s="612"/>
      <c r="BE118" s="609">
        <f>+BE122+BE130+BE134+BE138+BE142+BE146+BE126+BE150+BE158+BE162+BE154</f>
        <v>0</v>
      </c>
      <c r="BF118" s="610"/>
      <c r="BG118" s="56"/>
      <c r="BH118" s="611"/>
      <c r="BI118" s="612"/>
      <c r="BJ118" s="609">
        <f>+BJ122+BJ130+BJ134+BJ138+BJ142+BJ146+BJ126+BJ150+BJ158+BJ162+BJ154</f>
        <v>0</v>
      </c>
      <c r="BK118" s="610"/>
      <c r="BL118" s="56"/>
      <c r="BM118" s="611"/>
      <c r="BN118" s="612"/>
      <c r="BO118" s="609">
        <f>+BO122+BO130+BO134+BO138+BO142+BO146+BO126+BO150+BO158+BO162+BO154</f>
        <v>0</v>
      </c>
      <c r="BP118" s="610"/>
      <c r="BQ118" s="56"/>
      <c r="BR118" s="611"/>
      <c r="BS118" s="612"/>
      <c r="BT118" s="609">
        <f>+BT122+BT130+BT134+BT138+BT142+BT146+BT126+BT150+BT158+BT162+BT154</f>
        <v>7115000</v>
      </c>
      <c r="BU118" s="610"/>
      <c r="BV118" s="56"/>
      <c r="BW118" s="611"/>
      <c r="BX118" s="612"/>
      <c r="BY118" s="609">
        <f>+BY122+BY130+BY134+BY138+BY142+BY146+BY126+BY150+BY158+BY162+BY154</f>
        <v>1995428</v>
      </c>
      <c r="BZ118" s="610"/>
      <c r="CA118" s="56"/>
      <c r="CB118" s="611"/>
      <c r="CC118" s="612"/>
      <c r="CD118" s="609">
        <f>+CD122+CD130+CD134+CD138+CD142+CD146+CD126+CD150+CD158+CD162+CD154</f>
        <v>0</v>
      </c>
      <c r="CE118" s="610"/>
      <c r="CF118" s="56"/>
      <c r="CG118" s="611"/>
      <c r="CH118" s="612"/>
      <c r="CI118" s="609">
        <f>+CI122+CI130+CI134+CI138+CI142+CI146+CI126+CI150+CI158+CI162+CI154</f>
        <v>1940</v>
      </c>
      <c r="CJ118" s="610"/>
      <c r="CK118" s="56"/>
      <c r="CL118" s="611"/>
      <c r="CM118" s="612"/>
      <c r="CN118" s="609">
        <f>+CN122+CN130+CN134+CN138+CN142+CN146+CN126+CN150+CN158+CN162+CN154</f>
        <v>0</v>
      </c>
      <c r="CO118" s="610"/>
      <c r="CP118" s="56"/>
      <c r="CQ118" s="611"/>
      <c r="CR118" s="612"/>
      <c r="CS118" s="609">
        <f>+CS122+CS130+CS134+CS138+CS142+CS146+CS126+CS150+CS158+CS162+CS154</f>
        <v>0</v>
      </c>
      <c r="CT118" s="610"/>
      <c r="CU118" s="56"/>
      <c r="CV118" s="611"/>
      <c r="CW118" s="612"/>
      <c r="CX118" s="609">
        <f>+CX122+CX130+CX134+CX138+CX142+CX146+CX126+CX150+CX158+CX162+CX154</f>
        <v>0</v>
      </c>
      <c r="CY118" s="610"/>
      <c r="CZ118" s="56"/>
      <c r="DA118" s="611"/>
      <c r="DB118" s="612"/>
      <c r="DC118" s="609">
        <f>+DC122+DC130+DC134+DC138+DC142+DC146+DC126+DC150+DC158+DC162+DC154</f>
        <v>1993488</v>
      </c>
      <c r="DD118" s="610"/>
      <c r="DE118" s="56"/>
      <c r="DF118" s="611"/>
      <c r="DG118" s="612"/>
      <c r="DH118" s="609">
        <f>+DH122+DH130+DH134+DH138+DH142+DH146+DH126+DH150+DH158+DH162+DH154</f>
        <v>0</v>
      </c>
      <c r="DI118" s="610"/>
      <c r="DJ118" s="56"/>
      <c r="DK118" s="611"/>
      <c r="DL118" s="612"/>
      <c r="DM118" s="609">
        <f>+DM122+DM130+DM134+DM138+DM142+DM146+DM126+DM150+DM158+DM162+DM154</f>
        <v>0</v>
      </c>
      <c r="DN118" s="610"/>
      <c r="DO118" s="56"/>
      <c r="DP118" s="611"/>
      <c r="DQ118" s="612"/>
      <c r="DR118" s="609">
        <f>+DR122+DR130+DR134+DR138+DR142+DR146+DR126+DR150+DR158+DR162+DR154</f>
        <v>0</v>
      </c>
      <c r="DS118" s="610"/>
      <c r="DT118" s="56"/>
      <c r="DU118" s="611"/>
      <c r="DV118" s="612"/>
      <c r="DW118" s="609">
        <f>+DW122+DW130+DW134+DW138+DW142+DW146+DW126+DW150+DW158+DW162+DW154</f>
        <v>0</v>
      </c>
      <c r="DX118" s="610"/>
      <c r="DY118" s="56"/>
      <c r="DZ118" s="611"/>
      <c r="EA118" s="612"/>
      <c r="EB118" s="609">
        <f>+EB122+EB130+EB134+EB138+EB142+EB146+EB126+EB150+EB158+EB162+EB154</f>
        <v>0</v>
      </c>
      <c r="EC118" s="610"/>
      <c r="ED118" s="56"/>
      <c r="EE118" s="611"/>
      <c r="EF118" s="612"/>
      <c r="EG118" s="609">
        <f>+EG122+EG130+EG134+EG138+EG142+EG146+EG126+EG150+EG158+EG162+EG154</f>
        <v>0</v>
      </c>
      <c r="EH118" s="610"/>
      <c r="EI118" s="56"/>
      <c r="EJ118" s="611"/>
      <c r="EK118" s="612"/>
      <c r="EL118" s="609">
        <f>+EL122+EL130+EL134+EL138+EL142+EL146+EL126+EL150+EL158+EL162+EL154</f>
        <v>1995428</v>
      </c>
      <c r="EM118" s="610"/>
      <c r="EN118" s="56"/>
      <c r="EO118" s="144"/>
    </row>
    <row r="119" spans="4:145" x14ac:dyDescent="0.3">
      <c r="D119" s="144" t="s">
        <v>447</v>
      </c>
      <c r="E119" s="494"/>
      <c r="F119" s="513"/>
      <c r="G119" s="117">
        <f>+G123+G131+G135+G139+G143+G147+G127+G151+G159+G163+G155</f>
        <v>8646600</v>
      </c>
      <c r="H119" s="116"/>
      <c r="I119" s="56"/>
      <c r="J119" s="611"/>
      <c r="K119" s="620"/>
      <c r="L119" s="117">
        <f>+L123+L131+L135+L139+L143+L147+L127+L151+L159+L163+L155</f>
        <v>0</v>
      </c>
      <c r="M119" s="116"/>
      <c r="N119" s="56"/>
      <c r="O119" s="611"/>
      <c r="P119" s="620"/>
      <c r="Q119" s="117">
        <f>+Q123+Q131+Q135+Q139+Q143+Q147+Q127+Q151+Q159+Q163+Q155</f>
        <v>8646600</v>
      </c>
      <c r="R119" s="116"/>
      <c r="S119" s="56"/>
      <c r="T119" s="611"/>
      <c r="U119" s="620"/>
      <c r="V119" s="117">
        <f>+V123+V131+V135+V139+V143+V147+V127+V151+V159+V163+V155</f>
        <v>0</v>
      </c>
      <c r="W119" s="116"/>
      <c r="X119" s="56"/>
      <c r="Y119" s="611"/>
      <c r="Z119" s="620"/>
      <c r="AA119" s="117">
        <f>+AA123+AA131+AA135+AA139+AA143+AA147+AA127+AA151+AA159+AA163+AA155</f>
        <v>0</v>
      </c>
      <c r="AB119" s="116"/>
      <c r="AC119" s="56"/>
      <c r="AD119" s="611"/>
      <c r="AE119" s="620"/>
      <c r="AF119" s="117">
        <f>+AF123+AF131+AF135+AF139+AF143+AF147+AF127+AF151+AF159+AF163+AF155</f>
        <v>0</v>
      </c>
      <c r="AG119" s="116"/>
      <c r="AH119" s="56"/>
      <c r="AI119" s="611"/>
      <c r="AJ119" s="620"/>
      <c r="AK119" s="117">
        <f>+AK123+AK131+AK135+AK139+AK143+AK147+AK127+AK151+AK159+AK163+AK155</f>
        <v>0</v>
      </c>
      <c r="AL119" s="116"/>
      <c r="AM119" s="56"/>
      <c r="AN119" s="611"/>
      <c r="AO119" s="620"/>
      <c r="AP119" s="117">
        <f>+AP123+AP131+AP135+AP139+AP143+AP147+AP127+AP151+AP159+AP163+AP155</f>
        <v>0</v>
      </c>
      <c r="AQ119" s="116"/>
      <c r="AR119" s="56"/>
      <c r="AS119" s="611"/>
      <c r="AT119" s="620"/>
      <c r="AU119" s="117">
        <f>+AU123+AU131+AU135+AU139+AU143+AU147+AU127+AU151+AU159+AU163+AU155</f>
        <v>0</v>
      </c>
      <c r="AV119" s="116"/>
      <c r="AW119" s="56"/>
      <c r="AX119" s="611"/>
      <c r="AY119" s="620"/>
      <c r="AZ119" s="117">
        <f>+AZ123+AZ131+AZ135+AZ139+AZ143+AZ147+AZ127+AZ151+AZ159+AZ163+AZ155</f>
        <v>0</v>
      </c>
      <c r="BA119" s="116"/>
      <c r="BB119" s="56"/>
      <c r="BC119" s="611"/>
      <c r="BD119" s="620"/>
      <c r="BE119" s="117">
        <f>+BE123+BE131+BE135+BE139+BE143+BE147+BE127+BE151+BE159+BE163+BE155</f>
        <v>0</v>
      </c>
      <c r="BF119" s="116"/>
      <c r="BG119" s="56"/>
      <c r="BH119" s="611"/>
      <c r="BI119" s="620"/>
      <c r="BJ119" s="117">
        <f>+BJ123+BJ131+BJ135+BJ139+BJ143+BJ147+BJ127+BJ151+BJ159+BJ163+BJ155</f>
        <v>0</v>
      </c>
      <c r="BK119" s="116"/>
      <c r="BL119" s="56"/>
      <c r="BM119" s="611"/>
      <c r="BN119" s="620"/>
      <c r="BO119" s="117">
        <f>+BO123+BO131+BO135+BO139+BO143+BO147+BO127+BO151+BO159+BO163+BO155</f>
        <v>0</v>
      </c>
      <c r="BP119" s="116"/>
      <c r="BQ119" s="56"/>
      <c r="BR119" s="611"/>
      <c r="BS119" s="620"/>
      <c r="BT119" s="117">
        <f>+BT123+BT131+BT135+BT139+BT143+BT147+BT127+BT151+BT159+BT163+BT155</f>
        <v>8646600</v>
      </c>
      <c r="BU119" s="116"/>
      <c r="BV119" s="56"/>
      <c r="BW119" s="611"/>
      <c r="BX119" s="620"/>
      <c r="BY119" s="117">
        <f>+BY123+BY131+BY135+BY139+BY143+BY147+BY127+BY151+BY159+BY163+BY155</f>
        <v>1923406</v>
      </c>
      <c r="BZ119" s="116"/>
      <c r="CA119" s="56"/>
      <c r="CB119" s="611"/>
      <c r="CC119" s="620"/>
      <c r="CD119" s="117">
        <f>+CD123+CD131+CD135+CD139+CD143+CD147+CD127+CD151+CD159+CD163+CD155</f>
        <v>0</v>
      </c>
      <c r="CE119" s="116"/>
      <c r="CF119" s="56"/>
      <c r="CG119" s="611"/>
      <c r="CH119" s="620"/>
      <c r="CI119" s="117">
        <f>+CI123+CI131+CI135+CI139+CI143+CI147+CI127+CI151+CI159+CI163+CI155</f>
        <v>4114</v>
      </c>
      <c r="CJ119" s="116"/>
      <c r="CK119" s="56"/>
      <c r="CL119" s="611"/>
      <c r="CM119" s="620"/>
      <c r="CN119" s="117">
        <f>+CN123+CN131+CN135+CN139+CN143+CN147+CN127+CN151+CN159+CN163+CN155</f>
        <v>0</v>
      </c>
      <c r="CO119" s="116"/>
      <c r="CP119" s="56"/>
      <c r="CQ119" s="611"/>
      <c r="CR119" s="620"/>
      <c r="CS119" s="117">
        <f>+CS123+CS131+CS135+CS139+CS143+CS147+CS127+CS151+CS159+CS163+CS155</f>
        <v>0</v>
      </c>
      <c r="CT119" s="116"/>
      <c r="CU119" s="56"/>
      <c r="CV119" s="611"/>
      <c r="CW119" s="620"/>
      <c r="CX119" s="117">
        <f>+CX123+CX131+CX135+CX139+CX143+CX147+CX127+CX151+CX159+CX163+CX155</f>
        <v>0</v>
      </c>
      <c r="CY119" s="116"/>
      <c r="CZ119" s="56"/>
      <c r="DA119" s="611"/>
      <c r="DB119" s="620"/>
      <c r="DC119" s="117">
        <f>+DC123+DC131+DC135+DC139+DC143+DC147+DC127+DC151+DC159+DC163+DC155</f>
        <v>1919292</v>
      </c>
      <c r="DD119" s="116"/>
      <c r="DE119" s="56"/>
      <c r="DF119" s="611"/>
      <c r="DG119" s="620"/>
      <c r="DH119" s="117">
        <f>+DH123+DH131+DH135+DH139+DH143+DH147+DH127+DH151+DH159+DH163+DH155</f>
        <v>0</v>
      </c>
      <c r="DI119" s="116"/>
      <c r="DJ119" s="56"/>
      <c r="DK119" s="611"/>
      <c r="DL119" s="620"/>
      <c r="DM119" s="117">
        <f>+DM123+DM131+DM135+DM139+DM143+DM147+DM127+DM151+DM159+DM163+DM155</f>
        <v>0</v>
      </c>
      <c r="DN119" s="116"/>
      <c r="DO119" s="56"/>
      <c r="DP119" s="611"/>
      <c r="DQ119" s="620"/>
      <c r="DR119" s="117">
        <f>+DR123+DR131+DR135+DR139+DR143+DR147+DR127+DR151+DR159+DR163+DR155</f>
        <v>0</v>
      </c>
      <c r="DS119" s="116"/>
      <c r="DT119" s="56"/>
      <c r="DU119" s="611"/>
      <c r="DV119" s="620"/>
      <c r="DW119" s="117">
        <f>+DW123+DW131+DW135+DW139+DW143+DW147+DW127+DW151+DW159+DW163+DW155</f>
        <v>0</v>
      </c>
      <c r="DX119" s="116"/>
      <c r="DY119" s="56"/>
      <c r="DZ119" s="611"/>
      <c r="EA119" s="620"/>
      <c r="EB119" s="117">
        <f>+EB123+EB131+EB135+EB139+EB143+EB147+EB127+EB151+EB159+EB163+EB155</f>
        <v>0</v>
      </c>
      <c r="EC119" s="116"/>
      <c r="ED119" s="56"/>
      <c r="EE119" s="611"/>
      <c r="EF119" s="620"/>
      <c r="EG119" s="117">
        <f>+EG123+EG131+EG135+EG139+EG143+EG147+EG127+EG151+EG159+EG163+EG155</f>
        <v>0</v>
      </c>
      <c r="EH119" s="116"/>
      <c r="EI119" s="56"/>
      <c r="EJ119" s="611"/>
      <c r="EK119" s="620"/>
      <c r="EL119" s="117">
        <f>+EL123+EL131+EL135+EL139+EL143+EL147+EL127+EL151+EL159+EL163+EL155</f>
        <v>1923406</v>
      </c>
      <c r="EM119" s="116"/>
      <c r="EN119" s="56"/>
      <c r="EO119" s="144"/>
    </row>
    <row r="120" spans="4:145" x14ac:dyDescent="0.3">
      <c r="D120" s="144"/>
      <c r="E120" s="494"/>
      <c r="G120" s="56"/>
      <c r="H120" s="56"/>
      <c r="I120" s="56"/>
      <c r="J120" s="611"/>
      <c r="K120" s="56"/>
      <c r="L120" s="56"/>
      <c r="M120" s="56"/>
      <c r="N120" s="56"/>
      <c r="O120" s="611"/>
      <c r="P120" s="56"/>
      <c r="Q120" s="56"/>
      <c r="R120" s="56"/>
      <c r="S120" s="56"/>
      <c r="T120" s="611"/>
      <c r="U120" s="56"/>
      <c r="V120" s="56"/>
      <c r="W120" s="56"/>
      <c r="X120" s="56"/>
      <c r="Y120" s="611"/>
      <c r="Z120" s="56"/>
      <c r="AA120" s="56"/>
      <c r="AB120" s="56"/>
      <c r="AC120" s="56"/>
      <c r="AD120" s="611"/>
      <c r="AE120" s="56"/>
      <c r="AF120" s="56"/>
      <c r="AG120" s="56"/>
      <c r="AH120" s="56"/>
      <c r="AI120" s="611"/>
      <c r="AJ120" s="56"/>
      <c r="AK120" s="56"/>
      <c r="AL120" s="56"/>
      <c r="AM120" s="56"/>
      <c r="AN120" s="611"/>
      <c r="AO120" s="56"/>
      <c r="AP120" s="56"/>
      <c r="AQ120" s="56"/>
      <c r="AR120" s="56"/>
      <c r="AS120" s="611"/>
      <c r="AT120" s="56"/>
      <c r="AU120" s="56"/>
      <c r="AV120" s="56"/>
      <c r="AW120" s="56"/>
      <c r="AX120" s="611"/>
      <c r="AY120" s="56"/>
      <c r="AZ120" s="56"/>
      <c r="BA120" s="56"/>
      <c r="BB120" s="56"/>
      <c r="BC120" s="611"/>
      <c r="BD120" s="56"/>
      <c r="BE120" s="56"/>
      <c r="BF120" s="56"/>
      <c r="BG120" s="56"/>
      <c r="BH120" s="611"/>
      <c r="BI120" s="56"/>
      <c r="BJ120" s="56"/>
      <c r="BK120" s="56"/>
      <c r="BL120" s="56"/>
      <c r="BM120" s="611"/>
      <c r="BN120" s="56"/>
      <c r="BO120" s="56"/>
      <c r="BP120" s="56"/>
      <c r="BQ120" s="56"/>
      <c r="BR120" s="611"/>
      <c r="BS120" s="56"/>
      <c r="BT120" s="56"/>
      <c r="BU120" s="56"/>
      <c r="BV120" s="56"/>
      <c r="BW120" s="611"/>
      <c r="BX120" s="56"/>
      <c r="BY120" s="56"/>
      <c r="BZ120" s="56"/>
      <c r="CA120" s="56"/>
      <c r="CB120" s="611"/>
      <c r="CC120" s="56"/>
      <c r="CD120" s="56"/>
      <c r="CE120" s="56"/>
      <c r="CF120" s="56"/>
      <c r="CG120" s="611"/>
      <c r="CH120" s="56"/>
      <c r="CI120" s="56"/>
      <c r="CJ120" s="56"/>
      <c r="CK120" s="56"/>
      <c r="CL120" s="611"/>
      <c r="CM120" s="56"/>
      <c r="CN120" s="56"/>
      <c r="CO120" s="56"/>
      <c r="CP120" s="56"/>
      <c r="CQ120" s="611"/>
      <c r="CR120" s="56"/>
      <c r="CS120" s="56"/>
      <c r="CT120" s="56"/>
      <c r="CU120" s="56"/>
      <c r="CV120" s="611"/>
      <c r="CW120" s="56"/>
      <c r="CX120" s="56"/>
      <c r="CY120" s="56"/>
      <c r="CZ120" s="56"/>
      <c r="DA120" s="611"/>
      <c r="DB120" s="56"/>
      <c r="DC120" s="56"/>
      <c r="DD120" s="56"/>
      <c r="DE120" s="56"/>
      <c r="DF120" s="611"/>
      <c r="DG120" s="56"/>
      <c r="DH120" s="56"/>
      <c r="DI120" s="56"/>
      <c r="DJ120" s="56"/>
      <c r="DK120" s="611"/>
      <c r="DL120" s="56"/>
      <c r="DM120" s="56"/>
      <c r="DN120" s="56"/>
      <c r="DO120" s="56"/>
      <c r="DP120" s="611"/>
      <c r="DQ120" s="56"/>
      <c r="DR120" s="56"/>
      <c r="DS120" s="56"/>
      <c r="DT120" s="56"/>
      <c r="DU120" s="611"/>
      <c r="DV120" s="56"/>
      <c r="DW120" s="56"/>
      <c r="DX120" s="56"/>
      <c r="DY120" s="56"/>
      <c r="DZ120" s="611"/>
      <c r="EA120" s="56"/>
      <c r="EB120" s="56"/>
      <c r="EC120" s="56"/>
      <c r="ED120" s="56"/>
      <c r="EE120" s="611"/>
      <c r="EF120" s="56"/>
      <c r="EG120" s="56"/>
      <c r="EH120" s="56"/>
      <c r="EI120" s="56"/>
      <c r="EJ120" s="611"/>
      <c r="EK120" s="56"/>
      <c r="EL120" s="56"/>
      <c r="EM120" s="56"/>
      <c r="EN120" s="56"/>
      <c r="EO120" s="144"/>
    </row>
    <row r="121" spans="4:145" x14ac:dyDescent="0.3">
      <c r="D121" s="144" t="s">
        <v>448</v>
      </c>
      <c r="E121" s="494"/>
      <c r="G121" s="56">
        <f>SUM(G122:G123)</f>
        <v>0</v>
      </c>
      <c r="H121" s="56"/>
      <c r="I121" s="56"/>
      <c r="J121" s="611"/>
      <c r="K121" s="56"/>
      <c r="L121" s="56">
        <f>SUM(L122:L123)</f>
        <v>0</v>
      </c>
      <c r="M121" s="56"/>
      <c r="N121" s="56"/>
      <c r="O121" s="611"/>
      <c r="P121" s="56"/>
      <c r="Q121" s="56">
        <f>SUM(Q122:Q123)</f>
        <v>0</v>
      </c>
      <c r="R121" s="56"/>
      <c r="S121" s="56"/>
      <c r="T121" s="611"/>
      <c r="U121" s="56"/>
      <c r="V121" s="56">
        <f>SUM(V122:V123)</f>
        <v>0</v>
      </c>
      <c r="W121" s="56"/>
      <c r="X121" s="56"/>
      <c r="Y121" s="611"/>
      <c r="Z121" s="56"/>
      <c r="AA121" s="56">
        <f>SUM(AA122:AA123)</f>
        <v>0</v>
      </c>
      <c r="AB121" s="56"/>
      <c r="AC121" s="56"/>
      <c r="AD121" s="611"/>
      <c r="AE121" s="56"/>
      <c r="AF121" s="56">
        <f>SUM(AF122:AF123)</f>
        <v>0</v>
      </c>
      <c r="AG121" s="56"/>
      <c r="AH121" s="56"/>
      <c r="AI121" s="611"/>
      <c r="AJ121" s="56"/>
      <c r="AK121" s="56">
        <f>SUM(AK122:AK123)</f>
        <v>0</v>
      </c>
      <c r="AL121" s="56"/>
      <c r="AM121" s="56"/>
      <c r="AN121" s="611"/>
      <c r="AO121" s="56"/>
      <c r="AP121" s="56">
        <f>SUM(AP122:AP123)</f>
        <v>0</v>
      </c>
      <c r="AQ121" s="56"/>
      <c r="AR121" s="56"/>
      <c r="AS121" s="611"/>
      <c r="AT121" s="56"/>
      <c r="AU121" s="56">
        <f>SUM(AU122:AU123)</f>
        <v>0</v>
      </c>
      <c r="AV121" s="56"/>
      <c r="AW121" s="56"/>
      <c r="AX121" s="611"/>
      <c r="AY121" s="56"/>
      <c r="AZ121" s="56">
        <f>SUM(AZ122:AZ123)</f>
        <v>0</v>
      </c>
      <c r="BA121" s="56"/>
      <c r="BB121" s="56"/>
      <c r="BC121" s="611"/>
      <c r="BD121" s="56"/>
      <c r="BE121" s="56">
        <f>SUM(BE122:BE123)</f>
        <v>0</v>
      </c>
      <c r="BF121" s="56"/>
      <c r="BG121" s="56"/>
      <c r="BH121" s="611"/>
      <c r="BI121" s="56"/>
      <c r="BJ121" s="56">
        <f>SUM(BJ122:BJ123)</f>
        <v>0</v>
      </c>
      <c r="BK121" s="56"/>
      <c r="BL121" s="56"/>
      <c r="BM121" s="611"/>
      <c r="BN121" s="56"/>
      <c r="BO121" s="56">
        <f>SUM(BO122:BO123)</f>
        <v>0</v>
      </c>
      <c r="BP121" s="56"/>
      <c r="BQ121" s="56"/>
      <c r="BR121" s="611"/>
      <c r="BS121" s="56"/>
      <c r="BT121" s="56">
        <f>SUM(BT122:BT123)</f>
        <v>0</v>
      </c>
      <c r="BU121" s="56"/>
      <c r="BV121" s="56"/>
      <c r="BW121" s="611"/>
      <c r="BX121" s="56"/>
      <c r="BY121" s="56">
        <f>SUM(BY122:BY123)</f>
        <v>6054</v>
      </c>
      <c r="BZ121" s="56"/>
      <c r="CA121" s="56"/>
      <c r="CB121" s="611"/>
      <c r="CC121" s="56"/>
      <c r="CD121" s="56">
        <f>SUM(CD122:CD123)</f>
        <v>0</v>
      </c>
      <c r="CE121" s="56"/>
      <c r="CF121" s="56"/>
      <c r="CG121" s="611"/>
      <c r="CH121" s="56"/>
      <c r="CI121" s="56">
        <f>SUM(CI122:CI123)</f>
        <v>6054</v>
      </c>
      <c r="CJ121" s="56"/>
      <c r="CK121" s="56"/>
      <c r="CL121" s="611"/>
      <c r="CM121" s="56"/>
      <c r="CN121" s="56">
        <f>SUM(CN122:CN123)</f>
        <v>0</v>
      </c>
      <c r="CO121" s="56"/>
      <c r="CP121" s="56"/>
      <c r="CQ121" s="611"/>
      <c r="CR121" s="56"/>
      <c r="CS121" s="56">
        <f>SUM(CS122:CS123)</f>
        <v>0</v>
      </c>
      <c r="CT121" s="56"/>
      <c r="CU121" s="56"/>
      <c r="CV121" s="611"/>
      <c r="CW121" s="56"/>
      <c r="CX121" s="56">
        <f>SUM(CX122:CX123)</f>
        <v>0</v>
      </c>
      <c r="CY121" s="56"/>
      <c r="CZ121" s="56"/>
      <c r="DA121" s="611"/>
      <c r="DB121" s="56"/>
      <c r="DC121" s="56">
        <f>SUM(DC122:DC123)</f>
        <v>0</v>
      </c>
      <c r="DD121" s="56"/>
      <c r="DE121" s="56"/>
      <c r="DF121" s="611"/>
      <c r="DG121" s="56"/>
      <c r="DH121" s="56">
        <f>SUM(DH122:DH123)</f>
        <v>0</v>
      </c>
      <c r="DI121" s="56"/>
      <c r="DJ121" s="56"/>
      <c r="DK121" s="611"/>
      <c r="DL121" s="56"/>
      <c r="DM121" s="56">
        <f>SUM(DM122:DM123)</f>
        <v>0</v>
      </c>
      <c r="DN121" s="56"/>
      <c r="DO121" s="56"/>
      <c r="DP121" s="611"/>
      <c r="DQ121" s="56"/>
      <c r="DR121" s="56">
        <f>SUM(DR122:DR123)</f>
        <v>0</v>
      </c>
      <c r="DS121" s="56"/>
      <c r="DT121" s="56"/>
      <c r="DU121" s="611"/>
      <c r="DV121" s="56"/>
      <c r="DW121" s="56">
        <f>SUM(DW122:DW123)</f>
        <v>0</v>
      </c>
      <c r="DX121" s="56"/>
      <c r="DY121" s="56"/>
      <c r="DZ121" s="611"/>
      <c r="EA121" s="56"/>
      <c r="EB121" s="56">
        <f>SUM(EB122:EB123)</f>
        <v>0</v>
      </c>
      <c r="EC121" s="56"/>
      <c r="ED121" s="56"/>
      <c r="EE121" s="611"/>
      <c r="EF121" s="56"/>
      <c r="EG121" s="56">
        <f>SUM(EG122:EG123)</f>
        <v>0</v>
      </c>
      <c r="EH121" s="56"/>
      <c r="EI121" s="56"/>
      <c r="EJ121" s="611"/>
      <c r="EK121" s="56"/>
      <c r="EL121" s="56">
        <f>SUM(EL122:EL123)</f>
        <v>6054</v>
      </c>
      <c r="EM121" s="56"/>
      <c r="EN121" s="56"/>
      <c r="EO121" s="144"/>
    </row>
    <row r="122" spans="4:145" x14ac:dyDescent="0.3">
      <c r="D122" s="144" t="s">
        <v>446</v>
      </c>
      <c r="E122" s="494"/>
      <c r="F122" s="500"/>
      <c r="G122" s="609">
        <v>0</v>
      </c>
      <c r="H122" s="610"/>
      <c r="I122" s="56"/>
      <c r="J122" s="611"/>
      <c r="K122" s="612"/>
      <c r="L122" s="609">
        <v>0</v>
      </c>
      <c r="M122" s="610"/>
      <c r="N122" s="56"/>
      <c r="O122" s="611"/>
      <c r="P122" s="612"/>
      <c r="Q122" s="609">
        <v>0</v>
      </c>
      <c r="R122" s="610"/>
      <c r="S122" s="56"/>
      <c r="T122" s="611"/>
      <c r="U122" s="612"/>
      <c r="V122" s="609">
        <v>0</v>
      </c>
      <c r="W122" s="610"/>
      <c r="X122" s="56"/>
      <c r="Y122" s="611"/>
      <c r="Z122" s="612"/>
      <c r="AA122" s="609">
        <v>0</v>
      </c>
      <c r="AB122" s="610"/>
      <c r="AC122" s="56"/>
      <c r="AD122" s="611"/>
      <c r="AE122" s="612"/>
      <c r="AF122" s="609">
        <v>0</v>
      </c>
      <c r="AG122" s="610"/>
      <c r="AH122" s="56"/>
      <c r="AI122" s="611"/>
      <c r="AJ122" s="612"/>
      <c r="AK122" s="609">
        <v>0</v>
      </c>
      <c r="AL122" s="610"/>
      <c r="AM122" s="56"/>
      <c r="AN122" s="611"/>
      <c r="AO122" s="612"/>
      <c r="AP122" s="609">
        <v>0</v>
      </c>
      <c r="AQ122" s="610"/>
      <c r="AR122" s="56"/>
      <c r="AS122" s="611"/>
      <c r="AT122" s="612"/>
      <c r="AU122" s="609">
        <v>0</v>
      </c>
      <c r="AV122" s="610"/>
      <c r="AW122" s="56"/>
      <c r="AX122" s="611"/>
      <c r="AY122" s="612"/>
      <c r="AZ122" s="609">
        <v>0</v>
      </c>
      <c r="BA122" s="610"/>
      <c r="BB122" s="56"/>
      <c r="BC122" s="611"/>
      <c r="BD122" s="612"/>
      <c r="BE122" s="609">
        <v>0</v>
      </c>
      <c r="BF122" s="610"/>
      <c r="BG122" s="56"/>
      <c r="BH122" s="611"/>
      <c r="BI122" s="612"/>
      <c r="BJ122" s="609">
        <v>0</v>
      </c>
      <c r="BK122" s="610"/>
      <c r="BL122" s="56"/>
      <c r="BM122" s="611"/>
      <c r="BN122" s="612"/>
      <c r="BO122" s="609">
        <v>0</v>
      </c>
      <c r="BP122" s="610"/>
      <c r="BQ122" s="56"/>
      <c r="BR122" s="611"/>
      <c r="BS122" s="612"/>
      <c r="BT122" s="609">
        <f>SUM(L122:BO122)</f>
        <v>0</v>
      </c>
      <c r="BU122" s="610"/>
      <c r="BV122" s="56"/>
      <c r="BW122" s="611"/>
      <c r="BX122" s="612"/>
      <c r="BY122" s="609">
        <v>1940</v>
      </c>
      <c r="BZ122" s="610"/>
      <c r="CA122" s="56"/>
      <c r="CB122" s="611"/>
      <c r="CC122" s="612"/>
      <c r="CD122" s="609">
        <v>0</v>
      </c>
      <c r="CE122" s="610"/>
      <c r="CF122" s="56"/>
      <c r="CG122" s="611"/>
      <c r="CH122" s="612"/>
      <c r="CI122" s="609">
        <v>1940</v>
      </c>
      <c r="CJ122" s="610"/>
      <c r="CK122" s="56"/>
      <c r="CL122" s="611"/>
      <c r="CM122" s="612"/>
      <c r="CN122" s="609">
        <v>0</v>
      </c>
      <c r="CO122" s="610"/>
      <c r="CP122" s="56"/>
      <c r="CQ122" s="611"/>
      <c r="CR122" s="612"/>
      <c r="CS122" s="609">
        <v>0</v>
      </c>
      <c r="CT122" s="610"/>
      <c r="CU122" s="56"/>
      <c r="CV122" s="611"/>
      <c r="CW122" s="612"/>
      <c r="CX122" s="609">
        <v>0</v>
      </c>
      <c r="CY122" s="610"/>
      <c r="CZ122" s="56"/>
      <c r="DA122" s="611"/>
      <c r="DB122" s="612"/>
      <c r="DC122" s="609">
        <v>0</v>
      </c>
      <c r="DD122" s="610"/>
      <c r="DE122" s="56"/>
      <c r="DF122" s="611"/>
      <c r="DG122" s="612"/>
      <c r="DH122" s="609">
        <v>0</v>
      </c>
      <c r="DI122" s="610"/>
      <c r="DJ122" s="56"/>
      <c r="DK122" s="611"/>
      <c r="DL122" s="612"/>
      <c r="DM122" s="609">
        <v>0</v>
      </c>
      <c r="DN122" s="610"/>
      <c r="DO122" s="56"/>
      <c r="DP122" s="611"/>
      <c r="DQ122" s="612"/>
      <c r="DR122" s="609">
        <v>0</v>
      </c>
      <c r="DS122" s="610"/>
      <c r="DT122" s="56"/>
      <c r="DU122" s="611"/>
      <c r="DV122" s="612"/>
      <c r="DW122" s="609">
        <v>0</v>
      </c>
      <c r="DX122" s="610"/>
      <c r="DY122" s="56"/>
      <c r="DZ122" s="611"/>
      <c r="EA122" s="612"/>
      <c r="EB122" s="609">
        <v>0</v>
      </c>
      <c r="EC122" s="610"/>
      <c r="ED122" s="56"/>
      <c r="EE122" s="611"/>
      <c r="EF122" s="612"/>
      <c r="EG122" s="609">
        <v>0</v>
      </c>
      <c r="EH122" s="610"/>
      <c r="EI122" s="56"/>
      <c r="EJ122" s="611"/>
      <c r="EK122" s="612"/>
      <c r="EL122" s="609">
        <f t="shared" ref="EL122:EL123" si="15">SUM(CD122:DW122)</f>
        <v>1940</v>
      </c>
      <c r="EM122" s="610"/>
      <c r="EN122" s="56"/>
      <c r="EO122" s="144"/>
    </row>
    <row r="123" spans="4:145" x14ac:dyDescent="0.3">
      <c r="D123" s="144" t="s">
        <v>447</v>
      </c>
      <c r="E123" s="494"/>
      <c r="F123" s="513"/>
      <c r="G123" s="117">
        <v>0</v>
      </c>
      <c r="H123" s="116"/>
      <c r="I123" s="56"/>
      <c r="J123" s="611"/>
      <c r="K123" s="620"/>
      <c r="L123" s="117">
        <v>0</v>
      </c>
      <c r="M123" s="116"/>
      <c r="N123" s="56"/>
      <c r="O123" s="611"/>
      <c r="P123" s="620"/>
      <c r="Q123" s="117">
        <v>0</v>
      </c>
      <c r="R123" s="116"/>
      <c r="S123" s="56"/>
      <c r="T123" s="611"/>
      <c r="U123" s="620"/>
      <c r="V123" s="117">
        <v>0</v>
      </c>
      <c r="W123" s="116"/>
      <c r="X123" s="56"/>
      <c r="Y123" s="611"/>
      <c r="Z123" s="620"/>
      <c r="AA123" s="117">
        <v>0</v>
      </c>
      <c r="AB123" s="116"/>
      <c r="AC123" s="56"/>
      <c r="AD123" s="611"/>
      <c r="AE123" s="620"/>
      <c r="AF123" s="117">
        <v>0</v>
      </c>
      <c r="AG123" s="116"/>
      <c r="AH123" s="56"/>
      <c r="AI123" s="611"/>
      <c r="AJ123" s="620"/>
      <c r="AK123" s="117">
        <v>0</v>
      </c>
      <c r="AL123" s="116"/>
      <c r="AM123" s="56"/>
      <c r="AN123" s="611"/>
      <c r="AO123" s="620"/>
      <c r="AP123" s="117">
        <v>0</v>
      </c>
      <c r="AQ123" s="116"/>
      <c r="AR123" s="56"/>
      <c r="AS123" s="611"/>
      <c r="AT123" s="620"/>
      <c r="AU123" s="117">
        <v>0</v>
      </c>
      <c r="AV123" s="116"/>
      <c r="AW123" s="56"/>
      <c r="AX123" s="611"/>
      <c r="AY123" s="620"/>
      <c r="AZ123" s="117">
        <v>0</v>
      </c>
      <c r="BA123" s="116"/>
      <c r="BB123" s="56"/>
      <c r="BC123" s="611"/>
      <c r="BD123" s="620"/>
      <c r="BE123" s="117">
        <v>0</v>
      </c>
      <c r="BF123" s="116"/>
      <c r="BG123" s="56"/>
      <c r="BH123" s="611"/>
      <c r="BI123" s="620"/>
      <c r="BJ123" s="117">
        <v>0</v>
      </c>
      <c r="BK123" s="116"/>
      <c r="BL123" s="56"/>
      <c r="BM123" s="611"/>
      <c r="BN123" s="620"/>
      <c r="BO123" s="117">
        <v>0</v>
      </c>
      <c r="BP123" s="116"/>
      <c r="BQ123" s="56"/>
      <c r="BR123" s="611"/>
      <c r="BS123" s="620"/>
      <c r="BT123" s="117">
        <f>SUM(L123:BO123)</f>
        <v>0</v>
      </c>
      <c r="BU123" s="116"/>
      <c r="BV123" s="56"/>
      <c r="BW123" s="611"/>
      <c r="BX123" s="620"/>
      <c r="BY123" s="117">
        <v>4114</v>
      </c>
      <c r="BZ123" s="116"/>
      <c r="CA123" s="56"/>
      <c r="CB123" s="611"/>
      <c r="CC123" s="620"/>
      <c r="CD123" s="117">
        <v>0</v>
      </c>
      <c r="CE123" s="116"/>
      <c r="CF123" s="56"/>
      <c r="CG123" s="611"/>
      <c r="CH123" s="620"/>
      <c r="CI123" s="117">
        <v>4114</v>
      </c>
      <c r="CJ123" s="116"/>
      <c r="CK123" s="56"/>
      <c r="CL123" s="611"/>
      <c r="CM123" s="620"/>
      <c r="CN123" s="117">
        <v>0</v>
      </c>
      <c r="CO123" s="116"/>
      <c r="CP123" s="56"/>
      <c r="CQ123" s="611"/>
      <c r="CR123" s="620"/>
      <c r="CS123" s="117">
        <v>0</v>
      </c>
      <c r="CT123" s="116"/>
      <c r="CU123" s="56"/>
      <c r="CV123" s="611"/>
      <c r="CW123" s="620"/>
      <c r="CX123" s="117">
        <v>0</v>
      </c>
      <c r="CY123" s="116"/>
      <c r="CZ123" s="56"/>
      <c r="DA123" s="611"/>
      <c r="DB123" s="620"/>
      <c r="DC123" s="117">
        <v>0</v>
      </c>
      <c r="DD123" s="116"/>
      <c r="DE123" s="56"/>
      <c r="DF123" s="611"/>
      <c r="DG123" s="620"/>
      <c r="DH123" s="117">
        <v>0</v>
      </c>
      <c r="DI123" s="116"/>
      <c r="DJ123" s="56"/>
      <c r="DK123" s="611"/>
      <c r="DL123" s="620"/>
      <c r="DM123" s="117">
        <v>0</v>
      </c>
      <c r="DN123" s="116"/>
      <c r="DO123" s="56"/>
      <c r="DP123" s="611"/>
      <c r="DQ123" s="620"/>
      <c r="DR123" s="117">
        <v>0</v>
      </c>
      <c r="DS123" s="116"/>
      <c r="DT123" s="56"/>
      <c r="DU123" s="611"/>
      <c r="DV123" s="620"/>
      <c r="DW123" s="117">
        <v>0</v>
      </c>
      <c r="DX123" s="116"/>
      <c r="DY123" s="56"/>
      <c r="DZ123" s="611"/>
      <c r="EA123" s="620"/>
      <c r="EB123" s="117">
        <v>0</v>
      </c>
      <c r="EC123" s="116"/>
      <c r="ED123" s="56"/>
      <c r="EE123" s="611"/>
      <c r="EF123" s="620"/>
      <c r="EG123" s="117">
        <v>0</v>
      </c>
      <c r="EH123" s="116"/>
      <c r="EI123" s="56"/>
      <c r="EJ123" s="611"/>
      <c r="EK123" s="620"/>
      <c r="EL123" s="117">
        <f t="shared" si="15"/>
        <v>4114</v>
      </c>
      <c r="EM123" s="116"/>
      <c r="EN123" s="56"/>
      <c r="EO123" s="144"/>
    </row>
    <row r="124" spans="4:145" x14ac:dyDescent="0.3">
      <c r="D124" s="144"/>
      <c r="E124" s="494"/>
      <c r="G124" s="56"/>
      <c r="H124" s="56"/>
      <c r="I124" s="56"/>
      <c r="J124" s="611"/>
      <c r="K124" s="56"/>
      <c r="L124" s="56"/>
      <c r="M124" s="56"/>
      <c r="N124" s="56"/>
      <c r="O124" s="611"/>
      <c r="P124" s="56"/>
      <c r="Q124" s="56"/>
      <c r="R124" s="56"/>
      <c r="S124" s="56"/>
      <c r="T124" s="611"/>
      <c r="U124" s="56"/>
      <c r="V124" s="56"/>
      <c r="W124" s="56"/>
      <c r="X124" s="56"/>
      <c r="Y124" s="611"/>
      <c r="Z124" s="56"/>
      <c r="AA124" s="56"/>
      <c r="AB124" s="56"/>
      <c r="AC124" s="56"/>
      <c r="AD124" s="611"/>
      <c r="AE124" s="56"/>
      <c r="AF124" s="56"/>
      <c r="AG124" s="56"/>
      <c r="AH124" s="56"/>
      <c r="AI124" s="611"/>
      <c r="AJ124" s="56"/>
      <c r="AK124" s="56"/>
      <c r="AL124" s="56"/>
      <c r="AM124" s="56"/>
      <c r="AN124" s="611"/>
      <c r="AO124" s="56"/>
      <c r="AP124" s="56"/>
      <c r="AQ124" s="56"/>
      <c r="AR124" s="56"/>
      <c r="AS124" s="611"/>
      <c r="AT124" s="56"/>
      <c r="AU124" s="56"/>
      <c r="AV124" s="56"/>
      <c r="AW124" s="56"/>
      <c r="AX124" s="611"/>
      <c r="AY124" s="56"/>
      <c r="AZ124" s="56"/>
      <c r="BA124" s="56"/>
      <c r="BB124" s="56"/>
      <c r="BC124" s="611"/>
      <c r="BD124" s="56"/>
      <c r="BE124" s="56"/>
      <c r="BF124" s="56"/>
      <c r="BG124" s="56"/>
      <c r="BH124" s="611"/>
      <c r="BI124" s="56"/>
      <c r="BJ124" s="56"/>
      <c r="BK124" s="56"/>
      <c r="BL124" s="56"/>
      <c r="BM124" s="611"/>
      <c r="BN124" s="56"/>
      <c r="BO124" s="56"/>
      <c r="BP124" s="56"/>
      <c r="BQ124" s="56"/>
      <c r="BR124" s="611"/>
      <c r="BS124" s="56"/>
      <c r="BT124" s="56"/>
      <c r="BU124" s="56"/>
      <c r="BV124" s="56"/>
      <c r="BW124" s="611"/>
      <c r="BX124" s="56"/>
      <c r="BY124" s="56"/>
      <c r="BZ124" s="56"/>
      <c r="CA124" s="56"/>
      <c r="CB124" s="611"/>
      <c r="CC124" s="56"/>
      <c r="CD124" s="56"/>
      <c r="CE124" s="56"/>
      <c r="CF124" s="56"/>
      <c r="CG124" s="611"/>
      <c r="CH124" s="56"/>
      <c r="CI124" s="56"/>
      <c r="CJ124" s="56"/>
      <c r="CK124" s="56"/>
      <c r="CL124" s="611"/>
      <c r="CM124" s="56"/>
      <c r="CN124" s="56"/>
      <c r="CO124" s="56"/>
      <c r="CP124" s="56"/>
      <c r="CQ124" s="611"/>
      <c r="CR124" s="56"/>
      <c r="CS124" s="56"/>
      <c r="CT124" s="56"/>
      <c r="CU124" s="56"/>
      <c r="CV124" s="611"/>
      <c r="CW124" s="56"/>
      <c r="CX124" s="56"/>
      <c r="CY124" s="56"/>
      <c r="CZ124" s="56"/>
      <c r="DA124" s="611"/>
      <c r="DB124" s="56"/>
      <c r="DC124" s="56"/>
      <c r="DD124" s="56"/>
      <c r="DE124" s="56"/>
      <c r="DF124" s="611"/>
      <c r="DG124" s="56"/>
      <c r="DH124" s="56"/>
      <c r="DI124" s="56"/>
      <c r="DJ124" s="56"/>
      <c r="DK124" s="611"/>
      <c r="DL124" s="56"/>
      <c r="DM124" s="56"/>
      <c r="DN124" s="56"/>
      <c r="DO124" s="56"/>
      <c r="DP124" s="611"/>
      <c r="DQ124" s="56"/>
      <c r="DR124" s="56"/>
      <c r="DS124" s="56"/>
      <c r="DT124" s="56"/>
      <c r="DU124" s="611"/>
      <c r="DV124" s="56"/>
      <c r="DW124" s="56"/>
      <c r="DX124" s="56"/>
      <c r="DY124" s="56"/>
      <c r="DZ124" s="611"/>
      <c r="EA124" s="56"/>
      <c r="EB124" s="56"/>
      <c r="EC124" s="56"/>
      <c r="ED124" s="56"/>
      <c r="EE124" s="611"/>
      <c r="EF124" s="56"/>
      <c r="EG124" s="56"/>
      <c r="EH124" s="56"/>
      <c r="EI124" s="56"/>
      <c r="EJ124" s="611"/>
      <c r="EK124" s="56"/>
      <c r="EL124" s="56"/>
      <c r="EM124" s="56"/>
      <c r="EN124" s="56"/>
      <c r="EO124" s="144"/>
    </row>
    <row r="125" spans="4:145" x14ac:dyDescent="0.3">
      <c r="D125" s="144" t="s">
        <v>449</v>
      </c>
      <c r="E125" s="494"/>
      <c r="G125" s="56">
        <f>SUM(G126:G127)</f>
        <v>0</v>
      </c>
      <c r="H125" s="56"/>
      <c r="I125" s="56"/>
      <c r="J125" s="611"/>
      <c r="K125" s="56"/>
      <c r="L125" s="56">
        <f>SUM(L126:L127)</f>
        <v>0</v>
      </c>
      <c r="M125" s="56"/>
      <c r="N125" s="56"/>
      <c r="O125" s="611"/>
      <c r="P125" s="56"/>
      <c r="Q125" s="56">
        <f>SUM(Q126:Q127)</f>
        <v>0</v>
      </c>
      <c r="R125" s="56"/>
      <c r="S125" s="56"/>
      <c r="T125" s="611"/>
      <c r="U125" s="56"/>
      <c r="V125" s="56">
        <f>SUM(V126:V127)</f>
        <v>0</v>
      </c>
      <c r="W125" s="56"/>
      <c r="X125" s="56"/>
      <c r="Y125" s="611"/>
      <c r="Z125" s="56"/>
      <c r="AA125" s="56">
        <f>SUM(AA126:AA127)</f>
        <v>0</v>
      </c>
      <c r="AB125" s="56"/>
      <c r="AC125" s="56"/>
      <c r="AD125" s="611"/>
      <c r="AE125" s="56"/>
      <c r="AF125" s="56">
        <f>SUM(AF126:AF127)</f>
        <v>0</v>
      </c>
      <c r="AG125" s="56"/>
      <c r="AH125" s="56"/>
      <c r="AI125" s="611"/>
      <c r="AJ125" s="56"/>
      <c r="AK125" s="56">
        <f>SUM(AK126:AK127)</f>
        <v>0</v>
      </c>
      <c r="AL125" s="56"/>
      <c r="AM125" s="56"/>
      <c r="AN125" s="611"/>
      <c r="AO125" s="56"/>
      <c r="AP125" s="56">
        <f>SUM(AP126:AP127)</f>
        <v>0</v>
      </c>
      <c r="AQ125" s="56"/>
      <c r="AR125" s="56"/>
      <c r="AS125" s="611"/>
      <c r="AT125" s="56"/>
      <c r="AU125" s="56">
        <f>SUM(AU126:AU127)</f>
        <v>0</v>
      </c>
      <c r="AV125" s="56"/>
      <c r="AW125" s="56"/>
      <c r="AX125" s="611"/>
      <c r="AY125" s="56"/>
      <c r="AZ125" s="56">
        <f>SUM(AZ126:AZ127)</f>
        <v>0</v>
      </c>
      <c r="BA125" s="56"/>
      <c r="BB125" s="56"/>
      <c r="BC125" s="611"/>
      <c r="BD125" s="56"/>
      <c r="BE125" s="56">
        <f>SUM(BE126:BE127)</f>
        <v>0</v>
      </c>
      <c r="BF125" s="56"/>
      <c r="BG125" s="56"/>
      <c r="BH125" s="611"/>
      <c r="BI125" s="56"/>
      <c r="BJ125" s="56">
        <f>SUM(BJ126:BJ127)</f>
        <v>0</v>
      </c>
      <c r="BK125" s="56"/>
      <c r="BL125" s="56"/>
      <c r="BM125" s="611"/>
      <c r="BN125" s="56"/>
      <c r="BO125" s="56">
        <f>SUM(BO126:BO127)</f>
        <v>0</v>
      </c>
      <c r="BP125" s="56"/>
      <c r="BQ125" s="56"/>
      <c r="BR125" s="611"/>
      <c r="BS125" s="56"/>
      <c r="BT125" s="56">
        <f>SUM(BT126:BT127)</f>
        <v>0</v>
      </c>
      <c r="BU125" s="56"/>
      <c r="BV125" s="56"/>
      <c r="BW125" s="611"/>
      <c r="BX125" s="56"/>
      <c r="BY125" s="56">
        <f>SUM(BY126:BY127)</f>
        <v>3912780</v>
      </c>
      <c r="BZ125" s="56"/>
      <c r="CA125" s="56"/>
      <c r="CB125" s="611"/>
      <c r="CC125" s="56"/>
      <c r="CD125" s="56">
        <f>SUM(CD126:CD127)</f>
        <v>0</v>
      </c>
      <c r="CE125" s="56"/>
      <c r="CF125" s="56"/>
      <c r="CG125" s="611"/>
      <c r="CH125" s="56"/>
      <c r="CI125" s="56">
        <f>SUM(CI126:CI127)</f>
        <v>0</v>
      </c>
      <c r="CJ125" s="56"/>
      <c r="CK125" s="56"/>
      <c r="CL125" s="611"/>
      <c r="CM125" s="56"/>
      <c r="CN125" s="56">
        <f>SUM(CN126:CN127)</f>
        <v>0</v>
      </c>
      <c r="CO125" s="56"/>
      <c r="CP125" s="56"/>
      <c r="CQ125" s="611"/>
      <c r="CR125" s="56"/>
      <c r="CS125" s="56">
        <f>SUM(CS126:CS127)</f>
        <v>0</v>
      </c>
      <c r="CT125" s="56"/>
      <c r="CU125" s="56"/>
      <c r="CV125" s="611"/>
      <c r="CW125" s="56"/>
      <c r="CX125" s="56">
        <f>SUM(CX126:CX127)</f>
        <v>0</v>
      </c>
      <c r="CY125" s="56"/>
      <c r="CZ125" s="56"/>
      <c r="DA125" s="611"/>
      <c r="DB125" s="56"/>
      <c r="DC125" s="56">
        <f>SUM(DC126:DC127)</f>
        <v>3912780</v>
      </c>
      <c r="DD125" s="56"/>
      <c r="DE125" s="56"/>
      <c r="DF125" s="611"/>
      <c r="DG125" s="56"/>
      <c r="DH125" s="56">
        <f>SUM(DH126:DH127)</f>
        <v>0</v>
      </c>
      <c r="DI125" s="56"/>
      <c r="DJ125" s="56"/>
      <c r="DK125" s="611"/>
      <c r="DL125" s="56"/>
      <c r="DM125" s="56">
        <f>SUM(DM126:DM127)</f>
        <v>0</v>
      </c>
      <c r="DN125" s="56"/>
      <c r="DO125" s="56"/>
      <c r="DP125" s="611"/>
      <c r="DQ125" s="56"/>
      <c r="DR125" s="56">
        <f>SUM(DR126:DR127)</f>
        <v>0</v>
      </c>
      <c r="DS125" s="56"/>
      <c r="DT125" s="56"/>
      <c r="DU125" s="611"/>
      <c r="DV125" s="56"/>
      <c r="DW125" s="56">
        <f>SUM(DW126:DW127)</f>
        <v>0</v>
      </c>
      <c r="DX125" s="56"/>
      <c r="DY125" s="56"/>
      <c r="DZ125" s="611"/>
      <c r="EA125" s="56"/>
      <c r="EB125" s="56">
        <f>SUM(EB126:EB127)</f>
        <v>0</v>
      </c>
      <c r="EC125" s="56"/>
      <c r="ED125" s="56"/>
      <c r="EE125" s="611"/>
      <c r="EF125" s="56"/>
      <c r="EG125" s="56">
        <f>SUM(EG126:EG127)</f>
        <v>0</v>
      </c>
      <c r="EH125" s="56"/>
      <c r="EI125" s="56"/>
      <c r="EJ125" s="611"/>
      <c r="EK125" s="56"/>
      <c r="EL125" s="56">
        <f>SUM(EL126:EL127)</f>
        <v>3912780</v>
      </c>
      <c r="EM125" s="56"/>
      <c r="EN125" s="56"/>
      <c r="EO125" s="144"/>
    </row>
    <row r="126" spans="4:145" x14ac:dyDescent="0.3">
      <c r="D126" s="144" t="s">
        <v>446</v>
      </c>
      <c r="E126" s="494"/>
      <c r="F126" s="500"/>
      <c r="G126" s="609">
        <v>0</v>
      </c>
      <c r="H126" s="610"/>
      <c r="I126" s="56"/>
      <c r="J126" s="611"/>
      <c r="K126" s="612"/>
      <c r="L126" s="609">
        <v>0</v>
      </c>
      <c r="M126" s="610"/>
      <c r="N126" s="56"/>
      <c r="O126" s="611"/>
      <c r="P126" s="612"/>
      <c r="Q126" s="609">
        <v>0</v>
      </c>
      <c r="R126" s="610"/>
      <c r="S126" s="56"/>
      <c r="T126" s="611"/>
      <c r="U126" s="612"/>
      <c r="V126" s="609">
        <v>0</v>
      </c>
      <c r="W126" s="610"/>
      <c r="X126" s="56"/>
      <c r="Y126" s="611"/>
      <c r="Z126" s="612"/>
      <c r="AA126" s="609">
        <v>0</v>
      </c>
      <c r="AB126" s="610"/>
      <c r="AC126" s="56"/>
      <c r="AD126" s="611"/>
      <c r="AE126" s="612"/>
      <c r="AF126" s="609">
        <v>0</v>
      </c>
      <c r="AG126" s="610"/>
      <c r="AH126" s="56"/>
      <c r="AI126" s="611"/>
      <c r="AJ126" s="612"/>
      <c r="AK126" s="609">
        <v>0</v>
      </c>
      <c r="AL126" s="610"/>
      <c r="AM126" s="56"/>
      <c r="AN126" s="611"/>
      <c r="AO126" s="612"/>
      <c r="AP126" s="609">
        <v>0</v>
      </c>
      <c r="AQ126" s="610"/>
      <c r="AR126" s="56"/>
      <c r="AS126" s="611"/>
      <c r="AT126" s="612"/>
      <c r="AU126" s="609">
        <v>0</v>
      </c>
      <c r="AV126" s="610"/>
      <c r="AW126" s="56"/>
      <c r="AX126" s="611"/>
      <c r="AY126" s="612"/>
      <c r="AZ126" s="609">
        <v>0</v>
      </c>
      <c r="BA126" s="610"/>
      <c r="BB126" s="56"/>
      <c r="BC126" s="611"/>
      <c r="BD126" s="612"/>
      <c r="BE126" s="609">
        <v>0</v>
      </c>
      <c r="BF126" s="610"/>
      <c r="BG126" s="56"/>
      <c r="BH126" s="611"/>
      <c r="BI126" s="612"/>
      <c r="BJ126" s="609">
        <v>0</v>
      </c>
      <c r="BK126" s="610"/>
      <c r="BL126" s="56"/>
      <c r="BM126" s="611"/>
      <c r="BN126" s="612"/>
      <c r="BO126" s="609">
        <v>0</v>
      </c>
      <c r="BP126" s="610"/>
      <c r="BQ126" s="56"/>
      <c r="BR126" s="611"/>
      <c r="BS126" s="612"/>
      <c r="BT126" s="609">
        <f>SUM(L126:BO126)</f>
        <v>0</v>
      </c>
      <c r="BU126" s="610"/>
      <c r="BV126" s="56"/>
      <c r="BW126" s="611"/>
      <c r="BX126" s="612"/>
      <c r="BY126" s="609">
        <v>1993488</v>
      </c>
      <c r="BZ126" s="610"/>
      <c r="CA126" s="56"/>
      <c r="CB126" s="611"/>
      <c r="CC126" s="612"/>
      <c r="CD126" s="609">
        <v>0</v>
      </c>
      <c r="CE126" s="610"/>
      <c r="CF126" s="56"/>
      <c r="CG126" s="611"/>
      <c r="CH126" s="612"/>
      <c r="CI126" s="609">
        <v>0</v>
      </c>
      <c r="CJ126" s="610"/>
      <c r="CK126" s="56"/>
      <c r="CL126" s="611"/>
      <c r="CM126" s="612"/>
      <c r="CN126" s="609">
        <v>0</v>
      </c>
      <c r="CO126" s="610"/>
      <c r="CP126" s="56"/>
      <c r="CQ126" s="611"/>
      <c r="CR126" s="612"/>
      <c r="CS126" s="609">
        <v>0</v>
      </c>
      <c r="CT126" s="610"/>
      <c r="CU126" s="56"/>
      <c r="CV126" s="611"/>
      <c r="CW126" s="612"/>
      <c r="CX126" s="609">
        <v>0</v>
      </c>
      <c r="CY126" s="610"/>
      <c r="CZ126" s="56"/>
      <c r="DA126" s="611"/>
      <c r="DB126" s="612"/>
      <c r="DC126" s="609">
        <v>1993488</v>
      </c>
      <c r="DD126" s="610"/>
      <c r="DE126" s="56"/>
      <c r="DF126" s="611"/>
      <c r="DG126" s="612"/>
      <c r="DH126" s="609">
        <v>0</v>
      </c>
      <c r="DI126" s="610"/>
      <c r="DJ126" s="56"/>
      <c r="DK126" s="611"/>
      <c r="DL126" s="612"/>
      <c r="DM126" s="609">
        <v>0</v>
      </c>
      <c r="DN126" s="610"/>
      <c r="DO126" s="56"/>
      <c r="DP126" s="611"/>
      <c r="DQ126" s="612"/>
      <c r="DR126" s="609">
        <v>0</v>
      </c>
      <c r="DS126" s="610"/>
      <c r="DT126" s="56"/>
      <c r="DU126" s="611"/>
      <c r="DV126" s="612"/>
      <c r="DW126" s="609">
        <v>0</v>
      </c>
      <c r="DX126" s="610"/>
      <c r="DY126" s="56"/>
      <c r="DZ126" s="611"/>
      <c r="EA126" s="612"/>
      <c r="EB126" s="609">
        <v>0</v>
      </c>
      <c r="EC126" s="610"/>
      <c r="ED126" s="56"/>
      <c r="EE126" s="611"/>
      <c r="EF126" s="612"/>
      <c r="EG126" s="609">
        <v>0</v>
      </c>
      <c r="EH126" s="610"/>
      <c r="EI126" s="56"/>
      <c r="EJ126" s="611"/>
      <c r="EK126" s="612"/>
      <c r="EL126" s="609">
        <f t="shared" ref="EL126:EL127" si="16">SUM(CD126:DW126)</f>
        <v>1993488</v>
      </c>
      <c r="EM126" s="610"/>
      <c r="EN126" s="56"/>
      <c r="EO126" s="144"/>
    </row>
    <row r="127" spans="4:145" x14ac:dyDescent="0.3">
      <c r="D127" s="144" t="s">
        <v>447</v>
      </c>
      <c r="E127" s="494"/>
      <c r="F127" s="513"/>
      <c r="G127" s="117">
        <v>0</v>
      </c>
      <c r="H127" s="116"/>
      <c r="I127" s="56"/>
      <c r="J127" s="611"/>
      <c r="K127" s="620"/>
      <c r="L127" s="117">
        <v>0</v>
      </c>
      <c r="M127" s="116"/>
      <c r="N127" s="56"/>
      <c r="O127" s="611"/>
      <c r="P127" s="620"/>
      <c r="Q127" s="117">
        <v>0</v>
      </c>
      <c r="R127" s="116"/>
      <c r="S127" s="56"/>
      <c r="T127" s="611"/>
      <c r="U127" s="620"/>
      <c r="V127" s="117">
        <v>0</v>
      </c>
      <c r="W127" s="116"/>
      <c r="X127" s="56"/>
      <c r="Y127" s="611"/>
      <c r="Z127" s="620"/>
      <c r="AA127" s="117">
        <v>0</v>
      </c>
      <c r="AB127" s="116"/>
      <c r="AC127" s="56"/>
      <c r="AD127" s="611"/>
      <c r="AE127" s="620"/>
      <c r="AF127" s="117">
        <v>0</v>
      </c>
      <c r="AG127" s="116"/>
      <c r="AH127" s="56"/>
      <c r="AI127" s="611"/>
      <c r="AJ127" s="620"/>
      <c r="AK127" s="117">
        <v>0</v>
      </c>
      <c r="AL127" s="116"/>
      <c r="AM127" s="56"/>
      <c r="AN127" s="611"/>
      <c r="AO127" s="620"/>
      <c r="AP127" s="117">
        <v>0</v>
      </c>
      <c r="AQ127" s="116"/>
      <c r="AR127" s="56"/>
      <c r="AS127" s="611"/>
      <c r="AT127" s="620"/>
      <c r="AU127" s="117">
        <v>0</v>
      </c>
      <c r="AV127" s="116"/>
      <c r="AW127" s="56"/>
      <c r="AX127" s="611"/>
      <c r="AY127" s="620"/>
      <c r="AZ127" s="117">
        <v>0</v>
      </c>
      <c r="BA127" s="116"/>
      <c r="BB127" s="56"/>
      <c r="BC127" s="611"/>
      <c r="BD127" s="620"/>
      <c r="BE127" s="117">
        <v>0</v>
      </c>
      <c r="BF127" s="116"/>
      <c r="BG127" s="56"/>
      <c r="BH127" s="611"/>
      <c r="BI127" s="620"/>
      <c r="BJ127" s="117">
        <v>0</v>
      </c>
      <c r="BK127" s="116"/>
      <c r="BL127" s="56"/>
      <c r="BM127" s="611"/>
      <c r="BN127" s="620"/>
      <c r="BO127" s="117">
        <v>0</v>
      </c>
      <c r="BP127" s="116"/>
      <c r="BQ127" s="56"/>
      <c r="BR127" s="611"/>
      <c r="BS127" s="620"/>
      <c r="BT127" s="117">
        <f>SUM(L127:BO127)</f>
        <v>0</v>
      </c>
      <c r="BU127" s="116"/>
      <c r="BV127" s="56"/>
      <c r="BW127" s="611"/>
      <c r="BX127" s="620"/>
      <c r="BY127" s="117">
        <v>1919292</v>
      </c>
      <c r="BZ127" s="116"/>
      <c r="CA127" s="56"/>
      <c r="CB127" s="611"/>
      <c r="CC127" s="620"/>
      <c r="CD127" s="117">
        <v>0</v>
      </c>
      <c r="CE127" s="116"/>
      <c r="CF127" s="56"/>
      <c r="CG127" s="611"/>
      <c r="CH127" s="620"/>
      <c r="CI127" s="117">
        <v>0</v>
      </c>
      <c r="CJ127" s="116"/>
      <c r="CK127" s="56"/>
      <c r="CL127" s="611"/>
      <c r="CM127" s="620"/>
      <c r="CN127" s="117">
        <v>0</v>
      </c>
      <c r="CO127" s="116"/>
      <c r="CP127" s="56"/>
      <c r="CQ127" s="611"/>
      <c r="CR127" s="620"/>
      <c r="CS127" s="117">
        <v>0</v>
      </c>
      <c r="CT127" s="116"/>
      <c r="CU127" s="56"/>
      <c r="CV127" s="611"/>
      <c r="CW127" s="620"/>
      <c r="CX127" s="117">
        <v>0</v>
      </c>
      <c r="CY127" s="116"/>
      <c r="CZ127" s="56"/>
      <c r="DA127" s="611"/>
      <c r="DB127" s="620"/>
      <c r="DC127" s="117">
        <v>1919292</v>
      </c>
      <c r="DD127" s="116"/>
      <c r="DE127" s="56"/>
      <c r="DF127" s="611"/>
      <c r="DG127" s="620"/>
      <c r="DH127" s="117">
        <v>0</v>
      </c>
      <c r="DI127" s="116"/>
      <c r="DJ127" s="56"/>
      <c r="DK127" s="611"/>
      <c r="DL127" s="620"/>
      <c r="DM127" s="117">
        <v>0</v>
      </c>
      <c r="DN127" s="116"/>
      <c r="DO127" s="56"/>
      <c r="DP127" s="611"/>
      <c r="DQ127" s="620"/>
      <c r="DR127" s="117">
        <v>0</v>
      </c>
      <c r="DS127" s="116"/>
      <c r="DT127" s="56"/>
      <c r="DU127" s="611"/>
      <c r="DV127" s="620"/>
      <c r="DW127" s="117">
        <v>0</v>
      </c>
      <c r="DX127" s="116"/>
      <c r="DY127" s="56"/>
      <c r="DZ127" s="611"/>
      <c r="EA127" s="620"/>
      <c r="EB127" s="117">
        <v>0</v>
      </c>
      <c r="EC127" s="116"/>
      <c r="ED127" s="56"/>
      <c r="EE127" s="611"/>
      <c r="EF127" s="620"/>
      <c r="EG127" s="117">
        <v>0</v>
      </c>
      <c r="EH127" s="116"/>
      <c r="EI127" s="56"/>
      <c r="EJ127" s="611"/>
      <c r="EK127" s="620"/>
      <c r="EL127" s="117">
        <f t="shared" si="16"/>
        <v>1919292</v>
      </c>
      <c r="EM127" s="116"/>
      <c r="EN127" s="56"/>
      <c r="EO127" s="144"/>
    </row>
    <row r="128" spans="4:145" x14ac:dyDescent="0.3">
      <c r="D128" s="144"/>
      <c r="E128" s="494"/>
      <c r="G128" s="56"/>
      <c r="H128" s="56"/>
      <c r="I128" s="56"/>
      <c r="J128" s="611"/>
      <c r="K128" s="56"/>
      <c r="L128" s="56"/>
      <c r="M128" s="56"/>
      <c r="N128" s="56"/>
      <c r="O128" s="611"/>
      <c r="P128" s="56"/>
      <c r="Q128" s="56"/>
      <c r="R128" s="56"/>
      <c r="S128" s="56"/>
      <c r="T128" s="611"/>
      <c r="U128" s="56"/>
      <c r="V128" s="56"/>
      <c r="W128" s="56"/>
      <c r="X128" s="56"/>
      <c r="Y128" s="611"/>
      <c r="Z128" s="56"/>
      <c r="AA128" s="56"/>
      <c r="AB128" s="56"/>
      <c r="AC128" s="56"/>
      <c r="AD128" s="611"/>
      <c r="AE128" s="56"/>
      <c r="AF128" s="56"/>
      <c r="AG128" s="56"/>
      <c r="AH128" s="56"/>
      <c r="AI128" s="611"/>
      <c r="AJ128" s="56"/>
      <c r="AK128" s="56"/>
      <c r="AL128" s="56"/>
      <c r="AM128" s="56"/>
      <c r="AN128" s="611"/>
      <c r="AO128" s="56"/>
      <c r="AP128" s="56"/>
      <c r="AQ128" s="56"/>
      <c r="AR128" s="56"/>
      <c r="AS128" s="611"/>
      <c r="AT128" s="56"/>
      <c r="AU128" s="56"/>
      <c r="AV128" s="56"/>
      <c r="AW128" s="56"/>
      <c r="AX128" s="611"/>
      <c r="AY128" s="56"/>
      <c r="AZ128" s="56"/>
      <c r="BA128" s="56"/>
      <c r="BB128" s="56"/>
      <c r="BC128" s="611"/>
      <c r="BD128" s="56"/>
      <c r="BE128" s="56"/>
      <c r="BF128" s="56"/>
      <c r="BG128" s="56"/>
      <c r="BH128" s="611"/>
      <c r="BI128" s="56"/>
      <c r="BJ128" s="56"/>
      <c r="BK128" s="56"/>
      <c r="BL128" s="56"/>
      <c r="BM128" s="611"/>
      <c r="BN128" s="56"/>
      <c r="BO128" s="56"/>
      <c r="BP128" s="56"/>
      <c r="BQ128" s="56"/>
      <c r="BR128" s="611"/>
      <c r="BS128" s="56"/>
      <c r="BT128" s="56"/>
      <c r="BU128" s="56"/>
      <c r="BV128" s="56"/>
      <c r="BW128" s="611"/>
      <c r="BX128" s="56"/>
      <c r="BY128" s="56"/>
      <c r="BZ128" s="56"/>
      <c r="CA128" s="56"/>
      <c r="CB128" s="611"/>
      <c r="CC128" s="56"/>
      <c r="CD128" s="56"/>
      <c r="CE128" s="56"/>
      <c r="CF128" s="56"/>
      <c r="CG128" s="611"/>
      <c r="CH128" s="56"/>
      <c r="CI128" s="56"/>
      <c r="CJ128" s="56"/>
      <c r="CK128" s="56"/>
      <c r="CL128" s="611"/>
      <c r="CM128" s="56"/>
      <c r="CN128" s="56"/>
      <c r="CO128" s="56"/>
      <c r="CP128" s="56"/>
      <c r="CQ128" s="611"/>
      <c r="CR128" s="56"/>
      <c r="CS128" s="56"/>
      <c r="CT128" s="56"/>
      <c r="CU128" s="56"/>
      <c r="CV128" s="611"/>
      <c r="CW128" s="56"/>
      <c r="CX128" s="56"/>
      <c r="CY128" s="56"/>
      <c r="CZ128" s="56"/>
      <c r="DA128" s="611"/>
      <c r="DB128" s="56"/>
      <c r="DC128" s="56"/>
      <c r="DD128" s="56"/>
      <c r="DE128" s="56"/>
      <c r="DF128" s="611"/>
      <c r="DG128" s="56"/>
      <c r="DH128" s="56"/>
      <c r="DI128" s="56"/>
      <c r="DJ128" s="56"/>
      <c r="DK128" s="611"/>
      <c r="DL128" s="56"/>
      <c r="DM128" s="56"/>
      <c r="DN128" s="56"/>
      <c r="DO128" s="56"/>
      <c r="DP128" s="611"/>
      <c r="DQ128" s="56"/>
      <c r="DR128" s="56"/>
      <c r="DS128" s="56"/>
      <c r="DT128" s="56"/>
      <c r="DU128" s="611"/>
      <c r="DV128" s="56"/>
      <c r="DW128" s="56"/>
      <c r="DX128" s="56"/>
      <c r="DY128" s="56"/>
      <c r="DZ128" s="611"/>
      <c r="EA128" s="56"/>
      <c r="EB128" s="56"/>
      <c r="EC128" s="56"/>
      <c r="ED128" s="56"/>
      <c r="EE128" s="611"/>
      <c r="EF128" s="56"/>
      <c r="EG128" s="56"/>
      <c r="EH128" s="56"/>
      <c r="EI128" s="56"/>
      <c r="EJ128" s="611"/>
      <c r="EK128" s="56"/>
      <c r="EL128" s="56"/>
      <c r="EM128" s="56"/>
      <c r="EN128" s="56"/>
      <c r="EO128" s="144"/>
    </row>
    <row r="129" spans="4:145" x14ac:dyDescent="0.3">
      <c r="D129" s="144" t="s">
        <v>450</v>
      </c>
      <c r="E129" s="494"/>
      <c r="G129" s="56">
        <f>SUM(G130:G131)</f>
        <v>15761600</v>
      </c>
      <c r="H129" s="56"/>
      <c r="I129" s="56"/>
      <c r="J129" s="611"/>
      <c r="K129" s="56"/>
      <c r="L129" s="56">
        <f>SUM(L130:L131)</f>
        <v>0</v>
      </c>
      <c r="M129" s="56"/>
      <c r="N129" s="56"/>
      <c r="O129" s="611"/>
      <c r="P129" s="56"/>
      <c r="Q129" s="56">
        <f>SUM(Q130:Q131)</f>
        <v>15761600</v>
      </c>
      <c r="R129" s="56"/>
      <c r="S129" s="56"/>
      <c r="T129" s="611"/>
      <c r="U129" s="56"/>
      <c r="V129" s="56">
        <f>SUM(V130:V131)</f>
        <v>0</v>
      </c>
      <c r="W129" s="56"/>
      <c r="X129" s="56"/>
      <c r="Y129" s="611"/>
      <c r="Z129" s="56"/>
      <c r="AA129" s="56">
        <f>SUM(AA130:AA131)</f>
        <v>0</v>
      </c>
      <c r="AB129" s="56"/>
      <c r="AC129" s="56"/>
      <c r="AD129" s="611"/>
      <c r="AE129" s="56"/>
      <c r="AF129" s="56">
        <f>SUM(AF130:AF131)</f>
        <v>0</v>
      </c>
      <c r="AG129" s="56"/>
      <c r="AH129" s="56"/>
      <c r="AI129" s="611"/>
      <c r="AJ129" s="56"/>
      <c r="AK129" s="56">
        <f>SUM(AK130:AK131)</f>
        <v>0</v>
      </c>
      <c r="AL129" s="56"/>
      <c r="AM129" s="56"/>
      <c r="AN129" s="611"/>
      <c r="AO129" s="56"/>
      <c r="AP129" s="56">
        <f>SUM(AP130:AP131)</f>
        <v>0</v>
      </c>
      <c r="AQ129" s="56"/>
      <c r="AR129" s="56"/>
      <c r="AS129" s="611"/>
      <c r="AT129" s="56"/>
      <c r="AU129" s="56">
        <f>SUM(AU130:AU131)</f>
        <v>0</v>
      </c>
      <c r="AV129" s="56"/>
      <c r="AW129" s="56"/>
      <c r="AX129" s="611"/>
      <c r="AY129" s="56"/>
      <c r="AZ129" s="56">
        <f>SUM(AZ130:AZ131)</f>
        <v>0</v>
      </c>
      <c r="BA129" s="56"/>
      <c r="BB129" s="56"/>
      <c r="BC129" s="611"/>
      <c r="BD129" s="56"/>
      <c r="BE129" s="56">
        <f>SUM(BE130:BE131)</f>
        <v>0</v>
      </c>
      <c r="BF129" s="56"/>
      <c r="BG129" s="56"/>
      <c r="BH129" s="611"/>
      <c r="BI129" s="56"/>
      <c r="BJ129" s="56">
        <f>SUM(BJ130:BJ131)</f>
        <v>0</v>
      </c>
      <c r="BK129" s="56"/>
      <c r="BL129" s="56"/>
      <c r="BM129" s="611"/>
      <c r="BN129" s="56"/>
      <c r="BO129" s="56">
        <f>SUM(BO130:BO131)</f>
        <v>0</v>
      </c>
      <c r="BP129" s="56"/>
      <c r="BQ129" s="56"/>
      <c r="BR129" s="611"/>
      <c r="BS129" s="56"/>
      <c r="BT129" s="56">
        <f>SUM(BT130:BT131)</f>
        <v>15761600</v>
      </c>
      <c r="BU129" s="56"/>
      <c r="BV129" s="56"/>
      <c r="BW129" s="611"/>
      <c r="BX129" s="56"/>
      <c r="BY129" s="56">
        <f>SUM(BY130:BY131)</f>
        <v>0</v>
      </c>
      <c r="BZ129" s="56"/>
      <c r="CA129" s="56"/>
      <c r="CB129" s="611"/>
      <c r="CC129" s="56"/>
      <c r="CD129" s="56">
        <f>SUM(CD130:CD131)</f>
        <v>0</v>
      </c>
      <c r="CE129" s="56"/>
      <c r="CF129" s="56"/>
      <c r="CG129" s="611"/>
      <c r="CH129" s="56"/>
      <c r="CI129" s="56">
        <f>SUM(CI130:CI131)</f>
        <v>0</v>
      </c>
      <c r="CJ129" s="56"/>
      <c r="CK129" s="56"/>
      <c r="CL129" s="611"/>
      <c r="CM129" s="56"/>
      <c r="CN129" s="56">
        <f>SUM(CN130:CN131)</f>
        <v>0</v>
      </c>
      <c r="CO129" s="56"/>
      <c r="CP129" s="56"/>
      <c r="CQ129" s="611"/>
      <c r="CR129" s="56"/>
      <c r="CS129" s="56">
        <f>SUM(CS130:CS131)</f>
        <v>0</v>
      </c>
      <c r="CT129" s="56"/>
      <c r="CU129" s="56"/>
      <c r="CV129" s="611"/>
      <c r="CW129" s="56"/>
      <c r="CX129" s="56">
        <f>SUM(CX130:CX131)</f>
        <v>0</v>
      </c>
      <c r="CY129" s="56"/>
      <c r="CZ129" s="56"/>
      <c r="DA129" s="611"/>
      <c r="DB129" s="56"/>
      <c r="DC129" s="56">
        <f>SUM(DC130:DC131)</f>
        <v>0</v>
      </c>
      <c r="DD129" s="56"/>
      <c r="DE129" s="56"/>
      <c r="DF129" s="611"/>
      <c r="DG129" s="56"/>
      <c r="DH129" s="56">
        <f>SUM(DH130:DH131)</f>
        <v>0</v>
      </c>
      <c r="DI129" s="56"/>
      <c r="DJ129" s="56"/>
      <c r="DK129" s="611"/>
      <c r="DL129" s="56"/>
      <c r="DM129" s="56">
        <f>SUM(DM130:DM131)</f>
        <v>0</v>
      </c>
      <c r="DN129" s="56"/>
      <c r="DO129" s="56"/>
      <c r="DP129" s="611"/>
      <c r="DQ129" s="56"/>
      <c r="DR129" s="56">
        <f>SUM(DR130:DR131)</f>
        <v>0</v>
      </c>
      <c r="DS129" s="56"/>
      <c r="DT129" s="56"/>
      <c r="DU129" s="611"/>
      <c r="DV129" s="56"/>
      <c r="DW129" s="56">
        <f>SUM(DW130:DW131)</f>
        <v>0</v>
      </c>
      <c r="DX129" s="56"/>
      <c r="DY129" s="56"/>
      <c r="DZ129" s="611"/>
      <c r="EA129" s="56"/>
      <c r="EB129" s="56">
        <f>SUM(EB130:EB131)</f>
        <v>0</v>
      </c>
      <c r="EC129" s="56"/>
      <c r="ED129" s="56"/>
      <c r="EE129" s="611"/>
      <c r="EF129" s="56"/>
      <c r="EG129" s="56">
        <f>SUM(EG130:EG131)</f>
        <v>0</v>
      </c>
      <c r="EH129" s="56"/>
      <c r="EI129" s="56"/>
      <c r="EJ129" s="611"/>
      <c r="EK129" s="56"/>
      <c r="EL129" s="56">
        <f>SUM(EL130:EL131)</f>
        <v>0</v>
      </c>
      <c r="EM129" s="56"/>
      <c r="EN129" s="56"/>
      <c r="EO129" s="144"/>
    </row>
    <row r="130" spans="4:145" x14ac:dyDescent="0.3">
      <c r="D130" s="144" t="s">
        <v>446</v>
      </c>
      <c r="E130" s="494"/>
      <c r="F130" s="500"/>
      <c r="G130" s="609">
        <v>7115000</v>
      </c>
      <c r="H130" s="610"/>
      <c r="I130" s="56"/>
      <c r="J130" s="611"/>
      <c r="K130" s="612"/>
      <c r="L130" s="609">
        <v>0</v>
      </c>
      <c r="M130" s="610"/>
      <c r="N130" s="56"/>
      <c r="O130" s="611"/>
      <c r="P130" s="612"/>
      <c r="Q130" s="609">
        <v>7115000</v>
      </c>
      <c r="R130" s="610"/>
      <c r="S130" s="56"/>
      <c r="T130" s="611"/>
      <c r="U130" s="612"/>
      <c r="V130" s="609">
        <v>0</v>
      </c>
      <c r="W130" s="610"/>
      <c r="X130" s="56"/>
      <c r="Y130" s="611"/>
      <c r="Z130" s="612"/>
      <c r="AA130" s="609">
        <v>0</v>
      </c>
      <c r="AB130" s="610"/>
      <c r="AC130" s="56"/>
      <c r="AD130" s="611"/>
      <c r="AE130" s="612"/>
      <c r="AF130" s="609">
        <v>0</v>
      </c>
      <c r="AG130" s="610"/>
      <c r="AH130" s="56"/>
      <c r="AI130" s="611"/>
      <c r="AJ130" s="612"/>
      <c r="AK130" s="609">
        <v>0</v>
      </c>
      <c r="AL130" s="610"/>
      <c r="AM130" s="56"/>
      <c r="AN130" s="611"/>
      <c r="AO130" s="612"/>
      <c r="AP130" s="609">
        <v>0</v>
      </c>
      <c r="AQ130" s="610"/>
      <c r="AR130" s="56"/>
      <c r="AS130" s="611"/>
      <c r="AT130" s="612"/>
      <c r="AU130" s="609">
        <v>0</v>
      </c>
      <c r="AV130" s="610"/>
      <c r="AW130" s="56"/>
      <c r="AX130" s="611"/>
      <c r="AY130" s="612"/>
      <c r="AZ130" s="609">
        <v>0</v>
      </c>
      <c r="BA130" s="610"/>
      <c r="BB130" s="56"/>
      <c r="BC130" s="611"/>
      <c r="BD130" s="612"/>
      <c r="BE130" s="609">
        <v>0</v>
      </c>
      <c r="BF130" s="610"/>
      <c r="BG130" s="56"/>
      <c r="BH130" s="611"/>
      <c r="BI130" s="612"/>
      <c r="BJ130" s="609">
        <v>0</v>
      </c>
      <c r="BK130" s="610"/>
      <c r="BL130" s="56"/>
      <c r="BM130" s="611"/>
      <c r="BN130" s="612"/>
      <c r="BO130" s="609">
        <v>0</v>
      </c>
      <c r="BP130" s="610"/>
      <c r="BQ130" s="56"/>
      <c r="BR130" s="611"/>
      <c r="BS130" s="612"/>
      <c r="BT130" s="609">
        <f>SUM(L130:BO130)</f>
        <v>7115000</v>
      </c>
      <c r="BU130" s="610"/>
      <c r="BV130" s="56"/>
      <c r="BW130" s="611"/>
      <c r="BX130" s="612"/>
      <c r="BY130" s="609">
        <v>0</v>
      </c>
      <c r="BZ130" s="610"/>
      <c r="CA130" s="56"/>
      <c r="CB130" s="611"/>
      <c r="CC130" s="612"/>
      <c r="CD130" s="609">
        <v>0</v>
      </c>
      <c r="CE130" s="610"/>
      <c r="CF130" s="56"/>
      <c r="CG130" s="611"/>
      <c r="CH130" s="612"/>
      <c r="CI130" s="609">
        <v>0</v>
      </c>
      <c r="CJ130" s="610"/>
      <c r="CK130" s="56"/>
      <c r="CL130" s="611"/>
      <c r="CM130" s="612"/>
      <c r="CN130" s="609">
        <v>0</v>
      </c>
      <c r="CO130" s="610"/>
      <c r="CP130" s="56"/>
      <c r="CQ130" s="611"/>
      <c r="CR130" s="612"/>
      <c r="CS130" s="609">
        <v>0</v>
      </c>
      <c r="CT130" s="610"/>
      <c r="CU130" s="56"/>
      <c r="CV130" s="611"/>
      <c r="CW130" s="612"/>
      <c r="CX130" s="609">
        <v>0</v>
      </c>
      <c r="CY130" s="610"/>
      <c r="CZ130" s="56"/>
      <c r="DA130" s="611"/>
      <c r="DB130" s="612"/>
      <c r="DC130" s="609">
        <v>0</v>
      </c>
      <c r="DD130" s="610"/>
      <c r="DE130" s="56"/>
      <c r="DF130" s="611"/>
      <c r="DG130" s="612"/>
      <c r="DH130" s="609">
        <v>0</v>
      </c>
      <c r="DI130" s="610"/>
      <c r="DJ130" s="56"/>
      <c r="DK130" s="611"/>
      <c r="DL130" s="612"/>
      <c r="DM130" s="609">
        <v>0</v>
      </c>
      <c r="DN130" s="610"/>
      <c r="DO130" s="56"/>
      <c r="DP130" s="611"/>
      <c r="DQ130" s="612"/>
      <c r="DR130" s="609">
        <v>0</v>
      </c>
      <c r="DS130" s="610"/>
      <c r="DT130" s="56"/>
      <c r="DU130" s="611"/>
      <c r="DV130" s="612"/>
      <c r="DW130" s="609">
        <v>0</v>
      </c>
      <c r="DX130" s="610"/>
      <c r="DY130" s="56"/>
      <c r="DZ130" s="611"/>
      <c r="EA130" s="612"/>
      <c r="EB130" s="609">
        <v>0</v>
      </c>
      <c r="EC130" s="610"/>
      <c r="ED130" s="56"/>
      <c r="EE130" s="611"/>
      <c r="EF130" s="612"/>
      <c r="EG130" s="609">
        <v>0</v>
      </c>
      <c r="EH130" s="610"/>
      <c r="EI130" s="56"/>
      <c r="EJ130" s="611"/>
      <c r="EK130" s="612"/>
      <c r="EL130" s="609">
        <f t="shared" ref="EL130:EL131" si="17">SUM(CD130:DW130)</f>
        <v>0</v>
      </c>
      <c r="EM130" s="610"/>
      <c r="EN130" s="56"/>
      <c r="EO130" s="144"/>
    </row>
    <row r="131" spans="4:145" x14ac:dyDescent="0.3">
      <c r="D131" s="144" t="s">
        <v>447</v>
      </c>
      <c r="E131" s="494"/>
      <c r="F131" s="513"/>
      <c r="G131" s="117">
        <v>8646600</v>
      </c>
      <c r="H131" s="116"/>
      <c r="I131" s="56"/>
      <c r="J131" s="611"/>
      <c r="K131" s="620"/>
      <c r="L131" s="117">
        <v>0</v>
      </c>
      <c r="M131" s="116"/>
      <c r="N131" s="56"/>
      <c r="O131" s="611"/>
      <c r="P131" s="620"/>
      <c r="Q131" s="117">
        <v>8646600</v>
      </c>
      <c r="R131" s="116"/>
      <c r="S131" s="56"/>
      <c r="T131" s="611"/>
      <c r="U131" s="620"/>
      <c r="V131" s="117">
        <v>0</v>
      </c>
      <c r="W131" s="116"/>
      <c r="X131" s="56"/>
      <c r="Y131" s="611"/>
      <c r="Z131" s="620"/>
      <c r="AA131" s="117">
        <v>0</v>
      </c>
      <c r="AB131" s="116"/>
      <c r="AC131" s="56"/>
      <c r="AD131" s="611"/>
      <c r="AE131" s="620"/>
      <c r="AF131" s="117">
        <v>0</v>
      </c>
      <c r="AG131" s="116"/>
      <c r="AH131" s="56"/>
      <c r="AI131" s="611"/>
      <c r="AJ131" s="620"/>
      <c r="AK131" s="117">
        <v>0</v>
      </c>
      <c r="AL131" s="116"/>
      <c r="AM131" s="56"/>
      <c r="AN131" s="611"/>
      <c r="AO131" s="620"/>
      <c r="AP131" s="117">
        <v>0</v>
      </c>
      <c r="AQ131" s="116"/>
      <c r="AR131" s="56"/>
      <c r="AS131" s="611"/>
      <c r="AT131" s="620"/>
      <c r="AU131" s="117">
        <v>0</v>
      </c>
      <c r="AV131" s="116"/>
      <c r="AW131" s="56"/>
      <c r="AX131" s="611"/>
      <c r="AY131" s="620"/>
      <c r="AZ131" s="117">
        <v>0</v>
      </c>
      <c r="BA131" s="116"/>
      <c r="BB131" s="56"/>
      <c r="BC131" s="611"/>
      <c r="BD131" s="620"/>
      <c r="BE131" s="117">
        <v>0</v>
      </c>
      <c r="BF131" s="116"/>
      <c r="BG131" s="56"/>
      <c r="BH131" s="611"/>
      <c r="BI131" s="620"/>
      <c r="BJ131" s="117">
        <v>0</v>
      </c>
      <c r="BK131" s="116"/>
      <c r="BL131" s="56"/>
      <c r="BM131" s="611"/>
      <c r="BN131" s="620"/>
      <c r="BO131" s="117">
        <v>0</v>
      </c>
      <c r="BP131" s="116"/>
      <c r="BQ131" s="56"/>
      <c r="BR131" s="611"/>
      <c r="BS131" s="620"/>
      <c r="BT131" s="117">
        <f>SUM(L131:BO131)</f>
        <v>8646600</v>
      </c>
      <c r="BU131" s="116"/>
      <c r="BV131" s="56"/>
      <c r="BW131" s="611"/>
      <c r="BX131" s="620"/>
      <c r="BY131" s="117">
        <v>0</v>
      </c>
      <c r="BZ131" s="116"/>
      <c r="CA131" s="56"/>
      <c r="CB131" s="611"/>
      <c r="CC131" s="620"/>
      <c r="CD131" s="117">
        <v>0</v>
      </c>
      <c r="CE131" s="116"/>
      <c r="CF131" s="56"/>
      <c r="CG131" s="611"/>
      <c r="CH131" s="620"/>
      <c r="CI131" s="117">
        <v>0</v>
      </c>
      <c r="CJ131" s="116"/>
      <c r="CK131" s="56"/>
      <c r="CL131" s="611"/>
      <c r="CM131" s="620"/>
      <c r="CN131" s="117">
        <v>0</v>
      </c>
      <c r="CO131" s="116"/>
      <c r="CP131" s="56"/>
      <c r="CQ131" s="611"/>
      <c r="CR131" s="620"/>
      <c r="CS131" s="117">
        <v>0</v>
      </c>
      <c r="CT131" s="116"/>
      <c r="CU131" s="56"/>
      <c r="CV131" s="611"/>
      <c r="CW131" s="620"/>
      <c r="CX131" s="117">
        <v>0</v>
      </c>
      <c r="CY131" s="116"/>
      <c r="CZ131" s="56"/>
      <c r="DA131" s="611"/>
      <c r="DB131" s="620"/>
      <c r="DC131" s="117">
        <v>0</v>
      </c>
      <c r="DD131" s="116"/>
      <c r="DE131" s="56"/>
      <c r="DF131" s="611"/>
      <c r="DG131" s="620"/>
      <c r="DH131" s="117">
        <v>0</v>
      </c>
      <c r="DI131" s="116"/>
      <c r="DJ131" s="56"/>
      <c r="DK131" s="611"/>
      <c r="DL131" s="620"/>
      <c r="DM131" s="117">
        <v>0</v>
      </c>
      <c r="DN131" s="116"/>
      <c r="DO131" s="56"/>
      <c r="DP131" s="611"/>
      <c r="DQ131" s="620"/>
      <c r="DR131" s="117">
        <v>0</v>
      </c>
      <c r="DS131" s="116"/>
      <c r="DT131" s="56"/>
      <c r="DU131" s="611"/>
      <c r="DV131" s="620"/>
      <c r="DW131" s="117">
        <v>0</v>
      </c>
      <c r="DX131" s="116"/>
      <c r="DY131" s="56"/>
      <c r="DZ131" s="611"/>
      <c r="EA131" s="620"/>
      <c r="EB131" s="117">
        <v>0</v>
      </c>
      <c r="EC131" s="116"/>
      <c r="ED131" s="56"/>
      <c r="EE131" s="611"/>
      <c r="EF131" s="620"/>
      <c r="EG131" s="117">
        <v>0</v>
      </c>
      <c r="EH131" s="116"/>
      <c r="EI131" s="56"/>
      <c r="EJ131" s="611"/>
      <c r="EK131" s="620"/>
      <c r="EL131" s="117">
        <f t="shared" si="17"/>
        <v>0</v>
      </c>
      <c r="EM131" s="116"/>
      <c r="EN131" s="56"/>
      <c r="EO131" s="144"/>
    </row>
    <row r="132" spans="4:145" hidden="1" x14ac:dyDescent="0.3">
      <c r="D132" s="144"/>
      <c r="E132" s="494"/>
      <c r="G132" s="56"/>
      <c r="H132" s="56"/>
      <c r="I132" s="56"/>
      <c r="J132" s="611"/>
      <c r="K132" s="56"/>
      <c r="L132" s="56"/>
      <c r="M132" s="56"/>
      <c r="N132" s="56"/>
      <c r="O132" s="611"/>
      <c r="P132" s="56"/>
      <c r="Q132" s="56"/>
      <c r="R132" s="56"/>
      <c r="S132" s="56"/>
      <c r="T132" s="611"/>
      <c r="U132" s="56"/>
      <c r="V132" s="56"/>
      <c r="W132" s="56"/>
      <c r="X132" s="56"/>
      <c r="Y132" s="611"/>
      <c r="Z132" s="56"/>
      <c r="AA132" s="56"/>
      <c r="AB132" s="56"/>
      <c r="AC132" s="56"/>
      <c r="AD132" s="611"/>
      <c r="AE132" s="56"/>
      <c r="AF132" s="56"/>
      <c r="AG132" s="56"/>
      <c r="AH132" s="56"/>
      <c r="AI132" s="611"/>
      <c r="AJ132" s="56"/>
      <c r="AK132" s="56"/>
      <c r="AL132" s="56"/>
      <c r="AM132" s="56"/>
      <c r="AN132" s="611"/>
      <c r="AO132" s="56"/>
      <c r="AP132" s="56"/>
      <c r="AQ132" s="56"/>
      <c r="AR132" s="56"/>
      <c r="AS132" s="611"/>
      <c r="AT132" s="56"/>
      <c r="AU132" s="56"/>
      <c r="AV132" s="56"/>
      <c r="AW132" s="56"/>
      <c r="AX132" s="611"/>
      <c r="AY132" s="56"/>
      <c r="AZ132" s="56"/>
      <c r="BA132" s="56"/>
      <c r="BB132" s="56"/>
      <c r="BC132" s="611"/>
      <c r="BD132" s="56"/>
      <c r="BE132" s="56"/>
      <c r="BF132" s="56"/>
      <c r="BG132" s="56"/>
      <c r="BH132" s="611"/>
      <c r="BI132" s="56"/>
      <c r="BJ132" s="56"/>
      <c r="BK132" s="56"/>
      <c r="BL132" s="56"/>
      <c r="BM132" s="611"/>
      <c r="BN132" s="56"/>
      <c r="BO132" s="56"/>
      <c r="BP132" s="56"/>
      <c r="BQ132" s="56"/>
      <c r="BR132" s="611"/>
      <c r="BS132" s="56"/>
      <c r="BT132" s="56"/>
      <c r="BU132" s="56"/>
      <c r="BV132" s="56"/>
      <c r="BW132" s="611"/>
      <c r="BX132" s="56"/>
      <c r="BY132" s="56"/>
      <c r="BZ132" s="56"/>
      <c r="CA132" s="56"/>
      <c r="CB132" s="611"/>
      <c r="CC132" s="56"/>
      <c r="CD132" s="56"/>
      <c r="CE132" s="56"/>
      <c r="CF132" s="56"/>
      <c r="CG132" s="611"/>
      <c r="CH132" s="56"/>
      <c r="CI132" s="56"/>
      <c r="CJ132" s="56"/>
      <c r="CK132" s="56"/>
      <c r="CL132" s="611"/>
      <c r="CM132" s="56"/>
      <c r="CN132" s="56"/>
      <c r="CO132" s="56"/>
      <c r="CP132" s="56"/>
      <c r="CQ132" s="611"/>
      <c r="CR132" s="56"/>
      <c r="CS132" s="56"/>
      <c r="CT132" s="56"/>
      <c r="CU132" s="56"/>
      <c r="CV132" s="611"/>
      <c r="CW132" s="56"/>
      <c r="CX132" s="56"/>
      <c r="CY132" s="56"/>
      <c r="CZ132" s="56"/>
      <c r="DA132" s="611"/>
      <c r="DB132" s="56"/>
      <c r="DC132" s="56"/>
      <c r="DD132" s="56"/>
      <c r="DE132" s="56"/>
      <c r="DF132" s="611"/>
      <c r="DG132" s="56"/>
      <c r="DH132" s="56"/>
      <c r="DI132" s="56"/>
      <c r="DJ132" s="56"/>
      <c r="DK132" s="611"/>
      <c r="DL132" s="56"/>
      <c r="DM132" s="56"/>
      <c r="DN132" s="56"/>
      <c r="DO132" s="56"/>
      <c r="DP132" s="611"/>
      <c r="DQ132" s="56"/>
      <c r="DR132" s="56"/>
      <c r="DS132" s="56"/>
      <c r="DT132" s="56"/>
      <c r="DU132" s="611"/>
      <c r="DV132" s="56"/>
      <c r="DW132" s="56"/>
      <c r="DX132" s="56"/>
      <c r="DY132" s="56"/>
      <c r="DZ132" s="611"/>
      <c r="EA132" s="56"/>
      <c r="EB132" s="56"/>
      <c r="EC132" s="56"/>
      <c r="ED132" s="56"/>
      <c r="EE132" s="611"/>
      <c r="EF132" s="56"/>
      <c r="EG132" s="56"/>
      <c r="EH132" s="56"/>
      <c r="EI132" s="56"/>
      <c r="EJ132" s="611"/>
      <c r="EK132" s="56"/>
      <c r="EL132" s="56"/>
      <c r="EM132" s="56"/>
      <c r="EN132" s="56"/>
      <c r="EO132" s="144"/>
    </row>
    <row r="133" spans="4:145" hidden="1" x14ac:dyDescent="0.3">
      <c r="D133" s="144" t="s">
        <v>451</v>
      </c>
      <c r="E133" s="494"/>
      <c r="G133" s="56">
        <v>0</v>
      </c>
      <c r="H133" s="56"/>
      <c r="I133" s="56"/>
      <c r="J133" s="611"/>
      <c r="K133" s="56"/>
      <c r="L133" s="56">
        <f>SUM(L134:L135)</f>
        <v>0</v>
      </c>
      <c r="M133" s="56"/>
      <c r="N133" s="56"/>
      <c r="O133" s="611"/>
      <c r="P133" s="56"/>
      <c r="Q133" s="56">
        <f>SUM(Q134:Q135)</f>
        <v>0</v>
      </c>
      <c r="R133" s="56"/>
      <c r="S133" s="56"/>
      <c r="T133" s="611"/>
      <c r="U133" s="56"/>
      <c r="V133" s="56">
        <f>SUM(V134:V135)</f>
        <v>0</v>
      </c>
      <c r="W133" s="56"/>
      <c r="X133" s="56"/>
      <c r="Y133" s="611"/>
      <c r="Z133" s="56"/>
      <c r="AA133" s="56">
        <f>SUM(AA134:AA135)</f>
        <v>0</v>
      </c>
      <c r="AB133" s="56"/>
      <c r="AC133" s="56"/>
      <c r="AD133" s="611"/>
      <c r="AE133" s="56"/>
      <c r="AF133" s="56">
        <f>SUM(AF134:AF135)</f>
        <v>0</v>
      </c>
      <c r="AG133" s="56"/>
      <c r="AH133" s="56"/>
      <c r="AI133" s="611"/>
      <c r="AJ133" s="56"/>
      <c r="AK133" s="56">
        <f>SUM(AK134:AK135)</f>
        <v>0</v>
      </c>
      <c r="AL133" s="56"/>
      <c r="AM133" s="56"/>
      <c r="AN133" s="611"/>
      <c r="AO133" s="56"/>
      <c r="AP133" s="56">
        <f>SUM(AP134:AP135)</f>
        <v>0</v>
      </c>
      <c r="AQ133" s="56"/>
      <c r="AR133" s="56"/>
      <c r="AS133" s="611"/>
      <c r="AT133" s="56"/>
      <c r="AU133" s="56">
        <f>SUM(AU134:AU135)</f>
        <v>0</v>
      </c>
      <c r="AV133" s="56"/>
      <c r="AW133" s="56"/>
      <c r="AX133" s="611"/>
      <c r="AY133" s="56"/>
      <c r="AZ133" s="56">
        <f>SUM(AZ134:AZ135)</f>
        <v>0</v>
      </c>
      <c r="BA133" s="56"/>
      <c r="BB133" s="56"/>
      <c r="BC133" s="611"/>
      <c r="BD133" s="56"/>
      <c r="BE133" s="56">
        <f>SUM(BE134:BE135)</f>
        <v>0</v>
      </c>
      <c r="BF133" s="56"/>
      <c r="BG133" s="56"/>
      <c r="BH133" s="611"/>
      <c r="BI133" s="56"/>
      <c r="BJ133" s="56">
        <f>SUM(BJ134:BJ135)</f>
        <v>0</v>
      </c>
      <c r="BK133" s="56"/>
      <c r="BL133" s="56"/>
      <c r="BM133" s="611"/>
      <c r="BN133" s="56"/>
      <c r="BO133" s="56">
        <f>SUM(BO134:BO135)</f>
        <v>0</v>
      </c>
      <c r="BP133" s="56"/>
      <c r="BQ133" s="56"/>
      <c r="BR133" s="611"/>
      <c r="BS133" s="56"/>
      <c r="BT133" s="56">
        <f>SUM(BT134:BT135)</f>
        <v>0</v>
      </c>
      <c r="BU133" s="56"/>
      <c r="BV133" s="56"/>
      <c r="BW133" s="611"/>
      <c r="BX133" s="56"/>
      <c r="BY133" s="56">
        <f>SUM(BY134:BY135)</f>
        <v>0</v>
      </c>
      <c r="BZ133" s="56"/>
      <c r="CA133" s="56"/>
      <c r="CB133" s="611"/>
      <c r="CC133" s="56"/>
      <c r="CD133" s="56">
        <f>SUM(CD134:CD135)</f>
        <v>0</v>
      </c>
      <c r="CE133" s="56"/>
      <c r="CF133" s="56"/>
      <c r="CG133" s="611"/>
      <c r="CH133" s="56"/>
      <c r="CI133" s="56">
        <f>SUM(CI134:CI135)</f>
        <v>0</v>
      </c>
      <c r="CJ133" s="56"/>
      <c r="CK133" s="56"/>
      <c r="CL133" s="611"/>
      <c r="CM133" s="56"/>
      <c r="CN133" s="56">
        <f>SUM(CN134:CN135)</f>
        <v>0</v>
      </c>
      <c r="CO133" s="56"/>
      <c r="CP133" s="56"/>
      <c r="CQ133" s="611"/>
      <c r="CR133" s="56"/>
      <c r="CS133" s="56">
        <f>SUM(CS134:CS135)</f>
        <v>0</v>
      </c>
      <c r="CT133" s="56"/>
      <c r="CU133" s="56"/>
      <c r="CV133" s="611"/>
      <c r="CW133" s="56"/>
      <c r="CX133" s="56">
        <f>SUM(CX134:CX135)</f>
        <v>0</v>
      </c>
      <c r="CY133" s="56"/>
      <c r="CZ133" s="56"/>
      <c r="DA133" s="611"/>
      <c r="DB133" s="56"/>
      <c r="DC133" s="56">
        <f>SUM(DC134:DC135)</f>
        <v>0</v>
      </c>
      <c r="DD133" s="56"/>
      <c r="DE133" s="56"/>
      <c r="DF133" s="611"/>
      <c r="DG133" s="56"/>
      <c r="DH133" s="56">
        <f>SUM(DH134:DH135)</f>
        <v>0</v>
      </c>
      <c r="DI133" s="56"/>
      <c r="DJ133" s="56"/>
      <c r="DK133" s="611"/>
      <c r="DL133" s="56"/>
      <c r="DM133" s="56">
        <f>SUM(DM134:DM135)</f>
        <v>0</v>
      </c>
      <c r="DN133" s="56"/>
      <c r="DO133" s="56"/>
      <c r="DP133" s="611"/>
      <c r="DQ133" s="56"/>
      <c r="DR133" s="56">
        <f>SUM(DR134:DR135)</f>
        <v>0</v>
      </c>
      <c r="DS133" s="56"/>
      <c r="DT133" s="56"/>
      <c r="DU133" s="611"/>
      <c r="DV133" s="56"/>
      <c r="DW133" s="56">
        <f>SUM(DW134:DW135)</f>
        <v>0</v>
      </c>
      <c r="DX133" s="56"/>
      <c r="DY133" s="56"/>
      <c r="DZ133" s="611"/>
      <c r="EA133" s="56"/>
      <c r="EB133" s="56">
        <f>SUM(EB134:EB135)</f>
        <v>0</v>
      </c>
      <c r="EC133" s="56"/>
      <c r="ED133" s="56"/>
      <c r="EE133" s="611"/>
      <c r="EF133" s="56"/>
      <c r="EG133" s="56">
        <f>SUM(EG134:EG135)</f>
        <v>0</v>
      </c>
      <c r="EH133" s="56"/>
      <c r="EI133" s="56"/>
      <c r="EJ133" s="611"/>
      <c r="EK133" s="56"/>
      <c r="EL133" s="56">
        <f>SUM(EL134:EL135)</f>
        <v>0</v>
      </c>
      <c r="EM133" s="56"/>
      <c r="EN133" s="56"/>
      <c r="EO133" s="144"/>
    </row>
    <row r="134" spans="4:145" hidden="1" x14ac:dyDescent="0.3">
      <c r="D134" s="144" t="s">
        <v>446</v>
      </c>
      <c r="E134" s="494"/>
      <c r="F134" s="500"/>
      <c r="G134" s="609">
        <v>0</v>
      </c>
      <c r="H134" s="610"/>
      <c r="I134" s="56"/>
      <c r="J134" s="611"/>
      <c r="K134" s="612"/>
      <c r="L134" s="609">
        <v>0</v>
      </c>
      <c r="M134" s="610"/>
      <c r="N134" s="56"/>
      <c r="O134" s="611"/>
      <c r="P134" s="612"/>
      <c r="Q134" s="609">
        <v>0</v>
      </c>
      <c r="R134" s="610"/>
      <c r="S134" s="56"/>
      <c r="T134" s="611"/>
      <c r="U134" s="612"/>
      <c r="V134" s="609">
        <v>0</v>
      </c>
      <c r="W134" s="610"/>
      <c r="X134" s="56"/>
      <c r="Y134" s="611"/>
      <c r="Z134" s="612"/>
      <c r="AA134" s="609">
        <v>0</v>
      </c>
      <c r="AB134" s="610"/>
      <c r="AC134" s="56"/>
      <c r="AD134" s="611"/>
      <c r="AE134" s="612"/>
      <c r="AF134" s="609">
        <v>0</v>
      </c>
      <c r="AG134" s="610"/>
      <c r="AH134" s="56"/>
      <c r="AI134" s="611"/>
      <c r="AJ134" s="612"/>
      <c r="AK134" s="609">
        <v>0</v>
      </c>
      <c r="AL134" s="610"/>
      <c r="AM134" s="56"/>
      <c r="AN134" s="611"/>
      <c r="AO134" s="612"/>
      <c r="AP134" s="609">
        <v>0</v>
      </c>
      <c r="AQ134" s="610"/>
      <c r="AR134" s="56"/>
      <c r="AS134" s="611"/>
      <c r="AT134" s="612"/>
      <c r="AU134" s="609">
        <v>0</v>
      </c>
      <c r="AV134" s="610"/>
      <c r="AW134" s="56"/>
      <c r="AX134" s="611"/>
      <c r="AY134" s="612"/>
      <c r="AZ134" s="609">
        <v>0</v>
      </c>
      <c r="BA134" s="610"/>
      <c r="BB134" s="56"/>
      <c r="BC134" s="611"/>
      <c r="BD134" s="612"/>
      <c r="BE134" s="609">
        <v>0</v>
      </c>
      <c r="BF134" s="610"/>
      <c r="BG134" s="56"/>
      <c r="BH134" s="611"/>
      <c r="BI134" s="612"/>
      <c r="BJ134" s="609">
        <v>0</v>
      </c>
      <c r="BK134" s="610"/>
      <c r="BL134" s="56"/>
      <c r="BM134" s="611"/>
      <c r="BN134" s="612"/>
      <c r="BO134" s="609">
        <v>0</v>
      </c>
      <c r="BP134" s="610"/>
      <c r="BQ134" s="56"/>
      <c r="BR134" s="611"/>
      <c r="BS134" s="612"/>
      <c r="BT134" s="609">
        <f>SUM(L134:BO134)</f>
        <v>0</v>
      </c>
      <c r="BU134" s="610"/>
      <c r="BV134" s="56"/>
      <c r="BW134" s="611"/>
      <c r="BX134" s="612"/>
      <c r="BY134" s="609">
        <f>SUM(Q134:BT134)</f>
        <v>0</v>
      </c>
      <c r="BZ134" s="610"/>
      <c r="CA134" s="56"/>
      <c r="CB134" s="611"/>
      <c r="CC134" s="612"/>
      <c r="CD134" s="609">
        <v>0</v>
      </c>
      <c r="CE134" s="610"/>
      <c r="CF134" s="56"/>
      <c r="CG134" s="611"/>
      <c r="CH134" s="612"/>
      <c r="CI134" s="609">
        <v>0</v>
      </c>
      <c r="CJ134" s="610"/>
      <c r="CK134" s="56"/>
      <c r="CL134" s="611"/>
      <c r="CM134" s="612"/>
      <c r="CN134" s="609">
        <v>0</v>
      </c>
      <c r="CO134" s="610"/>
      <c r="CP134" s="56"/>
      <c r="CQ134" s="611"/>
      <c r="CR134" s="612"/>
      <c r="CS134" s="609">
        <v>0</v>
      </c>
      <c r="CT134" s="610"/>
      <c r="CU134" s="56"/>
      <c r="CV134" s="611"/>
      <c r="CW134" s="612"/>
      <c r="CX134" s="609">
        <v>0</v>
      </c>
      <c r="CY134" s="610"/>
      <c r="CZ134" s="56"/>
      <c r="DA134" s="611"/>
      <c r="DB134" s="612"/>
      <c r="DC134" s="609">
        <v>0</v>
      </c>
      <c r="DD134" s="610"/>
      <c r="DE134" s="56"/>
      <c r="DF134" s="611"/>
      <c r="DG134" s="612"/>
      <c r="DH134" s="609">
        <v>0</v>
      </c>
      <c r="DI134" s="610"/>
      <c r="DJ134" s="56"/>
      <c r="DK134" s="611"/>
      <c r="DL134" s="612"/>
      <c r="DM134" s="609">
        <v>0</v>
      </c>
      <c r="DN134" s="610"/>
      <c r="DO134" s="56"/>
      <c r="DP134" s="611"/>
      <c r="DQ134" s="612"/>
      <c r="DR134" s="609">
        <v>0</v>
      </c>
      <c r="DS134" s="610"/>
      <c r="DT134" s="56"/>
      <c r="DU134" s="611"/>
      <c r="DV134" s="612"/>
      <c r="DW134" s="609">
        <v>0</v>
      </c>
      <c r="DX134" s="610"/>
      <c r="DY134" s="56"/>
      <c r="DZ134" s="611"/>
      <c r="EA134" s="612"/>
      <c r="EB134" s="609">
        <v>0</v>
      </c>
      <c r="EC134" s="610"/>
      <c r="ED134" s="56"/>
      <c r="EE134" s="611"/>
      <c r="EF134" s="612"/>
      <c r="EG134" s="609">
        <v>0</v>
      </c>
      <c r="EH134" s="610"/>
      <c r="EI134" s="56"/>
      <c r="EJ134" s="611"/>
      <c r="EK134" s="612"/>
      <c r="EL134" s="609">
        <f>SUM(CD134:EG134)</f>
        <v>0</v>
      </c>
      <c r="EM134" s="610"/>
      <c r="EN134" s="56"/>
      <c r="EO134" s="144"/>
    </row>
    <row r="135" spans="4:145" hidden="1" x14ac:dyDescent="0.3">
      <c r="D135" s="144" t="s">
        <v>447</v>
      </c>
      <c r="E135" s="494"/>
      <c r="F135" s="513"/>
      <c r="G135" s="117">
        <v>0</v>
      </c>
      <c r="H135" s="116"/>
      <c r="I135" s="56"/>
      <c r="J135" s="611"/>
      <c r="K135" s="620"/>
      <c r="L135" s="117">
        <v>0</v>
      </c>
      <c r="M135" s="116"/>
      <c r="N135" s="56"/>
      <c r="O135" s="611"/>
      <c r="P135" s="620"/>
      <c r="Q135" s="117">
        <v>0</v>
      </c>
      <c r="R135" s="116"/>
      <c r="S135" s="56"/>
      <c r="T135" s="611"/>
      <c r="U135" s="620"/>
      <c r="V135" s="117">
        <v>0</v>
      </c>
      <c r="W135" s="116"/>
      <c r="X135" s="56"/>
      <c r="Y135" s="611"/>
      <c r="Z135" s="620"/>
      <c r="AA135" s="117">
        <v>0</v>
      </c>
      <c r="AB135" s="116"/>
      <c r="AC135" s="56"/>
      <c r="AD135" s="611"/>
      <c r="AE135" s="620"/>
      <c r="AF135" s="117">
        <v>0</v>
      </c>
      <c r="AG135" s="116"/>
      <c r="AH135" s="56"/>
      <c r="AI135" s="611"/>
      <c r="AJ135" s="620"/>
      <c r="AK135" s="117">
        <v>0</v>
      </c>
      <c r="AL135" s="116"/>
      <c r="AM135" s="56"/>
      <c r="AN135" s="611"/>
      <c r="AO135" s="620"/>
      <c r="AP135" s="117">
        <v>0</v>
      </c>
      <c r="AQ135" s="116"/>
      <c r="AR135" s="56"/>
      <c r="AS135" s="611"/>
      <c r="AT135" s="620"/>
      <c r="AU135" s="117">
        <v>0</v>
      </c>
      <c r="AV135" s="116"/>
      <c r="AW135" s="56"/>
      <c r="AX135" s="611"/>
      <c r="AY135" s="620"/>
      <c r="AZ135" s="117">
        <v>0</v>
      </c>
      <c r="BA135" s="116"/>
      <c r="BB135" s="56"/>
      <c r="BC135" s="611"/>
      <c r="BD135" s="620"/>
      <c r="BE135" s="117">
        <v>0</v>
      </c>
      <c r="BF135" s="116"/>
      <c r="BG135" s="56"/>
      <c r="BH135" s="611"/>
      <c r="BI135" s="620"/>
      <c r="BJ135" s="117">
        <v>0</v>
      </c>
      <c r="BK135" s="116"/>
      <c r="BL135" s="56"/>
      <c r="BM135" s="611"/>
      <c r="BN135" s="620"/>
      <c r="BO135" s="117">
        <v>0</v>
      </c>
      <c r="BP135" s="116"/>
      <c r="BQ135" s="56"/>
      <c r="BR135" s="611"/>
      <c r="BS135" s="620"/>
      <c r="BT135" s="117">
        <f>SUM(L135:BO135)</f>
        <v>0</v>
      </c>
      <c r="BU135" s="116"/>
      <c r="BV135" s="56"/>
      <c r="BW135" s="611"/>
      <c r="BX135" s="620"/>
      <c r="BY135" s="117">
        <f>SUM(Q135:BT135)</f>
        <v>0</v>
      </c>
      <c r="BZ135" s="116"/>
      <c r="CA135" s="56"/>
      <c r="CB135" s="611"/>
      <c r="CC135" s="620"/>
      <c r="CD135" s="117">
        <v>0</v>
      </c>
      <c r="CE135" s="116"/>
      <c r="CF135" s="56"/>
      <c r="CG135" s="611"/>
      <c r="CH135" s="620"/>
      <c r="CI135" s="117">
        <v>0</v>
      </c>
      <c r="CJ135" s="116"/>
      <c r="CK135" s="56"/>
      <c r="CL135" s="611"/>
      <c r="CM135" s="620"/>
      <c r="CN135" s="117">
        <v>0</v>
      </c>
      <c r="CO135" s="116"/>
      <c r="CP135" s="56"/>
      <c r="CQ135" s="611"/>
      <c r="CR135" s="620"/>
      <c r="CS135" s="117">
        <v>0</v>
      </c>
      <c r="CT135" s="116"/>
      <c r="CU135" s="56"/>
      <c r="CV135" s="611"/>
      <c r="CW135" s="620"/>
      <c r="CX135" s="117">
        <v>0</v>
      </c>
      <c r="CY135" s="116"/>
      <c r="CZ135" s="56"/>
      <c r="DA135" s="611"/>
      <c r="DB135" s="620"/>
      <c r="DC135" s="117">
        <v>0</v>
      </c>
      <c r="DD135" s="116"/>
      <c r="DE135" s="56"/>
      <c r="DF135" s="611"/>
      <c r="DG135" s="620"/>
      <c r="DH135" s="117">
        <v>0</v>
      </c>
      <c r="DI135" s="116"/>
      <c r="DJ135" s="56"/>
      <c r="DK135" s="611"/>
      <c r="DL135" s="620"/>
      <c r="DM135" s="117">
        <v>0</v>
      </c>
      <c r="DN135" s="116"/>
      <c r="DO135" s="56"/>
      <c r="DP135" s="611"/>
      <c r="DQ135" s="620"/>
      <c r="DR135" s="117">
        <v>0</v>
      </c>
      <c r="DS135" s="116"/>
      <c r="DT135" s="56"/>
      <c r="DU135" s="611"/>
      <c r="DV135" s="620"/>
      <c r="DW135" s="117">
        <v>0</v>
      </c>
      <c r="DX135" s="116"/>
      <c r="DY135" s="56"/>
      <c r="DZ135" s="611"/>
      <c r="EA135" s="620"/>
      <c r="EB135" s="117">
        <v>0</v>
      </c>
      <c r="EC135" s="116"/>
      <c r="ED135" s="56"/>
      <c r="EE135" s="611"/>
      <c r="EF135" s="620"/>
      <c r="EG135" s="117">
        <v>0</v>
      </c>
      <c r="EH135" s="116"/>
      <c r="EI135" s="56"/>
      <c r="EJ135" s="611"/>
      <c r="EK135" s="620"/>
      <c r="EL135" s="117">
        <f>SUM(CD135:EG135)</f>
        <v>0</v>
      </c>
      <c r="EM135" s="116"/>
      <c r="EN135" s="56"/>
      <c r="EO135" s="144"/>
    </row>
    <row r="136" spans="4:145" hidden="1" x14ac:dyDescent="0.3">
      <c r="D136" s="144"/>
      <c r="E136" s="494"/>
      <c r="G136" s="56"/>
      <c r="H136" s="56"/>
      <c r="I136" s="56"/>
      <c r="J136" s="611"/>
      <c r="K136" s="56"/>
      <c r="L136" s="56"/>
      <c r="M136" s="56"/>
      <c r="N136" s="56"/>
      <c r="O136" s="611"/>
      <c r="P136" s="56"/>
      <c r="Q136" s="56"/>
      <c r="R136" s="56"/>
      <c r="S136" s="56"/>
      <c r="T136" s="611"/>
      <c r="U136" s="56"/>
      <c r="V136" s="56"/>
      <c r="W136" s="56"/>
      <c r="X136" s="56"/>
      <c r="Y136" s="611"/>
      <c r="Z136" s="56"/>
      <c r="AA136" s="56"/>
      <c r="AB136" s="56"/>
      <c r="AC136" s="56"/>
      <c r="AD136" s="611"/>
      <c r="AE136" s="56"/>
      <c r="AF136" s="56"/>
      <c r="AG136" s="56"/>
      <c r="AH136" s="56"/>
      <c r="AI136" s="611"/>
      <c r="AJ136" s="56"/>
      <c r="AK136" s="56"/>
      <c r="AL136" s="56"/>
      <c r="AM136" s="56"/>
      <c r="AN136" s="611"/>
      <c r="AO136" s="56"/>
      <c r="AP136" s="56"/>
      <c r="AQ136" s="56"/>
      <c r="AR136" s="56"/>
      <c r="AS136" s="611"/>
      <c r="AT136" s="56"/>
      <c r="AU136" s="56"/>
      <c r="AV136" s="56"/>
      <c r="AW136" s="56"/>
      <c r="AX136" s="611"/>
      <c r="AY136" s="56"/>
      <c r="AZ136" s="56"/>
      <c r="BA136" s="56"/>
      <c r="BB136" s="56"/>
      <c r="BC136" s="611"/>
      <c r="BD136" s="56"/>
      <c r="BE136" s="56"/>
      <c r="BF136" s="56"/>
      <c r="BG136" s="56"/>
      <c r="BH136" s="611"/>
      <c r="BI136" s="56"/>
      <c r="BJ136" s="56"/>
      <c r="BK136" s="56"/>
      <c r="BL136" s="56"/>
      <c r="BM136" s="611"/>
      <c r="BN136" s="56"/>
      <c r="BO136" s="56"/>
      <c r="BP136" s="56"/>
      <c r="BQ136" s="56"/>
      <c r="BR136" s="611"/>
      <c r="BS136" s="56"/>
      <c r="BT136" s="56"/>
      <c r="BU136" s="56"/>
      <c r="BV136" s="56"/>
      <c r="BW136" s="611"/>
      <c r="BX136" s="56"/>
      <c r="BY136" s="56"/>
      <c r="BZ136" s="56"/>
      <c r="CA136" s="56"/>
      <c r="CB136" s="611"/>
      <c r="CC136" s="56"/>
      <c r="CD136" s="56"/>
      <c r="CE136" s="56"/>
      <c r="CF136" s="56"/>
      <c r="CG136" s="611"/>
      <c r="CH136" s="56"/>
      <c r="CI136" s="56"/>
      <c r="CJ136" s="56"/>
      <c r="CK136" s="56"/>
      <c r="CL136" s="611"/>
      <c r="CM136" s="56"/>
      <c r="CN136" s="56"/>
      <c r="CO136" s="56"/>
      <c r="CP136" s="56"/>
      <c r="CQ136" s="611"/>
      <c r="CR136" s="56"/>
      <c r="CS136" s="56"/>
      <c r="CT136" s="56"/>
      <c r="CU136" s="56"/>
      <c r="CV136" s="611"/>
      <c r="CW136" s="56"/>
      <c r="CX136" s="56"/>
      <c r="CY136" s="56"/>
      <c r="CZ136" s="56"/>
      <c r="DA136" s="611"/>
      <c r="DB136" s="56"/>
      <c r="DC136" s="56"/>
      <c r="DD136" s="56"/>
      <c r="DE136" s="56"/>
      <c r="DF136" s="611"/>
      <c r="DG136" s="56"/>
      <c r="DH136" s="56"/>
      <c r="DI136" s="56"/>
      <c r="DJ136" s="56"/>
      <c r="DK136" s="611"/>
      <c r="DL136" s="56"/>
      <c r="DM136" s="56"/>
      <c r="DN136" s="56"/>
      <c r="DO136" s="56"/>
      <c r="DP136" s="611"/>
      <c r="DQ136" s="56"/>
      <c r="DR136" s="56"/>
      <c r="DS136" s="56"/>
      <c r="DT136" s="56"/>
      <c r="DU136" s="611"/>
      <c r="DV136" s="56"/>
      <c r="DW136" s="56"/>
      <c r="DX136" s="56"/>
      <c r="DY136" s="56"/>
      <c r="DZ136" s="611"/>
      <c r="EA136" s="56"/>
      <c r="EB136" s="56"/>
      <c r="EC136" s="56"/>
      <c r="ED136" s="56"/>
      <c r="EE136" s="611"/>
      <c r="EF136" s="56"/>
      <c r="EG136" s="56"/>
      <c r="EH136" s="56"/>
      <c r="EI136" s="56"/>
      <c r="EJ136" s="611"/>
      <c r="EK136" s="56"/>
      <c r="EL136" s="56"/>
      <c r="EM136" s="56"/>
      <c r="EN136" s="56"/>
      <c r="EO136" s="144"/>
    </row>
    <row r="137" spans="4:145" hidden="1" x14ac:dyDescent="0.3">
      <c r="D137" s="144" t="s">
        <v>452</v>
      </c>
      <c r="E137" s="494"/>
      <c r="G137" s="56">
        <v>0</v>
      </c>
      <c r="H137" s="56"/>
      <c r="I137" s="56"/>
      <c r="J137" s="611"/>
      <c r="K137" s="56"/>
      <c r="L137" s="56">
        <f>SUM(L138:L139)</f>
        <v>0</v>
      </c>
      <c r="M137" s="56"/>
      <c r="N137" s="56"/>
      <c r="O137" s="611"/>
      <c r="P137" s="56"/>
      <c r="Q137" s="56">
        <f>SUM(Q138:Q139)</f>
        <v>0</v>
      </c>
      <c r="R137" s="56"/>
      <c r="S137" s="56"/>
      <c r="T137" s="611"/>
      <c r="U137" s="56"/>
      <c r="V137" s="56">
        <f>SUM(V138:V139)</f>
        <v>0</v>
      </c>
      <c r="W137" s="56"/>
      <c r="X137" s="56"/>
      <c r="Y137" s="611"/>
      <c r="Z137" s="56"/>
      <c r="AA137" s="56">
        <f>SUM(AA138:AA139)</f>
        <v>0</v>
      </c>
      <c r="AB137" s="56"/>
      <c r="AC137" s="56"/>
      <c r="AD137" s="611"/>
      <c r="AE137" s="56"/>
      <c r="AF137" s="56">
        <f>SUM(AF138:AF139)</f>
        <v>0</v>
      </c>
      <c r="AG137" s="56"/>
      <c r="AH137" s="56"/>
      <c r="AI137" s="611"/>
      <c r="AJ137" s="56"/>
      <c r="AK137" s="56">
        <f>SUM(AK138:AK139)</f>
        <v>0</v>
      </c>
      <c r="AL137" s="56"/>
      <c r="AM137" s="56"/>
      <c r="AN137" s="611"/>
      <c r="AO137" s="56"/>
      <c r="AP137" s="56">
        <f>SUM(AP138:AP139)</f>
        <v>0</v>
      </c>
      <c r="AQ137" s="56"/>
      <c r="AR137" s="56"/>
      <c r="AS137" s="611"/>
      <c r="AT137" s="56"/>
      <c r="AU137" s="56">
        <f>SUM(AU138:AU139)</f>
        <v>0</v>
      </c>
      <c r="AV137" s="56"/>
      <c r="AW137" s="56"/>
      <c r="AX137" s="611"/>
      <c r="AY137" s="56"/>
      <c r="AZ137" s="56">
        <f>SUM(AZ138:AZ139)</f>
        <v>0</v>
      </c>
      <c r="BA137" s="56"/>
      <c r="BB137" s="56"/>
      <c r="BC137" s="611"/>
      <c r="BD137" s="56"/>
      <c r="BE137" s="56">
        <f>SUM(BE138:BE139)</f>
        <v>0</v>
      </c>
      <c r="BF137" s="56"/>
      <c r="BG137" s="56"/>
      <c r="BH137" s="611"/>
      <c r="BI137" s="56"/>
      <c r="BJ137" s="56">
        <f>SUM(BJ138:BJ139)</f>
        <v>0</v>
      </c>
      <c r="BK137" s="56"/>
      <c r="BL137" s="56"/>
      <c r="BM137" s="611"/>
      <c r="BN137" s="56"/>
      <c r="BO137" s="56">
        <f>SUM(BO138:BO139)</f>
        <v>0</v>
      </c>
      <c r="BP137" s="56"/>
      <c r="BQ137" s="56"/>
      <c r="BR137" s="611"/>
      <c r="BS137" s="56"/>
      <c r="BT137" s="56">
        <f>SUM(BT138:BT139)</f>
        <v>0</v>
      </c>
      <c r="BU137" s="56"/>
      <c r="BV137" s="56"/>
      <c r="BW137" s="611"/>
      <c r="BX137" s="56"/>
      <c r="BY137" s="56">
        <f>SUM(BY138:BY139)</f>
        <v>0</v>
      </c>
      <c r="BZ137" s="56"/>
      <c r="CA137" s="56"/>
      <c r="CB137" s="611"/>
      <c r="CC137" s="56"/>
      <c r="CD137" s="56">
        <f>SUM(CD138:CD139)</f>
        <v>0</v>
      </c>
      <c r="CE137" s="56"/>
      <c r="CF137" s="56"/>
      <c r="CG137" s="611"/>
      <c r="CH137" s="56"/>
      <c r="CI137" s="56">
        <f>SUM(CI138:CI139)</f>
        <v>0</v>
      </c>
      <c r="CJ137" s="56"/>
      <c r="CK137" s="56"/>
      <c r="CL137" s="611"/>
      <c r="CM137" s="56"/>
      <c r="CN137" s="56">
        <f>SUM(CN138:CN139)</f>
        <v>0</v>
      </c>
      <c r="CO137" s="56"/>
      <c r="CP137" s="56"/>
      <c r="CQ137" s="611"/>
      <c r="CR137" s="56"/>
      <c r="CS137" s="56">
        <f>SUM(CS138:CS139)</f>
        <v>0</v>
      </c>
      <c r="CT137" s="56"/>
      <c r="CU137" s="56"/>
      <c r="CV137" s="611"/>
      <c r="CW137" s="56"/>
      <c r="CX137" s="56">
        <f>SUM(CX138:CX139)</f>
        <v>0</v>
      </c>
      <c r="CY137" s="56"/>
      <c r="CZ137" s="56"/>
      <c r="DA137" s="611"/>
      <c r="DB137" s="56"/>
      <c r="DC137" s="56">
        <f>SUM(DC138:DC139)</f>
        <v>0</v>
      </c>
      <c r="DD137" s="56"/>
      <c r="DE137" s="56"/>
      <c r="DF137" s="611"/>
      <c r="DG137" s="56"/>
      <c r="DH137" s="56">
        <f>SUM(DH138:DH139)</f>
        <v>0</v>
      </c>
      <c r="DI137" s="56"/>
      <c r="DJ137" s="56"/>
      <c r="DK137" s="611"/>
      <c r="DL137" s="56"/>
      <c r="DM137" s="56">
        <f>SUM(DM138:DM139)</f>
        <v>0</v>
      </c>
      <c r="DN137" s="56"/>
      <c r="DO137" s="56"/>
      <c r="DP137" s="611"/>
      <c r="DQ137" s="56"/>
      <c r="DR137" s="56">
        <f>SUM(DR138:DR139)</f>
        <v>0</v>
      </c>
      <c r="DS137" s="56"/>
      <c r="DT137" s="56"/>
      <c r="DU137" s="611"/>
      <c r="DV137" s="56"/>
      <c r="DW137" s="56">
        <f>SUM(DW138:DW139)</f>
        <v>0</v>
      </c>
      <c r="DX137" s="56"/>
      <c r="DY137" s="56"/>
      <c r="DZ137" s="611"/>
      <c r="EA137" s="56"/>
      <c r="EB137" s="56">
        <f>SUM(EB138:EB139)</f>
        <v>0</v>
      </c>
      <c r="EC137" s="56"/>
      <c r="ED137" s="56"/>
      <c r="EE137" s="611"/>
      <c r="EF137" s="56"/>
      <c r="EG137" s="56">
        <f>SUM(EG138:EG139)</f>
        <v>0</v>
      </c>
      <c r="EH137" s="56"/>
      <c r="EI137" s="56"/>
      <c r="EJ137" s="611"/>
      <c r="EK137" s="56"/>
      <c r="EL137" s="56">
        <f>SUM(EL138:EL139)</f>
        <v>0</v>
      </c>
      <c r="EM137" s="56"/>
      <c r="EN137" s="56"/>
      <c r="EO137" s="144"/>
    </row>
    <row r="138" spans="4:145" hidden="1" x14ac:dyDescent="0.3">
      <c r="D138" s="144" t="s">
        <v>446</v>
      </c>
      <c r="E138" s="494"/>
      <c r="F138" s="500"/>
      <c r="G138" s="609">
        <v>0</v>
      </c>
      <c r="H138" s="610"/>
      <c r="I138" s="56"/>
      <c r="J138" s="611"/>
      <c r="K138" s="612"/>
      <c r="L138" s="609">
        <v>0</v>
      </c>
      <c r="M138" s="610"/>
      <c r="N138" s="56"/>
      <c r="O138" s="611"/>
      <c r="P138" s="612"/>
      <c r="Q138" s="609">
        <v>0</v>
      </c>
      <c r="R138" s="610"/>
      <c r="S138" s="56"/>
      <c r="T138" s="611"/>
      <c r="U138" s="612"/>
      <c r="V138" s="609">
        <v>0</v>
      </c>
      <c r="W138" s="610"/>
      <c r="X138" s="56"/>
      <c r="Y138" s="611"/>
      <c r="Z138" s="612"/>
      <c r="AA138" s="609">
        <v>0</v>
      </c>
      <c r="AB138" s="610"/>
      <c r="AC138" s="56"/>
      <c r="AD138" s="611"/>
      <c r="AE138" s="612"/>
      <c r="AF138" s="609">
        <v>0</v>
      </c>
      <c r="AG138" s="610"/>
      <c r="AH138" s="56"/>
      <c r="AI138" s="611"/>
      <c r="AJ138" s="612"/>
      <c r="AK138" s="609">
        <v>0</v>
      </c>
      <c r="AL138" s="610"/>
      <c r="AM138" s="56"/>
      <c r="AN138" s="611"/>
      <c r="AO138" s="612"/>
      <c r="AP138" s="609">
        <v>0</v>
      </c>
      <c r="AQ138" s="610"/>
      <c r="AR138" s="56"/>
      <c r="AS138" s="611"/>
      <c r="AT138" s="612"/>
      <c r="AU138" s="609">
        <v>0</v>
      </c>
      <c r="AV138" s="610"/>
      <c r="AW138" s="56"/>
      <c r="AX138" s="611"/>
      <c r="AY138" s="612"/>
      <c r="AZ138" s="609">
        <v>0</v>
      </c>
      <c r="BA138" s="610"/>
      <c r="BB138" s="56"/>
      <c r="BC138" s="611"/>
      <c r="BD138" s="612"/>
      <c r="BE138" s="609">
        <v>0</v>
      </c>
      <c r="BF138" s="610"/>
      <c r="BG138" s="56"/>
      <c r="BH138" s="611"/>
      <c r="BI138" s="612"/>
      <c r="BJ138" s="609">
        <v>0</v>
      </c>
      <c r="BK138" s="610"/>
      <c r="BL138" s="56"/>
      <c r="BM138" s="611"/>
      <c r="BN138" s="612"/>
      <c r="BO138" s="609">
        <v>0</v>
      </c>
      <c r="BP138" s="610"/>
      <c r="BQ138" s="56"/>
      <c r="BR138" s="611"/>
      <c r="BS138" s="612"/>
      <c r="BT138" s="609">
        <f>SUM(L138:BO138)</f>
        <v>0</v>
      </c>
      <c r="BU138" s="610"/>
      <c r="BV138" s="56"/>
      <c r="BW138" s="611"/>
      <c r="BX138" s="612"/>
      <c r="BY138" s="609">
        <f>SUM(Q138:BT138)</f>
        <v>0</v>
      </c>
      <c r="BZ138" s="610"/>
      <c r="CA138" s="56"/>
      <c r="CB138" s="611"/>
      <c r="CC138" s="612"/>
      <c r="CD138" s="609">
        <v>0</v>
      </c>
      <c r="CE138" s="610"/>
      <c r="CF138" s="56"/>
      <c r="CG138" s="611"/>
      <c r="CH138" s="612"/>
      <c r="CI138" s="609">
        <v>0</v>
      </c>
      <c r="CJ138" s="610"/>
      <c r="CK138" s="56"/>
      <c r="CL138" s="611"/>
      <c r="CM138" s="612"/>
      <c r="CN138" s="609">
        <v>0</v>
      </c>
      <c r="CO138" s="610"/>
      <c r="CP138" s="56"/>
      <c r="CQ138" s="611"/>
      <c r="CR138" s="612"/>
      <c r="CS138" s="609">
        <v>0</v>
      </c>
      <c r="CT138" s="610"/>
      <c r="CU138" s="56"/>
      <c r="CV138" s="611"/>
      <c r="CW138" s="612"/>
      <c r="CX138" s="609">
        <v>0</v>
      </c>
      <c r="CY138" s="610"/>
      <c r="CZ138" s="56"/>
      <c r="DA138" s="611"/>
      <c r="DB138" s="612"/>
      <c r="DC138" s="609">
        <v>0</v>
      </c>
      <c r="DD138" s="610"/>
      <c r="DE138" s="56"/>
      <c r="DF138" s="611"/>
      <c r="DG138" s="612"/>
      <c r="DH138" s="609">
        <v>0</v>
      </c>
      <c r="DI138" s="610"/>
      <c r="DJ138" s="56"/>
      <c r="DK138" s="611"/>
      <c r="DL138" s="612"/>
      <c r="DM138" s="609">
        <v>0</v>
      </c>
      <c r="DN138" s="610"/>
      <c r="DO138" s="56"/>
      <c r="DP138" s="611"/>
      <c r="DQ138" s="612"/>
      <c r="DR138" s="609">
        <v>0</v>
      </c>
      <c r="DS138" s="610"/>
      <c r="DT138" s="56"/>
      <c r="DU138" s="611"/>
      <c r="DV138" s="612"/>
      <c r="DW138" s="609">
        <v>0</v>
      </c>
      <c r="DX138" s="610"/>
      <c r="DY138" s="56"/>
      <c r="DZ138" s="611"/>
      <c r="EA138" s="612"/>
      <c r="EB138" s="609">
        <v>0</v>
      </c>
      <c r="EC138" s="610"/>
      <c r="ED138" s="56"/>
      <c r="EE138" s="611"/>
      <c r="EF138" s="612"/>
      <c r="EG138" s="609">
        <v>0</v>
      </c>
      <c r="EH138" s="610"/>
      <c r="EI138" s="56"/>
      <c r="EJ138" s="611"/>
      <c r="EK138" s="612"/>
      <c r="EL138" s="609">
        <f>SUM(CD138:EG138)</f>
        <v>0</v>
      </c>
      <c r="EM138" s="610"/>
      <c r="EN138" s="56"/>
      <c r="EO138" s="144"/>
    </row>
    <row r="139" spans="4:145" hidden="1" x14ac:dyDescent="0.3">
      <c r="D139" s="144" t="s">
        <v>447</v>
      </c>
      <c r="E139" s="494"/>
      <c r="F139" s="513"/>
      <c r="G139" s="117">
        <v>0</v>
      </c>
      <c r="H139" s="116"/>
      <c r="I139" s="56"/>
      <c r="J139" s="611"/>
      <c r="K139" s="620"/>
      <c r="L139" s="117">
        <v>0</v>
      </c>
      <c r="M139" s="116"/>
      <c r="N139" s="56"/>
      <c r="O139" s="611"/>
      <c r="P139" s="620"/>
      <c r="Q139" s="117">
        <v>0</v>
      </c>
      <c r="R139" s="116"/>
      <c r="S139" s="56"/>
      <c r="T139" s="611"/>
      <c r="U139" s="620"/>
      <c r="V139" s="117">
        <v>0</v>
      </c>
      <c r="W139" s="116"/>
      <c r="X139" s="56"/>
      <c r="Y139" s="611"/>
      <c r="Z139" s="620"/>
      <c r="AA139" s="117">
        <v>0</v>
      </c>
      <c r="AB139" s="116"/>
      <c r="AC139" s="56"/>
      <c r="AD139" s="611"/>
      <c r="AE139" s="620"/>
      <c r="AF139" s="117">
        <v>0</v>
      </c>
      <c r="AG139" s="116"/>
      <c r="AH139" s="56"/>
      <c r="AI139" s="611"/>
      <c r="AJ139" s="620"/>
      <c r="AK139" s="117">
        <v>0</v>
      </c>
      <c r="AL139" s="116"/>
      <c r="AM139" s="56"/>
      <c r="AN139" s="611"/>
      <c r="AO139" s="620"/>
      <c r="AP139" s="117">
        <v>0</v>
      </c>
      <c r="AQ139" s="116"/>
      <c r="AR139" s="56"/>
      <c r="AS139" s="611"/>
      <c r="AT139" s="620"/>
      <c r="AU139" s="117">
        <v>0</v>
      </c>
      <c r="AV139" s="116"/>
      <c r="AW139" s="56"/>
      <c r="AX139" s="611"/>
      <c r="AY139" s="620"/>
      <c r="AZ139" s="117">
        <v>0</v>
      </c>
      <c r="BA139" s="116"/>
      <c r="BB139" s="56"/>
      <c r="BC139" s="611"/>
      <c r="BD139" s="620"/>
      <c r="BE139" s="117">
        <v>0</v>
      </c>
      <c r="BF139" s="116"/>
      <c r="BG139" s="56"/>
      <c r="BH139" s="611"/>
      <c r="BI139" s="620"/>
      <c r="BJ139" s="117">
        <v>0</v>
      </c>
      <c r="BK139" s="116"/>
      <c r="BL139" s="56"/>
      <c r="BM139" s="611"/>
      <c r="BN139" s="620"/>
      <c r="BO139" s="117">
        <v>0</v>
      </c>
      <c r="BP139" s="116"/>
      <c r="BQ139" s="56"/>
      <c r="BR139" s="611"/>
      <c r="BS139" s="620"/>
      <c r="BT139" s="117">
        <f>SUM(L139:BO139)</f>
        <v>0</v>
      </c>
      <c r="BU139" s="116"/>
      <c r="BV139" s="56"/>
      <c r="BW139" s="611"/>
      <c r="BX139" s="620"/>
      <c r="BY139" s="117">
        <f>SUM(Q139:BT139)</f>
        <v>0</v>
      </c>
      <c r="BZ139" s="116"/>
      <c r="CA139" s="56"/>
      <c r="CB139" s="611"/>
      <c r="CC139" s="620"/>
      <c r="CD139" s="117">
        <v>0</v>
      </c>
      <c r="CE139" s="116"/>
      <c r="CF139" s="56"/>
      <c r="CG139" s="611"/>
      <c r="CH139" s="620"/>
      <c r="CI139" s="117">
        <v>0</v>
      </c>
      <c r="CJ139" s="116"/>
      <c r="CK139" s="56"/>
      <c r="CL139" s="611"/>
      <c r="CM139" s="620"/>
      <c r="CN139" s="117">
        <v>0</v>
      </c>
      <c r="CO139" s="116"/>
      <c r="CP139" s="56"/>
      <c r="CQ139" s="611"/>
      <c r="CR139" s="620"/>
      <c r="CS139" s="117">
        <v>0</v>
      </c>
      <c r="CT139" s="116"/>
      <c r="CU139" s="56"/>
      <c r="CV139" s="611"/>
      <c r="CW139" s="620"/>
      <c r="CX139" s="117">
        <v>0</v>
      </c>
      <c r="CY139" s="116"/>
      <c r="CZ139" s="56"/>
      <c r="DA139" s="611"/>
      <c r="DB139" s="620"/>
      <c r="DC139" s="117">
        <v>0</v>
      </c>
      <c r="DD139" s="116"/>
      <c r="DE139" s="56"/>
      <c r="DF139" s="611"/>
      <c r="DG139" s="620"/>
      <c r="DH139" s="117">
        <v>0</v>
      </c>
      <c r="DI139" s="116"/>
      <c r="DJ139" s="56"/>
      <c r="DK139" s="611"/>
      <c r="DL139" s="620"/>
      <c r="DM139" s="117">
        <v>0</v>
      </c>
      <c r="DN139" s="116"/>
      <c r="DO139" s="56"/>
      <c r="DP139" s="611"/>
      <c r="DQ139" s="620"/>
      <c r="DR139" s="117">
        <v>0</v>
      </c>
      <c r="DS139" s="116"/>
      <c r="DT139" s="56"/>
      <c r="DU139" s="611"/>
      <c r="DV139" s="620"/>
      <c r="DW139" s="117">
        <v>0</v>
      </c>
      <c r="DX139" s="116"/>
      <c r="DY139" s="56"/>
      <c r="DZ139" s="611"/>
      <c r="EA139" s="620"/>
      <c r="EB139" s="117">
        <v>0</v>
      </c>
      <c r="EC139" s="116"/>
      <c r="ED139" s="56"/>
      <c r="EE139" s="611"/>
      <c r="EF139" s="620"/>
      <c r="EG139" s="117">
        <v>0</v>
      </c>
      <c r="EH139" s="116"/>
      <c r="EI139" s="56"/>
      <c r="EJ139" s="611"/>
      <c r="EK139" s="620"/>
      <c r="EL139" s="117">
        <f>SUM(CD139:EG139)</f>
        <v>0</v>
      </c>
      <c r="EM139" s="116"/>
      <c r="EN139" s="56"/>
      <c r="EO139" s="144"/>
    </row>
    <row r="140" spans="4:145" hidden="1" x14ac:dyDescent="0.3">
      <c r="D140" s="144"/>
      <c r="E140" s="494"/>
      <c r="G140" s="56"/>
      <c r="H140" s="56"/>
      <c r="I140" s="56"/>
      <c r="J140" s="611"/>
      <c r="K140" s="56"/>
      <c r="L140" s="56"/>
      <c r="M140" s="56"/>
      <c r="N140" s="56"/>
      <c r="O140" s="611"/>
      <c r="P140" s="56"/>
      <c r="Q140" s="56"/>
      <c r="R140" s="56"/>
      <c r="S140" s="56"/>
      <c r="T140" s="611"/>
      <c r="U140" s="56"/>
      <c r="V140" s="56"/>
      <c r="W140" s="56"/>
      <c r="X140" s="56"/>
      <c r="Y140" s="611"/>
      <c r="Z140" s="56"/>
      <c r="AA140" s="56"/>
      <c r="AB140" s="56"/>
      <c r="AC140" s="56"/>
      <c r="AD140" s="611"/>
      <c r="AE140" s="56"/>
      <c r="AF140" s="56"/>
      <c r="AG140" s="56"/>
      <c r="AH140" s="56"/>
      <c r="AI140" s="611"/>
      <c r="AJ140" s="56"/>
      <c r="AK140" s="56"/>
      <c r="AL140" s="56"/>
      <c r="AM140" s="56"/>
      <c r="AN140" s="611"/>
      <c r="AO140" s="56"/>
      <c r="AP140" s="56"/>
      <c r="AQ140" s="56"/>
      <c r="AR140" s="56"/>
      <c r="AS140" s="611"/>
      <c r="AT140" s="56"/>
      <c r="AU140" s="56"/>
      <c r="AV140" s="56"/>
      <c r="AW140" s="56"/>
      <c r="AX140" s="611"/>
      <c r="AY140" s="56"/>
      <c r="AZ140" s="56"/>
      <c r="BA140" s="56"/>
      <c r="BB140" s="56"/>
      <c r="BC140" s="611"/>
      <c r="BD140" s="56"/>
      <c r="BE140" s="56"/>
      <c r="BF140" s="56"/>
      <c r="BG140" s="56"/>
      <c r="BH140" s="611"/>
      <c r="BI140" s="56"/>
      <c r="BJ140" s="56"/>
      <c r="BK140" s="56"/>
      <c r="BL140" s="56"/>
      <c r="BM140" s="611"/>
      <c r="BN140" s="56"/>
      <c r="BO140" s="56"/>
      <c r="BP140" s="56"/>
      <c r="BQ140" s="56"/>
      <c r="BR140" s="611"/>
      <c r="BS140" s="56"/>
      <c r="BT140" s="56"/>
      <c r="BU140" s="56"/>
      <c r="BV140" s="56"/>
      <c r="BW140" s="611"/>
      <c r="BX140" s="56"/>
      <c r="BY140" s="56"/>
      <c r="BZ140" s="56"/>
      <c r="CA140" s="56"/>
      <c r="CB140" s="611"/>
      <c r="CC140" s="56"/>
      <c r="CD140" s="56"/>
      <c r="CE140" s="56"/>
      <c r="CF140" s="56"/>
      <c r="CG140" s="611"/>
      <c r="CH140" s="56"/>
      <c r="CI140" s="56"/>
      <c r="CJ140" s="56"/>
      <c r="CK140" s="56"/>
      <c r="CL140" s="611"/>
      <c r="CM140" s="56"/>
      <c r="CN140" s="56"/>
      <c r="CO140" s="56"/>
      <c r="CP140" s="56"/>
      <c r="CQ140" s="611"/>
      <c r="CR140" s="56"/>
      <c r="CS140" s="56"/>
      <c r="CT140" s="56"/>
      <c r="CU140" s="56"/>
      <c r="CV140" s="611"/>
      <c r="CW140" s="56"/>
      <c r="CX140" s="56"/>
      <c r="CY140" s="56"/>
      <c r="CZ140" s="56"/>
      <c r="DA140" s="611"/>
      <c r="DB140" s="56"/>
      <c r="DC140" s="56"/>
      <c r="DD140" s="56"/>
      <c r="DE140" s="56"/>
      <c r="DF140" s="611"/>
      <c r="DG140" s="56"/>
      <c r="DH140" s="56"/>
      <c r="DI140" s="56"/>
      <c r="DJ140" s="56"/>
      <c r="DK140" s="611"/>
      <c r="DL140" s="56"/>
      <c r="DM140" s="56"/>
      <c r="DN140" s="56"/>
      <c r="DO140" s="56"/>
      <c r="DP140" s="611"/>
      <c r="DQ140" s="56"/>
      <c r="DR140" s="56"/>
      <c r="DS140" s="56"/>
      <c r="DT140" s="56"/>
      <c r="DU140" s="611"/>
      <c r="DV140" s="56"/>
      <c r="DW140" s="56"/>
      <c r="DX140" s="56"/>
      <c r="DY140" s="56"/>
      <c r="DZ140" s="611"/>
      <c r="EA140" s="56"/>
      <c r="EB140" s="56"/>
      <c r="EC140" s="56"/>
      <c r="ED140" s="56"/>
      <c r="EE140" s="611"/>
      <c r="EF140" s="56"/>
      <c r="EG140" s="56"/>
      <c r="EH140" s="56"/>
      <c r="EI140" s="56"/>
      <c r="EJ140" s="611"/>
      <c r="EK140" s="56"/>
      <c r="EL140" s="56"/>
      <c r="EM140" s="56"/>
      <c r="EN140" s="56"/>
      <c r="EO140" s="144"/>
    </row>
    <row r="141" spans="4:145" hidden="1" x14ac:dyDescent="0.3">
      <c r="D141" s="144" t="s">
        <v>453</v>
      </c>
      <c r="E141" s="494"/>
      <c r="G141" s="56">
        <f>SUM(G142:G143)</f>
        <v>0</v>
      </c>
      <c r="H141" s="56"/>
      <c r="I141" s="56"/>
      <c r="J141" s="611"/>
      <c r="K141" s="56"/>
      <c r="L141" s="56">
        <f>SUM(L142:L143)</f>
        <v>0</v>
      </c>
      <c r="M141" s="56"/>
      <c r="N141" s="56"/>
      <c r="O141" s="611"/>
      <c r="P141" s="56"/>
      <c r="Q141" s="56">
        <f>SUM(Q142:Q143)</f>
        <v>0</v>
      </c>
      <c r="R141" s="56"/>
      <c r="S141" s="56"/>
      <c r="T141" s="611"/>
      <c r="U141" s="56"/>
      <c r="V141" s="56">
        <f>SUM(V142:V143)</f>
        <v>0</v>
      </c>
      <c r="W141" s="56"/>
      <c r="X141" s="56"/>
      <c r="Y141" s="611"/>
      <c r="Z141" s="56"/>
      <c r="AA141" s="56">
        <f>SUM(AA142:AA143)</f>
        <v>0</v>
      </c>
      <c r="AB141" s="56"/>
      <c r="AC141" s="56"/>
      <c r="AD141" s="611"/>
      <c r="AE141" s="56"/>
      <c r="AF141" s="56">
        <f>SUM(AF142:AF143)</f>
        <v>0</v>
      </c>
      <c r="AG141" s="56"/>
      <c r="AH141" s="56"/>
      <c r="AI141" s="611"/>
      <c r="AJ141" s="56"/>
      <c r="AK141" s="56">
        <f>SUM(AK142:AK143)</f>
        <v>0</v>
      </c>
      <c r="AL141" s="56"/>
      <c r="AM141" s="56"/>
      <c r="AN141" s="611"/>
      <c r="AO141" s="56"/>
      <c r="AP141" s="56">
        <f>SUM(AP142:AP143)</f>
        <v>0</v>
      </c>
      <c r="AQ141" s="56"/>
      <c r="AR141" s="56"/>
      <c r="AS141" s="611"/>
      <c r="AT141" s="56"/>
      <c r="AU141" s="56">
        <f>SUM(AU142:AU143)</f>
        <v>0</v>
      </c>
      <c r="AV141" s="56"/>
      <c r="AW141" s="56"/>
      <c r="AX141" s="611"/>
      <c r="AY141" s="56"/>
      <c r="AZ141" s="56">
        <f>SUM(AZ142:AZ143)</f>
        <v>0</v>
      </c>
      <c r="BA141" s="56"/>
      <c r="BB141" s="56"/>
      <c r="BC141" s="611"/>
      <c r="BD141" s="56"/>
      <c r="BE141" s="56">
        <f>SUM(BE142:BE143)</f>
        <v>0</v>
      </c>
      <c r="BF141" s="56"/>
      <c r="BG141" s="56"/>
      <c r="BH141" s="611"/>
      <c r="BI141" s="56"/>
      <c r="BJ141" s="56">
        <f>SUM(BJ142:BJ143)</f>
        <v>0</v>
      </c>
      <c r="BK141" s="56"/>
      <c r="BL141" s="56"/>
      <c r="BM141" s="611"/>
      <c r="BN141" s="56"/>
      <c r="BO141" s="56">
        <f>SUM(BO142:BO143)</f>
        <v>0</v>
      </c>
      <c r="BP141" s="56"/>
      <c r="BQ141" s="56"/>
      <c r="BR141" s="611"/>
      <c r="BS141" s="56"/>
      <c r="BT141" s="56">
        <f>SUM(BT142:BT143)</f>
        <v>0</v>
      </c>
      <c r="BU141" s="56"/>
      <c r="BV141" s="56"/>
      <c r="BW141" s="611"/>
      <c r="BX141" s="56"/>
      <c r="BY141" s="56">
        <f>SUM(BY142:BY143)</f>
        <v>0</v>
      </c>
      <c r="BZ141" s="56"/>
      <c r="CA141" s="56"/>
      <c r="CB141" s="611"/>
      <c r="CC141" s="56"/>
      <c r="CD141" s="56">
        <f>SUM(CD142:CD143)</f>
        <v>0</v>
      </c>
      <c r="CE141" s="56"/>
      <c r="CF141" s="56"/>
      <c r="CG141" s="611"/>
      <c r="CH141" s="56"/>
      <c r="CI141" s="56">
        <f>SUM(CI142:CI143)</f>
        <v>0</v>
      </c>
      <c r="CJ141" s="56"/>
      <c r="CK141" s="56"/>
      <c r="CL141" s="611"/>
      <c r="CM141" s="56"/>
      <c r="CN141" s="56">
        <f>SUM(CN142:CN143)</f>
        <v>0</v>
      </c>
      <c r="CO141" s="56"/>
      <c r="CP141" s="56"/>
      <c r="CQ141" s="611"/>
      <c r="CR141" s="56"/>
      <c r="CS141" s="56">
        <f>SUM(CS142:CS143)</f>
        <v>0</v>
      </c>
      <c r="CT141" s="56"/>
      <c r="CU141" s="56"/>
      <c r="CV141" s="611"/>
      <c r="CW141" s="56"/>
      <c r="CX141" s="56">
        <f>SUM(CX142:CX143)</f>
        <v>0</v>
      </c>
      <c r="CY141" s="56"/>
      <c r="CZ141" s="56"/>
      <c r="DA141" s="611"/>
      <c r="DB141" s="56"/>
      <c r="DC141" s="56">
        <f>SUM(DC142:DC143)</f>
        <v>0</v>
      </c>
      <c r="DD141" s="56"/>
      <c r="DE141" s="56"/>
      <c r="DF141" s="611"/>
      <c r="DG141" s="56"/>
      <c r="DH141" s="56">
        <f>SUM(DH142:DH143)</f>
        <v>0</v>
      </c>
      <c r="DI141" s="56"/>
      <c r="DJ141" s="56"/>
      <c r="DK141" s="611"/>
      <c r="DL141" s="56"/>
      <c r="DM141" s="56">
        <f>SUM(DM142:DM143)</f>
        <v>0</v>
      </c>
      <c r="DN141" s="56"/>
      <c r="DO141" s="56"/>
      <c r="DP141" s="611"/>
      <c r="DQ141" s="56"/>
      <c r="DR141" s="56">
        <f>SUM(DR142:DR143)</f>
        <v>0</v>
      </c>
      <c r="DS141" s="56"/>
      <c r="DT141" s="56"/>
      <c r="DU141" s="611"/>
      <c r="DV141" s="56"/>
      <c r="DW141" s="56">
        <f>SUM(DW142:DW143)</f>
        <v>0</v>
      </c>
      <c r="DX141" s="56"/>
      <c r="DY141" s="56"/>
      <c r="DZ141" s="611"/>
      <c r="EA141" s="56"/>
      <c r="EB141" s="56">
        <f>SUM(EB142:EB143)</f>
        <v>0</v>
      </c>
      <c r="EC141" s="56"/>
      <c r="ED141" s="56"/>
      <c r="EE141" s="611"/>
      <c r="EF141" s="56"/>
      <c r="EG141" s="56">
        <f>SUM(EG142:EG143)</f>
        <v>0</v>
      </c>
      <c r="EH141" s="56"/>
      <c r="EI141" s="56"/>
      <c r="EJ141" s="611"/>
      <c r="EK141" s="56"/>
      <c r="EL141" s="56">
        <f>SUM(EL142:EL143)</f>
        <v>0</v>
      </c>
      <c r="EM141" s="56"/>
      <c r="EN141" s="56"/>
      <c r="EO141" s="144"/>
    </row>
    <row r="142" spans="4:145" hidden="1" x14ac:dyDescent="0.3">
      <c r="D142" s="144" t="s">
        <v>446</v>
      </c>
      <c r="E142" s="494"/>
      <c r="F142" s="500"/>
      <c r="G142" s="609">
        <v>0</v>
      </c>
      <c r="H142" s="610"/>
      <c r="I142" s="56"/>
      <c r="J142" s="611"/>
      <c r="K142" s="612"/>
      <c r="L142" s="609">
        <v>0</v>
      </c>
      <c r="M142" s="610"/>
      <c r="N142" s="56"/>
      <c r="O142" s="611"/>
      <c r="P142" s="612"/>
      <c r="Q142" s="609">
        <v>0</v>
      </c>
      <c r="R142" s="610"/>
      <c r="S142" s="56"/>
      <c r="T142" s="611"/>
      <c r="U142" s="612"/>
      <c r="V142" s="609">
        <v>0</v>
      </c>
      <c r="W142" s="610"/>
      <c r="X142" s="56"/>
      <c r="Y142" s="611"/>
      <c r="Z142" s="612"/>
      <c r="AA142" s="609">
        <v>0</v>
      </c>
      <c r="AB142" s="610"/>
      <c r="AC142" s="56"/>
      <c r="AD142" s="611"/>
      <c r="AE142" s="612"/>
      <c r="AF142" s="609">
        <v>0</v>
      </c>
      <c r="AG142" s="610"/>
      <c r="AH142" s="56"/>
      <c r="AI142" s="611"/>
      <c r="AJ142" s="612"/>
      <c r="AK142" s="609">
        <v>0</v>
      </c>
      <c r="AL142" s="610"/>
      <c r="AM142" s="56"/>
      <c r="AN142" s="611"/>
      <c r="AO142" s="612"/>
      <c r="AP142" s="609">
        <v>0</v>
      </c>
      <c r="AQ142" s="610"/>
      <c r="AR142" s="56"/>
      <c r="AS142" s="611"/>
      <c r="AT142" s="612"/>
      <c r="AU142" s="609">
        <v>0</v>
      </c>
      <c r="AV142" s="610"/>
      <c r="AW142" s="56"/>
      <c r="AX142" s="611"/>
      <c r="AY142" s="612"/>
      <c r="AZ142" s="609">
        <v>0</v>
      </c>
      <c r="BA142" s="610"/>
      <c r="BB142" s="56"/>
      <c r="BC142" s="611"/>
      <c r="BD142" s="612"/>
      <c r="BE142" s="609">
        <v>0</v>
      </c>
      <c r="BF142" s="610"/>
      <c r="BG142" s="56"/>
      <c r="BH142" s="611"/>
      <c r="BI142" s="612"/>
      <c r="BJ142" s="609">
        <v>0</v>
      </c>
      <c r="BK142" s="610"/>
      <c r="BL142" s="56"/>
      <c r="BM142" s="611"/>
      <c r="BN142" s="612"/>
      <c r="BO142" s="609">
        <v>0</v>
      </c>
      <c r="BP142" s="610"/>
      <c r="BQ142" s="56"/>
      <c r="BR142" s="611"/>
      <c r="BS142" s="612"/>
      <c r="BT142" s="609">
        <v>0</v>
      </c>
      <c r="BU142" s="610"/>
      <c r="BV142" s="56"/>
      <c r="BW142" s="611"/>
      <c r="BX142" s="612"/>
      <c r="BY142" s="609">
        <v>0</v>
      </c>
      <c r="BZ142" s="610"/>
      <c r="CA142" s="56"/>
      <c r="CB142" s="611"/>
      <c r="CC142" s="612"/>
      <c r="CD142" s="609">
        <v>0</v>
      </c>
      <c r="CE142" s="610"/>
      <c r="CF142" s="56"/>
      <c r="CG142" s="611"/>
      <c r="CH142" s="612"/>
      <c r="CI142" s="609">
        <v>0</v>
      </c>
      <c r="CJ142" s="610"/>
      <c r="CK142" s="56"/>
      <c r="CL142" s="611"/>
      <c r="CM142" s="612"/>
      <c r="CN142" s="609">
        <v>0</v>
      </c>
      <c r="CO142" s="610"/>
      <c r="CP142" s="56"/>
      <c r="CQ142" s="611"/>
      <c r="CR142" s="612"/>
      <c r="CS142" s="609">
        <v>0</v>
      </c>
      <c r="CT142" s="610"/>
      <c r="CU142" s="56"/>
      <c r="CV142" s="611"/>
      <c r="CW142" s="612"/>
      <c r="CX142" s="609">
        <v>0</v>
      </c>
      <c r="CY142" s="610"/>
      <c r="CZ142" s="56"/>
      <c r="DA142" s="611"/>
      <c r="DB142" s="612"/>
      <c r="DC142" s="609">
        <v>0</v>
      </c>
      <c r="DD142" s="610"/>
      <c r="DE142" s="56"/>
      <c r="DF142" s="611"/>
      <c r="DG142" s="612"/>
      <c r="DH142" s="609">
        <v>0</v>
      </c>
      <c r="DI142" s="610"/>
      <c r="DJ142" s="56"/>
      <c r="DK142" s="611"/>
      <c r="DL142" s="612"/>
      <c r="DM142" s="609">
        <v>0</v>
      </c>
      <c r="DN142" s="610"/>
      <c r="DO142" s="56"/>
      <c r="DP142" s="611"/>
      <c r="DQ142" s="612"/>
      <c r="DR142" s="609">
        <v>0</v>
      </c>
      <c r="DS142" s="610"/>
      <c r="DT142" s="56"/>
      <c r="DU142" s="611"/>
      <c r="DV142" s="612"/>
      <c r="DW142" s="609">
        <v>0</v>
      </c>
      <c r="DX142" s="610"/>
      <c r="DY142" s="56"/>
      <c r="DZ142" s="611"/>
      <c r="EA142" s="612"/>
      <c r="EB142" s="609">
        <v>0</v>
      </c>
      <c r="EC142" s="610"/>
      <c r="ED142" s="56"/>
      <c r="EE142" s="611"/>
      <c r="EF142" s="612"/>
      <c r="EG142" s="609">
        <v>0</v>
      </c>
      <c r="EH142" s="610"/>
      <c r="EI142" s="56"/>
      <c r="EJ142" s="611"/>
      <c r="EK142" s="612"/>
      <c r="EL142" s="609">
        <f>SUM(CD142:EG142)</f>
        <v>0</v>
      </c>
      <c r="EM142" s="610"/>
      <c r="EN142" s="56"/>
      <c r="EO142" s="144"/>
    </row>
    <row r="143" spans="4:145" hidden="1" x14ac:dyDescent="0.3">
      <c r="D143" s="144" t="s">
        <v>447</v>
      </c>
      <c r="E143" s="494"/>
      <c r="F143" s="513"/>
      <c r="G143" s="117">
        <v>0</v>
      </c>
      <c r="H143" s="116"/>
      <c r="I143" s="56"/>
      <c r="J143" s="611"/>
      <c r="K143" s="620"/>
      <c r="L143" s="117">
        <v>0</v>
      </c>
      <c r="M143" s="116"/>
      <c r="N143" s="56"/>
      <c r="O143" s="611"/>
      <c r="P143" s="620"/>
      <c r="Q143" s="117">
        <v>0</v>
      </c>
      <c r="R143" s="116"/>
      <c r="S143" s="56"/>
      <c r="T143" s="611"/>
      <c r="U143" s="620"/>
      <c r="V143" s="117">
        <v>0</v>
      </c>
      <c r="W143" s="116"/>
      <c r="X143" s="56"/>
      <c r="Y143" s="611"/>
      <c r="Z143" s="620"/>
      <c r="AA143" s="117">
        <v>0</v>
      </c>
      <c r="AB143" s="116"/>
      <c r="AC143" s="56"/>
      <c r="AD143" s="611"/>
      <c r="AE143" s="620"/>
      <c r="AF143" s="117">
        <v>0</v>
      </c>
      <c r="AG143" s="116"/>
      <c r="AH143" s="56"/>
      <c r="AI143" s="611"/>
      <c r="AJ143" s="620"/>
      <c r="AK143" s="117">
        <v>0</v>
      </c>
      <c r="AL143" s="116"/>
      <c r="AM143" s="56"/>
      <c r="AN143" s="611"/>
      <c r="AO143" s="620"/>
      <c r="AP143" s="117">
        <v>0</v>
      </c>
      <c r="AQ143" s="116"/>
      <c r="AR143" s="56"/>
      <c r="AS143" s="611"/>
      <c r="AT143" s="620"/>
      <c r="AU143" s="117">
        <v>0</v>
      </c>
      <c r="AV143" s="116"/>
      <c r="AW143" s="56"/>
      <c r="AX143" s="611"/>
      <c r="AY143" s="620"/>
      <c r="AZ143" s="117">
        <v>0</v>
      </c>
      <c r="BA143" s="116"/>
      <c r="BB143" s="56"/>
      <c r="BC143" s="611"/>
      <c r="BD143" s="620"/>
      <c r="BE143" s="117">
        <v>0</v>
      </c>
      <c r="BF143" s="116"/>
      <c r="BG143" s="56"/>
      <c r="BH143" s="611"/>
      <c r="BI143" s="620"/>
      <c r="BJ143" s="117">
        <v>0</v>
      </c>
      <c r="BK143" s="116"/>
      <c r="BL143" s="56"/>
      <c r="BM143" s="611"/>
      <c r="BN143" s="620"/>
      <c r="BO143" s="117">
        <v>0</v>
      </c>
      <c r="BP143" s="116"/>
      <c r="BQ143" s="56"/>
      <c r="BR143" s="611"/>
      <c r="BS143" s="620"/>
      <c r="BT143" s="117">
        <v>0</v>
      </c>
      <c r="BU143" s="116"/>
      <c r="BV143" s="56"/>
      <c r="BW143" s="611"/>
      <c r="BX143" s="620"/>
      <c r="BY143" s="117">
        <v>0</v>
      </c>
      <c r="BZ143" s="116"/>
      <c r="CA143" s="56"/>
      <c r="CB143" s="611"/>
      <c r="CC143" s="620"/>
      <c r="CD143" s="117">
        <v>0</v>
      </c>
      <c r="CE143" s="116"/>
      <c r="CF143" s="56"/>
      <c r="CG143" s="611"/>
      <c r="CH143" s="620"/>
      <c r="CI143" s="117">
        <v>0</v>
      </c>
      <c r="CJ143" s="116"/>
      <c r="CK143" s="56"/>
      <c r="CL143" s="611"/>
      <c r="CM143" s="620"/>
      <c r="CN143" s="117">
        <v>0</v>
      </c>
      <c r="CO143" s="116"/>
      <c r="CP143" s="56"/>
      <c r="CQ143" s="611"/>
      <c r="CR143" s="620"/>
      <c r="CS143" s="117">
        <v>0</v>
      </c>
      <c r="CT143" s="116"/>
      <c r="CU143" s="56"/>
      <c r="CV143" s="611"/>
      <c r="CW143" s="620"/>
      <c r="CX143" s="117">
        <v>0</v>
      </c>
      <c r="CY143" s="116"/>
      <c r="CZ143" s="56"/>
      <c r="DA143" s="611"/>
      <c r="DB143" s="620"/>
      <c r="DC143" s="117">
        <v>0</v>
      </c>
      <c r="DD143" s="116"/>
      <c r="DE143" s="56"/>
      <c r="DF143" s="611"/>
      <c r="DG143" s="620"/>
      <c r="DH143" s="117">
        <v>0</v>
      </c>
      <c r="DI143" s="116"/>
      <c r="DJ143" s="56"/>
      <c r="DK143" s="611"/>
      <c r="DL143" s="620"/>
      <c r="DM143" s="117">
        <v>0</v>
      </c>
      <c r="DN143" s="116"/>
      <c r="DO143" s="56"/>
      <c r="DP143" s="611"/>
      <c r="DQ143" s="620"/>
      <c r="DR143" s="117">
        <v>0</v>
      </c>
      <c r="DS143" s="116"/>
      <c r="DT143" s="56"/>
      <c r="DU143" s="611"/>
      <c r="DV143" s="620"/>
      <c r="DW143" s="117">
        <v>0</v>
      </c>
      <c r="DX143" s="116"/>
      <c r="DY143" s="56"/>
      <c r="DZ143" s="611"/>
      <c r="EA143" s="620"/>
      <c r="EB143" s="117">
        <v>0</v>
      </c>
      <c r="EC143" s="116"/>
      <c r="ED143" s="56"/>
      <c r="EE143" s="611"/>
      <c r="EF143" s="620"/>
      <c r="EG143" s="117">
        <v>0</v>
      </c>
      <c r="EH143" s="116"/>
      <c r="EI143" s="56"/>
      <c r="EJ143" s="611"/>
      <c r="EK143" s="620"/>
      <c r="EL143" s="117">
        <f>SUM(CD143:EG143)</f>
        <v>0</v>
      </c>
      <c r="EM143" s="116"/>
      <c r="EN143" s="56"/>
      <c r="EO143" s="144"/>
    </row>
    <row r="144" spans="4:145" ht="12.75" hidden="1" customHeight="1" x14ac:dyDescent="0.3">
      <c r="D144" s="144"/>
      <c r="E144" s="494"/>
      <c r="G144" s="56"/>
      <c r="H144" s="56"/>
      <c r="I144" s="56"/>
      <c r="J144" s="611"/>
      <c r="K144" s="56"/>
      <c r="L144" s="56"/>
      <c r="M144" s="56"/>
      <c r="N144" s="56"/>
      <c r="O144" s="611"/>
      <c r="P144" s="56"/>
      <c r="Q144" s="56"/>
      <c r="R144" s="56"/>
      <c r="S144" s="56"/>
      <c r="T144" s="611"/>
      <c r="U144" s="56"/>
      <c r="V144" s="56"/>
      <c r="W144" s="56"/>
      <c r="X144" s="56"/>
      <c r="Y144" s="611"/>
      <c r="Z144" s="56"/>
      <c r="AA144" s="56"/>
      <c r="AB144" s="56"/>
      <c r="AC144" s="56"/>
      <c r="AD144" s="611"/>
      <c r="AE144" s="56"/>
      <c r="AF144" s="56"/>
      <c r="AG144" s="56"/>
      <c r="AH144" s="56"/>
      <c r="AI144" s="611"/>
      <c r="AJ144" s="56"/>
      <c r="AK144" s="56"/>
      <c r="AL144" s="56"/>
      <c r="AM144" s="56"/>
      <c r="AN144" s="611"/>
      <c r="AO144" s="56"/>
      <c r="AP144" s="56"/>
      <c r="AQ144" s="56"/>
      <c r="AR144" s="56"/>
      <c r="AS144" s="611"/>
      <c r="AT144" s="56"/>
      <c r="AU144" s="56"/>
      <c r="AV144" s="56"/>
      <c r="AW144" s="56"/>
      <c r="AX144" s="611"/>
      <c r="AY144" s="56"/>
      <c r="AZ144" s="56"/>
      <c r="BA144" s="56"/>
      <c r="BB144" s="56"/>
      <c r="BC144" s="611"/>
      <c r="BD144" s="56"/>
      <c r="BE144" s="56"/>
      <c r="BF144" s="56"/>
      <c r="BG144" s="56"/>
      <c r="BH144" s="611"/>
      <c r="BI144" s="56"/>
      <c r="BJ144" s="56"/>
      <c r="BK144" s="56"/>
      <c r="BL144" s="56"/>
      <c r="BM144" s="611"/>
      <c r="BN144" s="56"/>
      <c r="BO144" s="56"/>
      <c r="BP144" s="56"/>
      <c r="BQ144" s="56"/>
      <c r="BR144" s="611"/>
      <c r="BS144" s="56"/>
      <c r="BT144" s="56"/>
      <c r="BU144" s="56"/>
      <c r="BV144" s="56"/>
      <c r="BW144" s="611"/>
      <c r="BX144" s="56"/>
      <c r="BY144" s="56"/>
      <c r="BZ144" s="56"/>
      <c r="CA144" s="56"/>
      <c r="CB144" s="611"/>
      <c r="CC144" s="56"/>
      <c r="CD144" s="56"/>
      <c r="CE144" s="56"/>
      <c r="CF144" s="56"/>
      <c r="CG144" s="611"/>
      <c r="CH144" s="56"/>
      <c r="CI144" s="56"/>
      <c r="CJ144" s="56"/>
      <c r="CK144" s="56"/>
      <c r="CL144" s="611"/>
      <c r="CM144" s="56"/>
      <c r="CN144" s="56"/>
      <c r="CO144" s="56"/>
      <c r="CP144" s="56"/>
      <c r="CQ144" s="611"/>
      <c r="CR144" s="56"/>
      <c r="CS144" s="56"/>
      <c r="CT144" s="56"/>
      <c r="CU144" s="56"/>
      <c r="CV144" s="611"/>
      <c r="CW144" s="56"/>
      <c r="CX144" s="56"/>
      <c r="CY144" s="56"/>
      <c r="CZ144" s="56"/>
      <c r="DA144" s="611"/>
      <c r="DB144" s="56"/>
      <c r="DC144" s="56"/>
      <c r="DD144" s="56"/>
      <c r="DE144" s="56"/>
      <c r="DF144" s="611"/>
      <c r="DG144" s="56"/>
      <c r="DH144" s="56"/>
      <c r="DI144" s="56"/>
      <c r="DJ144" s="56"/>
      <c r="DK144" s="611"/>
      <c r="DL144" s="56"/>
      <c r="DM144" s="56"/>
      <c r="DN144" s="56"/>
      <c r="DO144" s="56"/>
      <c r="DP144" s="611"/>
      <c r="DQ144" s="56"/>
      <c r="DR144" s="56"/>
      <c r="DS144" s="56"/>
      <c r="DT144" s="56"/>
      <c r="DU144" s="611"/>
      <c r="DV144" s="56"/>
      <c r="DW144" s="56"/>
      <c r="DX144" s="56"/>
      <c r="DY144" s="56"/>
      <c r="DZ144" s="611"/>
      <c r="EA144" s="56"/>
      <c r="EB144" s="56"/>
      <c r="EC144" s="56"/>
      <c r="ED144" s="56"/>
      <c r="EE144" s="611"/>
      <c r="EF144" s="56"/>
      <c r="EG144" s="56"/>
      <c r="EH144" s="56"/>
      <c r="EI144" s="56"/>
      <c r="EJ144" s="611"/>
      <c r="EK144" s="56"/>
      <c r="EL144" s="56"/>
      <c r="EM144" s="56"/>
      <c r="EN144" s="56"/>
      <c r="EO144" s="144"/>
    </row>
    <row r="145" spans="4:145" ht="12.75" hidden="1" customHeight="1" x14ac:dyDescent="0.3">
      <c r="D145" s="144" t="s">
        <v>454</v>
      </c>
      <c r="E145" s="494"/>
      <c r="G145" s="56">
        <f>SUM(G146:G147)</f>
        <v>0</v>
      </c>
      <c r="H145" s="56"/>
      <c r="I145" s="56"/>
      <c r="J145" s="611"/>
      <c r="K145" s="56"/>
      <c r="L145" s="56">
        <f>SUM(L146:L147)</f>
        <v>0</v>
      </c>
      <c r="M145" s="56"/>
      <c r="N145" s="56"/>
      <c r="O145" s="611"/>
      <c r="P145" s="56"/>
      <c r="Q145" s="56">
        <f>SUM(Q146:Q147)</f>
        <v>0</v>
      </c>
      <c r="R145" s="56"/>
      <c r="S145" s="56"/>
      <c r="T145" s="611"/>
      <c r="U145" s="56"/>
      <c r="V145" s="56">
        <f>SUM(V146:V147)</f>
        <v>0</v>
      </c>
      <c r="W145" s="56"/>
      <c r="X145" s="56"/>
      <c r="Y145" s="611"/>
      <c r="Z145" s="56"/>
      <c r="AA145" s="56">
        <f>SUM(AA146:AA147)</f>
        <v>0</v>
      </c>
      <c r="AB145" s="56"/>
      <c r="AC145" s="56"/>
      <c r="AD145" s="611"/>
      <c r="AE145" s="56"/>
      <c r="AF145" s="56">
        <f>SUM(AF146:AF147)</f>
        <v>0</v>
      </c>
      <c r="AG145" s="56"/>
      <c r="AH145" s="56"/>
      <c r="AI145" s="611"/>
      <c r="AJ145" s="56"/>
      <c r="AK145" s="56">
        <f>SUM(AK146:AK147)</f>
        <v>0</v>
      </c>
      <c r="AL145" s="56"/>
      <c r="AM145" s="56"/>
      <c r="AN145" s="611"/>
      <c r="AO145" s="56"/>
      <c r="AP145" s="56">
        <f>SUM(AP146:AP147)</f>
        <v>0</v>
      </c>
      <c r="AQ145" s="56"/>
      <c r="AR145" s="56"/>
      <c r="AS145" s="611"/>
      <c r="AT145" s="56"/>
      <c r="AU145" s="56">
        <f>SUM(AU146:AU147)</f>
        <v>0</v>
      </c>
      <c r="AV145" s="56"/>
      <c r="AW145" s="56"/>
      <c r="AX145" s="611"/>
      <c r="AY145" s="56"/>
      <c r="AZ145" s="56">
        <f>SUM(AZ146:AZ147)</f>
        <v>0</v>
      </c>
      <c r="BA145" s="56"/>
      <c r="BB145" s="56"/>
      <c r="BC145" s="611"/>
      <c r="BD145" s="56"/>
      <c r="BE145" s="56">
        <f>SUM(BE146:BE147)</f>
        <v>0</v>
      </c>
      <c r="BF145" s="56"/>
      <c r="BG145" s="56"/>
      <c r="BH145" s="611"/>
      <c r="BI145" s="56"/>
      <c r="BJ145" s="56">
        <f>SUM(BJ146:BJ147)</f>
        <v>0</v>
      </c>
      <c r="BK145" s="56"/>
      <c r="BL145" s="56"/>
      <c r="BM145" s="611"/>
      <c r="BN145" s="56"/>
      <c r="BO145" s="56">
        <f>SUM(BO146:BO147)</f>
        <v>0</v>
      </c>
      <c r="BP145" s="56"/>
      <c r="BQ145" s="56"/>
      <c r="BR145" s="611"/>
      <c r="BS145" s="56"/>
      <c r="BT145" s="56">
        <f>SUM(BT146:BT147)</f>
        <v>0</v>
      </c>
      <c r="BU145" s="56"/>
      <c r="BV145" s="56"/>
      <c r="BW145" s="611"/>
      <c r="BX145" s="56"/>
      <c r="BY145" s="56">
        <f>SUM(BY146:BY147)</f>
        <v>0</v>
      </c>
      <c r="BZ145" s="56"/>
      <c r="CA145" s="56"/>
      <c r="CB145" s="611"/>
      <c r="CC145" s="56"/>
      <c r="CD145" s="56">
        <f>SUM(CD146:CD147)</f>
        <v>0</v>
      </c>
      <c r="CE145" s="56"/>
      <c r="CF145" s="56"/>
      <c r="CG145" s="611"/>
      <c r="CH145" s="56"/>
      <c r="CI145" s="56">
        <f>SUM(CI146:CI147)</f>
        <v>0</v>
      </c>
      <c r="CJ145" s="56"/>
      <c r="CK145" s="56"/>
      <c r="CL145" s="611"/>
      <c r="CM145" s="56"/>
      <c r="CN145" s="56">
        <f>SUM(CN146:CN147)</f>
        <v>0</v>
      </c>
      <c r="CO145" s="56"/>
      <c r="CP145" s="56"/>
      <c r="CQ145" s="611"/>
      <c r="CR145" s="56"/>
      <c r="CS145" s="56">
        <f>SUM(CS146:CS147)</f>
        <v>0</v>
      </c>
      <c r="CT145" s="56"/>
      <c r="CU145" s="56"/>
      <c r="CV145" s="611"/>
      <c r="CW145" s="56"/>
      <c r="CX145" s="56">
        <f>SUM(CX146:CX147)</f>
        <v>0</v>
      </c>
      <c r="CY145" s="56"/>
      <c r="CZ145" s="56"/>
      <c r="DA145" s="611"/>
      <c r="DB145" s="56"/>
      <c r="DC145" s="56">
        <f>SUM(DC146:DC147)</f>
        <v>0</v>
      </c>
      <c r="DD145" s="56"/>
      <c r="DE145" s="56"/>
      <c r="DF145" s="611"/>
      <c r="DG145" s="56"/>
      <c r="DH145" s="56">
        <f>SUM(DH146:DH147)</f>
        <v>0</v>
      </c>
      <c r="DI145" s="56"/>
      <c r="DJ145" s="56"/>
      <c r="DK145" s="611"/>
      <c r="DL145" s="56"/>
      <c r="DM145" s="56">
        <f>SUM(DM146:DM147)</f>
        <v>0</v>
      </c>
      <c r="DN145" s="56"/>
      <c r="DO145" s="56"/>
      <c r="DP145" s="611"/>
      <c r="DQ145" s="56"/>
      <c r="DR145" s="56">
        <f>SUM(DR146:DR147)</f>
        <v>0</v>
      </c>
      <c r="DS145" s="56"/>
      <c r="DT145" s="56"/>
      <c r="DU145" s="611"/>
      <c r="DV145" s="56"/>
      <c r="DW145" s="56">
        <f>SUM(DW146:DW147)</f>
        <v>0</v>
      </c>
      <c r="DX145" s="56"/>
      <c r="DY145" s="56"/>
      <c r="DZ145" s="611"/>
      <c r="EA145" s="56"/>
      <c r="EB145" s="56">
        <f>SUM(EB146:EB147)</f>
        <v>0</v>
      </c>
      <c r="EC145" s="56"/>
      <c r="ED145" s="56"/>
      <c r="EE145" s="611"/>
      <c r="EF145" s="56"/>
      <c r="EG145" s="56">
        <f>SUM(EG146:EG147)</f>
        <v>0</v>
      </c>
      <c r="EH145" s="56"/>
      <c r="EI145" s="56"/>
      <c r="EJ145" s="611"/>
      <c r="EK145" s="56"/>
      <c r="EL145" s="56">
        <f>SUM(EL146:EL147)</f>
        <v>0</v>
      </c>
      <c r="EM145" s="56"/>
      <c r="EN145" s="56"/>
      <c r="EO145" s="144"/>
    </row>
    <row r="146" spans="4:145" ht="12.75" hidden="1" customHeight="1" x14ac:dyDescent="0.3">
      <c r="D146" s="144" t="s">
        <v>446</v>
      </c>
      <c r="E146" s="494"/>
      <c r="F146" s="500"/>
      <c r="G146" s="609">
        <v>0</v>
      </c>
      <c r="H146" s="610"/>
      <c r="I146" s="56"/>
      <c r="J146" s="611"/>
      <c r="K146" s="500"/>
      <c r="L146" s="609">
        <v>0</v>
      </c>
      <c r="M146" s="610"/>
      <c r="N146" s="56"/>
      <c r="O146" s="611"/>
      <c r="P146" s="500"/>
      <c r="Q146" s="609">
        <v>0</v>
      </c>
      <c r="R146" s="610"/>
      <c r="S146" s="56"/>
      <c r="T146" s="611"/>
      <c r="U146" s="500"/>
      <c r="V146" s="609">
        <v>0</v>
      </c>
      <c r="W146" s="610"/>
      <c r="X146" s="56"/>
      <c r="Y146" s="611"/>
      <c r="Z146" s="500"/>
      <c r="AA146" s="609">
        <v>0</v>
      </c>
      <c r="AB146" s="610"/>
      <c r="AC146" s="56"/>
      <c r="AD146" s="611"/>
      <c r="AE146" s="500"/>
      <c r="AF146" s="609">
        <v>0</v>
      </c>
      <c r="AG146" s="610"/>
      <c r="AH146" s="56"/>
      <c r="AI146" s="611"/>
      <c r="AJ146" s="500"/>
      <c r="AK146" s="609">
        <v>0</v>
      </c>
      <c r="AL146" s="610"/>
      <c r="AM146" s="56"/>
      <c r="AN146" s="611"/>
      <c r="AO146" s="500"/>
      <c r="AP146" s="609">
        <v>0</v>
      </c>
      <c r="AQ146" s="610"/>
      <c r="AR146" s="56"/>
      <c r="AS146" s="611"/>
      <c r="AT146" s="500"/>
      <c r="AU146" s="609">
        <v>0</v>
      </c>
      <c r="AV146" s="610"/>
      <c r="AW146" s="56"/>
      <c r="AX146" s="611"/>
      <c r="AY146" s="500"/>
      <c r="AZ146" s="609">
        <v>0</v>
      </c>
      <c r="BA146" s="610"/>
      <c r="BB146" s="56"/>
      <c r="BC146" s="611"/>
      <c r="BD146" s="500"/>
      <c r="BE146" s="609">
        <v>0</v>
      </c>
      <c r="BF146" s="610"/>
      <c r="BG146" s="56"/>
      <c r="BH146" s="611"/>
      <c r="BI146" s="500"/>
      <c r="BJ146" s="609">
        <v>0</v>
      </c>
      <c r="BK146" s="610"/>
      <c r="BL146" s="56"/>
      <c r="BM146" s="611"/>
      <c r="BN146" s="500"/>
      <c r="BO146" s="609">
        <v>0</v>
      </c>
      <c r="BP146" s="610"/>
      <c r="BQ146" s="56"/>
      <c r="BR146" s="611"/>
      <c r="BS146" s="500"/>
      <c r="BT146" s="609">
        <v>0</v>
      </c>
      <c r="BU146" s="610"/>
      <c r="BV146" s="56"/>
      <c r="BW146" s="611"/>
      <c r="BX146" s="500"/>
      <c r="BY146" s="609">
        <v>0</v>
      </c>
      <c r="BZ146" s="610"/>
      <c r="CA146" s="56"/>
      <c r="CB146" s="611"/>
      <c r="CC146" s="500"/>
      <c r="CD146" s="609">
        <v>0</v>
      </c>
      <c r="CE146" s="610"/>
      <c r="CF146" s="56"/>
      <c r="CG146" s="611"/>
      <c r="CH146" s="500"/>
      <c r="CI146" s="609">
        <v>0</v>
      </c>
      <c r="CJ146" s="610"/>
      <c r="CK146" s="56"/>
      <c r="CL146" s="611"/>
      <c r="CM146" s="500"/>
      <c r="CN146" s="609">
        <v>0</v>
      </c>
      <c r="CO146" s="610"/>
      <c r="CP146" s="56"/>
      <c r="CQ146" s="611"/>
      <c r="CR146" s="500"/>
      <c r="CS146" s="609">
        <v>0</v>
      </c>
      <c r="CT146" s="610"/>
      <c r="CU146" s="56"/>
      <c r="CV146" s="611"/>
      <c r="CW146" s="500"/>
      <c r="CX146" s="609">
        <v>0</v>
      </c>
      <c r="CY146" s="610"/>
      <c r="CZ146" s="56"/>
      <c r="DA146" s="611"/>
      <c r="DB146" s="500"/>
      <c r="DC146" s="609">
        <v>0</v>
      </c>
      <c r="DD146" s="610"/>
      <c r="DE146" s="56"/>
      <c r="DF146" s="611"/>
      <c r="DG146" s="500"/>
      <c r="DH146" s="609">
        <v>0</v>
      </c>
      <c r="DI146" s="610"/>
      <c r="DJ146" s="56"/>
      <c r="DK146" s="611"/>
      <c r="DL146" s="500"/>
      <c r="DM146" s="609">
        <v>0</v>
      </c>
      <c r="DN146" s="610"/>
      <c r="DO146" s="56"/>
      <c r="DP146" s="611"/>
      <c r="DQ146" s="500"/>
      <c r="DR146" s="609">
        <v>0</v>
      </c>
      <c r="DS146" s="610"/>
      <c r="DT146" s="56"/>
      <c r="DU146" s="611"/>
      <c r="DV146" s="500"/>
      <c r="DW146" s="609">
        <v>0</v>
      </c>
      <c r="DX146" s="610"/>
      <c r="DY146" s="56"/>
      <c r="DZ146" s="611"/>
      <c r="EA146" s="500"/>
      <c r="EB146" s="609">
        <v>0</v>
      </c>
      <c r="EC146" s="610"/>
      <c r="ED146" s="56"/>
      <c r="EE146" s="611"/>
      <c r="EF146" s="500"/>
      <c r="EG146" s="609">
        <v>0</v>
      </c>
      <c r="EH146" s="610"/>
      <c r="EI146" s="56"/>
      <c r="EJ146" s="611"/>
      <c r="EK146" s="500"/>
      <c r="EL146" s="609">
        <f>SUM(CD146:EG146)</f>
        <v>0</v>
      </c>
      <c r="EM146" s="610"/>
      <c r="EN146" s="56"/>
      <c r="EO146" s="144"/>
    </row>
    <row r="147" spans="4:145" ht="12.75" hidden="1" customHeight="1" x14ac:dyDescent="0.3">
      <c r="D147" s="144" t="s">
        <v>447</v>
      </c>
      <c r="E147" s="494"/>
      <c r="F147" s="513"/>
      <c r="G147" s="117">
        <v>0</v>
      </c>
      <c r="H147" s="116"/>
      <c r="I147" s="56"/>
      <c r="J147" s="611"/>
      <c r="K147" s="513"/>
      <c r="L147" s="117">
        <v>0</v>
      </c>
      <c r="M147" s="116"/>
      <c r="N147" s="56"/>
      <c r="O147" s="611"/>
      <c r="P147" s="513"/>
      <c r="Q147" s="117">
        <v>0</v>
      </c>
      <c r="R147" s="116"/>
      <c r="S147" s="56"/>
      <c r="T147" s="611"/>
      <c r="U147" s="513"/>
      <c r="V147" s="117">
        <v>0</v>
      </c>
      <c r="W147" s="116"/>
      <c r="X147" s="56"/>
      <c r="Y147" s="611"/>
      <c r="Z147" s="513"/>
      <c r="AA147" s="117">
        <v>0</v>
      </c>
      <c r="AB147" s="116"/>
      <c r="AC147" s="56"/>
      <c r="AD147" s="611"/>
      <c r="AE147" s="513"/>
      <c r="AF147" s="117">
        <v>0</v>
      </c>
      <c r="AG147" s="116"/>
      <c r="AH147" s="56"/>
      <c r="AI147" s="611"/>
      <c r="AJ147" s="513"/>
      <c r="AK147" s="117">
        <v>0</v>
      </c>
      <c r="AL147" s="116"/>
      <c r="AM147" s="56"/>
      <c r="AN147" s="611"/>
      <c r="AO147" s="513"/>
      <c r="AP147" s="117">
        <v>0</v>
      </c>
      <c r="AQ147" s="116"/>
      <c r="AR147" s="56"/>
      <c r="AS147" s="611"/>
      <c r="AT147" s="513"/>
      <c r="AU147" s="117">
        <v>0</v>
      </c>
      <c r="AV147" s="116"/>
      <c r="AW147" s="56"/>
      <c r="AX147" s="611"/>
      <c r="AY147" s="513"/>
      <c r="AZ147" s="117">
        <v>0</v>
      </c>
      <c r="BA147" s="116"/>
      <c r="BB147" s="56"/>
      <c r="BC147" s="611"/>
      <c r="BD147" s="513"/>
      <c r="BE147" s="117">
        <v>0</v>
      </c>
      <c r="BF147" s="116"/>
      <c r="BG147" s="56"/>
      <c r="BH147" s="611"/>
      <c r="BI147" s="513"/>
      <c r="BJ147" s="117">
        <v>0</v>
      </c>
      <c r="BK147" s="116"/>
      <c r="BL147" s="56"/>
      <c r="BM147" s="611"/>
      <c r="BN147" s="513"/>
      <c r="BO147" s="117">
        <v>0</v>
      </c>
      <c r="BP147" s="116"/>
      <c r="BQ147" s="56"/>
      <c r="BR147" s="611"/>
      <c r="BS147" s="513"/>
      <c r="BT147" s="117">
        <v>0</v>
      </c>
      <c r="BU147" s="116"/>
      <c r="BV147" s="56"/>
      <c r="BW147" s="611"/>
      <c r="BX147" s="513"/>
      <c r="BY147" s="117">
        <v>0</v>
      </c>
      <c r="BZ147" s="116"/>
      <c r="CA147" s="56"/>
      <c r="CB147" s="611"/>
      <c r="CC147" s="513"/>
      <c r="CD147" s="117">
        <v>0</v>
      </c>
      <c r="CE147" s="116"/>
      <c r="CF147" s="56"/>
      <c r="CG147" s="611"/>
      <c r="CH147" s="513"/>
      <c r="CI147" s="117">
        <v>0</v>
      </c>
      <c r="CJ147" s="116"/>
      <c r="CK147" s="56"/>
      <c r="CL147" s="611"/>
      <c r="CM147" s="513"/>
      <c r="CN147" s="117">
        <v>0</v>
      </c>
      <c r="CO147" s="116"/>
      <c r="CP147" s="56"/>
      <c r="CQ147" s="611"/>
      <c r="CR147" s="513"/>
      <c r="CS147" s="117">
        <v>0</v>
      </c>
      <c r="CT147" s="116"/>
      <c r="CU147" s="56"/>
      <c r="CV147" s="611"/>
      <c r="CW147" s="513"/>
      <c r="CX147" s="117">
        <v>0</v>
      </c>
      <c r="CY147" s="116"/>
      <c r="CZ147" s="56"/>
      <c r="DA147" s="611"/>
      <c r="DB147" s="513"/>
      <c r="DC147" s="117">
        <v>0</v>
      </c>
      <c r="DD147" s="116"/>
      <c r="DE147" s="56"/>
      <c r="DF147" s="611"/>
      <c r="DG147" s="513"/>
      <c r="DH147" s="117">
        <v>0</v>
      </c>
      <c r="DI147" s="116"/>
      <c r="DJ147" s="56"/>
      <c r="DK147" s="611"/>
      <c r="DL147" s="513"/>
      <c r="DM147" s="117">
        <v>0</v>
      </c>
      <c r="DN147" s="116"/>
      <c r="DO147" s="56"/>
      <c r="DP147" s="611"/>
      <c r="DQ147" s="513"/>
      <c r="DR147" s="117">
        <v>0</v>
      </c>
      <c r="DS147" s="116"/>
      <c r="DT147" s="56"/>
      <c r="DU147" s="611"/>
      <c r="DV147" s="513"/>
      <c r="DW147" s="117">
        <v>0</v>
      </c>
      <c r="DX147" s="116"/>
      <c r="DY147" s="56"/>
      <c r="DZ147" s="611"/>
      <c r="EA147" s="513"/>
      <c r="EB147" s="117">
        <v>0</v>
      </c>
      <c r="EC147" s="116"/>
      <c r="ED147" s="56"/>
      <c r="EE147" s="611"/>
      <c r="EF147" s="513"/>
      <c r="EG147" s="117">
        <v>0</v>
      </c>
      <c r="EH147" s="116"/>
      <c r="EI147" s="56"/>
      <c r="EJ147" s="611"/>
      <c r="EK147" s="513"/>
      <c r="EL147" s="117">
        <f>SUM(CD147:EG147)</f>
        <v>0</v>
      </c>
      <c r="EM147" s="116"/>
      <c r="EN147" s="56"/>
      <c r="EO147" s="144"/>
    </row>
    <row r="148" spans="4:145" hidden="1" x14ac:dyDescent="0.3">
      <c r="D148" s="144"/>
      <c r="E148" s="494"/>
      <c r="G148" s="56"/>
      <c r="H148" s="56"/>
      <c r="I148" s="56"/>
      <c r="J148" s="611"/>
      <c r="K148" s="56"/>
      <c r="L148" s="56"/>
      <c r="M148" s="56"/>
      <c r="N148" s="56"/>
      <c r="O148" s="611"/>
      <c r="P148" s="56"/>
      <c r="Q148" s="56"/>
      <c r="R148" s="56"/>
      <c r="S148" s="56"/>
      <c r="T148" s="611"/>
      <c r="U148" s="56"/>
      <c r="V148" s="56"/>
      <c r="W148" s="56"/>
      <c r="X148" s="56"/>
      <c r="Y148" s="611"/>
      <c r="Z148" s="56"/>
      <c r="AA148" s="56"/>
      <c r="AB148" s="56"/>
      <c r="AC148" s="56"/>
      <c r="AD148" s="611"/>
      <c r="AE148" s="56"/>
      <c r="AF148" s="56"/>
      <c r="AG148" s="56"/>
      <c r="AH148" s="56"/>
      <c r="AI148" s="611"/>
      <c r="AJ148" s="56"/>
      <c r="AK148" s="56"/>
      <c r="AL148" s="56"/>
      <c r="AM148" s="56"/>
      <c r="AN148" s="611"/>
      <c r="AO148" s="56"/>
      <c r="AP148" s="56"/>
      <c r="AQ148" s="56"/>
      <c r="AR148" s="56"/>
      <c r="AS148" s="611"/>
      <c r="AT148" s="56"/>
      <c r="AU148" s="56"/>
      <c r="AV148" s="56"/>
      <c r="AW148" s="56"/>
      <c r="AX148" s="611"/>
      <c r="AY148" s="56"/>
      <c r="AZ148" s="56"/>
      <c r="BA148" s="56"/>
      <c r="BB148" s="56"/>
      <c r="BC148" s="611"/>
      <c r="BD148" s="56"/>
      <c r="BE148" s="56"/>
      <c r="BF148" s="56"/>
      <c r="BG148" s="56"/>
      <c r="BH148" s="611"/>
      <c r="BI148" s="56"/>
      <c r="BJ148" s="56"/>
      <c r="BK148" s="56"/>
      <c r="BL148" s="56"/>
      <c r="BM148" s="611"/>
      <c r="BN148" s="56"/>
      <c r="BO148" s="56"/>
      <c r="BP148" s="56"/>
      <c r="BQ148" s="56"/>
      <c r="BR148" s="611"/>
      <c r="BS148" s="56"/>
      <c r="BT148" s="56"/>
      <c r="BU148" s="56"/>
      <c r="BV148" s="56"/>
      <c r="BW148" s="611"/>
      <c r="BX148" s="56"/>
      <c r="BY148" s="56"/>
      <c r="BZ148" s="56"/>
      <c r="CA148" s="56"/>
      <c r="CB148" s="611"/>
      <c r="CC148" s="56"/>
      <c r="CD148" s="56"/>
      <c r="CE148" s="56"/>
      <c r="CF148" s="56"/>
      <c r="CG148" s="611"/>
      <c r="CH148" s="56"/>
      <c r="CI148" s="56"/>
      <c r="CJ148" s="56"/>
      <c r="CK148" s="56"/>
      <c r="CL148" s="611"/>
      <c r="CM148" s="56"/>
      <c r="CN148" s="56"/>
      <c r="CO148" s="56"/>
      <c r="CP148" s="56"/>
      <c r="CQ148" s="611"/>
      <c r="CR148" s="56"/>
      <c r="CS148" s="56"/>
      <c r="CT148" s="56"/>
      <c r="CU148" s="56"/>
      <c r="CV148" s="611"/>
      <c r="CW148" s="56"/>
      <c r="CX148" s="56"/>
      <c r="CY148" s="56"/>
      <c r="CZ148" s="56"/>
      <c r="DA148" s="611"/>
      <c r="DB148" s="56"/>
      <c r="DC148" s="56"/>
      <c r="DD148" s="56"/>
      <c r="DE148" s="56"/>
      <c r="DF148" s="611"/>
      <c r="DG148" s="56"/>
      <c r="DH148" s="56"/>
      <c r="DI148" s="56"/>
      <c r="DJ148" s="56"/>
      <c r="DK148" s="611"/>
      <c r="DL148" s="56"/>
      <c r="DM148" s="56"/>
      <c r="DN148" s="56"/>
      <c r="DO148" s="56"/>
      <c r="DP148" s="611"/>
      <c r="DQ148" s="56"/>
      <c r="DR148" s="56"/>
      <c r="DS148" s="56"/>
      <c r="DT148" s="56"/>
      <c r="DU148" s="611"/>
      <c r="DV148" s="56"/>
      <c r="DW148" s="56"/>
      <c r="DX148" s="56"/>
      <c r="DY148" s="56"/>
      <c r="DZ148" s="611"/>
      <c r="EA148" s="56"/>
      <c r="EB148" s="56"/>
      <c r="EC148" s="56"/>
      <c r="ED148" s="56"/>
      <c r="EE148" s="611"/>
      <c r="EF148" s="56"/>
      <c r="EG148" s="56"/>
      <c r="EH148" s="56"/>
      <c r="EI148" s="56"/>
      <c r="EJ148" s="611"/>
      <c r="EK148" s="56"/>
      <c r="EL148" s="56"/>
      <c r="EM148" s="56"/>
      <c r="EN148" s="56"/>
      <c r="EO148" s="144"/>
    </row>
    <row r="149" spans="4:145" hidden="1" x14ac:dyDescent="0.3">
      <c r="D149" s="144" t="s">
        <v>455</v>
      </c>
      <c r="E149" s="494"/>
      <c r="G149" s="56">
        <f>SUM(G150:G151)</f>
        <v>0</v>
      </c>
      <c r="H149" s="56"/>
      <c r="I149" s="56"/>
      <c r="J149" s="611"/>
      <c r="K149" s="56"/>
      <c r="L149" s="56">
        <f>SUM(L150:L151)</f>
        <v>0</v>
      </c>
      <c r="M149" s="56"/>
      <c r="N149" s="56"/>
      <c r="O149" s="611"/>
      <c r="P149" s="56"/>
      <c r="Q149" s="56">
        <f>SUM(Q150:Q151)</f>
        <v>0</v>
      </c>
      <c r="R149" s="56"/>
      <c r="S149" s="56"/>
      <c r="T149" s="611"/>
      <c r="U149" s="56"/>
      <c r="V149" s="56">
        <f>SUM(V150:V151)</f>
        <v>0</v>
      </c>
      <c r="W149" s="56"/>
      <c r="X149" s="56"/>
      <c r="Y149" s="611"/>
      <c r="Z149" s="56"/>
      <c r="AA149" s="56">
        <f>SUM(AA150:AA151)</f>
        <v>0</v>
      </c>
      <c r="AB149" s="56"/>
      <c r="AC149" s="56"/>
      <c r="AD149" s="611"/>
      <c r="AE149" s="56"/>
      <c r="AF149" s="56">
        <f>SUM(AF150:AF151)</f>
        <v>0</v>
      </c>
      <c r="AG149" s="56"/>
      <c r="AH149" s="56"/>
      <c r="AI149" s="611"/>
      <c r="AJ149" s="56"/>
      <c r="AK149" s="56">
        <f>SUM(AK150:AK151)</f>
        <v>0</v>
      </c>
      <c r="AL149" s="56"/>
      <c r="AM149" s="56"/>
      <c r="AN149" s="611"/>
      <c r="AO149" s="56"/>
      <c r="AP149" s="56">
        <f>SUM(AP150:AP151)</f>
        <v>0</v>
      </c>
      <c r="AQ149" s="56"/>
      <c r="AR149" s="56"/>
      <c r="AS149" s="611"/>
      <c r="AT149" s="56"/>
      <c r="AU149" s="56">
        <f>SUM(AU150:AU151)</f>
        <v>0</v>
      </c>
      <c r="AV149" s="56"/>
      <c r="AW149" s="56"/>
      <c r="AX149" s="611"/>
      <c r="AY149" s="56"/>
      <c r="AZ149" s="56">
        <f>SUM(AZ150:AZ151)</f>
        <v>0</v>
      </c>
      <c r="BA149" s="56"/>
      <c r="BB149" s="56"/>
      <c r="BC149" s="611"/>
      <c r="BD149" s="56"/>
      <c r="BE149" s="56">
        <f>SUM(BE150:BE151)</f>
        <v>0</v>
      </c>
      <c r="BF149" s="56"/>
      <c r="BG149" s="56"/>
      <c r="BH149" s="611"/>
      <c r="BI149" s="56"/>
      <c r="BJ149" s="56">
        <f>SUM(BJ150:BJ151)</f>
        <v>0</v>
      </c>
      <c r="BK149" s="56"/>
      <c r="BL149" s="56"/>
      <c r="BM149" s="611"/>
      <c r="BN149" s="56"/>
      <c r="BO149" s="56">
        <f>SUM(BO150:BO151)</f>
        <v>0</v>
      </c>
      <c r="BP149" s="56"/>
      <c r="BQ149" s="56"/>
      <c r="BR149" s="611"/>
      <c r="BS149" s="56"/>
      <c r="BT149" s="56">
        <f>SUM(BT150:BT151)</f>
        <v>0</v>
      </c>
      <c r="BU149" s="56"/>
      <c r="BV149" s="56"/>
      <c r="BW149" s="611"/>
      <c r="BX149" s="56"/>
      <c r="BY149" s="56">
        <f>SUM(BY150:BY151)</f>
        <v>0</v>
      </c>
      <c r="BZ149" s="56"/>
      <c r="CA149" s="56"/>
      <c r="CB149" s="611"/>
      <c r="CC149" s="56"/>
      <c r="CD149" s="56">
        <f>SUM(CD150:CD151)</f>
        <v>0</v>
      </c>
      <c r="CE149" s="56"/>
      <c r="CF149" s="56"/>
      <c r="CG149" s="611"/>
      <c r="CH149" s="56"/>
      <c r="CI149" s="56">
        <f>SUM(CI150:CI151)</f>
        <v>0</v>
      </c>
      <c r="CJ149" s="56"/>
      <c r="CK149" s="56"/>
      <c r="CL149" s="611"/>
      <c r="CM149" s="56"/>
      <c r="CN149" s="56">
        <f>SUM(CN150:CN151)</f>
        <v>0</v>
      </c>
      <c r="CO149" s="56"/>
      <c r="CP149" s="56"/>
      <c r="CQ149" s="611"/>
      <c r="CR149" s="56"/>
      <c r="CS149" s="56">
        <f>SUM(CS150:CS151)</f>
        <v>0</v>
      </c>
      <c r="CT149" s="56"/>
      <c r="CU149" s="56"/>
      <c r="CV149" s="611"/>
      <c r="CW149" s="56"/>
      <c r="CX149" s="56">
        <f>SUM(CX150:CX151)</f>
        <v>0</v>
      </c>
      <c r="CY149" s="56"/>
      <c r="CZ149" s="56"/>
      <c r="DA149" s="611"/>
      <c r="DB149" s="56"/>
      <c r="DC149" s="56">
        <f>SUM(DC150:DC151)</f>
        <v>0</v>
      </c>
      <c r="DD149" s="56"/>
      <c r="DE149" s="56"/>
      <c r="DF149" s="611"/>
      <c r="DG149" s="56"/>
      <c r="DH149" s="56">
        <f>SUM(DH150:DH151)</f>
        <v>0</v>
      </c>
      <c r="DI149" s="56"/>
      <c r="DJ149" s="56"/>
      <c r="DK149" s="611"/>
      <c r="DL149" s="56"/>
      <c r="DM149" s="56">
        <f>SUM(DM150:DM151)</f>
        <v>0</v>
      </c>
      <c r="DN149" s="56"/>
      <c r="DO149" s="56"/>
      <c r="DP149" s="611"/>
      <c r="DQ149" s="56"/>
      <c r="DR149" s="56">
        <f>SUM(DR150:DR151)</f>
        <v>0</v>
      </c>
      <c r="DS149" s="56"/>
      <c r="DT149" s="56"/>
      <c r="DU149" s="611"/>
      <c r="DV149" s="56"/>
      <c r="DW149" s="56">
        <f>SUM(DW150:DW151)</f>
        <v>0</v>
      </c>
      <c r="DX149" s="56"/>
      <c r="DY149" s="56"/>
      <c r="DZ149" s="611"/>
      <c r="EA149" s="56"/>
      <c r="EB149" s="56">
        <f>SUM(EB150:EB151)</f>
        <v>0</v>
      </c>
      <c r="EC149" s="56"/>
      <c r="ED149" s="56"/>
      <c r="EE149" s="611"/>
      <c r="EF149" s="56"/>
      <c r="EG149" s="56">
        <f>SUM(EG150:EG151)</f>
        <v>0</v>
      </c>
      <c r="EH149" s="56"/>
      <c r="EI149" s="56"/>
      <c r="EJ149" s="611"/>
      <c r="EK149" s="56"/>
      <c r="EL149" s="56">
        <f>SUM(EL150:EL151)</f>
        <v>0</v>
      </c>
      <c r="EM149" s="56"/>
      <c r="EN149" s="56"/>
      <c r="EO149" s="144"/>
    </row>
    <row r="150" spans="4:145" hidden="1" x14ac:dyDescent="0.3">
      <c r="D150" s="144" t="s">
        <v>446</v>
      </c>
      <c r="E150" s="494"/>
      <c r="F150" s="500"/>
      <c r="G150" s="609">
        <v>0</v>
      </c>
      <c r="H150" s="610"/>
      <c r="I150" s="56"/>
      <c r="J150" s="611"/>
      <c r="K150" s="500"/>
      <c r="L150" s="609">
        <v>0</v>
      </c>
      <c r="M150" s="610"/>
      <c r="N150" s="56"/>
      <c r="O150" s="611"/>
      <c r="P150" s="500"/>
      <c r="Q150" s="609">
        <v>0</v>
      </c>
      <c r="R150" s="610"/>
      <c r="S150" s="56"/>
      <c r="T150" s="611"/>
      <c r="U150" s="500"/>
      <c r="V150" s="609">
        <v>0</v>
      </c>
      <c r="W150" s="610"/>
      <c r="X150" s="56"/>
      <c r="Y150" s="611"/>
      <c r="Z150" s="500"/>
      <c r="AA150" s="609">
        <v>0</v>
      </c>
      <c r="AB150" s="610"/>
      <c r="AC150" s="56"/>
      <c r="AD150" s="611"/>
      <c r="AE150" s="500"/>
      <c r="AF150" s="609">
        <v>0</v>
      </c>
      <c r="AG150" s="610"/>
      <c r="AH150" s="56"/>
      <c r="AI150" s="611"/>
      <c r="AJ150" s="500"/>
      <c r="AK150" s="609">
        <v>0</v>
      </c>
      <c r="AL150" s="610"/>
      <c r="AM150" s="56"/>
      <c r="AN150" s="611"/>
      <c r="AO150" s="500"/>
      <c r="AP150" s="609">
        <v>0</v>
      </c>
      <c r="AQ150" s="610"/>
      <c r="AR150" s="56"/>
      <c r="AS150" s="611"/>
      <c r="AT150" s="500"/>
      <c r="AU150" s="609">
        <v>0</v>
      </c>
      <c r="AV150" s="610"/>
      <c r="AW150" s="56"/>
      <c r="AX150" s="611"/>
      <c r="AY150" s="500"/>
      <c r="AZ150" s="609">
        <v>0</v>
      </c>
      <c r="BA150" s="610"/>
      <c r="BB150" s="56"/>
      <c r="BC150" s="611"/>
      <c r="BD150" s="500"/>
      <c r="BE150" s="609">
        <v>0</v>
      </c>
      <c r="BF150" s="610"/>
      <c r="BG150" s="56"/>
      <c r="BH150" s="611"/>
      <c r="BI150" s="500"/>
      <c r="BJ150" s="609">
        <v>0</v>
      </c>
      <c r="BK150" s="610"/>
      <c r="BL150" s="56"/>
      <c r="BM150" s="611"/>
      <c r="BN150" s="500"/>
      <c r="BO150" s="609">
        <v>0</v>
      </c>
      <c r="BP150" s="610"/>
      <c r="BQ150" s="56"/>
      <c r="BR150" s="611"/>
      <c r="BS150" s="500"/>
      <c r="BT150" s="609">
        <v>0</v>
      </c>
      <c r="BU150" s="610"/>
      <c r="BV150" s="56"/>
      <c r="BW150" s="611"/>
      <c r="BX150" s="500"/>
      <c r="BY150" s="609">
        <v>0</v>
      </c>
      <c r="BZ150" s="610"/>
      <c r="CA150" s="56"/>
      <c r="CB150" s="611"/>
      <c r="CC150" s="500"/>
      <c r="CD150" s="609">
        <v>0</v>
      </c>
      <c r="CE150" s="610"/>
      <c r="CF150" s="56"/>
      <c r="CG150" s="611"/>
      <c r="CH150" s="500"/>
      <c r="CI150" s="609">
        <v>0</v>
      </c>
      <c r="CJ150" s="610"/>
      <c r="CK150" s="56"/>
      <c r="CL150" s="611"/>
      <c r="CM150" s="500"/>
      <c r="CN150" s="609">
        <v>0</v>
      </c>
      <c r="CO150" s="610"/>
      <c r="CP150" s="56"/>
      <c r="CQ150" s="611"/>
      <c r="CR150" s="500"/>
      <c r="CS150" s="609">
        <v>0</v>
      </c>
      <c r="CT150" s="610"/>
      <c r="CU150" s="56"/>
      <c r="CV150" s="611"/>
      <c r="CW150" s="500"/>
      <c r="CX150" s="609">
        <v>0</v>
      </c>
      <c r="CY150" s="610"/>
      <c r="CZ150" s="56"/>
      <c r="DA150" s="611"/>
      <c r="DB150" s="500"/>
      <c r="DC150" s="609">
        <v>0</v>
      </c>
      <c r="DD150" s="610"/>
      <c r="DE150" s="56"/>
      <c r="DF150" s="611"/>
      <c r="DG150" s="500"/>
      <c r="DH150" s="609">
        <v>0</v>
      </c>
      <c r="DI150" s="610"/>
      <c r="DJ150" s="56"/>
      <c r="DK150" s="611"/>
      <c r="DL150" s="500"/>
      <c r="DM150" s="609">
        <v>0</v>
      </c>
      <c r="DN150" s="610"/>
      <c r="DO150" s="56"/>
      <c r="DP150" s="611"/>
      <c r="DQ150" s="500"/>
      <c r="DR150" s="609">
        <v>0</v>
      </c>
      <c r="DS150" s="610"/>
      <c r="DT150" s="56"/>
      <c r="DU150" s="611"/>
      <c r="DV150" s="500"/>
      <c r="DW150" s="609">
        <v>0</v>
      </c>
      <c r="DX150" s="610"/>
      <c r="DY150" s="56"/>
      <c r="DZ150" s="611"/>
      <c r="EA150" s="500"/>
      <c r="EB150" s="609">
        <v>0</v>
      </c>
      <c r="EC150" s="610"/>
      <c r="ED150" s="56"/>
      <c r="EE150" s="611"/>
      <c r="EF150" s="500"/>
      <c r="EG150" s="609">
        <v>0</v>
      </c>
      <c r="EH150" s="610"/>
      <c r="EI150" s="56"/>
      <c r="EJ150" s="611"/>
      <c r="EK150" s="500"/>
      <c r="EL150" s="609">
        <f>SUM(CD150:EG150)</f>
        <v>0</v>
      </c>
      <c r="EM150" s="610"/>
      <c r="EN150" s="56"/>
      <c r="EO150" s="144"/>
    </row>
    <row r="151" spans="4:145" hidden="1" x14ac:dyDescent="0.3">
      <c r="D151" s="144" t="s">
        <v>447</v>
      </c>
      <c r="E151" s="494"/>
      <c r="F151" s="513"/>
      <c r="G151" s="117">
        <v>0</v>
      </c>
      <c r="H151" s="116"/>
      <c r="I151" s="56"/>
      <c r="J151" s="611"/>
      <c r="K151" s="513"/>
      <c r="L151" s="117">
        <v>0</v>
      </c>
      <c r="M151" s="116"/>
      <c r="N151" s="56"/>
      <c r="O151" s="611"/>
      <c r="P151" s="513"/>
      <c r="Q151" s="117">
        <v>0</v>
      </c>
      <c r="R151" s="116"/>
      <c r="S151" s="56"/>
      <c r="T151" s="611"/>
      <c r="U151" s="513"/>
      <c r="V151" s="117">
        <v>0</v>
      </c>
      <c r="W151" s="116"/>
      <c r="X151" s="56"/>
      <c r="Y151" s="611"/>
      <c r="Z151" s="513"/>
      <c r="AA151" s="117">
        <v>0</v>
      </c>
      <c r="AB151" s="116"/>
      <c r="AC151" s="56"/>
      <c r="AD151" s="611"/>
      <c r="AE151" s="513"/>
      <c r="AF151" s="117">
        <v>0</v>
      </c>
      <c r="AG151" s="116"/>
      <c r="AH151" s="56"/>
      <c r="AI151" s="611"/>
      <c r="AJ151" s="513"/>
      <c r="AK151" s="117">
        <v>0</v>
      </c>
      <c r="AL151" s="116"/>
      <c r="AM151" s="56"/>
      <c r="AN151" s="611"/>
      <c r="AO151" s="513"/>
      <c r="AP151" s="117">
        <v>0</v>
      </c>
      <c r="AQ151" s="116"/>
      <c r="AR151" s="56"/>
      <c r="AS151" s="611"/>
      <c r="AT151" s="513"/>
      <c r="AU151" s="117">
        <v>0</v>
      </c>
      <c r="AV151" s="116"/>
      <c r="AW151" s="56"/>
      <c r="AX151" s="611"/>
      <c r="AY151" s="513"/>
      <c r="AZ151" s="117">
        <v>0</v>
      </c>
      <c r="BA151" s="116"/>
      <c r="BB151" s="56"/>
      <c r="BC151" s="611"/>
      <c r="BD151" s="513"/>
      <c r="BE151" s="117">
        <v>0</v>
      </c>
      <c r="BF151" s="116"/>
      <c r="BG151" s="56"/>
      <c r="BH151" s="611"/>
      <c r="BI151" s="513"/>
      <c r="BJ151" s="117">
        <v>0</v>
      </c>
      <c r="BK151" s="116"/>
      <c r="BL151" s="56"/>
      <c r="BM151" s="611"/>
      <c r="BN151" s="513"/>
      <c r="BO151" s="117">
        <v>0</v>
      </c>
      <c r="BP151" s="116"/>
      <c r="BQ151" s="56"/>
      <c r="BR151" s="611"/>
      <c r="BS151" s="513"/>
      <c r="BT151" s="117">
        <v>0</v>
      </c>
      <c r="BU151" s="116"/>
      <c r="BV151" s="56"/>
      <c r="BW151" s="611"/>
      <c r="BX151" s="513"/>
      <c r="BY151" s="117">
        <v>0</v>
      </c>
      <c r="BZ151" s="116"/>
      <c r="CA151" s="56"/>
      <c r="CB151" s="611"/>
      <c r="CC151" s="513"/>
      <c r="CD151" s="117">
        <v>0</v>
      </c>
      <c r="CE151" s="116"/>
      <c r="CF151" s="56"/>
      <c r="CG151" s="611"/>
      <c r="CH151" s="513"/>
      <c r="CI151" s="117">
        <v>0</v>
      </c>
      <c r="CJ151" s="116"/>
      <c r="CK151" s="56"/>
      <c r="CL151" s="611"/>
      <c r="CM151" s="513"/>
      <c r="CN151" s="117">
        <v>0</v>
      </c>
      <c r="CO151" s="116"/>
      <c r="CP151" s="56"/>
      <c r="CQ151" s="611"/>
      <c r="CR151" s="513"/>
      <c r="CS151" s="117">
        <v>0</v>
      </c>
      <c r="CT151" s="116"/>
      <c r="CU151" s="56"/>
      <c r="CV151" s="611"/>
      <c r="CW151" s="513"/>
      <c r="CX151" s="117">
        <v>0</v>
      </c>
      <c r="CY151" s="116"/>
      <c r="CZ151" s="56"/>
      <c r="DA151" s="611"/>
      <c r="DB151" s="513"/>
      <c r="DC151" s="117">
        <v>0</v>
      </c>
      <c r="DD151" s="116"/>
      <c r="DE151" s="56"/>
      <c r="DF151" s="611"/>
      <c r="DG151" s="513"/>
      <c r="DH151" s="117">
        <v>0</v>
      </c>
      <c r="DI151" s="116"/>
      <c r="DJ151" s="56"/>
      <c r="DK151" s="611"/>
      <c r="DL151" s="513"/>
      <c r="DM151" s="117">
        <v>0</v>
      </c>
      <c r="DN151" s="116"/>
      <c r="DO151" s="56"/>
      <c r="DP151" s="611"/>
      <c r="DQ151" s="513"/>
      <c r="DR151" s="117">
        <v>0</v>
      </c>
      <c r="DS151" s="116"/>
      <c r="DT151" s="56"/>
      <c r="DU151" s="611"/>
      <c r="DV151" s="513"/>
      <c r="DW151" s="117">
        <v>0</v>
      </c>
      <c r="DX151" s="116"/>
      <c r="DY151" s="56"/>
      <c r="DZ151" s="611"/>
      <c r="EA151" s="513"/>
      <c r="EB151" s="117">
        <v>0</v>
      </c>
      <c r="EC151" s="116"/>
      <c r="ED151" s="56"/>
      <c r="EE151" s="611"/>
      <c r="EF151" s="513"/>
      <c r="EG151" s="117">
        <v>0</v>
      </c>
      <c r="EH151" s="116"/>
      <c r="EI151" s="56"/>
      <c r="EJ151" s="611"/>
      <c r="EK151" s="513"/>
      <c r="EL151" s="117">
        <f>SUM(CD151:EG151)</f>
        <v>0</v>
      </c>
      <c r="EM151" s="116"/>
      <c r="EN151" s="56"/>
      <c r="EO151" s="144"/>
    </row>
    <row r="152" spans="4:145" hidden="1" x14ac:dyDescent="0.3">
      <c r="D152" s="144"/>
      <c r="E152" s="494"/>
      <c r="G152" s="56"/>
      <c r="H152" s="56"/>
      <c r="I152" s="56"/>
      <c r="J152" s="611"/>
      <c r="L152" s="56"/>
      <c r="M152" s="56"/>
      <c r="N152" s="56"/>
      <c r="O152" s="611"/>
      <c r="Q152" s="56"/>
      <c r="R152" s="56"/>
      <c r="S152" s="56"/>
      <c r="T152" s="611"/>
      <c r="V152" s="56"/>
      <c r="W152" s="56"/>
      <c r="X152" s="56"/>
      <c r="Y152" s="611"/>
      <c r="AA152" s="56"/>
      <c r="AB152" s="56"/>
      <c r="AC152" s="56"/>
      <c r="AD152" s="611"/>
      <c r="AF152" s="56"/>
      <c r="AG152" s="56"/>
      <c r="AH152" s="56"/>
      <c r="AI152" s="611"/>
      <c r="AK152" s="56"/>
      <c r="AL152" s="56"/>
      <c r="AM152" s="56"/>
      <c r="AN152" s="611"/>
      <c r="AP152" s="56"/>
      <c r="AQ152" s="56"/>
      <c r="AR152" s="56"/>
      <c r="AS152" s="611"/>
      <c r="AU152" s="56"/>
      <c r="AV152" s="56"/>
      <c r="AW152" s="56"/>
      <c r="AX152" s="611"/>
      <c r="AZ152" s="56"/>
      <c r="BA152" s="56"/>
      <c r="BB152" s="56"/>
      <c r="BC152" s="611"/>
      <c r="BE152" s="56"/>
      <c r="BF152" s="56"/>
      <c r="BG152" s="56"/>
      <c r="BH152" s="611"/>
      <c r="BJ152" s="56"/>
      <c r="BK152" s="56"/>
      <c r="BL152" s="56"/>
      <c r="BM152" s="611"/>
      <c r="BO152" s="56"/>
      <c r="BP152" s="56"/>
      <c r="BQ152" s="56"/>
      <c r="BR152" s="611"/>
      <c r="BT152" s="56"/>
      <c r="BU152" s="56"/>
      <c r="BV152" s="56"/>
      <c r="BW152" s="611"/>
      <c r="BY152" s="56"/>
      <c r="BZ152" s="56"/>
      <c r="CA152" s="56"/>
      <c r="CB152" s="611"/>
      <c r="CD152" s="56"/>
      <c r="CE152" s="56"/>
      <c r="CF152" s="56"/>
      <c r="CG152" s="611"/>
      <c r="CI152" s="56"/>
      <c r="CJ152" s="56"/>
      <c r="CK152" s="56"/>
      <c r="CL152" s="611"/>
      <c r="CN152" s="56"/>
      <c r="CO152" s="56"/>
      <c r="CP152" s="56"/>
      <c r="CQ152" s="611"/>
      <c r="CS152" s="56"/>
      <c r="CT152" s="56"/>
      <c r="CU152" s="56"/>
      <c r="CV152" s="611"/>
      <c r="CX152" s="56"/>
      <c r="CY152" s="56"/>
      <c r="CZ152" s="56"/>
      <c r="DA152" s="611"/>
      <c r="DC152" s="56"/>
      <c r="DD152" s="56"/>
      <c r="DE152" s="56"/>
      <c r="DF152" s="611"/>
      <c r="DH152" s="56"/>
      <c r="DI152" s="56"/>
      <c r="DJ152" s="56"/>
      <c r="DK152" s="611"/>
      <c r="DM152" s="56"/>
      <c r="DN152" s="56"/>
      <c r="DO152" s="56"/>
      <c r="DP152" s="611"/>
      <c r="DR152" s="56"/>
      <c r="DS152" s="56"/>
      <c r="DT152" s="56"/>
      <c r="DU152" s="611"/>
      <c r="DW152" s="56"/>
      <c r="DX152" s="56"/>
      <c r="DY152" s="56"/>
      <c r="DZ152" s="611"/>
      <c r="EB152" s="56"/>
      <c r="EC152" s="56"/>
      <c r="ED152" s="56"/>
      <c r="EE152" s="611"/>
      <c r="EG152" s="56"/>
      <c r="EH152" s="56"/>
      <c r="EI152" s="56"/>
      <c r="EJ152" s="611"/>
      <c r="EL152" s="56"/>
      <c r="EM152" s="56"/>
      <c r="EN152" s="56"/>
      <c r="EO152" s="144"/>
    </row>
    <row r="153" spans="4:145" hidden="1" x14ac:dyDescent="0.3">
      <c r="D153" s="144" t="s">
        <v>456</v>
      </c>
      <c r="E153" s="494"/>
      <c r="G153" s="56">
        <f>SUM(G154:G155)</f>
        <v>0</v>
      </c>
      <c r="H153" s="56"/>
      <c r="I153" s="56"/>
      <c r="J153" s="611"/>
      <c r="K153" s="56"/>
      <c r="L153" s="56">
        <f>SUM(L154:L155)</f>
        <v>0</v>
      </c>
      <c r="M153" s="56"/>
      <c r="N153" s="56"/>
      <c r="O153" s="611"/>
      <c r="P153" s="56"/>
      <c r="Q153" s="56">
        <f>SUM(Q154:Q155)</f>
        <v>0</v>
      </c>
      <c r="R153" s="56"/>
      <c r="S153" s="56"/>
      <c r="T153" s="611"/>
      <c r="U153" s="56"/>
      <c r="V153" s="56">
        <f>SUM(V154:V155)</f>
        <v>0</v>
      </c>
      <c r="W153" s="56"/>
      <c r="X153" s="56"/>
      <c r="Y153" s="611"/>
      <c r="Z153" s="56"/>
      <c r="AA153" s="56">
        <f>SUM(AA154:AA155)</f>
        <v>0</v>
      </c>
      <c r="AB153" s="56"/>
      <c r="AC153" s="56"/>
      <c r="AD153" s="611"/>
      <c r="AE153" s="56"/>
      <c r="AF153" s="56">
        <f>SUM(AF154:AF155)</f>
        <v>0</v>
      </c>
      <c r="AG153" s="56"/>
      <c r="AH153" s="56"/>
      <c r="AI153" s="611"/>
      <c r="AJ153" s="56"/>
      <c r="AK153" s="56">
        <f>SUM(AK154:AK155)</f>
        <v>0</v>
      </c>
      <c r="AL153" s="56"/>
      <c r="AM153" s="56"/>
      <c r="AN153" s="611"/>
      <c r="AO153" s="56"/>
      <c r="AP153" s="56">
        <f>SUM(AP154:AP155)</f>
        <v>0</v>
      </c>
      <c r="AQ153" s="56"/>
      <c r="AR153" s="56"/>
      <c r="AS153" s="611"/>
      <c r="AT153" s="56"/>
      <c r="AU153" s="56">
        <f>SUM(AU154:AU155)</f>
        <v>0</v>
      </c>
      <c r="AV153" s="56"/>
      <c r="AW153" s="56"/>
      <c r="AX153" s="611"/>
      <c r="AY153" s="56"/>
      <c r="AZ153" s="56">
        <f>SUM(AZ154:AZ155)</f>
        <v>0</v>
      </c>
      <c r="BA153" s="56"/>
      <c r="BB153" s="56"/>
      <c r="BC153" s="611"/>
      <c r="BD153" s="56"/>
      <c r="BE153" s="56">
        <f>SUM(BE154:BE155)</f>
        <v>0</v>
      </c>
      <c r="BF153" s="56"/>
      <c r="BG153" s="56"/>
      <c r="BH153" s="611"/>
      <c r="BI153" s="56"/>
      <c r="BJ153" s="56">
        <f>SUM(BJ154:BJ155)</f>
        <v>0</v>
      </c>
      <c r="BK153" s="56"/>
      <c r="BL153" s="56"/>
      <c r="BM153" s="611"/>
      <c r="BN153" s="56"/>
      <c r="BO153" s="56">
        <f>SUM(BO154:BO155)</f>
        <v>0</v>
      </c>
      <c r="BP153" s="56"/>
      <c r="BQ153" s="56"/>
      <c r="BR153" s="611"/>
      <c r="BS153" s="56"/>
      <c r="BT153" s="56">
        <f>SUM(BT154:BT155)</f>
        <v>0</v>
      </c>
      <c r="BU153" s="56"/>
      <c r="BV153" s="56"/>
      <c r="BW153" s="611"/>
      <c r="BX153" s="56"/>
      <c r="BY153" s="56">
        <f>SUM(BY154:BY155)</f>
        <v>0</v>
      </c>
      <c r="BZ153" s="56"/>
      <c r="CA153" s="56"/>
      <c r="CB153" s="611"/>
      <c r="CC153" s="56"/>
      <c r="CD153" s="56">
        <f>SUM(CD154:CD155)</f>
        <v>0</v>
      </c>
      <c r="CE153" s="56"/>
      <c r="CF153" s="56"/>
      <c r="CG153" s="611"/>
      <c r="CH153" s="56"/>
      <c r="CI153" s="56">
        <f>SUM(CI154:CI155)</f>
        <v>0</v>
      </c>
      <c r="CJ153" s="56"/>
      <c r="CK153" s="56"/>
      <c r="CL153" s="611"/>
      <c r="CM153" s="56"/>
      <c r="CN153" s="56">
        <f>SUM(CN154:CN155)</f>
        <v>0</v>
      </c>
      <c r="CO153" s="56"/>
      <c r="CP153" s="56"/>
      <c r="CQ153" s="611"/>
      <c r="CR153" s="56"/>
      <c r="CS153" s="56">
        <f>SUM(CS154:CS155)</f>
        <v>0</v>
      </c>
      <c r="CT153" s="56"/>
      <c r="CU153" s="56"/>
      <c r="CV153" s="611"/>
      <c r="CW153" s="56"/>
      <c r="CX153" s="56">
        <f>SUM(CX154:CX155)</f>
        <v>0</v>
      </c>
      <c r="CY153" s="56"/>
      <c r="CZ153" s="56"/>
      <c r="DA153" s="611"/>
      <c r="DB153" s="56"/>
      <c r="DC153" s="56">
        <f>SUM(DC154:DC155)</f>
        <v>0</v>
      </c>
      <c r="DD153" s="56"/>
      <c r="DE153" s="56"/>
      <c r="DF153" s="611"/>
      <c r="DG153" s="56"/>
      <c r="DH153" s="56">
        <f>SUM(DH154:DH155)</f>
        <v>0</v>
      </c>
      <c r="DI153" s="56"/>
      <c r="DJ153" s="56"/>
      <c r="DK153" s="611"/>
      <c r="DL153" s="56"/>
      <c r="DM153" s="56">
        <f>SUM(DM154:DM155)</f>
        <v>0</v>
      </c>
      <c r="DN153" s="56"/>
      <c r="DO153" s="56"/>
      <c r="DP153" s="611"/>
      <c r="DQ153" s="56"/>
      <c r="DR153" s="56">
        <f>SUM(DR154:DR155)</f>
        <v>0</v>
      </c>
      <c r="DS153" s="56"/>
      <c r="DT153" s="56"/>
      <c r="DU153" s="611"/>
      <c r="DV153" s="56"/>
      <c r="DW153" s="56">
        <f>SUM(DW154:DW155)</f>
        <v>0</v>
      </c>
      <c r="DX153" s="56"/>
      <c r="DY153" s="56"/>
      <c r="DZ153" s="611"/>
      <c r="EA153" s="56"/>
      <c r="EB153" s="56">
        <f>SUM(EB154:EB155)</f>
        <v>0</v>
      </c>
      <c r="EC153" s="56"/>
      <c r="ED153" s="56"/>
      <c r="EE153" s="611"/>
      <c r="EF153" s="56"/>
      <c r="EG153" s="56">
        <f>SUM(EG154:EG155)</f>
        <v>0</v>
      </c>
      <c r="EH153" s="56"/>
      <c r="EI153" s="56"/>
      <c r="EJ153" s="611"/>
      <c r="EK153" s="56"/>
      <c r="EL153" s="56">
        <f>SUM(EL154:EL155)</f>
        <v>0</v>
      </c>
      <c r="EM153" s="56"/>
      <c r="EN153" s="56"/>
      <c r="EO153" s="144"/>
    </row>
    <row r="154" spans="4:145" hidden="1" x14ac:dyDescent="0.3">
      <c r="D154" s="144" t="s">
        <v>446</v>
      </c>
      <c r="E154" s="494"/>
      <c r="F154" s="500"/>
      <c r="G154" s="609">
        <v>0</v>
      </c>
      <c r="H154" s="610"/>
      <c r="I154" s="56"/>
      <c r="J154" s="611"/>
      <c r="K154" s="500"/>
      <c r="L154" s="609">
        <v>0</v>
      </c>
      <c r="M154" s="610"/>
      <c r="N154" s="56"/>
      <c r="O154" s="611"/>
      <c r="P154" s="500"/>
      <c r="Q154" s="609">
        <v>0</v>
      </c>
      <c r="R154" s="610"/>
      <c r="S154" s="56"/>
      <c r="T154" s="611"/>
      <c r="U154" s="500"/>
      <c r="V154" s="609">
        <v>0</v>
      </c>
      <c r="W154" s="610"/>
      <c r="X154" s="56"/>
      <c r="Y154" s="611"/>
      <c r="Z154" s="500"/>
      <c r="AA154" s="609">
        <v>0</v>
      </c>
      <c r="AB154" s="610"/>
      <c r="AC154" s="56"/>
      <c r="AD154" s="611"/>
      <c r="AE154" s="500"/>
      <c r="AF154" s="609">
        <v>0</v>
      </c>
      <c r="AG154" s="610"/>
      <c r="AH154" s="56"/>
      <c r="AI154" s="611"/>
      <c r="AJ154" s="500"/>
      <c r="AK154" s="609">
        <v>0</v>
      </c>
      <c r="AL154" s="610"/>
      <c r="AM154" s="56"/>
      <c r="AN154" s="611"/>
      <c r="AO154" s="500"/>
      <c r="AP154" s="609">
        <v>0</v>
      </c>
      <c r="AQ154" s="610"/>
      <c r="AR154" s="56"/>
      <c r="AS154" s="611"/>
      <c r="AT154" s="500"/>
      <c r="AU154" s="609">
        <v>0</v>
      </c>
      <c r="AV154" s="610"/>
      <c r="AW154" s="56"/>
      <c r="AX154" s="611"/>
      <c r="AY154" s="500"/>
      <c r="AZ154" s="609">
        <v>0</v>
      </c>
      <c r="BA154" s="610"/>
      <c r="BB154" s="56"/>
      <c r="BC154" s="611"/>
      <c r="BD154" s="500"/>
      <c r="BE154" s="609">
        <v>0</v>
      </c>
      <c r="BF154" s="610"/>
      <c r="BG154" s="56"/>
      <c r="BH154" s="611"/>
      <c r="BI154" s="500"/>
      <c r="BJ154" s="609">
        <v>0</v>
      </c>
      <c r="BK154" s="610"/>
      <c r="BL154" s="56"/>
      <c r="BM154" s="611"/>
      <c r="BN154" s="500"/>
      <c r="BO154" s="609">
        <v>0</v>
      </c>
      <c r="BP154" s="610"/>
      <c r="BQ154" s="56"/>
      <c r="BR154" s="611"/>
      <c r="BS154" s="500"/>
      <c r="BT154" s="609">
        <v>0</v>
      </c>
      <c r="BU154" s="610"/>
      <c r="BV154" s="56"/>
      <c r="BW154" s="611"/>
      <c r="BX154" s="500"/>
      <c r="BY154" s="609">
        <v>0</v>
      </c>
      <c r="BZ154" s="610"/>
      <c r="CA154" s="56"/>
      <c r="CB154" s="611"/>
      <c r="CC154" s="500"/>
      <c r="CD154" s="609">
        <v>0</v>
      </c>
      <c r="CE154" s="610"/>
      <c r="CF154" s="56"/>
      <c r="CG154" s="611"/>
      <c r="CH154" s="500"/>
      <c r="CI154" s="609">
        <v>0</v>
      </c>
      <c r="CJ154" s="610"/>
      <c r="CK154" s="56"/>
      <c r="CL154" s="611"/>
      <c r="CM154" s="500"/>
      <c r="CN154" s="609">
        <v>0</v>
      </c>
      <c r="CO154" s="610"/>
      <c r="CP154" s="56"/>
      <c r="CQ154" s="611"/>
      <c r="CR154" s="500"/>
      <c r="CS154" s="609">
        <v>0</v>
      </c>
      <c r="CT154" s="610"/>
      <c r="CU154" s="56"/>
      <c r="CV154" s="611"/>
      <c r="CW154" s="500"/>
      <c r="CX154" s="609">
        <v>0</v>
      </c>
      <c r="CY154" s="610"/>
      <c r="CZ154" s="56"/>
      <c r="DA154" s="611"/>
      <c r="DB154" s="500"/>
      <c r="DC154" s="609">
        <v>0</v>
      </c>
      <c r="DD154" s="610"/>
      <c r="DE154" s="56"/>
      <c r="DF154" s="611"/>
      <c r="DG154" s="500"/>
      <c r="DH154" s="609">
        <v>0</v>
      </c>
      <c r="DI154" s="610"/>
      <c r="DJ154" s="56"/>
      <c r="DK154" s="611"/>
      <c r="DL154" s="500"/>
      <c r="DM154" s="609">
        <v>0</v>
      </c>
      <c r="DN154" s="610"/>
      <c r="DO154" s="56"/>
      <c r="DP154" s="611"/>
      <c r="DQ154" s="500"/>
      <c r="DR154" s="609">
        <v>0</v>
      </c>
      <c r="DS154" s="610"/>
      <c r="DT154" s="56"/>
      <c r="DU154" s="611"/>
      <c r="DV154" s="500"/>
      <c r="DW154" s="609">
        <v>0</v>
      </c>
      <c r="DX154" s="610"/>
      <c r="DY154" s="56"/>
      <c r="DZ154" s="611"/>
      <c r="EA154" s="500"/>
      <c r="EB154" s="609">
        <v>0</v>
      </c>
      <c r="EC154" s="610"/>
      <c r="ED154" s="56"/>
      <c r="EE154" s="611"/>
      <c r="EF154" s="500"/>
      <c r="EG154" s="609">
        <v>0</v>
      </c>
      <c r="EH154" s="610"/>
      <c r="EI154" s="56"/>
      <c r="EJ154" s="611"/>
      <c r="EK154" s="500"/>
      <c r="EL154" s="609">
        <f>SUM(CD154:EG154)</f>
        <v>0</v>
      </c>
      <c r="EM154" s="610"/>
      <c r="EN154" s="56"/>
      <c r="EO154" s="144"/>
    </row>
    <row r="155" spans="4:145" hidden="1" x14ac:dyDescent="0.3">
      <c r="D155" s="144" t="s">
        <v>447</v>
      </c>
      <c r="E155" s="494"/>
      <c r="F155" s="513"/>
      <c r="G155" s="117">
        <v>0</v>
      </c>
      <c r="H155" s="116"/>
      <c r="I155" s="56"/>
      <c r="J155" s="611"/>
      <c r="K155" s="513"/>
      <c r="L155" s="117">
        <v>0</v>
      </c>
      <c r="M155" s="116"/>
      <c r="N155" s="56"/>
      <c r="O155" s="611"/>
      <c r="P155" s="513"/>
      <c r="Q155" s="117">
        <v>0</v>
      </c>
      <c r="R155" s="116"/>
      <c r="S155" s="56"/>
      <c r="T155" s="611"/>
      <c r="U155" s="513"/>
      <c r="V155" s="117">
        <v>0</v>
      </c>
      <c r="W155" s="116"/>
      <c r="X155" s="56"/>
      <c r="Y155" s="611"/>
      <c r="Z155" s="513"/>
      <c r="AA155" s="117">
        <v>0</v>
      </c>
      <c r="AB155" s="116"/>
      <c r="AC155" s="56"/>
      <c r="AD155" s="611"/>
      <c r="AE155" s="513"/>
      <c r="AF155" s="117">
        <v>0</v>
      </c>
      <c r="AG155" s="116"/>
      <c r="AH155" s="56"/>
      <c r="AI155" s="611"/>
      <c r="AJ155" s="513"/>
      <c r="AK155" s="117">
        <v>0</v>
      </c>
      <c r="AL155" s="116"/>
      <c r="AM155" s="56"/>
      <c r="AN155" s="611"/>
      <c r="AO155" s="513"/>
      <c r="AP155" s="117">
        <v>0</v>
      </c>
      <c r="AQ155" s="116"/>
      <c r="AR155" s="56"/>
      <c r="AS155" s="611"/>
      <c r="AT155" s="513"/>
      <c r="AU155" s="117">
        <v>0</v>
      </c>
      <c r="AV155" s="116"/>
      <c r="AW155" s="56"/>
      <c r="AX155" s="611"/>
      <c r="AY155" s="513"/>
      <c r="AZ155" s="117">
        <v>0</v>
      </c>
      <c r="BA155" s="116"/>
      <c r="BB155" s="56"/>
      <c r="BC155" s="611"/>
      <c r="BD155" s="513"/>
      <c r="BE155" s="117">
        <v>0</v>
      </c>
      <c r="BF155" s="116"/>
      <c r="BG155" s="56"/>
      <c r="BH155" s="611"/>
      <c r="BI155" s="513"/>
      <c r="BJ155" s="117">
        <v>0</v>
      </c>
      <c r="BK155" s="116"/>
      <c r="BL155" s="56"/>
      <c r="BM155" s="611"/>
      <c r="BN155" s="513"/>
      <c r="BO155" s="117">
        <v>0</v>
      </c>
      <c r="BP155" s="116"/>
      <c r="BQ155" s="56"/>
      <c r="BR155" s="611"/>
      <c r="BS155" s="513"/>
      <c r="BT155" s="117">
        <v>0</v>
      </c>
      <c r="BU155" s="116"/>
      <c r="BV155" s="56"/>
      <c r="BW155" s="611"/>
      <c r="BX155" s="513"/>
      <c r="BY155" s="117">
        <v>0</v>
      </c>
      <c r="BZ155" s="116"/>
      <c r="CA155" s="56"/>
      <c r="CB155" s="611"/>
      <c r="CC155" s="513"/>
      <c r="CD155" s="117">
        <v>0</v>
      </c>
      <c r="CE155" s="116"/>
      <c r="CF155" s="56"/>
      <c r="CG155" s="611"/>
      <c r="CH155" s="513"/>
      <c r="CI155" s="117">
        <v>0</v>
      </c>
      <c r="CJ155" s="116"/>
      <c r="CK155" s="56"/>
      <c r="CL155" s="611"/>
      <c r="CM155" s="513"/>
      <c r="CN155" s="117">
        <v>0</v>
      </c>
      <c r="CO155" s="116"/>
      <c r="CP155" s="56"/>
      <c r="CQ155" s="611"/>
      <c r="CR155" s="513"/>
      <c r="CS155" s="117">
        <v>0</v>
      </c>
      <c r="CT155" s="116"/>
      <c r="CU155" s="56"/>
      <c r="CV155" s="611"/>
      <c r="CW155" s="513"/>
      <c r="CX155" s="117">
        <v>0</v>
      </c>
      <c r="CY155" s="116"/>
      <c r="CZ155" s="56"/>
      <c r="DA155" s="611"/>
      <c r="DB155" s="513"/>
      <c r="DC155" s="117">
        <v>0</v>
      </c>
      <c r="DD155" s="116"/>
      <c r="DE155" s="56"/>
      <c r="DF155" s="611"/>
      <c r="DG155" s="513"/>
      <c r="DH155" s="117">
        <v>0</v>
      </c>
      <c r="DI155" s="116"/>
      <c r="DJ155" s="56"/>
      <c r="DK155" s="611"/>
      <c r="DL155" s="513"/>
      <c r="DM155" s="117">
        <v>0</v>
      </c>
      <c r="DN155" s="116"/>
      <c r="DO155" s="56"/>
      <c r="DP155" s="611"/>
      <c r="DQ155" s="513"/>
      <c r="DR155" s="117">
        <v>0</v>
      </c>
      <c r="DS155" s="116"/>
      <c r="DT155" s="56"/>
      <c r="DU155" s="611"/>
      <c r="DV155" s="513"/>
      <c r="DW155" s="117">
        <v>0</v>
      </c>
      <c r="DX155" s="116"/>
      <c r="DY155" s="56"/>
      <c r="DZ155" s="611"/>
      <c r="EA155" s="513"/>
      <c r="EB155" s="117">
        <v>0</v>
      </c>
      <c r="EC155" s="116"/>
      <c r="ED155" s="56"/>
      <c r="EE155" s="611"/>
      <c r="EF155" s="513"/>
      <c r="EG155" s="117">
        <v>0</v>
      </c>
      <c r="EH155" s="116"/>
      <c r="EI155" s="56"/>
      <c r="EJ155" s="611"/>
      <c r="EK155" s="513"/>
      <c r="EL155" s="117">
        <f>SUM(CD155:EG155)</f>
        <v>0</v>
      </c>
      <c r="EM155" s="116"/>
      <c r="EN155" s="56"/>
      <c r="EO155" s="144"/>
    </row>
    <row r="156" spans="4:145" ht="12.75" hidden="1" customHeight="1" x14ac:dyDescent="0.3">
      <c r="D156" s="144"/>
      <c r="E156" s="494"/>
      <c r="G156" s="56"/>
      <c r="H156" s="56"/>
      <c r="I156" s="56"/>
      <c r="J156" s="611"/>
      <c r="K156" s="56"/>
      <c r="L156" s="56"/>
      <c r="M156" s="56"/>
      <c r="N156" s="56"/>
      <c r="O156" s="611"/>
      <c r="P156" s="56"/>
      <c r="Q156" s="56"/>
      <c r="R156" s="56"/>
      <c r="S156" s="56"/>
      <c r="T156" s="611"/>
      <c r="U156" s="56"/>
      <c r="V156" s="56"/>
      <c r="W156" s="56"/>
      <c r="X156" s="56"/>
      <c r="Y156" s="611"/>
      <c r="Z156" s="56"/>
      <c r="AA156" s="56"/>
      <c r="AB156" s="56"/>
      <c r="AC156" s="56"/>
      <c r="AD156" s="611"/>
      <c r="AE156" s="56"/>
      <c r="AF156" s="56"/>
      <c r="AG156" s="56"/>
      <c r="AH156" s="56"/>
      <c r="AI156" s="611"/>
      <c r="AJ156" s="56"/>
      <c r="AK156" s="56"/>
      <c r="AL156" s="56"/>
      <c r="AM156" s="56"/>
      <c r="AN156" s="611"/>
      <c r="AO156" s="56"/>
      <c r="AP156" s="56"/>
      <c r="AQ156" s="56"/>
      <c r="AR156" s="56"/>
      <c r="AS156" s="611"/>
      <c r="AT156" s="56"/>
      <c r="AU156" s="56"/>
      <c r="AV156" s="56"/>
      <c r="AW156" s="56"/>
      <c r="AX156" s="611"/>
      <c r="AY156" s="56"/>
      <c r="AZ156" s="56"/>
      <c r="BA156" s="56"/>
      <c r="BB156" s="56"/>
      <c r="BC156" s="611"/>
      <c r="BD156" s="56"/>
      <c r="BE156" s="56"/>
      <c r="BF156" s="56"/>
      <c r="BG156" s="56"/>
      <c r="BH156" s="611"/>
      <c r="BI156" s="56"/>
      <c r="BJ156" s="56"/>
      <c r="BK156" s="56"/>
      <c r="BL156" s="56"/>
      <c r="BM156" s="611"/>
      <c r="BN156" s="56"/>
      <c r="BO156" s="56"/>
      <c r="BP156" s="56"/>
      <c r="BQ156" s="56"/>
      <c r="BR156" s="611"/>
      <c r="BS156" s="56"/>
      <c r="BT156" s="56"/>
      <c r="BU156" s="56"/>
      <c r="BV156" s="56"/>
      <c r="BW156" s="611"/>
      <c r="BX156" s="56"/>
      <c r="BY156" s="56"/>
      <c r="BZ156" s="56"/>
      <c r="CA156" s="56"/>
      <c r="CB156" s="611"/>
      <c r="CC156" s="56"/>
      <c r="CD156" s="56"/>
      <c r="CE156" s="56"/>
      <c r="CF156" s="56"/>
      <c r="CG156" s="611"/>
      <c r="CH156" s="56"/>
      <c r="CI156" s="56"/>
      <c r="CJ156" s="56"/>
      <c r="CK156" s="56"/>
      <c r="CL156" s="611"/>
      <c r="CM156" s="56"/>
      <c r="CN156" s="56"/>
      <c r="CO156" s="56"/>
      <c r="CP156" s="56"/>
      <c r="CQ156" s="611"/>
      <c r="CR156" s="56"/>
      <c r="CS156" s="56"/>
      <c r="CT156" s="56"/>
      <c r="CU156" s="56"/>
      <c r="CV156" s="611"/>
      <c r="CW156" s="56"/>
      <c r="CX156" s="56"/>
      <c r="CY156" s="56"/>
      <c r="CZ156" s="56"/>
      <c r="DA156" s="611"/>
      <c r="DB156" s="56"/>
      <c r="DC156" s="56"/>
      <c r="DD156" s="56"/>
      <c r="DE156" s="56"/>
      <c r="DF156" s="611"/>
      <c r="DG156" s="56"/>
      <c r="DH156" s="56"/>
      <c r="DI156" s="56"/>
      <c r="DJ156" s="56"/>
      <c r="DK156" s="611"/>
      <c r="DL156" s="56"/>
      <c r="DM156" s="56"/>
      <c r="DN156" s="56"/>
      <c r="DO156" s="56"/>
      <c r="DP156" s="611"/>
      <c r="DQ156" s="56"/>
      <c r="DR156" s="56"/>
      <c r="DS156" s="56"/>
      <c r="DT156" s="56"/>
      <c r="DU156" s="611"/>
      <c r="DV156" s="56"/>
      <c r="DW156" s="56"/>
      <c r="DX156" s="56"/>
      <c r="DY156" s="56"/>
      <c r="DZ156" s="611"/>
      <c r="EA156" s="56"/>
      <c r="EB156" s="56"/>
      <c r="EC156" s="56"/>
      <c r="ED156" s="56"/>
      <c r="EE156" s="611"/>
      <c r="EF156" s="56"/>
      <c r="EG156" s="56"/>
      <c r="EH156" s="56"/>
      <c r="EI156" s="56"/>
      <c r="EJ156" s="611"/>
      <c r="EK156" s="56"/>
      <c r="EL156" s="56"/>
      <c r="EM156" s="56"/>
      <c r="EN156" s="56"/>
      <c r="EO156" s="144"/>
    </row>
    <row r="157" spans="4:145" ht="12.75" hidden="1" customHeight="1" x14ac:dyDescent="0.3">
      <c r="D157" s="144" t="s">
        <v>457</v>
      </c>
      <c r="E157" s="494"/>
      <c r="G157" s="56">
        <f>SUM(G158:G159)</f>
        <v>0</v>
      </c>
      <c r="H157" s="56"/>
      <c r="I157" s="56"/>
      <c r="J157" s="611"/>
      <c r="K157" s="56"/>
      <c r="L157" s="56">
        <f>SUM(L158:L159)</f>
        <v>0</v>
      </c>
      <c r="M157" s="56"/>
      <c r="N157" s="56"/>
      <c r="O157" s="611"/>
      <c r="P157" s="56"/>
      <c r="Q157" s="56">
        <f>SUM(Q158:Q159)</f>
        <v>0</v>
      </c>
      <c r="R157" s="56"/>
      <c r="S157" s="56"/>
      <c r="T157" s="611"/>
      <c r="U157" s="56"/>
      <c r="V157" s="56">
        <f>SUM(V158:V159)</f>
        <v>0</v>
      </c>
      <c r="W157" s="56"/>
      <c r="X157" s="56"/>
      <c r="Y157" s="611"/>
      <c r="Z157" s="56"/>
      <c r="AA157" s="56">
        <f>SUM(AA158:AA159)</f>
        <v>0</v>
      </c>
      <c r="AB157" s="56"/>
      <c r="AC157" s="56"/>
      <c r="AD157" s="611"/>
      <c r="AE157" s="56"/>
      <c r="AF157" s="56">
        <f>SUM(AF158:AF159)</f>
        <v>0</v>
      </c>
      <c r="AG157" s="56"/>
      <c r="AH157" s="56"/>
      <c r="AI157" s="611"/>
      <c r="AJ157" s="56"/>
      <c r="AK157" s="56">
        <f>SUM(AK158:AK159)</f>
        <v>0</v>
      </c>
      <c r="AL157" s="56"/>
      <c r="AM157" s="56"/>
      <c r="AN157" s="611"/>
      <c r="AO157" s="56"/>
      <c r="AP157" s="56">
        <f>SUM(AP158:AP159)</f>
        <v>0</v>
      </c>
      <c r="AQ157" s="56"/>
      <c r="AR157" s="56"/>
      <c r="AS157" s="611"/>
      <c r="AT157" s="56"/>
      <c r="AU157" s="56">
        <f>SUM(AU158:AU159)</f>
        <v>0</v>
      </c>
      <c r="AV157" s="56"/>
      <c r="AW157" s="56"/>
      <c r="AX157" s="611"/>
      <c r="AY157" s="56"/>
      <c r="AZ157" s="56">
        <f>SUM(AZ158:AZ159)</f>
        <v>0</v>
      </c>
      <c r="BA157" s="56"/>
      <c r="BB157" s="56"/>
      <c r="BC157" s="611"/>
      <c r="BD157" s="56"/>
      <c r="BE157" s="56">
        <f>SUM(BE158:BE159)</f>
        <v>0</v>
      </c>
      <c r="BF157" s="56"/>
      <c r="BG157" s="56"/>
      <c r="BH157" s="611"/>
      <c r="BI157" s="56"/>
      <c r="BJ157" s="56">
        <f>SUM(BJ158:BJ159)</f>
        <v>0</v>
      </c>
      <c r="BK157" s="56"/>
      <c r="BL157" s="56"/>
      <c r="BM157" s="611"/>
      <c r="BN157" s="56"/>
      <c r="BO157" s="56">
        <f>SUM(BO158:BO159)</f>
        <v>0</v>
      </c>
      <c r="BP157" s="56"/>
      <c r="BQ157" s="56"/>
      <c r="BR157" s="611"/>
      <c r="BS157" s="56"/>
      <c r="BT157" s="56">
        <f>SUM(BT158:BT159)</f>
        <v>0</v>
      </c>
      <c r="BU157" s="56"/>
      <c r="BV157" s="56"/>
      <c r="BW157" s="611"/>
      <c r="BX157" s="56"/>
      <c r="BY157" s="56">
        <v>0</v>
      </c>
      <c r="BZ157" s="56"/>
      <c r="CA157" s="56"/>
      <c r="CB157" s="611"/>
      <c r="CC157" s="56"/>
      <c r="CD157" s="56">
        <f>SUM(CD158:CD159)</f>
        <v>0</v>
      </c>
      <c r="CE157" s="56"/>
      <c r="CF157" s="56"/>
      <c r="CG157" s="611"/>
      <c r="CH157" s="56"/>
      <c r="CI157" s="56">
        <f>SUM(CI158:CI159)</f>
        <v>0</v>
      </c>
      <c r="CJ157" s="56"/>
      <c r="CK157" s="56"/>
      <c r="CL157" s="611"/>
      <c r="CM157" s="56"/>
      <c r="CN157" s="56">
        <f>SUM(CN158:CN159)</f>
        <v>0</v>
      </c>
      <c r="CO157" s="56"/>
      <c r="CP157" s="56"/>
      <c r="CQ157" s="611"/>
      <c r="CR157" s="56"/>
      <c r="CS157" s="56">
        <f>SUM(CS158:CS159)</f>
        <v>0</v>
      </c>
      <c r="CT157" s="56"/>
      <c r="CU157" s="56"/>
      <c r="CV157" s="611"/>
      <c r="CW157" s="56"/>
      <c r="CX157" s="56">
        <f>SUM(CX158:CX159)</f>
        <v>0</v>
      </c>
      <c r="CY157" s="56"/>
      <c r="CZ157" s="56"/>
      <c r="DA157" s="611"/>
      <c r="DB157" s="56"/>
      <c r="DC157" s="56">
        <f>SUM(DC158:DC159)</f>
        <v>0</v>
      </c>
      <c r="DD157" s="56"/>
      <c r="DE157" s="56"/>
      <c r="DF157" s="611"/>
      <c r="DG157" s="56"/>
      <c r="DH157" s="56">
        <f>SUM(DH158:DH159)</f>
        <v>0</v>
      </c>
      <c r="DI157" s="56"/>
      <c r="DJ157" s="56"/>
      <c r="DK157" s="611"/>
      <c r="DL157" s="56"/>
      <c r="DM157" s="56">
        <f>SUM(DM158:DM159)</f>
        <v>0</v>
      </c>
      <c r="DN157" s="56"/>
      <c r="DO157" s="56"/>
      <c r="DP157" s="611"/>
      <c r="DQ157" s="56"/>
      <c r="DR157" s="56">
        <f>SUM(DR158:DR159)</f>
        <v>0</v>
      </c>
      <c r="DS157" s="56"/>
      <c r="DT157" s="56"/>
      <c r="DU157" s="611"/>
      <c r="DV157" s="56"/>
      <c r="DW157" s="56">
        <f>SUM(DW158:DW159)</f>
        <v>0</v>
      </c>
      <c r="DX157" s="56"/>
      <c r="DY157" s="56"/>
      <c r="DZ157" s="611"/>
      <c r="EA157" s="56"/>
      <c r="EB157" s="56">
        <f>SUM(EB158:EB159)</f>
        <v>0</v>
      </c>
      <c r="EC157" s="56"/>
      <c r="ED157" s="56"/>
      <c r="EE157" s="611"/>
      <c r="EF157" s="56"/>
      <c r="EG157" s="56">
        <f>SUM(EG158:EG159)</f>
        <v>0</v>
      </c>
      <c r="EH157" s="56"/>
      <c r="EI157" s="56"/>
      <c r="EJ157" s="611"/>
      <c r="EK157" s="56"/>
      <c r="EL157" s="56">
        <f>SUM(EL158:EL159)</f>
        <v>0</v>
      </c>
      <c r="EM157" s="56"/>
      <c r="EN157" s="56"/>
      <c r="EO157" s="144"/>
    </row>
    <row r="158" spans="4:145" ht="12.75" hidden="1" customHeight="1" x14ac:dyDescent="0.3">
      <c r="D158" s="144" t="s">
        <v>446</v>
      </c>
      <c r="E158" s="494"/>
      <c r="F158" s="500"/>
      <c r="G158" s="609">
        <v>0</v>
      </c>
      <c r="H158" s="610"/>
      <c r="I158" s="56"/>
      <c r="J158" s="611"/>
      <c r="K158" s="612"/>
      <c r="L158" s="609">
        <v>0</v>
      </c>
      <c r="M158" s="610"/>
      <c r="N158" s="56"/>
      <c r="O158" s="611"/>
      <c r="P158" s="612"/>
      <c r="Q158" s="609">
        <v>0</v>
      </c>
      <c r="R158" s="610"/>
      <c r="S158" s="56"/>
      <c r="T158" s="611"/>
      <c r="U158" s="612"/>
      <c r="V158" s="609">
        <v>0</v>
      </c>
      <c r="W158" s="610"/>
      <c r="X158" s="56"/>
      <c r="Y158" s="611"/>
      <c r="Z158" s="612"/>
      <c r="AA158" s="609">
        <v>0</v>
      </c>
      <c r="AB158" s="610"/>
      <c r="AC158" s="56"/>
      <c r="AD158" s="611"/>
      <c r="AE158" s="612"/>
      <c r="AF158" s="609">
        <v>0</v>
      </c>
      <c r="AG158" s="610"/>
      <c r="AH158" s="56"/>
      <c r="AI158" s="611"/>
      <c r="AJ158" s="612"/>
      <c r="AK158" s="609">
        <v>0</v>
      </c>
      <c r="AL158" s="610"/>
      <c r="AM158" s="56"/>
      <c r="AN158" s="611"/>
      <c r="AO158" s="612"/>
      <c r="AP158" s="609">
        <v>0</v>
      </c>
      <c r="AQ158" s="610"/>
      <c r="AR158" s="56"/>
      <c r="AS158" s="611"/>
      <c r="AT158" s="612"/>
      <c r="AU158" s="609">
        <v>0</v>
      </c>
      <c r="AV158" s="610"/>
      <c r="AW158" s="56"/>
      <c r="AX158" s="611"/>
      <c r="AY158" s="612"/>
      <c r="AZ158" s="609">
        <v>0</v>
      </c>
      <c r="BA158" s="610"/>
      <c r="BB158" s="56"/>
      <c r="BC158" s="611"/>
      <c r="BD158" s="612"/>
      <c r="BE158" s="609">
        <v>0</v>
      </c>
      <c r="BF158" s="610"/>
      <c r="BG158" s="56"/>
      <c r="BH158" s="611"/>
      <c r="BI158" s="612"/>
      <c r="BJ158" s="609">
        <v>0</v>
      </c>
      <c r="BK158" s="610"/>
      <c r="BL158" s="56"/>
      <c r="BM158" s="611"/>
      <c r="BN158" s="612"/>
      <c r="BO158" s="609">
        <v>0</v>
      </c>
      <c r="BP158" s="610"/>
      <c r="BQ158" s="56"/>
      <c r="BR158" s="611"/>
      <c r="BS158" s="612"/>
      <c r="BT158" s="609">
        <f>SUM(L158:BO158)</f>
        <v>0</v>
      </c>
      <c r="BU158" s="610"/>
      <c r="BV158" s="56"/>
      <c r="BW158" s="611"/>
      <c r="BX158" s="612"/>
      <c r="BY158" s="609">
        <v>0</v>
      </c>
      <c r="BZ158" s="610"/>
      <c r="CA158" s="56"/>
      <c r="CB158" s="611"/>
      <c r="CC158" s="612"/>
      <c r="CD158" s="609">
        <v>0</v>
      </c>
      <c r="CE158" s="610"/>
      <c r="CF158" s="56"/>
      <c r="CG158" s="611"/>
      <c r="CH158" s="612"/>
      <c r="CI158" s="609">
        <v>0</v>
      </c>
      <c r="CJ158" s="610"/>
      <c r="CK158" s="56"/>
      <c r="CL158" s="611"/>
      <c r="CM158" s="612"/>
      <c r="CN158" s="609">
        <v>0</v>
      </c>
      <c r="CO158" s="610"/>
      <c r="CP158" s="56"/>
      <c r="CQ158" s="611"/>
      <c r="CR158" s="612"/>
      <c r="CS158" s="609">
        <v>0</v>
      </c>
      <c r="CT158" s="610"/>
      <c r="CU158" s="56"/>
      <c r="CV158" s="611"/>
      <c r="CW158" s="612"/>
      <c r="CX158" s="609">
        <v>0</v>
      </c>
      <c r="CY158" s="610"/>
      <c r="CZ158" s="56"/>
      <c r="DA158" s="611"/>
      <c r="DB158" s="612"/>
      <c r="DC158" s="609">
        <v>0</v>
      </c>
      <c r="DD158" s="610"/>
      <c r="DE158" s="56"/>
      <c r="DF158" s="611"/>
      <c r="DG158" s="612"/>
      <c r="DH158" s="609">
        <v>0</v>
      </c>
      <c r="DI158" s="610"/>
      <c r="DJ158" s="56"/>
      <c r="DK158" s="611"/>
      <c r="DL158" s="612"/>
      <c r="DM158" s="609">
        <v>0</v>
      </c>
      <c r="DN158" s="610"/>
      <c r="DO158" s="56"/>
      <c r="DP158" s="611"/>
      <c r="DQ158" s="612"/>
      <c r="DR158" s="609">
        <v>0</v>
      </c>
      <c r="DS158" s="610"/>
      <c r="DT158" s="56"/>
      <c r="DU158" s="611"/>
      <c r="DV158" s="612"/>
      <c r="DW158" s="609">
        <v>0</v>
      </c>
      <c r="DX158" s="610"/>
      <c r="DY158" s="56"/>
      <c r="DZ158" s="611"/>
      <c r="EA158" s="612"/>
      <c r="EB158" s="609">
        <v>0</v>
      </c>
      <c r="EC158" s="610"/>
      <c r="ED158" s="56"/>
      <c r="EE158" s="611"/>
      <c r="EF158" s="612"/>
      <c r="EG158" s="609">
        <v>0</v>
      </c>
      <c r="EH158" s="610"/>
      <c r="EI158" s="56"/>
      <c r="EJ158" s="611"/>
      <c r="EK158" s="612"/>
      <c r="EL158" s="609">
        <f>SUM(CD158:EG158)</f>
        <v>0</v>
      </c>
      <c r="EM158" s="610"/>
      <c r="EN158" s="56"/>
      <c r="EO158" s="144"/>
    </row>
    <row r="159" spans="4:145" ht="12.75" hidden="1" customHeight="1" x14ac:dyDescent="0.3">
      <c r="D159" s="144" t="s">
        <v>447</v>
      </c>
      <c r="E159" s="494"/>
      <c r="F159" s="513"/>
      <c r="G159" s="117">
        <v>0</v>
      </c>
      <c r="H159" s="116"/>
      <c r="I159" s="56"/>
      <c r="J159" s="611"/>
      <c r="K159" s="620"/>
      <c r="L159" s="117">
        <v>0</v>
      </c>
      <c r="M159" s="116"/>
      <c r="N159" s="56"/>
      <c r="O159" s="611"/>
      <c r="P159" s="620"/>
      <c r="Q159" s="117">
        <v>0</v>
      </c>
      <c r="R159" s="116"/>
      <c r="S159" s="56"/>
      <c r="T159" s="611"/>
      <c r="U159" s="620"/>
      <c r="V159" s="117">
        <v>0</v>
      </c>
      <c r="W159" s="116"/>
      <c r="X159" s="56"/>
      <c r="Y159" s="611"/>
      <c r="Z159" s="620"/>
      <c r="AA159" s="117">
        <v>0</v>
      </c>
      <c r="AB159" s="116"/>
      <c r="AC159" s="56"/>
      <c r="AD159" s="611"/>
      <c r="AE159" s="620"/>
      <c r="AF159" s="117">
        <v>0</v>
      </c>
      <c r="AG159" s="116"/>
      <c r="AH159" s="56"/>
      <c r="AI159" s="611"/>
      <c r="AJ159" s="620"/>
      <c r="AK159" s="117">
        <v>0</v>
      </c>
      <c r="AL159" s="116"/>
      <c r="AM159" s="56"/>
      <c r="AN159" s="611"/>
      <c r="AO159" s="620"/>
      <c r="AP159" s="117">
        <v>0</v>
      </c>
      <c r="AQ159" s="116"/>
      <c r="AR159" s="56"/>
      <c r="AS159" s="611"/>
      <c r="AT159" s="620"/>
      <c r="AU159" s="117">
        <v>0</v>
      </c>
      <c r="AV159" s="116"/>
      <c r="AW159" s="56"/>
      <c r="AX159" s="611"/>
      <c r="AY159" s="620"/>
      <c r="AZ159" s="117">
        <v>0</v>
      </c>
      <c r="BA159" s="116"/>
      <c r="BB159" s="56"/>
      <c r="BC159" s="611"/>
      <c r="BD159" s="620"/>
      <c r="BE159" s="117">
        <v>0</v>
      </c>
      <c r="BF159" s="116"/>
      <c r="BG159" s="56"/>
      <c r="BH159" s="611"/>
      <c r="BI159" s="620"/>
      <c r="BJ159" s="117">
        <v>0</v>
      </c>
      <c r="BK159" s="116"/>
      <c r="BL159" s="56"/>
      <c r="BM159" s="611"/>
      <c r="BN159" s="620"/>
      <c r="BO159" s="117">
        <v>0</v>
      </c>
      <c r="BP159" s="116"/>
      <c r="BQ159" s="56"/>
      <c r="BR159" s="611"/>
      <c r="BS159" s="620"/>
      <c r="BT159" s="117">
        <f>SUM(L159:BO159)</f>
        <v>0</v>
      </c>
      <c r="BU159" s="116"/>
      <c r="BV159" s="56"/>
      <c r="BW159" s="611"/>
      <c r="BX159" s="620"/>
      <c r="BY159" s="117">
        <v>0</v>
      </c>
      <c r="BZ159" s="116"/>
      <c r="CA159" s="56"/>
      <c r="CB159" s="611"/>
      <c r="CC159" s="620"/>
      <c r="CD159" s="117">
        <v>0</v>
      </c>
      <c r="CE159" s="116"/>
      <c r="CF159" s="56"/>
      <c r="CG159" s="611"/>
      <c r="CH159" s="620"/>
      <c r="CI159" s="117">
        <v>0</v>
      </c>
      <c r="CJ159" s="116"/>
      <c r="CK159" s="56"/>
      <c r="CL159" s="611"/>
      <c r="CM159" s="620"/>
      <c r="CN159" s="117">
        <v>0</v>
      </c>
      <c r="CO159" s="116"/>
      <c r="CP159" s="56"/>
      <c r="CQ159" s="611"/>
      <c r="CR159" s="620"/>
      <c r="CS159" s="117">
        <v>0</v>
      </c>
      <c r="CT159" s="116"/>
      <c r="CU159" s="56"/>
      <c r="CV159" s="611"/>
      <c r="CW159" s="620"/>
      <c r="CX159" s="117">
        <v>0</v>
      </c>
      <c r="CY159" s="116"/>
      <c r="CZ159" s="56"/>
      <c r="DA159" s="611"/>
      <c r="DB159" s="620"/>
      <c r="DC159" s="117">
        <v>0</v>
      </c>
      <c r="DD159" s="116"/>
      <c r="DE159" s="56"/>
      <c r="DF159" s="611"/>
      <c r="DG159" s="620"/>
      <c r="DH159" s="117">
        <v>0</v>
      </c>
      <c r="DI159" s="116"/>
      <c r="DJ159" s="56"/>
      <c r="DK159" s="611"/>
      <c r="DL159" s="620"/>
      <c r="DM159" s="117">
        <v>0</v>
      </c>
      <c r="DN159" s="116"/>
      <c r="DO159" s="56"/>
      <c r="DP159" s="611"/>
      <c r="DQ159" s="620"/>
      <c r="DR159" s="117">
        <v>0</v>
      </c>
      <c r="DS159" s="116"/>
      <c r="DT159" s="56"/>
      <c r="DU159" s="611"/>
      <c r="DV159" s="620"/>
      <c r="DW159" s="117">
        <v>0</v>
      </c>
      <c r="DX159" s="116"/>
      <c r="DY159" s="56"/>
      <c r="DZ159" s="611"/>
      <c r="EA159" s="620"/>
      <c r="EB159" s="117">
        <v>0</v>
      </c>
      <c r="EC159" s="116"/>
      <c r="ED159" s="56"/>
      <c r="EE159" s="611"/>
      <c r="EF159" s="620"/>
      <c r="EG159" s="117">
        <v>0</v>
      </c>
      <c r="EH159" s="116"/>
      <c r="EI159" s="56"/>
      <c r="EJ159" s="611"/>
      <c r="EK159" s="620"/>
      <c r="EL159" s="117">
        <f>SUM(CD159:EG159)</f>
        <v>0</v>
      </c>
      <c r="EM159" s="116"/>
      <c r="EN159" s="56"/>
      <c r="EO159" s="144"/>
    </row>
    <row r="160" spans="4:145" ht="12.75" hidden="1" customHeight="1" x14ac:dyDescent="0.3">
      <c r="D160" s="144"/>
      <c r="E160" s="494"/>
      <c r="G160" s="56"/>
      <c r="H160" s="56"/>
      <c r="I160" s="56"/>
      <c r="J160" s="611"/>
      <c r="K160" s="56"/>
      <c r="L160" s="56"/>
      <c r="M160" s="56"/>
      <c r="N160" s="56"/>
      <c r="O160" s="611"/>
      <c r="P160" s="56"/>
      <c r="Q160" s="56"/>
      <c r="R160" s="56"/>
      <c r="S160" s="56"/>
      <c r="T160" s="611"/>
      <c r="U160" s="56"/>
      <c r="V160" s="56"/>
      <c r="W160" s="56"/>
      <c r="X160" s="56"/>
      <c r="Y160" s="611"/>
      <c r="Z160" s="56"/>
      <c r="AA160" s="56"/>
      <c r="AB160" s="56"/>
      <c r="AC160" s="56"/>
      <c r="AD160" s="611"/>
      <c r="AE160" s="56"/>
      <c r="AF160" s="56"/>
      <c r="AG160" s="56"/>
      <c r="AH160" s="56"/>
      <c r="AI160" s="611"/>
      <c r="AJ160" s="56"/>
      <c r="AK160" s="56"/>
      <c r="AL160" s="56"/>
      <c r="AM160" s="56"/>
      <c r="AN160" s="611"/>
      <c r="AO160" s="56"/>
      <c r="AP160" s="56"/>
      <c r="AQ160" s="56"/>
      <c r="AR160" s="56"/>
      <c r="AS160" s="611"/>
      <c r="AT160" s="56"/>
      <c r="AU160" s="56"/>
      <c r="AV160" s="56"/>
      <c r="AW160" s="56"/>
      <c r="AX160" s="611"/>
      <c r="AY160" s="56"/>
      <c r="AZ160" s="56"/>
      <c r="BA160" s="56"/>
      <c r="BB160" s="56"/>
      <c r="BC160" s="611"/>
      <c r="BD160" s="56"/>
      <c r="BE160" s="56"/>
      <c r="BF160" s="56"/>
      <c r="BG160" s="56"/>
      <c r="BH160" s="611"/>
      <c r="BI160" s="56"/>
      <c r="BJ160" s="56"/>
      <c r="BK160" s="56"/>
      <c r="BL160" s="56"/>
      <c r="BM160" s="611"/>
      <c r="BN160" s="56"/>
      <c r="BO160" s="56"/>
      <c r="BP160" s="56"/>
      <c r="BQ160" s="56"/>
      <c r="BR160" s="611"/>
      <c r="BS160" s="56"/>
      <c r="BT160" s="56"/>
      <c r="BU160" s="56"/>
      <c r="BV160" s="56"/>
      <c r="BW160" s="611"/>
      <c r="BX160" s="56"/>
      <c r="BY160" s="56"/>
      <c r="BZ160" s="56"/>
      <c r="CA160" s="56"/>
      <c r="CB160" s="611"/>
      <c r="CC160" s="56"/>
      <c r="CD160" s="56"/>
      <c r="CE160" s="56"/>
      <c r="CF160" s="56"/>
      <c r="CG160" s="611"/>
      <c r="CH160" s="56"/>
      <c r="CI160" s="56"/>
      <c r="CJ160" s="56"/>
      <c r="CK160" s="56"/>
      <c r="CL160" s="611"/>
      <c r="CM160" s="56"/>
      <c r="CN160" s="56"/>
      <c r="CO160" s="56"/>
      <c r="CP160" s="56"/>
      <c r="CQ160" s="611"/>
      <c r="CR160" s="56"/>
      <c r="CS160" s="56"/>
      <c r="CT160" s="56"/>
      <c r="CU160" s="56"/>
      <c r="CV160" s="611"/>
      <c r="CW160" s="56"/>
      <c r="CX160" s="56"/>
      <c r="CY160" s="56"/>
      <c r="CZ160" s="56"/>
      <c r="DA160" s="611"/>
      <c r="DB160" s="56"/>
      <c r="DC160" s="56"/>
      <c r="DD160" s="56"/>
      <c r="DE160" s="56"/>
      <c r="DF160" s="611"/>
      <c r="DG160" s="56"/>
      <c r="DH160" s="56"/>
      <c r="DI160" s="56"/>
      <c r="DJ160" s="56"/>
      <c r="DK160" s="611"/>
      <c r="DL160" s="56"/>
      <c r="DM160" s="56"/>
      <c r="DN160" s="56"/>
      <c r="DO160" s="56"/>
      <c r="DP160" s="611"/>
      <c r="DQ160" s="56"/>
      <c r="DR160" s="56"/>
      <c r="DS160" s="56"/>
      <c r="DT160" s="56"/>
      <c r="DU160" s="611"/>
      <c r="DV160" s="56"/>
      <c r="DW160" s="56"/>
      <c r="DX160" s="56"/>
      <c r="DY160" s="56"/>
      <c r="DZ160" s="611"/>
      <c r="EA160" s="56"/>
      <c r="EB160" s="56"/>
      <c r="EC160" s="56"/>
      <c r="ED160" s="56"/>
      <c r="EE160" s="611"/>
      <c r="EF160" s="56"/>
      <c r="EG160" s="56"/>
      <c r="EH160" s="56"/>
      <c r="EI160" s="56"/>
      <c r="EJ160" s="611"/>
      <c r="EK160" s="56"/>
      <c r="EL160" s="56"/>
      <c r="EM160" s="56"/>
      <c r="EN160" s="56"/>
      <c r="EO160" s="144"/>
    </row>
    <row r="161" spans="4:148" ht="12.75" hidden="1" customHeight="1" x14ac:dyDescent="0.3">
      <c r="D161" s="144" t="s">
        <v>458</v>
      </c>
      <c r="E161" s="494"/>
      <c r="G161" s="56">
        <f>SUM(G162:G163)</f>
        <v>0</v>
      </c>
      <c r="H161" s="56"/>
      <c r="I161" s="56"/>
      <c r="J161" s="611"/>
      <c r="K161" s="56"/>
      <c r="L161" s="56">
        <f>SUM(L162:L163)</f>
        <v>0</v>
      </c>
      <c r="M161" s="56"/>
      <c r="N161" s="56"/>
      <c r="O161" s="611"/>
      <c r="P161" s="56"/>
      <c r="Q161" s="56">
        <f>SUM(Q162:Q163)</f>
        <v>0</v>
      </c>
      <c r="R161" s="56"/>
      <c r="S161" s="56"/>
      <c r="T161" s="611"/>
      <c r="U161" s="56"/>
      <c r="V161" s="56">
        <f>SUM(V162:V163)</f>
        <v>0</v>
      </c>
      <c r="W161" s="56"/>
      <c r="X161" s="56"/>
      <c r="Y161" s="611"/>
      <c r="Z161" s="56"/>
      <c r="AA161" s="56">
        <f>SUM(AA162:AA163)</f>
        <v>0</v>
      </c>
      <c r="AB161" s="56"/>
      <c r="AC161" s="56"/>
      <c r="AD161" s="611"/>
      <c r="AE161" s="56"/>
      <c r="AF161" s="56">
        <f>SUM(AF162:AF163)</f>
        <v>0</v>
      </c>
      <c r="AG161" s="56"/>
      <c r="AH161" s="56"/>
      <c r="AI161" s="611"/>
      <c r="AJ161" s="56"/>
      <c r="AK161" s="56">
        <f>SUM(AK162:AK163)</f>
        <v>0</v>
      </c>
      <c r="AL161" s="56"/>
      <c r="AM161" s="56"/>
      <c r="AN161" s="611"/>
      <c r="AO161" s="56"/>
      <c r="AP161" s="56">
        <f>SUM(AP162:AP163)</f>
        <v>0</v>
      </c>
      <c r="AQ161" s="56"/>
      <c r="AR161" s="56"/>
      <c r="AS161" s="611"/>
      <c r="AT161" s="56"/>
      <c r="AU161" s="56">
        <f>SUM(AU162:AU163)</f>
        <v>0</v>
      </c>
      <c r="AV161" s="56"/>
      <c r="AW161" s="56"/>
      <c r="AX161" s="611"/>
      <c r="AY161" s="56"/>
      <c r="AZ161" s="56">
        <f>SUM(AZ162:AZ163)</f>
        <v>0</v>
      </c>
      <c r="BA161" s="56"/>
      <c r="BB161" s="56"/>
      <c r="BC161" s="611"/>
      <c r="BD161" s="56"/>
      <c r="BE161" s="56">
        <f>SUM(BE162:BE163)</f>
        <v>0</v>
      </c>
      <c r="BF161" s="56"/>
      <c r="BG161" s="56"/>
      <c r="BH161" s="611"/>
      <c r="BI161" s="56"/>
      <c r="BJ161" s="56">
        <f>SUM(BJ162:BJ163)</f>
        <v>0</v>
      </c>
      <c r="BK161" s="56"/>
      <c r="BL161" s="56"/>
      <c r="BM161" s="611"/>
      <c r="BN161" s="56"/>
      <c r="BO161" s="56">
        <f>SUM(BO162:BO163)</f>
        <v>0</v>
      </c>
      <c r="BP161" s="56"/>
      <c r="BQ161" s="56"/>
      <c r="BR161" s="611"/>
      <c r="BS161" s="56"/>
      <c r="BT161" s="56">
        <f>SUM(BT162:BT163)</f>
        <v>0</v>
      </c>
      <c r="BU161" s="56"/>
      <c r="BV161" s="56"/>
      <c r="BW161" s="611"/>
      <c r="BX161" s="56"/>
      <c r="BY161" s="56">
        <v>0</v>
      </c>
      <c r="BZ161" s="56"/>
      <c r="CA161" s="56"/>
      <c r="CB161" s="611"/>
      <c r="CC161" s="56"/>
      <c r="CD161" s="56">
        <f>SUM(CD162:CD163)</f>
        <v>0</v>
      </c>
      <c r="CE161" s="56"/>
      <c r="CF161" s="56"/>
      <c r="CG161" s="611"/>
      <c r="CH161" s="56"/>
      <c r="CI161" s="56">
        <f>SUM(CI162:CI163)</f>
        <v>0</v>
      </c>
      <c r="CJ161" s="56"/>
      <c r="CK161" s="56"/>
      <c r="CL161" s="611"/>
      <c r="CM161" s="56"/>
      <c r="CN161" s="56">
        <f>SUM(CN162:CN163)</f>
        <v>0</v>
      </c>
      <c r="CO161" s="56"/>
      <c r="CP161" s="56"/>
      <c r="CQ161" s="611"/>
      <c r="CR161" s="56"/>
      <c r="CS161" s="56">
        <f>SUM(CS162:CS163)</f>
        <v>0</v>
      </c>
      <c r="CT161" s="56"/>
      <c r="CU161" s="56"/>
      <c r="CV161" s="611"/>
      <c r="CW161" s="56"/>
      <c r="CX161" s="56">
        <f>SUM(CX162:CX163)</f>
        <v>0</v>
      </c>
      <c r="CY161" s="56"/>
      <c r="CZ161" s="56"/>
      <c r="DA161" s="611"/>
      <c r="DB161" s="56"/>
      <c r="DC161" s="56">
        <f>SUM(DC162:DC163)</f>
        <v>0</v>
      </c>
      <c r="DD161" s="56"/>
      <c r="DE161" s="56"/>
      <c r="DF161" s="611"/>
      <c r="DG161" s="56"/>
      <c r="DH161" s="56">
        <f>SUM(DH162:DH163)</f>
        <v>0</v>
      </c>
      <c r="DI161" s="56"/>
      <c r="DJ161" s="56"/>
      <c r="DK161" s="611"/>
      <c r="DL161" s="56"/>
      <c r="DM161" s="56">
        <f>SUM(DM162:DM163)</f>
        <v>0</v>
      </c>
      <c r="DN161" s="56"/>
      <c r="DO161" s="56"/>
      <c r="DP161" s="611"/>
      <c r="DQ161" s="56"/>
      <c r="DR161" s="56">
        <f>SUM(DR162:DR163)</f>
        <v>0</v>
      </c>
      <c r="DS161" s="56"/>
      <c r="DT161" s="56"/>
      <c r="DU161" s="611"/>
      <c r="DV161" s="56"/>
      <c r="DW161" s="56">
        <f>SUM(DW162:DW163)</f>
        <v>0</v>
      </c>
      <c r="DX161" s="56"/>
      <c r="DY161" s="56"/>
      <c r="DZ161" s="611"/>
      <c r="EA161" s="56"/>
      <c r="EB161" s="56">
        <f>SUM(EB162:EB163)</f>
        <v>0</v>
      </c>
      <c r="EC161" s="56"/>
      <c r="ED161" s="56"/>
      <c r="EE161" s="611"/>
      <c r="EF161" s="56"/>
      <c r="EG161" s="56">
        <f>SUM(EG162:EG163)</f>
        <v>0</v>
      </c>
      <c r="EH161" s="56"/>
      <c r="EI161" s="56"/>
      <c r="EJ161" s="611"/>
      <c r="EK161" s="56"/>
      <c r="EL161" s="56">
        <f>SUM(EL162:EL163)</f>
        <v>0</v>
      </c>
      <c r="EM161" s="56"/>
      <c r="EN161" s="56"/>
      <c r="EO161" s="144"/>
    </row>
    <row r="162" spans="4:148" ht="12.75" hidden="1" customHeight="1" x14ac:dyDescent="0.3">
      <c r="D162" s="144" t="s">
        <v>446</v>
      </c>
      <c r="E162" s="494"/>
      <c r="F162" s="500"/>
      <c r="G162" s="609">
        <v>0</v>
      </c>
      <c r="H162" s="610"/>
      <c r="I162" s="56"/>
      <c r="J162" s="611"/>
      <c r="K162" s="612"/>
      <c r="L162" s="609">
        <v>0</v>
      </c>
      <c r="M162" s="610"/>
      <c r="N162" s="56"/>
      <c r="O162" s="611"/>
      <c r="P162" s="612"/>
      <c r="Q162" s="609">
        <v>0</v>
      </c>
      <c r="R162" s="610"/>
      <c r="S162" s="56"/>
      <c r="T162" s="611"/>
      <c r="U162" s="612"/>
      <c r="V162" s="609">
        <v>0</v>
      </c>
      <c r="W162" s="610"/>
      <c r="X162" s="56"/>
      <c r="Y162" s="611"/>
      <c r="Z162" s="612"/>
      <c r="AA162" s="609">
        <v>0</v>
      </c>
      <c r="AB162" s="610"/>
      <c r="AC162" s="56"/>
      <c r="AD162" s="611"/>
      <c r="AE162" s="612"/>
      <c r="AF162" s="609">
        <v>0</v>
      </c>
      <c r="AG162" s="610"/>
      <c r="AH162" s="56"/>
      <c r="AI162" s="611"/>
      <c r="AJ162" s="612"/>
      <c r="AK162" s="609">
        <v>0</v>
      </c>
      <c r="AL162" s="610"/>
      <c r="AM162" s="56"/>
      <c r="AN162" s="611"/>
      <c r="AO162" s="612"/>
      <c r="AP162" s="609">
        <v>0</v>
      </c>
      <c r="AQ162" s="610"/>
      <c r="AR162" s="56"/>
      <c r="AS162" s="611"/>
      <c r="AT162" s="612"/>
      <c r="AU162" s="609">
        <v>0</v>
      </c>
      <c r="AV162" s="610"/>
      <c r="AW162" s="56"/>
      <c r="AX162" s="611"/>
      <c r="AY162" s="612"/>
      <c r="AZ162" s="609">
        <v>0</v>
      </c>
      <c r="BA162" s="610"/>
      <c r="BB162" s="56"/>
      <c r="BC162" s="611"/>
      <c r="BD162" s="612"/>
      <c r="BE162" s="609">
        <v>0</v>
      </c>
      <c r="BF162" s="610"/>
      <c r="BG162" s="56"/>
      <c r="BH162" s="611"/>
      <c r="BI162" s="612"/>
      <c r="BJ162" s="609">
        <v>0</v>
      </c>
      <c r="BK162" s="610"/>
      <c r="BL162" s="56"/>
      <c r="BM162" s="611"/>
      <c r="BN162" s="612"/>
      <c r="BO162" s="609">
        <v>0</v>
      </c>
      <c r="BP162" s="610"/>
      <c r="BQ162" s="56"/>
      <c r="BR162" s="611"/>
      <c r="BS162" s="612"/>
      <c r="BT162" s="609">
        <f>SUM(L162:BO162)</f>
        <v>0</v>
      </c>
      <c r="BU162" s="610"/>
      <c r="BV162" s="56"/>
      <c r="BW162" s="611"/>
      <c r="BX162" s="612"/>
      <c r="BY162" s="609">
        <v>0</v>
      </c>
      <c r="BZ162" s="610"/>
      <c r="CA162" s="56"/>
      <c r="CB162" s="611"/>
      <c r="CC162" s="612"/>
      <c r="CD162" s="609">
        <v>0</v>
      </c>
      <c r="CE162" s="610"/>
      <c r="CF162" s="56"/>
      <c r="CG162" s="611"/>
      <c r="CH162" s="612"/>
      <c r="CI162" s="609">
        <v>0</v>
      </c>
      <c r="CJ162" s="610"/>
      <c r="CK162" s="56"/>
      <c r="CL162" s="611"/>
      <c r="CM162" s="612"/>
      <c r="CN162" s="609">
        <v>0</v>
      </c>
      <c r="CO162" s="610"/>
      <c r="CP162" s="56"/>
      <c r="CQ162" s="611"/>
      <c r="CR162" s="612"/>
      <c r="CS162" s="609">
        <v>0</v>
      </c>
      <c r="CT162" s="610"/>
      <c r="CU162" s="56"/>
      <c r="CV162" s="611"/>
      <c r="CW162" s="612"/>
      <c r="CX162" s="609">
        <v>0</v>
      </c>
      <c r="CY162" s="610"/>
      <c r="CZ162" s="56"/>
      <c r="DA162" s="611"/>
      <c r="DB162" s="612"/>
      <c r="DC162" s="609">
        <v>0</v>
      </c>
      <c r="DD162" s="610"/>
      <c r="DE162" s="56"/>
      <c r="DF162" s="611"/>
      <c r="DG162" s="612"/>
      <c r="DH162" s="609">
        <v>0</v>
      </c>
      <c r="DI162" s="610"/>
      <c r="DJ162" s="56"/>
      <c r="DK162" s="611"/>
      <c r="DL162" s="612"/>
      <c r="DM162" s="609">
        <v>0</v>
      </c>
      <c r="DN162" s="610"/>
      <c r="DO162" s="56"/>
      <c r="DP162" s="611"/>
      <c r="DQ162" s="612"/>
      <c r="DR162" s="609">
        <v>0</v>
      </c>
      <c r="DS162" s="610"/>
      <c r="DT162" s="56"/>
      <c r="DU162" s="611"/>
      <c r="DV162" s="612"/>
      <c r="DW162" s="609">
        <v>0</v>
      </c>
      <c r="DX162" s="610"/>
      <c r="DY162" s="56"/>
      <c r="DZ162" s="611"/>
      <c r="EA162" s="612"/>
      <c r="EB162" s="609">
        <v>0</v>
      </c>
      <c r="EC162" s="610"/>
      <c r="ED162" s="56"/>
      <c r="EE162" s="611"/>
      <c r="EF162" s="612"/>
      <c r="EG162" s="609">
        <v>0</v>
      </c>
      <c r="EH162" s="610"/>
      <c r="EI162" s="56"/>
      <c r="EJ162" s="611"/>
      <c r="EK162" s="612"/>
      <c r="EL162" s="609">
        <f>SUM(CD162:EG162)</f>
        <v>0</v>
      </c>
      <c r="EM162" s="610"/>
      <c r="EN162" s="56"/>
      <c r="EO162" s="144"/>
    </row>
    <row r="163" spans="4:148" ht="12.75" hidden="1" customHeight="1" x14ac:dyDescent="0.3">
      <c r="D163" s="144" t="s">
        <v>447</v>
      </c>
      <c r="E163" s="494"/>
      <c r="F163" s="513"/>
      <c r="G163" s="117">
        <v>0</v>
      </c>
      <c r="H163" s="116"/>
      <c r="I163" s="56"/>
      <c r="J163" s="611"/>
      <c r="K163" s="620"/>
      <c r="L163" s="117">
        <v>0</v>
      </c>
      <c r="M163" s="116"/>
      <c r="N163" s="56"/>
      <c r="O163" s="611"/>
      <c r="P163" s="620"/>
      <c r="Q163" s="117">
        <v>0</v>
      </c>
      <c r="R163" s="116"/>
      <c r="S163" s="56"/>
      <c r="T163" s="611"/>
      <c r="U163" s="620"/>
      <c r="V163" s="117">
        <v>0</v>
      </c>
      <c r="W163" s="116"/>
      <c r="X163" s="56"/>
      <c r="Y163" s="611"/>
      <c r="Z163" s="620"/>
      <c r="AA163" s="117">
        <v>0</v>
      </c>
      <c r="AB163" s="116"/>
      <c r="AC163" s="56"/>
      <c r="AD163" s="611"/>
      <c r="AE163" s="620"/>
      <c r="AF163" s="117">
        <v>0</v>
      </c>
      <c r="AG163" s="116"/>
      <c r="AH163" s="56"/>
      <c r="AI163" s="611"/>
      <c r="AJ163" s="620"/>
      <c r="AK163" s="117">
        <v>0</v>
      </c>
      <c r="AL163" s="116"/>
      <c r="AM163" s="56"/>
      <c r="AN163" s="611"/>
      <c r="AO163" s="620"/>
      <c r="AP163" s="117">
        <v>0</v>
      </c>
      <c r="AQ163" s="116"/>
      <c r="AR163" s="56"/>
      <c r="AS163" s="611"/>
      <c r="AT163" s="620"/>
      <c r="AU163" s="117">
        <v>0</v>
      </c>
      <c r="AV163" s="116"/>
      <c r="AW163" s="56"/>
      <c r="AX163" s="611"/>
      <c r="AY163" s="620"/>
      <c r="AZ163" s="117">
        <v>0</v>
      </c>
      <c r="BA163" s="116"/>
      <c r="BB163" s="56"/>
      <c r="BC163" s="611"/>
      <c r="BD163" s="620"/>
      <c r="BE163" s="117">
        <v>0</v>
      </c>
      <c r="BF163" s="116"/>
      <c r="BG163" s="56"/>
      <c r="BH163" s="611"/>
      <c r="BI163" s="620"/>
      <c r="BJ163" s="117">
        <v>0</v>
      </c>
      <c r="BK163" s="116"/>
      <c r="BL163" s="56"/>
      <c r="BM163" s="611"/>
      <c r="BN163" s="620"/>
      <c r="BO163" s="117">
        <v>0</v>
      </c>
      <c r="BP163" s="116"/>
      <c r="BQ163" s="56"/>
      <c r="BR163" s="611"/>
      <c r="BS163" s="620"/>
      <c r="BT163" s="117">
        <f>SUM(L163:BO163)</f>
        <v>0</v>
      </c>
      <c r="BU163" s="116"/>
      <c r="BV163" s="56"/>
      <c r="BW163" s="611"/>
      <c r="BX163" s="620"/>
      <c r="BY163" s="117">
        <v>0</v>
      </c>
      <c r="BZ163" s="116"/>
      <c r="CA163" s="56"/>
      <c r="CB163" s="611"/>
      <c r="CC163" s="620"/>
      <c r="CD163" s="117">
        <v>0</v>
      </c>
      <c r="CE163" s="116"/>
      <c r="CF163" s="56"/>
      <c r="CG163" s="611"/>
      <c r="CH163" s="620"/>
      <c r="CI163" s="117">
        <v>0</v>
      </c>
      <c r="CJ163" s="116"/>
      <c r="CK163" s="56"/>
      <c r="CL163" s="611"/>
      <c r="CM163" s="620"/>
      <c r="CN163" s="117">
        <v>0</v>
      </c>
      <c r="CO163" s="116"/>
      <c r="CP163" s="56"/>
      <c r="CQ163" s="611"/>
      <c r="CR163" s="620"/>
      <c r="CS163" s="117">
        <v>0</v>
      </c>
      <c r="CT163" s="116"/>
      <c r="CU163" s="56"/>
      <c r="CV163" s="611"/>
      <c r="CW163" s="620"/>
      <c r="CX163" s="117">
        <v>0</v>
      </c>
      <c r="CY163" s="116"/>
      <c r="CZ163" s="56"/>
      <c r="DA163" s="611"/>
      <c r="DB163" s="620"/>
      <c r="DC163" s="117">
        <v>0</v>
      </c>
      <c r="DD163" s="116"/>
      <c r="DE163" s="56"/>
      <c r="DF163" s="611"/>
      <c r="DG163" s="620"/>
      <c r="DH163" s="117">
        <v>0</v>
      </c>
      <c r="DI163" s="116"/>
      <c r="DJ163" s="56"/>
      <c r="DK163" s="611"/>
      <c r="DL163" s="620"/>
      <c r="DM163" s="117">
        <v>0</v>
      </c>
      <c r="DN163" s="116"/>
      <c r="DO163" s="56"/>
      <c r="DP163" s="611"/>
      <c r="DQ163" s="620"/>
      <c r="DR163" s="117">
        <v>0</v>
      </c>
      <c r="DS163" s="116"/>
      <c r="DT163" s="56"/>
      <c r="DU163" s="611"/>
      <c r="DV163" s="620"/>
      <c r="DW163" s="117">
        <v>0</v>
      </c>
      <c r="DX163" s="116"/>
      <c r="DY163" s="56"/>
      <c r="DZ163" s="611"/>
      <c r="EA163" s="620"/>
      <c r="EB163" s="117">
        <v>0</v>
      </c>
      <c r="EC163" s="116"/>
      <c r="ED163" s="56"/>
      <c r="EE163" s="611"/>
      <c r="EF163" s="620"/>
      <c r="EG163" s="117">
        <v>0</v>
      </c>
      <c r="EH163" s="116"/>
      <c r="EI163" s="56"/>
      <c r="EJ163" s="611"/>
      <c r="EK163" s="620"/>
      <c r="EL163" s="117">
        <f>SUM(CD163:EG163)</f>
        <v>0</v>
      </c>
      <c r="EM163" s="116"/>
      <c r="EN163" s="56"/>
      <c r="EO163" s="144"/>
    </row>
    <row r="164" spans="4:148" ht="12.75" hidden="1" customHeight="1" x14ac:dyDescent="0.3">
      <c r="D164" s="144"/>
      <c r="E164" s="494"/>
      <c r="G164" s="56"/>
      <c r="H164" s="56"/>
      <c r="I164" s="56"/>
      <c r="J164" s="611"/>
      <c r="K164" s="56"/>
      <c r="L164" s="56"/>
      <c r="M164" s="56"/>
      <c r="N164" s="56"/>
      <c r="O164" s="611"/>
      <c r="P164" s="56"/>
      <c r="Q164" s="56"/>
      <c r="R164" s="56"/>
      <c r="S164" s="56"/>
      <c r="T164" s="611"/>
      <c r="U164" s="56"/>
      <c r="V164" s="56"/>
      <c r="W164" s="56"/>
      <c r="X164" s="56"/>
      <c r="Y164" s="611"/>
      <c r="Z164" s="56"/>
      <c r="AA164" s="56"/>
      <c r="AB164" s="56"/>
      <c r="AC164" s="56"/>
      <c r="AD164" s="611"/>
      <c r="AE164" s="56"/>
      <c r="AF164" s="56"/>
      <c r="AG164" s="56"/>
      <c r="AH164" s="56"/>
      <c r="AI164" s="611"/>
      <c r="AJ164" s="56"/>
      <c r="AK164" s="56"/>
      <c r="AL164" s="56"/>
      <c r="AM164" s="56"/>
      <c r="AN164" s="611"/>
      <c r="AO164" s="56"/>
      <c r="AP164" s="56"/>
      <c r="AQ164" s="56"/>
      <c r="AR164" s="56"/>
      <c r="AS164" s="611"/>
      <c r="AT164" s="56"/>
      <c r="AU164" s="56"/>
      <c r="AV164" s="56"/>
      <c r="AW164" s="56"/>
      <c r="AX164" s="611"/>
      <c r="AY164" s="56"/>
      <c r="AZ164" s="56"/>
      <c r="BA164" s="56"/>
      <c r="BB164" s="56"/>
      <c r="BC164" s="611"/>
      <c r="BD164" s="56"/>
      <c r="BE164" s="56"/>
      <c r="BF164" s="56"/>
      <c r="BG164" s="56"/>
      <c r="BH164" s="611"/>
      <c r="BI164" s="56"/>
      <c r="BJ164" s="56"/>
      <c r="BK164" s="56"/>
      <c r="BL164" s="56"/>
      <c r="BM164" s="611"/>
      <c r="BN164" s="56"/>
      <c r="BO164" s="56"/>
      <c r="BP164" s="56"/>
      <c r="BQ164" s="56"/>
      <c r="BR164" s="611"/>
      <c r="BS164" s="56"/>
      <c r="BT164" s="56"/>
      <c r="BU164" s="56"/>
      <c r="BV164" s="56"/>
      <c r="BW164" s="611"/>
      <c r="BX164" s="56"/>
      <c r="BY164" s="56"/>
      <c r="BZ164" s="56"/>
      <c r="CA164" s="56"/>
      <c r="CB164" s="611"/>
      <c r="CC164" s="56"/>
      <c r="CD164" s="56"/>
      <c r="CE164" s="56"/>
      <c r="CF164" s="56"/>
      <c r="CG164" s="611"/>
      <c r="CH164" s="56"/>
      <c r="CI164" s="56"/>
      <c r="CJ164" s="56"/>
      <c r="CK164" s="56"/>
      <c r="CL164" s="611"/>
      <c r="CM164" s="56"/>
      <c r="CN164" s="56"/>
      <c r="CO164" s="56"/>
      <c r="CP164" s="56"/>
      <c r="CQ164" s="611"/>
      <c r="CR164" s="56"/>
      <c r="CS164" s="56"/>
      <c r="CT164" s="56"/>
      <c r="CU164" s="56"/>
      <c r="CV164" s="611"/>
      <c r="CW164" s="56"/>
      <c r="CX164" s="56"/>
      <c r="CY164" s="56"/>
      <c r="CZ164" s="56"/>
      <c r="DA164" s="611"/>
      <c r="DB164" s="56"/>
      <c r="DC164" s="56"/>
      <c r="DD164" s="56"/>
      <c r="DE164" s="56"/>
      <c r="DF164" s="611"/>
      <c r="DG164" s="56"/>
      <c r="DH164" s="56"/>
      <c r="DI164" s="56"/>
      <c r="DJ164" s="56"/>
      <c r="DK164" s="611"/>
      <c r="DL164" s="56"/>
      <c r="DM164" s="56"/>
      <c r="DN164" s="56"/>
      <c r="DO164" s="56"/>
      <c r="DP164" s="611"/>
      <c r="DQ164" s="56"/>
      <c r="DR164" s="56"/>
      <c r="DS164" s="56"/>
      <c r="DT164" s="56"/>
      <c r="DU164" s="611"/>
      <c r="DV164" s="56"/>
      <c r="DW164" s="56"/>
      <c r="DX164" s="56"/>
      <c r="DY164" s="56"/>
      <c r="DZ164" s="611"/>
      <c r="EA164" s="56"/>
      <c r="EB164" s="56"/>
      <c r="EC164" s="56"/>
      <c r="ED164" s="56"/>
      <c r="EE164" s="611"/>
      <c r="EF164" s="56"/>
      <c r="EG164" s="56"/>
      <c r="EH164" s="56"/>
      <c r="EI164" s="56"/>
      <c r="EJ164" s="611"/>
      <c r="EK164" s="56"/>
      <c r="EL164" s="56"/>
      <c r="EM164" s="56"/>
      <c r="EN164" s="56"/>
      <c r="EO164" s="144"/>
    </row>
    <row r="165" spans="4:148" s="42" customFormat="1" ht="12.75" hidden="1" customHeight="1" x14ac:dyDescent="0.3">
      <c r="D165" s="234" t="s">
        <v>459</v>
      </c>
      <c r="E165" s="496"/>
      <c r="G165" s="44">
        <f>SUM(G166:G167)</f>
        <v>0</v>
      </c>
      <c r="H165" s="44"/>
      <c r="I165" s="44"/>
      <c r="J165" s="607"/>
      <c r="K165" s="44"/>
      <c r="L165" s="44">
        <f>SUM(L166:L167)</f>
        <v>0</v>
      </c>
      <c r="M165" s="44"/>
      <c r="N165" s="44"/>
      <c r="O165" s="607"/>
      <c r="P165" s="44"/>
      <c r="Q165" s="44">
        <f>SUM(Q166:Q167)</f>
        <v>0</v>
      </c>
      <c r="R165" s="44"/>
      <c r="S165" s="44"/>
      <c r="T165" s="607"/>
      <c r="U165" s="44"/>
      <c r="V165" s="44">
        <f>SUM(V166:V167)</f>
        <v>0</v>
      </c>
      <c r="W165" s="44"/>
      <c r="X165" s="44"/>
      <c r="Y165" s="607"/>
      <c r="Z165" s="44"/>
      <c r="AA165" s="44">
        <f>SUM(AA166:AA167)</f>
        <v>0</v>
      </c>
      <c r="AB165" s="44"/>
      <c r="AC165" s="44"/>
      <c r="AD165" s="607"/>
      <c r="AE165" s="44"/>
      <c r="AF165" s="44">
        <f>SUM(AF166:AF167)</f>
        <v>0</v>
      </c>
      <c r="AG165" s="44"/>
      <c r="AH165" s="44"/>
      <c r="AI165" s="607"/>
      <c r="AJ165" s="44"/>
      <c r="AK165" s="44">
        <f>SUM(AK166:AK167)</f>
        <v>0</v>
      </c>
      <c r="AL165" s="44"/>
      <c r="AM165" s="44"/>
      <c r="AN165" s="607"/>
      <c r="AO165" s="44"/>
      <c r="AP165" s="44">
        <f>SUM(AP166:AP167)</f>
        <v>0</v>
      </c>
      <c r="AQ165" s="44"/>
      <c r="AR165" s="44"/>
      <c r="AS165" s="607"/>
      <c r="AT165" s="44"/>
      <c r="AU165" s="44">
        <f>SUM(AU166:AU167)</f>
        <v>0</v>
      </c>
      <c r="AV165" s="44"/>
      <c r="AW165" s="44"/>
      <c r="AX165" s="607"/>
      <c r="AY165" s="44"/>
      <c r="AZ165" s="44">
        <f>SUM(AZ166:AZ167)</f>
        <v>0</v>
      </c>
      <c r="BA165" s="44"/>
      <c r="BB165" s="44"/>
      <c r="BC165" s="607"/>
      <c r="BD165" s="44"/>
      <c r="BE165" s="44">
        <f>SUM(BE166:BE167)</f>
        <v>0</v>
      </c>
      <c r="BF165" s="44"/>
      <c r="BG165" s="44"/>
      <c r="BH165" s="607"/>
      <c r="BI165" s="44"/>
      <c r="BJ165" s="44">
        <f>SUM(BJ166:BJ167)</f>
        <v>0</v>
      </c>
      <c r="BK165" s="44"/>
      <c r="BL165" s="44"/>
      <c r="BM165" s="607"/>
      <c r="BN165" s="44"/>
      <c r="BO165" s="44">
        <f>SUM(BO166:BO167)</f>
        <v>0</v>
      </c>
      <c r="BP165" s="44"/>
      <c r="BQ165" s="44"/>
      <c r="BR165" s="607"/>
      <c r="BS165" s="44"/>
      <c r="BT165" s="44">
        <f>SUM(BT166:BT167)</f>
        <v>0</v>
      </c>
      <c r="BU165" s="44"/>
      <c r="BV165" s="44"/>
      <c r="BW165" s="607"/>
      <c r="BX165" s="44"/>
      <c r="BY165" s="44">
        <f>SUM(BY166:BY167)</f>
        <v>0</v>
      </c>
      <c r="BZ165" s="44"/>
      <c r="CA165" s="44"/>
      <c r="CB165" s="607"/>
      <c r="CC165" s="44"/>
      <c r="CD165" s="44">
        <f>SUM(CD166:CD167)</f>
        <v>0</v>
      </c>
      <c r="CE165" s="44"/>
      <c r="CF165" s="44"/>
      <c r="CG165" s="607"/>
      <c r="CH165" s="44"/>
      <c r="CI165" s="44">
        <f>SUM(CI166:CI167)</f>
        <v>0</v>
      </c>
      <c r="CJ165" s="44"/>
      <c r="CK165" s="44"/>
      <c r="CL165" s="607"/>
      <c r="CM165" s="44"/>
      <c r="CN165" s="44">
        <f>SUM(CN166:CN167)</f>
        <v>0</v>
      </c>
      <c r="CO165" s="44"/>
      <c r="CP165" s="44"/>
      <c r="CQ165" s="607"/>
      <c r="CR165" s="44"/>
      <c r="CS165" s="44">
        <f>SUM(CS166:CS167)</f>
        <v>0</v>
      </c>
      <c r="CT165" s="44"/>
      <c r="CU165" s="44"/>
      <c r="CV165" s="607"/>
      <c r="CW165" s="44"/>
      <c r="CX165" s="44">
        <f>SUM(CX166:CX167)</f>
        <v>0</v>
      </c>
      <c r="CY165" s="44"/>
      <c r="CZ165" s="44"/>
      <c r="DA165" s="607"/>
      <c r="DB165" s="44"/>
      <c r="DC165" s="44">
        <f>SUM(DC166:DC167)</f>
        <v>0</v>
      </c>
      <c r="DD165" s="44"/>
      <c r="DE165" s="44"/>
      <c r="DF165" s="607"/>
      <c r="DG165" s="44"/>
      <c r="DH165" s="44">
        <f>SUM(DH166:DH167)</f>
        <v>0</v>
      </c>
      <c r="DI165" s="44"/>
      <c r="DJ165" s="44"/>
      <c r="DK165" s="607"/>
      <c r="DL165" s="44"/>
      <c r="DM165" s="44">
        <f>SUM(DM166:DM167)</f>
        <v>0</v>
      </c>
      <c r="DN165" s="44"/>
      <c r="DO165" s="44"/>
      <c r="DP165" s="607"/>
      <c r="DQ165" s="44"/>
      <c r="DR165" s="44">
        <f>SUM(DR166:DR167)</f>
        <v>0</v>
      </c>
      <c r="DS165" s="44"/>
      <c r="DT165" s="44"/>
      <c r="DU165" s="607"/>
      <c r="DV165" s="44"/>
      <c r="DW165" s="44">
        <f>SUM(DW166:DW167)</f>
        <v>0</v>
      </c>
      <c r="DX165" s="44"/>
      <c r="DY165" s="44"/>
      <c r="DZ165" s="607"/>
      <c r="EA165" s="44"/>
      <c r="EB165" s="44">
        <f>SUM(EB166:EB167)</f>
        <v>0</v>
      </c>
      <c r="EC165" s="44"/>
      <c r="ED165" s="44"/>
      <c r="EE165" s="607"/>
      <c r="EF165" s="44"/>
      <c r="EG165" s="44">
        <f>SUM(EG166:EG167)</f>
        <v>0</v>
      </c>
      <c r="EH165" s="44"/>
      <c r="EI165" s="44"/>
      <c r="EJ165" s="607"/>
      <c r="EK165" s="44"/>
      <c r="EL165" s="44">
        <f>SUM(EL166:EL167)</f>
        <v>0</v>
      </c>
      <c r="EM165" s="44"/>
      <c r="EN165" s="44"/>
      <c r="EO165" s="234"/>
      <c r="EQ165" s="136"/>
      <c r="ER165" s="136"/>
    </row>
    <row r="166" spans="4:148" ht="12.75" hidden="1" customHeight="1" x14ac:dyDescent="0.3">
      <c r="D166" s="144" t="s">
        <v>446</v>
      </c>
      <c r="E166" s="494"/>
      <c r="F166" s="500"/>
      <c r="G166" s="609">
        <v>0</v>
      </c>
      <c r="H166" s="610"/>
      <c r="I166" s="56"/>
      <c r="J166" s="611"/>
      <c r="K166" s="612"/>
      <c r="L166" s="609">
        <f>L170+L174</f>
        <v>0</v>
      </c>
      <c r="M166" s="610"/>
      <c r="N166" s="56"/>
      <c r="O166" s="611"/>
      <c r="P166" s="612"/>
      <c r="Q166" s="609">
        <f>Q170+Q174</f>
        <v>0</v>
      </c>
      <c r="R166" s="610"/>
      <c r="S166" s="56"/>
      <c r="T166" s="611"/>
      <c r="U166" s="612"/>
      <c r="V166" s="609">
        <f>V170+V174</f>
        <v>0</v>
      </c>
      <c r="W166" s="610"/>
      <c r="X166" s="56"/>
      <c r="Y166" s="611"/>
      <c r="Z166" s="612"/>
      <c r="AA166" s="609">
        <f>AA170+AA174</f>
        <v>0</v>
      </c>
      <c r="AB166" s="610"/>
      <c r="AC166" s="56"/>
      <c r="AD166" s="611"/>
      <c r="AE166" s="612"/>
      <c r="AF166" s="609">
        <f>AF170+AF174</f>
        <v>0</v>
      </c>
      <c r="AG166" s="610"/>
      <c r="AH166" s="56"/>
      <c r="AI166" s="611"/>
      <c r="AJ166" s="612"/>
      <c r="AK166" s="609">
        <f>AK170+AK174</f>
        <v>0</v>
      </c>
      <c r="AL166" s="610"/>
      <c r="AM166" s="56"/>
      <c r="AN166" s="611"/>
      <c r="AO166" s="612"/>
      <c r="AP166" s="609">
        <v>0</v>
      </c>
      <c r="AQ166" s="610"/>
      <c r="AR166" s="56"/>
      <c r="AS166" s="611"/>
      <c r="AT166" s="612"/>
      <c r="AU166" s="609">
        <f>AU170+AU174</f>
        <v>0</v>
      </c>
      <c r="AV166" s="610"/>
      <c r="AW166" s="56"/>
      <c r="AX166" s="611"/>
      <c r="AY166" s="612"/>
      <c r="AZ166" s="609">
        <f>AZ170+AZ174</f>
        <v>0</v>
      </c>
      <c r="BA166" s="610"/>
      <c r="BB166" s="56"/>
      <c r="BC166" s="611"/>
      <c r="BD166" s="612"/>
      <c r="BE166" s="609">
        <f>BE170+BE174</f>
        <v>0</v>
      </c>
      <c r="BF166" s="610"/>
      <c r="BG166" s="56"/>
      <c r="BH166" s="611"/>
      <c r="BI166" s="612"/>
      <c r="BJ166" s="609">
        <f>BJ170+BJ174</f>
        <v>0</v>
      </c>
      <c r="BK166" s="610"/>
      <c r="BL166" s="56"/>
      <c r="BM166" s="611"/>
      <c r="BN166" s="612"/>
      <c r="BO166" s="609">
        <f>BO170+BO174</f>
        <v>0</v>
      </c>
      <c r="BP166" s="610"/>
      <c r="BQ166" s="56"/>
      <c r="BR166" s="611"/>
      <c r="BS166" s="612"/>
      <c r="BT166" s="609">
        <f>BT170+BT174</f>
        <v>0</v>
      </c>
      <c r="BU166" s="610"/>
      <c r="BV166" s="56"/>
      <c r="BW166" s="611"/>
      <c r="BX166" s="612"/>
      <c r="BY166" s="609">
        <v>0</v>
      </c>
      <c r="BZ166" s="610"/>
      <c r="CA166" s="56"/>
      <c r="CB166" s="611"/>
      <c r="CC166" s="612"/>
      <c r="CD166" s="609">
        <f>CD170+CD174</f>
        <v>0</v>
      </c>
      <c r="CE166" s="610"/>
      <c r="CF166" s="56"/>
      <c r="CG166" s="611"/>
      <c r="CH166" s="612"/>
      <c r="CI166" s="609">
        <f>CI170+CI174</f>
        <v>0</v>
      </c>
      <c r="CJ166" s="610"/>
      <c r="CK166" s="56"/>
      <c r="CL166" s="611"/>
      <c r="CM166" s="612"/>
      <c r="CN166" s="609">
        <f>CN170+CN174</f>
        <v>0</v>
      </c>
      <c r="CO166" s="610"/>
      <c r="CP166" s="56"/>
      <c r="CQ166" s="611"/>
      <c r="CR166" s="612"/>
      <c r="CS166" s="609">
        <f>CS170+CS174</f>
        <v>0</v>
      </c>
      <c r="CT166" s="610"/>
      <c r="CU166" s="56"/>
      <c r="CV166" s="611"/>
      <c r="CW166" s="612"/>
      <c r="CX166" s="609">
        <f>CX170+CX174</f>
        <v>0</v>
      </c>
      <c r="CY166" s="610"/>
      <c r="CZ166" s="56"/>
      <c r="DA166" s="611"/>
      <c r="DB166" s="612"/>
      <c r="DC166" s="609">
        <f>DC170+DC174</f>
        <v>0</v>
      </c>
      <c r="DD166" s="610"/>
      <c r="DE166" s="56"/>
      <c r="DF166" s="611"/>
      <c r="DG166" s="612"/>
      <c r="DH166" s="609">
        <v>0</v>
      </c>
      <c r="DI166" s="610"/>
      <c r="DJ166" s="56"/>
      <c r="DK166" s="611"/>
      <c r="DL166" s="612"/>
      <c r="DM166" s="609">
        <f>DM170+DM174</f>
        <v>0</v>
      </c>
      <c r="DN166" s="610"/>
      <c r="DO166" s="56"/>
      <c r="DP166" s="611"/>
      <c r="DQ166" s="612"/>
      <c r="DR166" s="609">
        <f>DR170+DR174</f>
        <v>0</v>
      </c>
      <c r="DS166" s="610"/>
      <c r="DT166" s="56"/>
      <c r="DU166" s="611"/>
      <c r="DV166" s="612"/>
      <c r="DW166" s="609">
        <f>DW170+DW174</f>
        <v>0</v>
      </c>
      <c r="DX166" s="610"/>
      <c r="DY166" s="56"/>
      <c r="DZ166" s="611"/>
      <c r="EA166" s="612"/>
      <c r="EB166" s="609">
        <f>EB170+EB174</f>
        <v>0</v>
      </c>
      <c r="EC166" s="610"/>
      <c r="ED166" s="56"/>
      <c r="EE166" s="611"/>
      <c r="EF166" s="612"/>
      <c r="EG166" s="609">
        <f>EG170+EG174</f>
        <v>0</v>
      </c>
      <c r="EH166" s="610"/>
      <c r="EI166" s="56"/>
      <c r="EJ166" s="611"/>
      <c r="EK166" s="612"/>
      <c r="EL166" s="609">
        <f>EL170+EL174</f>
        <v>0</v>
      </c>
      <c r="EM166" s="610"/>
      <c r="EN166" s="56"/>
      <c r="EO166" s="144"/>
    </row>
    <row r="167" spans="4:148" ht="12.75" hidden="1" customHeight="1" x14ac:dyDescent="0.3">
      <c r="D167" s="144" t="s">
        <v>447</v>
      </c>
      <c r="E167" s="494"/>
      <c r="F167" s="513"/>
      <c r="G167" s="117">
        <v>0</v>
      </c>
      <c r="H167" s="116"/>
      <c r="I167" s="56"/>
      <c r="J167" s="611"/>
      <c r="K167" s="620"/>
      <c r="L167" s="117">
        <f>L171+L175</f>
        <v>0</v>
      </c>
      <c r="M167" s="116"/>
      <c r="N167" s="56"/>
      <c r="O167" s="611"/>
      <c r="P167" s="620"/>
      <c r="Q167" s="117">
        <f>Q171+Q175</f>
        <v>0</v>
      </c>
      <c r="R167" s="116"/>
      <c r="S167" s="56"/>
      <c r="T167" s="611"/>
      <c r="U167" s="620"/>
      <c r="V167" s="117">
        <f>V171+V175</f>
        <v>0</v>
      </c>
      <c r="W167" s="116"/>
      <c r="X167" s="56"/>
      <c r="Y167" s="611"/>
      <c r="Z167" s="620"/>
      <c r="AA167" s="117">
        <f>AA171+AA175</f>
        <v>0</v>
      </c>
      <c r="AB167" s="116"/>
      <c r="AC167" s="56"/>
      <c r="AD167" s="611"/>
      <c r="AE167" s="620"/>
      <c r="AF167" s="117">
        <f>AF171+AF175</f>
        <v>0</v>
      </c>
      <c r="AG167" s="116"/>
      <c r="AH167" s="56"/>
      <c r="AI167" s="611"/>
      <c r="AJ167" s="620"/>
      <c r="AK167" s="117">
        <f>AK171+AK175</f>
        <v>0</v>
      </c>
      <c r="AL167" s="116"/>
      <c r="AM167" s="56"/>
      <c r="AN167" s="611"/>
      <c r="AO167" s="620"/>
      <c r="AP167" s="117">
        <v>0</v>
      </c>
      <c r="AQ167" s="116"/>
      <c r="AR167" s="56"/>
      <c r="AS167" s="611"/>
      <c r="AT167" s="620"/>
      <c r="AU167" s="117">
        <f>AU171+AU175</f>
        <v>0</v>
      </c>
      <c r="AV167" s="116"/>
      <c r="AW167" s="56"/>
      <c r="AX167" s="611"/>
      <c r="AY167" s="620"/>
      <c r="AZ167" s="117">
        <f>AZ171+AZ175</f>
        <v>0</v>
      </c>
      <c r="BA167" s="116"/>
      <c r="BB167" s="56"/>
      <c r="BC167" s="611"/>
      <c r="BD167" s="620"/>
      <c r="BE167" s="117">
        <f>BE171+BE175</f>
        <v>0</v>
      </c>
      <c r="BF167" s="116"/>
      <c r="BG167" s="56"/>
      <c r="BH167" s="611"/>
      <c r="BI167" s="620"/>
      <c r="BJ167" s="117">
        <f>BJ171+BJ175</f>
        <v>0</v>
      </c>
      <c r="BK167" s="116"/>
      <c r="BL167" s="56"/>
      <c r="BM167" s="611"/>
      <c r="BN167" s="620"/>
      <c r="BO167" s="117">
        <f>BO171+BO175</f>
        <v>0</v>
      </c>
      <c r="BP167" s="116"/>
      <c r="BQ167" s="56"/>
      <c r="BR167" s="611"/>
      <c r="BS167" s="620"/>
      <c r="BT167" s="117">
        <f>BT171+BT175</f>
        <v>0</v>
      </c>
      <c r="BU167" s="116"/>
      <c r="BV167" s="56"/>
      <c r="BW167" s="611"/>
      <c r="BX167" s="620"/>
      <c r="BY167" s="117">
        <v>0</v>
      </c>
      <c r="BZ167" s="116"/>
      <c r="CA167" s="56"/>
      <c r="CB167" s="611"/>
      <c r="CC167" s="620"/>
      <c r="CD167" s="117">
        <f>CD171+CD175</f>
        <v>0</v>
      </c>
      <c r="CE167" s="116"/>
      <c r="CF167" s="56"/>
      <c r="CG167" s="611"/>
      <c r="CH167" s="620"/>
      <c r="CI167" s="117">
        <f>CI171+CI175</f>
        <v>0</v>
      </c>
      <c r="CJ167" s="116"/>
      <c r="CK167" s="56"/>
      <c r="CL167" s="611"/>
      <c r="CM167" s="620"/>
      <c r="CN167" s="117">
        <f>CN171+CN175</f>
        <v>0</v>
      </c>
      <c r="CO167" s="116"/>
      <c r="CP167" s="56"/>
      <c r="CQ167" s="611"/>
      <c r="CR167" s="620"/>
      <c r="CS167" s="117">
        <f>CS171+CS175</f>
        <v>0</v>
      </c>
      <c r="CT167" s="116"/>
      <c r="CU167" s="56"/>
      <c r="CV167" s="611"/>
      <c r="CW167" s="620"/>
      <c r="CX167" s="117">
        <f>CX171+CX175</f>
        <v>0</v>
      </c>
      <c r="CY167" s="116"/>
      <c r="CZ167" s="56"/>
      <c r="DA167" s="611"/>
      <c r="DB167" s="620"/>
      <c r="DC167" s="117">
        <f>DC171+DC175</f>
        <v>0</v>
      </c>
      <c r="DD167" s="116"/>
      <c r="DE167" s="56"/>
      <c r="DF167" s="611"/>
      <c r="DG167" s="620"/>
      <c r="DH167" s="117">
        <v>0</v>
      </c>
      <c r="DI167" s="116"/>
      <c r="DJ167" s="56"/>
      <c r="DK167" s="611"/>
      <c r="DL167" s="620"/>
      <c r="DM167" s="117">
        <f>DM171+DM175</f>
        <v>0</v>
      </c>
      <c r="DN167" s="116"/>
      <c r="DO167" s="56"/>
      <c r="DP167" s="611"/>
      <c r="DQ167" s="620"/>
      <c r="DR167" s="117">
        <f>DR171+DR175</f>
        <v>0</v>
      </c>
      <c r="DS167" s="116"/>
      <c r="DT167" s="56"/>
      <c r="DU167" s="611"/>
      <c r="DV167" s="620"/>
      <c r="DW167" s="117">
        <f>DW171+DW175</f>
        <v>0</v>
      </c>
      <c r="DX167" s="116"/>
      <c r="DY167" s="56"/>
      <c r="DZ167" s="611"/>
      <c r="EA167" s="620"/>
      <c r="EB167" s="117">
        <f>EB171+EB175</f>
        <v>0</v>
      </c>
      <c r="EC167" s="116"/>
      <c r="ED167" s="56"/>
      <c r="EE167" s="611"/>
      <c r="EF167" s="620"/>
      <c r="EG167" s="117">
        <f>EG171+EG175</f>
        <v>0</v>
      </c>
      <c r="EH167" s="116"/>
      <c r="EI167" s="56"/>
      <c r="EJ167" s="611"/>
      <c r="EK167" s="620"/>
      <c r="EL167" s="117">
        <f>EL171+EL175</f>
        <v>0</v>
      </c>
      <c r="EM167" s="116"/>
      <c r="EN167" s="56"/>
      <c r="EO167" s="144"/>
    </row>
    <row r="168" spans="4:148" ht="12.75" hidden="1" customHeight="1" x14ac:dyDescent="0.3">
      <c r="D168" s="144"/>
      <c r="E168" s="494"/>
      <c r="G168" s="56"/>
      <c r="H168" s="56"/>
      <c r="I168" s="56"/>
      <c r="J168" s="611"/>
      <c r="K168" s="56"/>
      <c r="L168" s="56"/>
      <c r="M168" s="56"/>
      <c r="N168" s="56"/>
      <c r="O168" s="611"/>
      <c r="P168" s="56"/>
      <c r="Q168" s="56"/>
      <c r="R168" s="56"/>
      <c r="S168" s="56"/>
      <c r="T168" s="611"/>
      <c r="U168" s="56"/>
      <c r="V168" s="56"/>
      <c r="W168" s="56"/>
      <c r="X168" s="56"/>
      <c r="Y168" s="611"/>
      <c r="Z168" s="56"/>
      <c r="AA168" s="56"/>
      <c r="AB168" s="56"/>
      <c r="AC168" s="56"/>
      <c r="AD168" s="611"/>
      <c r="AE168" s="56"/>
      <c r="AF168" s="56"/>
      <c r="AG168" s="56"/>
      <c r="AH168" s="56"/>
      <c r="AI168" s="611"/>
      <c r="AJ168" s="56"/>
      <c r="AK168" s="56"/>
      <c r="AL168" s="56"/>
      <c r="AM168" s="56"/>
      <c r="AN168" s="611"/>
      <c r="AO168" s="56"/>
      <c r="AP168" s="56"/>
      <c r="AQ168" s="56"/>
      <c r="AR168" s="56"/>
      <c r="AS168" s="611"/>
      <c r="AT168" s="56"/>
      <c r="AU168" s="56"/>
      <c r="AV168" s="56"/>
      <c r="AW168" s="56"/>
      <c r="AX168" s="611"/>
      <c r="AY168" s="56"/>
      <c r="AZ168" s="56"/>
      <c r="BA168" s="56"/>
      <c r="BB168" s="56"/>
      <c r="BC168" s="611"/>
      <c r="BD168" s="56"/>
      <c r="BE168" s="56"/>
      <c r="BF168" s="56"/>
      <c r="BG168" s="56"/>
      <c r="BH168" s="611"/>
      <c r="BI168" s="56"/>
      <c r="BJ168" s="56"/>
      <c r="BK168" s="56"/>
      <c r="BL168" s="56"/>
      <c r="BM168" s="611"/>
      <c r="BN168" s="56"/>
      <c r="BO168" s="56"/>
      <c r="BP168" s="56"/>
      <c r="BQ168" s="56"/>
      <c r="BR168" s="611"/>
      <c r="BS168" s="56"/>
      <c r="BT168" s="56"/>
      <c r="BU168" s="56"/>
      <c r="BV168" s="56"/>
      <c r="BW168" s="611"/>
      <c r="BX168" s="56"/>
      <c r="BY168" s="56"/>
      <c r="BZ168" s="56"/>
      <c r="CA168" s="56"/>
      <c r="CB168" s="611"/>
      <c r="CC168" s="56"/>
      <c r="CD168" s="56"/>
      <c r="CE168" s="56"/>
      <c r="CF168" s="56"/>
      <c r="CG168" s="611"/>
      <c r="CH168" s="56"/>
      <c r="CI168" s="56"/>
      <c r="CJ168" s="56"/>
      <c r="CK168" s="56"/>
      <c r="CL168" s="611"/>
      <c r="CM168" s="56"/>
      <c r="CN168" s="56"/>
      <c r="CO168" s="56"/>
      <c r="CP168" s="56"/>
      <c r="CQ168" s="611"/>
      <c r="CR168" s="56"/>
      <c r="CS168" s="56"/>
      <c r="CT168" s="56"/>
      <c r="CU168" s="56"/>
      <c r="CV168" s="611"/>
      <c r="CW168" s="56"/>
      <c r="CX168" s="56"/>
      <c r="CY168" s="56"/>
      <c r="CZ168" s="56"/>
      <c r="DA168" s="611"/>
      <c r="DB168" s="56"/>
      <c r="DC168" s="56"/>
      <c r="DD168" s="56"/>
      <c r="DE168" s="56"/>
      <c r="DF168" s="611"/>
      <c r="DG168" s="56"/>
      <c r="DH168" s="56"/>
      <c r="DI168" s="56"/>
      <c r="DJ168" s="56"/>
      <c r="DK168" s="611"/>
      <c r="DL168" s="56"/>
      <c r="DM168" s="56"/>
      <c r="DN168" s="56"/>
      <c r="DO168" s="56"/>
      <c r="DP168" s="611"/>
      <c r="DQ168" s="56"/>
      <c r="DR168" s="56"/>
      <c r="DS168" s="56"/>
      <c r="DT168" s="56"/>
      <c r="DU168" s="611"/>
      <c r="DV168" s="56"/>
      <c r="DW168" s="56"/>
      <c r="DX168" s="56"/>
      <c r="DY168" s="56"/>
      <c r="DZ168" s="611"/>
      <c r="EA168" s="56"/>
      <c r="EB168" s="56"/>
      <c r="EC168" s="56"/>
      <c r="ED168" s="56"/>
      <c r="EE168" s="611"/>
      <c r="EF168" s="56"/>
      <c r="EG168" s="56"/>
      <c r="EH168" s="56"/>
      <c r="EI168" s="56"/>
      <c r="EJ168" s="611"/>
      <c r="EK168" s="56"/>
      <c r="EL168" s="56"/>
      <c r="EM168" s="56"/>
      <c r="EN168" s="56"/>
      <c r="EO168" s="144"/>
    </row>
    <row r="169" spans="4:148" ht="12.75" hidden="1" customHeight="1" x14ac:dyDescent="0.3">
      <c r="D169" s="144" t="s">
        <v>460</v>
      </c>
      <c r="E169" s="494"/>
      <c r="G169" s="56">
        <v>0</v>
      </c>
      <c r="H169" s="56"/>
      <c r="I169" s="56"/>
      <c r="J169" s="611"/>
      <c r="K169" s="56"/>
      <c r="L169" s="56">
        <f>SUM(L170:L171)</f>
        <v>0</v>
      </c>
      <c r="M169" s="56"/>
      <c r="N169" s="56"/>
      <c r="O169" s="611"/>
      <c r="P169" s="56"/>
      <c r="Q169" s="56">
        <f>SUM(Q170:Q171)</f>
        <v>0</v>
      </c>
      <c r="R169" s="56"/>
      <c r="S169" s="56"/>
      <c r="T169" s="611"/>
      <c r="U169" s="56"/>
      <c r="V169" s="56">
        <f>SUM(V170:V171)</f>
        <v>0</v>
      </c>
      <c r="W169" s="56"/>
      <c r="X169" s="56"/>
      <c r="Y169" s="611"/>
      <c r="Z169" s="56"/>
      <c r="AA169" s="56">
        <f>SUM(AA170:AA171)</f>
        <v>0</v>
      </c>
      <c r="AB169" s="56"/>
      <c r="AC169" s="56"/>
      <c r="AD169" s="611"/>
      <c r="AE169" s="56"/>
      <c r="AF169" s="56">
        <f>SUM(AF170:AF171)</f>
        <v>0</v>
      </c>
      <c r="AG169" s="56"/>
      <c r="AH169" s="56"/>
      <c r="AI169" s="611"/>
      <c r="AJ169" s="56"/>
      <c r="AK169" s="56">
        <f>SUM(AK170:AK171)</f>
        <v>0</v>
      </c>
      <c r="AL169" s="56"/>
      <c r="AM169" s="56"/>
      <c r="AN169" s="611"/>
      <c r="AO169" s="56"/>
      <c r="AP169" s="56">
        <f>SUM(AP170:AP171)</f>
        <v>0</v>
      </c>
      <c r="AQ169" s="56"/>
      <c r="AR169" s="56"/>
      <c r="AS169" s="611"/>
      <c r="AT169" s="56"/>
      <c r="AU169" s="56">
        <f>SUM(AU170:AU171)</f>
        <v>0</v>
      </c>
      <c r="AV169" s="56"/>
      <c r="AW169" s="56"/>
      <c r="AX169" s="611"/>
      <c r="AY169" s="56"/>
      <c r="AZ169" s="56">
        <f>SUM(AZ170:AZ171)</f>
        <v>0</v>
      </c>
      <c r="BA169" s="56"/>
      <c r="BB169" s="56"/>
      <c r="BC169" s="611"/>
      <c r="BD169" s="56"/>
      <c r="BE169" s="56">
        <f>SUM(BE170:BE171)</f>
        <v>0</v>
      </c>
      <c r="BF169" s="56"/>
      <c r="BG169" s="56"/>
      <c r="BH169" s="611"/>
      <c r="BI169" s="56"/>
      <c r="BJ169" s="56">
        <f>SUM(BJ170:BJ171)</f>
        <v>0</v>
      </c>
      <c r="BK169" s="56"/>
      <c r="BL169" s="56"/>
      <c r="BM169" s="611"/>
      <c r="BN169" s="56"/>
      <c r="BO169" s="56">
        <f>SUM(BO170:BO171)</f>
        <v>0</v>
      </c>
      <c r="BP169" s="56"/>
      <c r="BQ169" s="56"/>
      <c r="BR169" s="611"/>
      <c r="BS169" s="56"/>
      <c r="BT169" s="56">
        <f>SUM(BT170:BT171)</f>
        <v>0</v>
      </c>
      <c r="BU169" s="56"/>
      <c r="BV169" s="56"/>
      <c r="BW169" s="611"/>
      <c r="BX169" s="56"/>
      <c r="BY169" s="56">
        <f>SUM(BY170:BY171)</f>
        <v>0</v>
      </c>
      <c r="BZ169" s="56"/>
      <c r="CA169" s="56"/>
      <c r="CB169" s="611"/>
      <c r="CC169" s="56"/>
      <c r="CD169" s="56">
        <f>SUM(CD170:CD171)</f>
        <v>0</v>
      </c>
      <c r="CE169" s="56"/>
      <c r="CF169" s="56"/>
      <c r="CG169" s="611"/>
      <c r="CH169" s="56"/>
      <c r="CI169" s="56">
        <f>SUM(CI170:CI171)</f>
        <v>0</v>
      </c>
      <c r="CJ169" s="56"/>
      <c r="CK169" s="56"/>
      <c r="CL169" s="611"/>
      <c r="CM169" s="56"/>
      <c r="CN169" s="56">
        <f>SUM(CN170:CN171)</f>
        <v>0</v>
      </c>
      <c r="CO169" s="56"/>
      <c r="CP169" s="56"/>
      <c r="CQ169" s="611"/>
      <c r="CR169" s="56"/>
      <c r="CS169" s="56">
        <f>SUM(CS170:CS171)</f>
        <v>0</v>
      </c>
      <c r="CT169" s="56"/>
      <c r="CU169" s="56"/>
      <c r="CV169" s="611"/>
      <c r="CW169" s="56"/>
      <c r="CX169" s="56">
        <f>SUM(CX170:CX171)</f>
        <v>0</v>
      </c>
      <c r="CY169" s="56"/>
      <c r="CZ169" s="56"/>
      <c r="DA169" s="611"/>
      <c r="DB169" s="56"/>
      <c r="DC169" s="56">
        <f>SUM(DC170:DC171)</f>
        <v>0</v>
      </c>
      <c r="DD169" s="56"/>
      <c r="DE169" s="56"/>
      <c r="DF169" s="611"/>
      <c r="DG169" s="56"/>
      <c r="DH169" s="56">
        <f>SUM(DH170:DH171)</f>
        <v>0</v>
      </c>
      <c r="DI169" s="56"/>
      <c r="DJ169" s="56"/>
      <c r="DK169" s="611"/>
      <c r="DL169" s="56"/>
      <c r="DM169" s="56">
        <f>SUM(DM170:DM171)</f>
        <v>0</v>
      </c>
      <c r="DN169" s="56"/>
      <c r="DO169" s="56"/>
      <c r="DP169" s="611"/>
      <c r="DQ169" s="56"/>
      <c r="DR169" s="56">
        <f>SUM(DR170:DR171)</f>
        <v>0</v>
      </c>
      <c r="DS169" s="56"/>
      <c r="DT169" s="56"/>
      <c r="DU169" s="611"/>
      <c r="DV169" s="56"/>
      <c r="DW169" s="56">
        <f>SUM(DW170:DW171)</f>
        <v>0</v>
      </c>
      <c r="DX169" s="56"/>
      <c r="DY169" s="56"/>
      <c r="DZ169" s="611"/>
      <c r="EA169" s="56"/>
      <c r="EB169" s="56">
        <f>SUM(EB170:EB171)</f>
        <v>0</v>
      </c>
      <c r="EC169" s="56"/>
      <c r="ED169" s="56"/>
      <c r="EE169" s="611"/>
      <c r="EF169" s="56"/>
      <c r="EG169" s="56">
        <f>SUM(EG170:EG171)</f>
        <v>0</v>
      </c>
      <c r="EH169" s="56"/>
      <c r="EI169" s="56"/>
      <c r="EJ169" s="611"/>
      <c r="EK169" s="56"/>
      <c r="EL169" s="56">
        <f>SUM(EL170:EL171)</f>
        <v>0</v>
      </c>
      <c r="EM169" s="56"/>
      <c r="EN169" s="56"/>
      <c r="EO169" s="144"/>
    </row>
    <row r="170" spans="4:148" ht="12.75" hidden="1" customHeight="1" x14ac:dyDescent="0.3">
      <c r="D170" s="144" t="s">
        <v>446</v>
      </c>
      <c r="E170" s="494"/>
      <c r="F170" s="500"/>
      <c r="G170" s="609">
        <v>0</v>
      </c>
      <c r="H170" s="610"/>
      <c r="I170" s="56"/>
      <c r="J170" s="611"/>
      <c r="K170" s="612"/>
      <c r="L170" s="609">
        <v>0</v>
      </c>
      <c r="M170" s="610"/>
      <c r="N170" s="56"/>
      <c r="O170" s="611"/>
      <c r="P170" s="612"/>
      <c r="Q170" s="609">
        <v>0</v>
      </c>
      <c r="R170" s="610"/>
      <c r="S170" s="56"/>
      <c r="T170" s="611"/>
      <c r="U170" s="612"/>
      <c r="V170" s="609">
        <v>0</v>
      </c>
      <c r="W170" s="610"/>
      <c r="X170" s="56"/>
      <c r="Y170" s="611"/>
      <c r="Z170" s="612"/>
      <c r="AA170" s="609">
        <v>0</v>
      </c>
      <c r="AB170" s="610"/>
      <c r="AC170" s="56"/>
      <c r="AD170" s="611"/>
      <c r="AE170" s="612"/>
      <c r="AF170" s="609">
        <v>0</v>
      </c>
      <c r="AG170" s="610"/>
      <c r="AH170" s="56"/>
      <c r="AI170" s="611"/>
      <c r="AJ170" s="612"/>
      <c r="AK170" s="609">
        <v>0</v>
      </c>
      <c r="AL170" s="610"/>
      <c r="AM170" s="56"/>
      <c r="AN170" s="611"/>
      <c r="AO170" s="612"/>
      <c r="AP170" s="609">
        <v>0</v>
      </c>
      <c r="AQ170" s="610"/>
      <c r="AR170" s="56"/>
      <c r="AS170" s="611"/>
      <c r="AT170" s="612"/>
      <c r="AU170" s="609">
        <v>0</v>
      </c>
      <c r="AV170" s="610"/>
      <c r="AW170" s="56"/>
      <c r="AX170" s="611"/>
      <c r="AY170" s="612"/>
      <c r="AZ170" s="609">
        <v>0</v>
      </c>
      <c r="BA170" s="610"/>
      <c r="BB170" s="56"/>
      <c r="BC170" s="611"/>
      <c r="BD170" s="612"/>
      <c r="BE170" s="609">
        <v>0</v>
      </c>
      <c r="BF170" s="610"/>
      <c r="BG170" s="56"/>
      <c r="BH170" s="611"/>
      <c r="BI170" s="612"/>
      <c r="BJ170" s="609">
        <v>0</v>
      </c>
      <c r="BK170" s="610"/>
      <c r="BL170" s="56"/>
      <c r="BM170" s="611"/>
      <c r="BN170" s="612"/>
      <c r="BO170" s="609">
        <v>0</v>
      </c>
      <c r="BP170" s="610"/>
      <c r="BQ170" s="56"/>
      <c r="BR170" s="611"/>
      <c r="BS170" s="612"/>
      <c r="BT170" s="609">
        <f>SUM(L170:BO170)</f>
        <v>0</v>
      </c>
      <c r="BU170" s="610"/>
      <c r="BV170" s="56"/>
      <c r="BW170" s="611"/>
      <c r="BX170" s="612"/>
      <c r="BY170" s="609">
        <v>0</v>
      </c>
      <c r="BZ170" s="610"/>
      <c r="CA170" s="56"/>
      <c r="CB170" s="611"/>
      <c r="CC170" s="612"/>
      <c r="CD170" s="609">
        <v>0</v>
      </c>
      <c r="CE170" s="610"/>
      <c r="CF170" s="56"/>
      <c r="CG170" s="611"/>
      <c r="CH170" s="612"/>
      <c r="CI170" s="609">
        <v>0</v>
      </c>
      <c r="CJ170" s="610"/>
      <c r="CK170" s="56"/>
      <c r="CL170" s="611"/>
      <c r="CM170" s="612"/>
      <c r="CN170" s="609">
        <v>0</v>
      </c>
      <c r="CO170" s="610"/>
      <c r="CP170" s="56"/>
      <c r="CQ170" s="611"/>
      <c r="CR170" s="612"/>
      <c r="CS170" s="609">
        <v>0</v>
      </c>
      <c r="CT170" s="610"/>
      <c r="CU170" s="56"/>
      <c r="CV170" s="611"/>
      <c r="CW170" s="612"/>
      <c r="CX170" s="609">
        <v>0</v>
      </c>
      <c r="CY170" s="610"/>
      <c r="CZ170" s="56"/>
      <c r="DA170" s="611"/>
      <c r="DB170" s="612"/>
      <c r="DC170" s="609">
        <v>0</v>
      </c>
      <c r="DD170" s="610"/>
      <c r="DE170" s="56"/>
      <c r="DF170" s="611"/>
      <c r="DG170" s="612"/>
      <c r="DH170" s="609">
        <v>0</v>
      </c>
      <c r="DI170" s="610"/>
      <c r="DJ170" s="56"/>
      <c r="DK170" s="611"/>
      <c r="DL170" s="612"/>
      <c r="DM170" s="609">
        <v>0</v>
      </c>
      <c r="DN170" s="610"/>
      <c r="DO170" s="56"/>
      <c r="DP170" s="611"/>
      <c r="DQ170" s="612"/>
      <c r="DR170" s="609">
        <v>0</v>
      </c>
      <c r="DS170" s="610"/>
      <c r="DT170" s="56"/>
      <c r="DU170" s="611"/>
      <c r="DV170" s="612"/>
      <c r="DW170" s="609">
        <v>0</v>
      </c>
      <c r="DX170" s="610"/>
      <c r="DY170" s="56"/>
      <c r="DZ170" s="611"/>
      <c r="EA170" s="612"/>
      <c r="EB170" s="609">
        <v>0</v>
      </c>
      <c r="EC170" s="610"/>
      <c r="ED170" s="56"/>
      <c r="EE170" s="611"/>
      <c r="EF170" s="612"/>
      <c r="EG170" s="609">
        <v>0</v>
      </c>
      <c r="EH170" s="610"/>
      <c r="EI170" s="56"/>
      <c r="EJ170" s="611"/>
      <c r="EK170" s="612"/>
      <c r="EL170" s="609">
        <f>SUM(CD170:EG170)</f>
        <v>0</v>
      </c>
      <c r="EM170" s="610"/>
      <c r="EN170" s="56"/>
      <c r="EO170" s="144"/>
    </row>
    <row r="171" spans="4:148" ht="12.75" hidden="1" customHeight="1" x14ac:dyDescent="0.3">
      <c r="D171" s="144" t="s">
        <v>447</v>
      </c>
      <c r="E171" s="494"/>
      <c r="F171" s="513"/>
      <c r="G171" s="117">
        <v>0</v>
      </c>
      <c r="H171" s="116"/>
      <c r="I171" s="56"/>
      <c r="J171" s="611"/>
      <c r="K171" s="620"/>
      <c r="L171" s="117">
        <v>0</v>
      </c>
      <c r="M171" s="116"/>
      <c r="N171" s="56"/>
      <c r="O171" s="611"/>
      <c r="P171" s="620"/>
      <c r="Q171" s="117">
        <v>0</v>
      </c>
      <c r="R171" s="116"/>
      <c r="S171" s="56"/>
      <c r="T171" s="611"/>
      <c r="U171" s="620"/>
      <c r="V171" s="117">
        <v>0</v>
      </c>
      <c r="W171" s="116"/>
      <c r="X171" s="56"/>
      <c r="Y171" s="611"/>
      <c r="Z171" s="620"/>
      <c r="AA171" s="117">
        <v>0</v>
      </c>
      <c r="AB171" s="116"/>
      <c r="AC171" s="56"/>
      <c r="AD171" s="611"/>
      <c r="AE171" s="620"/>
      <c r="AF171" s="117">
        <v>0</v>
      </c>
      <c r="AG171" s="116"/>
      <c r="AH171" s="56"/>
      <c r="AI171" s="611"/>
      <c r="AJ171" s="620"/>
      <c r="AK171" s="117">
        <v>0</v>
      </c>
      <c r="AL171" s="116"/>
      <c r="AM171" s="56"/>
      <c r="AN171" s="611"/>
      <c r="AO171" s="620"/>
      <c r="AP171" s="117">
        <v>0</v>
      </c>
      <c r="AQ171" s="116"/>
      <c r="AR171" s="56"/>
      <c r="AS171" s="611"/>
      <c r="AT171" s="620"/>
      <c r="AU171" s="117">
        <v>0</v>
      </c>
      <c r="AV171" s="116"/>
      <c r="AW171" s="56"/>
      <c r="AX171" s="611"/>
      <c r="AY171" s="620"/>
      <c r="AZ171" s="117">
        <v>0</v>
      </c>
      <c r="BA171" s="116"/>
      <c r="BB171" s="56"/>
      <c r="BC171" s="611"/>
      <c r="BD171" s="620"/>
      <c r="BE171" s="117">
        <v>0</v>
      </c>
      <c r="BF171" s="116"/>
      <c r="BG171" s="56"/>
      <c r="BH171" s="611"/>
      <c r="BI171" s="620"/>
      <c r="BJ171" s="117">
        <v>0</v>
      </c>
      <c r="BK171" s="116"/>
      <c r="BL171" s="56"/>
      <c r="BM171" s="611"/>
      <c r="BN171" s="620"/>
      <c r="BO171" s="117">
        <v>0</v>
      </c>
      <c r="BP171" s="116"/>
      <c r="BQ171" s="56"/>
      <c r="BR171" s="611"/>
      <c r="BS171" s="620"/>
      <c r="BT171" s="117">
        <f>SUM(L171:BO171)</f>
        <v>0</v>
      </c>
      <c r="BU171" s="116"/>
      <c r="BV171" s="56"/>
      <c r="BW171" s="611"/>
      <c r="BX171" s="620"/>
      <c r="BY171" s="117">
        <v>0</v>
      </c>
      <c r="BZ171" s="116"/>
      <c r="CA171" s="56"/>
      <c r="CB171" s="611"/>
      <c r="CC171" s="620"/>
      <c r="CD171" s="117">
        <v>0</v>
      </c>
      <c r="CE171" s="116"/>
      <c r="CF171" s="56"/>
      <c r="CG171" s="611"/>
      <c r="CH171" s="620"/>
      <c r="CI171" s="117">
        <v>0</v>
      </c>
      <c r="CJ171" s="116"/>
      <c r="CK171" s="56"/>
      <c r="CL171" s="611"/>
      <c r="CM171" s="620"/>
      <c r="CN171" s="117">
        <v>0</v>
      </c>
      <c r="CO171" s="116"/>
      <c r="CP171" s="56"/>
      <c r="CQ171" s="611"/>
      <c r="CR171" s="620"/>
      <c r="CS171" s="117">
        <v>0</v>
      </c>
      <c r="CT171" s="116"/>
      <c r="CU171" s="56"/>
      <c r="CV171" s="611"/>
      <c r="CW171" s="620"/>
      <c r="CX171" s="117">
        <v>0</v>
      </c>
      <c r="CY171" s="116"/>
      <c r="CZ171" s="56"/>
      <c r="DA171" s="611"/>
      <c r="DB171" s="620"/>
      <c r="DC171" s="117">
        <v>0</v>
      </c>
      <c r="DD171" s="116"/>
      <c r="DE171" s="56"/>
      <c r="DF171" s="611"/>
      <c r="DG171" s="620"/>
      <c r="DH171" s="117">
        <v>0</v>
      </c>
      <c r="DI171" s="116"/>
      <c r="DJ171" s="56"/>
      <c r="DK171" s="611"/>
      <c r="DL171" s="620"/>
      <c r="DM171" s="117">
        <v>0</v>
      </c>
      <c r="DN171" s="116"/>
      <c r="DO171" s="56"/>
      <c r="DP171" s="611"/>
      <c r="DQ171" s="620"/>
      <c r="DR171" s="117">
        <v>0</v>
      </c>
      <c r="DS171" s="116"/>
      <c r="DT171" s="56"/>
      <c r="DU171" s="611"/>
      <c r="DV171" s="620"/>
      <c r="DW171" s="117">
        <v>0</v>
      </c>
      <c r="DX171" s="116"/>
      <c r="DY171" s="56"/>
      <c r="DZ171" s="611"/>
      <c r="EA171" s="620"/>
      <c r="EB171" s="117">
        <v>0</v>
      </c>
      <c r="EC171" s="116"/>
      <c r="ED171" s="56"/>
      <c r="EE171" s="611"/>
      <c r="EF171" s="620"/>
      <c r="EG171" s="117">
        <v>0</v>
      </c>
      <c r="EH171" s="116"/>
      <c r="EI171" s="56"/>
      <c r="EJ171" s="611"/>
      <c r="EK171" s="620"/>
      <c r="EL171" s="117">
        <f>SUM(CD171:EG171)</f>
        <v>0</v>
      </c>
      <c r="EM171" s="116"/>
      <c r="EN171" s="56"/>
      <c r="EO171" s="144"/>
    </row>
    <row r="172" spans="4:148" ht="12.75" hidden="1" customHeight="1" x14ac:dyDescent="0.3">
      <c r="D172" s="144"/>
      <c r="E172" s="494"/>
      <c r="G172" s="56"/>
      <c r="H172" s="56"/>
      <c r="I172" s="56"/>
      <c r="J172" s="611"/>
      <c r="K172" s="56"/>
      <c r="L172" s="56"/>
      <c r="M172" s="56"/>
      <c r="N172" s="56"/>
      <c r="O172" s="611"/>
      <c r="P172" s="56"/>
      <c r="Q172" s="56"/>
      <c r="R172" s="56"/>
      <c r="S172" s="56"/>
      <c r="T172" s="611"/>
      <c r="U172" s="56"/>
      <c r="V172" s="56"/>
      <c r="W172" s="56"/>
      <c r="X172" s="56"/>
      <c r="Y172" s="611"/>
      <c r="Z172" s="56"/>
      <c r="AA172" s="56"/>
      <c r="AB172" s="56"/>
      <c r="AC172" s="56"/>
      <c r="AD172" s="611"/>
      <c r="AE172" s="56"/>
      <c r="AF172" s="56"/>
      <c r="AG172" s="56"/>
      <c r="AH172" s="56"/>
      <c r="AI172" s="611"/>
      <c r="AJ172" s="56"/>
      <c r="AK172" s="56"/>
      <c r="AL172" s="56"/>
      <c r="AM172" s="56"/>
      <c r="AN172" s="611"/>
      <c r="AO172" s="56"/>
      <c r="AP172" s="56"/>
      <c r="AQ172" s="56"/>
      <c r="AR172" s="56"/>
      <c r="AS172" s="611"/>
      <c r="AT172" s="56"/>
      <c r="AU172" s="56"/>
      <c r="AV172" s="56"/>
      <c r="AW172" s="56"/>
      <c r="AX172" s="611"/>
      <c r="AY172" s="56"/>
      <c r="AZ172" s="56"/>
      <c r="BA172" s="56"/>
      <c r="BB172" s="56"/>
      <c r="BC172" s="611"/>
      <c r="BD172" s="56"/>
      <c r="BE172" s="56"/>
      <c r="BF172" s="56"/>
      <c r="BG172" s="56"/>
      <c r="BH172" s="611"/>
      <c r="BI172" s="56"/>
      <c r="BJ172" s="56"/>
      <c r="BK172" s="56"/>
      <c r="BL172" s="56"/>
      <c r="BM172" s="611"/>
      <c r="BN172" s="56"/>
      <c r="BO172" s="56"/>
      <c r="BP172" s="56"/>
      <c r="BQ172" s="56"/>
      <c r="BR172" s="611"/>
      <c r="BS172" s="56"/>
      <c r="BT172" s="56"/>
      <c r="BU172" s="56"/>
      <c r="BV172" s="56"/>
      <c r="BW172" s="611"/>
      <c r="BX172" s="56"/>
      <c r="BY172" s="56"/>
      <c r="BZ172" s="56"/>
      <c r="CA172" s="56"/>
      <c r="CB172" s="611"/>
      <c r="CC172" s="56"/>
      <c r="CD172" s="56"/>
      <c r="CE172" s="56"/>
      <c r="CF172" s="56"/>
      <c r="CG172" s="611"/>
      <c r="CH172" s="56"/>
      <c r="CI172" s="56"/>
      <c r="CJ172" s="56"/>
      <c r="CK172" s="56"/>
      <c r="CL172" s="611"/>
      <c r="CM172" s="56"/>
      <c r="CN172" s="56"/>
      <c r="CO172" s="56"/>
      <c r="CP172" s="56"/>
      <c r="CQ172" s="611"/>
      <c r="CR172" s="56"/>
      <c r="CS172" s="56"/>
      <c r="CT172" s="56"/>
      <c r="CU172" s="56"/>
      <c r="CV172" s="611"/>
      <c r="CW172" s="56"/>
      <c r="CX172" s="56"/>
      <c r="CY172" s="56"/>
      <c r="CZ172" s="56"/>
      <c r="DA172" s="611"/>
      <c r="DB172" s="56"/>
      <c r="DC172" s="56"/>
      <c r="DD172" s="56"/>
      <c r="DE172" s="56"/>
      <c r="DF172" s="611"/>
      <c r="DG172" s="56"/>
      <c r="DH172" s="56"/>
      <c r="DI172" s="56"/>
      <c r="DJ172" s="56"/>
      <c r="DK172" s="611"/>
      <c r="DL172" s="56"/>
      <c r="DM172" s="56"/>
      <c r="DN172" s="56"/>
      <c r="DO172" s="56"/>
      <c r="DP172" s="611"/>
      <c r="DQ172" s="56"/>
      <c r="DR172" s="56"/>
      <c r="DS172" s="56"/>
      <c r="DT172" s="56"/>
      <c r="DU172" s="611"/>
      <c r="DV172" s="56"/>
      <c r="DW172" s="56"/>
      <c r="DX172" s="56"/>
      <c r="DY172" s="56"/>
      <c r="DZ172" s="611"/>
      <c r="EA172" s="56"/>
      <c r="EB172" s="56"/>
      <c r="EC172" s="56"/>
      <c r="ED172" s="56"/>
      <c r="EE172" s="611"/>
      <c r="EF172" s="56"/>
      <c r="EG172" s="56"/>
      <c r="EH172" s="56"/>
      <c r="EI172" s="56"/>
      <c r="EJ172" s="611"/>
      <c r="EK172" s="56"/>
      <c r="EL172" s="56"/>
      <c r="EM172" s="56"/>
      <c r="EN172" s="56"/>
      <c r="EO172" s="144"/>
    </row>
    <row r="173" spans="4:148" ht="12.75" hidden="1" customHeight="1" x14ac:dyDescent="0.3">
      <c r="D173" s="144" t="s">
        <v>461</v>
      </c>
      <c r="E173" s="494"/>
      <c r="G173" s="56">
        <v>0</v>
      </c>
      <c r="H173" s="56"/>
      <c r="I173" s="56"/>
      <c r="J173" s="611"/>
      <c r="K173" s="56"/>
      <c r="L173" s="56">
        <f>SUM(L174:L175)</f>
        <v>0</v>
      </c>
      <c r="M173" s="56"/>
      <c r="N173" s="56"/>
      <c r="O173" s="611"/>
      <c r="P173" s="56"/>
      <c r="Q173" s="56">
        <f>SUM(Q174:Q175)</f>
        <v>0</v>
      </c>
      <c r="R173" s="56"/>
      <c r="S173" s="56"/>
      <c r="T173" s="611"/>
      <c r="U173" s="56"/>
      <c r="V173" s="56">
        <f>SUM(V174:V175)</f>
        <v>0</v>
      </c>
      <c r="W173" s="56"/>
      <c r="X173" s="56"/>
      <c r="Y173" s="611"/>
      <c r="Z173" s="56"/>
      <c r="AA173" s="56">
        <f>SUM(AA174:AA175)</f>
        <v>0</v>
      </c>
      <c r="AB173" s="56"/>
      <c r="AC173" s="56"/>
      <c r="AD173" s="611"/>
      <c r="AE173" s="56"/>
      <c r="AF173" s="56">
        <f>SUM(AF174:AF175)</f>
        <v>0</v>
      </c>
      <c r="AG173" s="56"/>
      <c r="AH173" s="56"/>
      <c r="AI173" s="611"/>
      <c r="AJ173" s="56"/>
      <c r="AK173" s="56">
        <f>SUM(AK174:AK175)</f>
        <v>0</v>
      </c>
      <c r="AL173" s="56"/>
      <c r="AM173" s="56"/>
      <c r="AN173" s="611"/>
      <c r="AO173" s="56"/>
      <c r="AP173" s="56">
        <f>SUM(AP174:AP175)</f>
        <v>0</v>
      </c>
      <c r="AQ173" s="56"/>
      <c r="AR173" s="56"/>
      <c r="AS173" s="611"/>
      <c r="AT173" s="56"/>
      <c r="AU173" s="56">
        <f>SUM(AU174:AU175)</f>
        <v>0</v>
      </c>
      <c r="AV173" s="56"/>
      <c r="AW173" s="56"/>
      <c r="AX173" s="611"/>
      <c r="AY173" s="56"/>
      <c r="AZ173" s="56">
        <f>SUM(AZ174:AZ175)</f>
        <v>0</v>
      </c>
      <c r="BA173" s="56"/>
      <c r="BB173" s="56"/>
      <c r="BC173" s="611"/>
      <c r="BD173" s="56"/>
      <c r="BE173" s="56">
        <f>SUM(BE174:BE175)</f>
        <v>0</v>
      </c>
      <c r="BF173" s="56"/>
      <c r="BG173" s="56"/>
      <c r="BH173" s="611"/>
      <c r="BI173" s="56"/>
      <c r="BJ173" s="56">
        <f>SUM(BJ174:BJ175)</f>
        <v>0</v>
      </c>
      <c r="BK173" s="56"/>
      <c r="BL173" s="56"/>
      <c r="BM173" s="611"/>
      <c r="BN173" s="56"/>
      <c r="BO173" s="56">
        <f>SUM(BO174:BO175)</f>
        <v>0</v>
      </c>
      <c r="BP173" s="56"/>
      <c r="BQ173" s="56"/>
      <c r="BR173" s="611"/>
      <c r="BS173" s="56"/>
      <c r="BT173" s="56">
        <f>SUM(BT174:BT175)</f>
        <v>0</v>
      </c>
      <c r="BU173" s="56"/>
      <c r="BV173" s="56"/>
      <c r="BW173" s="611"/>
      <c r="BX173" s="56"/>
      <c r="BY173" s="56">
        <f>SUM(BY174:BY175)</f>
        <v>0</v>
      </c>
      <c r="BZ173" s="56"/>
      <c r="CA173" s="56"/>
      <c r="CB173" s="611"/>
      <c r="CC173" s="56"/>
      <c r="CD173" s="56">
        <f>SUM(CD174:CD175)</f>
        <v>0</v>
      </c>
      <c r="CE173" s="56"/>
      <c r="CF173" s="56"/>
      <c r="CG173" s="611"/>
      <c r="CH173" s="56"/>
      <c r="CI173" s="56">
        <f>SUM(CI174:CI175)</f>
        <v>0</v>
      </c>
      <c r="CJ173" s="56"/>
      <c r="CK173" s="56"/>
      <c r="CL173" s="611"/>
      <c r="CM173" s="56"/>
      <c r="CN173" s="56">
        <f>SUM(CN174:CN175)</f>
        <v>0</v>
      </c>
      <c r="CO173" s="56"/>
      <c r="CP173" s="56"/>
      <c r="CQ173" s="611"/>
      <c r="CR173" s="56"/>
      <c r="CS173" s="56">
        <f>SUM(CS174:CS175)</f>
        <v>0</v>
      </c>
      <c r="CT173" s="56"/>
      <c r="CU173" s="56"/>
      <c r="CV173" s="611"/>
      <c r="CW173" s="56"/>
      <c r="CX173" s="56">
        <f>SUM(CX174:CX175)</f>
        <v>0</v>
      </c>
      <c r="CY173" s="56"/>
      <c r="CZ173" s="56"/>
      <c r="DA173" s="611"/>
      <c r="DB173" s="56"/>
      <c r="DC173" s="56">
        <f>SUM(DC174:DC175)</f>
        <v>0</v>
      </c>
      <c r="DD173" s="56"/>
      <c r="DE173" s="56"/>
      <c r="DF173" s="611"/>
      <c r="DG173" s="56"/>
      <c r="DH173" s="56">
        <f>SUM(DH174:DH175)</f>
        <v>0</v>
      </c>
      <c r="DI173" s="56"/>
      <c r="DJ173" s="56"/>
      <c r="DK173" s="611"/>
      <c r="DL173" s="56"/>
      <c r="DM173" s="56">
        <f>SUM(DM174:DM175)</f>
        <v>0</v>
      </c>
      <c r="DN173" s="56"/>
      <c r="DO173" s="56"/>
      <c r="DP173" s="611"/>
      <c r="DQ173" s="56"/>
      <c r="DR173" s="56">
        <f>SUM(DR174:DR175)</f>
        <v>0</v>
      </c>
      <c r="DS173" s="56"/>
      <c r="DT173" s="56"/>
      <c r="DU173" s="611"/>
      <c r="DV173" s="56"/>
      <c r="DW173" s="56">
        <f>SUM(DW174:DW175)</f>
        <v>0</v>
      </c>
      <c r="DX173" s="56"/>
      <c r="DY173" s="56"/>
      <c r="DZ173" s="611"/>
      <c r="EA173" s="56"/>
      <c r="EB173" s="56">
        <f>SUM(EB174:EB175)</f>
        <v>0</v>
      </c>
      <c r="EC173" s="56"/>
      <c r="ED173" s="56"/>
      <c r="EE173" s="611"/>
      <c r="EF173" s="56"/>
      <c r="EG173" s="56">
        <f>SUM(EG174:EG175)</f>
        <v>0</v>
      </c>
      <c r="EH173" s="56"/>
      <c r="EI173" s="56"/>
      <c r="EJ173" s="611"/>
      <c r="EK173" s="56"/>
      <c r="EL173" s="56">
        <f>SUM(EL174:EL175)</f>
        <v>0</v>
      </c>
      <c r="EM173" s="56"/>
      <c r="EN173" s="56"/>
      <c r="EO173" s="144"/>
    </row>
    <row r="174" spans="4:148" ht="12" hidden="1" customHeight="1" x14ac:dyDescent="0.3">
      <c r="D174" s="144" t="s">
        <v>446</v>
      </c>
      <c r="E174" s="494"/>
      <c r="F174" s="500"/>
      <c r="G174" s="609">
        <v>0</v>
      </c>
      <c r="H174" s="610"/>
      <c r="I174" s="56"/>
      <c r="J174" s="611"/>
      <c r="K174" s="612"/>
      <c r="L174" s="609">
        <v>0</v>
      </c>
      <c r="M174" s="610"/>
      <c r="N174" s="56"/>
      <c r="O174" s="611"/>
      <c r="P174" s="612"/>
      <c r="Q174" s="609">
        <v>0</v>
      </c>
      <c r="R174" s="610"/>
      <c r="S174" s="56"/>
      <c r="T174" s="611"/>
      <c r="U174" s="612"/>
      <c r="V174" s="609">
        <v>0</v>
      </c>
      <c r="W174" s="610"/>
      <c r="X174" s="56"/>
      <c r="Y174" s="611"/>
      <c r="Z174" s="612"/>
      <c r="AA174" s="609">
        <v>0</v>
      </c>
      <c r="AB174" s="610"/>
      <c r="AC174" s="56"/>
      <c r="AD174" s="611"/>
      <c r="AE174" s="612"/>
      <c r="AF174" s="609">
        <v>0</v>
      </c>
      <c r="AG174" s="610"/>
      <c r="AH174" s="56"/>
      <c r="AI174" s="611"/>
      <c r="AJ174" s="612"/>
      <c r="AK174" s="609">
        <v>0</v>
      </c>
      <c r="AL174" s="610"/>
      <c r="AM174" s="56"/>
      <c r="AN174" s="611"/>
      <c r="AO174" s="612"/>
      <c r="AP174" s="609">
        <v>0</v>
      </c>
      <c r="AQ174" s="610"/>
      <c r="AR174" s="56"/>
      <c r="AS174" s="611"/>
      <c r="AT174" s="612"/>
      <c r="AU174" s="609">
        <v>0</v>
      </c>
      <c r="AV174" s="610"/>
      <c r="AW174" s="56"/>
      <c r="AX174" s="611"/>
      <c r="AY174" s="612"/>
      <c r="AZ174" s="609">
        <v>0</v>
      </c>
      <c r="BA174" s="610"/>
      <c r="BB174" s="56"/>
      <c r="BC174" s="611"/>
      <c r="BD174" s="612"/>
      <c r="BE174" s="609">
        <v>0</v>
      </c>
      <c r="BF174" s="610"/>
      <c r="BG174" s="56"/>
      <c r="BH174" s="611"/>
      <c r="BI174" s="612"/>
      <c r="BJ174" s="609">
        <v>0</v>
      </c>
      <c r="BK174" s="610"/>
      <c r="BL174" s="56"/>
      <c r="BM174" s="611"/>
      <c r="BN174" s="612"/>
      <c r="BO174" s="609">
        <v>0</v>
      </c>
      <c r="BP174" s="610"/>
      <c r="BQ174" s="56"/>
      <c r="BR174" s="611"/>
      <c r="BS174" s="612"/>
      <c r="BT174" s="609">
        <f>SUM(L174:BO174)</f>
        <v>0</v>
      </c>
      <c r="BU174" s="610"/>
      <c r="BV174" s="56"/>
      <c r="BW174" s="611"/>
      <c r="BX174" s="612"/>
      <c r="BY174" s="609">
        <v>0</v>
      </c>
      <c r="BZ174" s="610"/>
      <c r="CA174" s="56"/>
      <c r="CB174" s="611"/>
      <c r="CC174" s="612"/>
      <c r="CD174" s="609">
        <v>0</v>
      </c>
      <c r="CE174" s="610"/>
      <c r="CF174" s="56"/>
      <c r="CG174" s="611"/>
      <c r="CH174" s="612"/>
      <c r="CI174" s="609">
        <v>0</v>
      </c>
      <c r="CJ174" s="610"/>
      <c r="CK174" s="56"/>
      <c r="CL174" s="611"/>
      <c r="CM174" s="612"/>
      <c r="CN174" s="609">
        <v>0</v>
      </c>
      <c r="CO174" s="610"/>
      <c r="CP174" s="56"/>
      <c r="CQ174" s="611"/>
      <c r="CR174" s="612"/>
      <c r="CS174" s="609">
        <v>0</v>
      </c>
      <c r="CT174" s="610"/>
      <c r="CU174" s="56"/>
      <c r="CV174" s="611"/>
      <c r="CW174" s="612"/>
      <c r="CX174" s="609">
        <v>0</v>
      </c>
      <c r="CY174" s="610"/>
      <c r="CZ174" s="56"/>
      <c r="DA174" s="611"/>
      <c r="DB174" s="612"/>
      <c r="DC174" s="609">
        <v>0</v>
      </c>
      <c r="DD174" s="610"/>
      <c r="DE174" s="56"/>
      <c r="DF174" s="611"/>
      <c r="DG174" s="612"/>
      <c r="DH174" s="609">
        <v>0</v>
      </c>
      <c r="DI174" s="610"/>
      <c r="DJ174" s="56"/>
      <c r="DK174" s="611"/>
      <c r="DL174" s="612"/>
      <c r="DM174" s="609">
        <v>0</v>
      </c>
      <c r="DN174" s="610"/>
      <c r="DO174" s="56"/>
      <c r="DP174" s="611"/>
      <c r="DQ174" s="612"/>
      <c r="DR174" s="609">
        <v>0</v>
      </c>
      <c r="DS174" s="610"/>
      <c r="DT174" s="56"/>
      <c r="DU174" s="611"/>
      <c r="DV174" s="612"/>
      <c r="DW174" s="609">
        <v>0</v>
      </c>
      <c r="DX174" s="610"/>
      <c r="DY174" s="56"/>
      <c r="DZ174" s="611"/>
      <c r="EA174" s="612"/>
      <c r="EB174" s="609">
        <v>0</v>
      </c>
      <c r="EC174" s="610"/>
      <c r="ED174" s="56"/>
      <c r="EE174" s="611"/>
      <c r="EF174" s="612"/>
      <c r="EG174" s="609">
        <v>0</v>
      </c>
      <c r="EH174" s="610"/>
      <c r="EI174" s="56"/>
      <c r="EJ174" s="611"/>
      <c r="EK174" s="612"/>
      <c r="EL174" s="609">
        <f>SUM(CD174:EG174)</f>
        <v>0</v>
      </c>
      <c r="EM174" s="610"/>
      <c r="EN174" s="56"/>
      <c r="EO174" s="144"/>
    </row>
    <row r="175" spans="4:148" ht="12.75" hidden="1" customHeight="1" x14ac:dyDescent="0.3">
      <c r="D175" s="144" t="s">
        <v>447</v>
      </c>
      <c r="E175" s="494"/>
      <c r="F175" s="513"/>
      <c r="G175" s="117">
        <v>0</v>
      </c>
      <c r="H175" s="116"/>
      <c r="I175" s="56"/>
      <c r="J175" s="611"/>
      <c r="K175" s="620"/>
      <c r="L175" s="117">
        <v>0</v>
      </c>
      <c r="M175" s="116"/>
      <c r="N175" s="56"/>
      <c r="O175" s="611"/>
      <c r="P175" s="620"/>
      <c r="Q175" s="117">
        <v>0</v>
      </c>
      <c r="R175" s="116"/>
      <c r="S175" s="56"/>
      <c r="T175" s="611"/>
      <c r="U175" s="620"/>
      <c r="V175" s="117">
        <v>0</v>
      </c>
      <c r="W175" s="116"/>
      <c r="X175" s="56"/>
      <c r="Y175" s="611"/>
      <c r="Z175" s="620"/>
      <c r="AA175" s="117">
        <v>0</v>
      </c>
      <c r="AB175" s="116"/>
      <c r="AC175" s="56"/>
      <c r="AD175" s="611"/>
      <c r="AE175" s="620"/>
      <c r="AF175" s="117">
        <v>0</v>
      </c>
      <c r="AG175" s="116"/>
      <c r="AH175" s="56"/>
      <c r="AI175" s="611"/>
      <c r="AJ175" s="620"/>
      <c r="AK175" s="117">
        <v>0</v>
      </c>
      <c r="AL175" s="116"/>
      <c r="AM175" s="56"/>
      <c r="AN175" s="611"/>
      <c r="AO175" s="620"/>
      <c r="AP175" s="117">
        <v>0</v>
      </c>
      <c r="AQ175" s="116"/>
      <c r="AR175" s="56"/>
      <c r="AS175" s="611"/>
      <c r="AT175" s="620"/>
      <c r="AU175" s="117">
        <v>0</v>
      </c>
      <c r="AV175" s="116"/>
      <c r="AW175" s="56"/>
      <c r="AX175" s="611"/>
      <c r="AY175" s="620"/>
      <c r="AZ175" s="117">
        <v>0</v>
      </c>
      <c r="BA175" s="116"/>
      <c r="BB175" s="56"/>
      <c r="BC175" s="611"/>
      <c r="BD175" s="620"/>
      <c r="BE175" s="117">
        <v>0</v>
      </c>
      <c r="BF175" s="116"/>
      <c r="BG175" s="56"/>
      <c r="BH175" s="611"/>
      <c r="BI175" s="620"/>
      <c r="BJ175" s="117">
        <v>0</v>
      </c>
      <c r="BK175" s="116"/>
      <c r="BL175" s="56"/>
      <c r="BM175" s="611"/>
      <c r="BN175" s="620"/>
      <c r="BO175" s="117">
        <v>0</v>
      </c>
      <c r="BP175" s="116"/>
      <c r="BQ175" s="56"/>
      <c r="BR175" s="611"/>
      <c r="BS175" s="620"/>
      <c r="BT175" s="117">
        <f>SUM(L175:BO175)</f>
        <v>0</v>
      </c>
      <c r="BU175" s="116"/>
      <c r="BV175" s="56"/>
      <c r="BW175" s="611"/>
      <c r="BX175" s="620"/>
      <c r="BY175" s="117">
        <v>0</v>
      </c>
      <c r="BZ175" s="116"/>
      <c r="CA175" s="56"/>
      <c r="CB175" s="611"/>
      <c r="CC175" s="620"/>
      <c r="CD175" s="117">
        <v>0</v>
      </c>
      <c r="CE175" s="116"/>
      <c r="CF175" s="56"/>
      <c r="CG175" s="611"/>
      <c r="CH175" s="620"/>
      <c r="CI175" s="117">
        <v>0</v>
      </c>
      <c r="CJ175" s="116"/>
      <c r="CK175" s="56"/>
      <c r="CL175" s="611"/>
      <c r="CM175" s="620"/>
      <c r="CN175" s="117">
        <v>0</v>
      </c>
      <c r="CO175" s="116"/>
      <c r="CP175" s="56"/>
      <c r="CQ175" s="611"/>
      <c r="CR175" s="620"/>
      <c r="CS175" s="117">
        <v>0</v>
      </c>
      <c r="CT175" s="116"/>
      <c r="CU175" s="56"/>
      <c r="CV175" s="611"/>
      <c r="CW175" s="620"/>
      <c r="CX175" s="117">
        <v>0</v>
      </c>
      <c r="CY175" s="116"/>
      <c r="CZ175" s="56"/>
      <c r="DA175" s="611"/>
      <c r="DB175" s="620"/>
      <c r="DC175" s="117">
        <v>0</v>
      </c>
      <c r="DD175" s="116"/>
      <c r="DE175" s="56"/>
      <c r="DF175" s="611"/>
      <c r="DG175" s="620"/>
      <c r="DH175" s="117">
        <v>0</v>
      </c>
      <c r="DI175" s="116"/>
      <c r="DJ175" s="56"/>
      <c r="DK175" s="611"/>
      <c r="DL175" s="620"/>
      <c r="DM175" s="117">
        <v>0</v>
      </c>
      <c r="DN175" s="116"/>
      <c r="DO175" s="56"/>
      <c r="DP175" s="611"/>
      <c r="DQ175" s="620"/>
      <c r="DR175" s="117">
        <v>0</v>
      </c>
      <c r="DS175" s="116"/>
      <c r="DT175" s="56"/>
      <c r="DU175" s="611"/>
      <c r="DV175" s="620"/>
      <c r="DW175" s="117">
        <v>0</v>
      </c>
      <c r="DX175" s="116"/>
      <c r="DY175" s="56"/>
      <c r="DZ175" s="611"/>
      <c r="EA175" s="620"/>
      <c r="EB175" s="117">
        <v>0</v>
      </c>
      <c r="EC175" s="116"/>
      <c r="ED175" s="56"/>
      <c r="EE175" s="611"/>
      <c r="EF175" s="620"/>
      <c r="EG175" s="117">
        <v>0</v>
      </c>
      <c r="EH175" s="116"/>
      <c r="EI175" s="56"/>
      <c r="EJ175" s="611"/>
      <c r="EK175" s="620"/>
      <c r="EL175" s="117">
        <f>SUM(CD175:EG175)</f>
        <v>0</v>
      </c>
      <c r="EM175" s="116"/>
      <c r="EN175" s="56"/>
      <c r="EO175" s="144"/>
    </row>
    <row r="176" spans="4:148" hidden="1" x14ac:dyDescent="0.3">
      <c r="D176" s="144"/>
      <c r="E176" s="494"/>
      <c r="G176" s="56"/>
      <c r="H176" s="56"/>
      <c r="I176" s="56"/>
      <c r="J176" s="611"/>
      <c r="K176" s="56"/>
      <c r="L176" s="56"/>
      <c r="M176" s="56"/>
      <c r="N176" s="56"/>
      <c r="O176" s="611"/>
      <c r="P176" s="56"/>
      <c r="Q176" s="56"/>
      <c r="R176" s="56"/>
      <c r="S176" s="56"/>
      <c r="T176" s="611"/>
      <c r="U176" s="56"/>
      <c r="V176" s="56"/>
      <c r="W176" s="56"/>
      <c r="X176" s="56"/>
      <c r="Y176" s="611"/>
      <c r="Z176" s="56"/>
      <c r="AA176" s="56"/>
      <c r="AB176" s="56"/>
      <c r="AC176" s="56"/>
      <c r="AD176" s="611"/>
      <c r="AE176" s="56"/>
      <c r="AF176" s="56"/>
      <c r="AG176" s="56"/>
      <c r="AH176" s="56"/>
      <c r="AI176" s="611"/>
      <c r="AJ176" s="56"/>
      <c r="AK176" s="56"/>
      <c r="AL176" s="56"/>
      <c r="AM176" s="56"/>
      <c r="AN176" s="611"/>
      <c r="AO176" s="56"/>
      <c r="AP176" s="56"/>
      <c r="AQ176" s="56"/>
      <c r="AR176" s="56"/>
      <c r="AS176" s="611"/>
      <c r="AT176" s="56"/>
      <c r="AU176" s="56"/>
      <c r="AV176" s="56"/>
      <c r="AW176" s="56"/>
      <c r="AX176" s="611"/>
      <c r="AY176" s="56"/>
      <c r="AZ176" s="56"/>
      <c r="BA176" s="56"/>
      <c r="BB176" s="56"/>
      <c r="BC176" s="611"/>
      <c r="BD176" s="56"/>
      <c r="BE176" s="56"/>
      <c r="BF176" s="56"/>
      <c r="BG176" s="56"/>
      <c r="BH176" s="611"/>
      <c r="BI176" s="56"/>
      <c r="BJ176" s="56"/>
      <c r="BK176" s="56"/>
      <c r="BL176" s="56"/>
      <c r="BM176" s="611"/>
      <c r="BN176" s="56"/>
      <c r="BO176" s="56"/>
      <c r="BP176" s="56"/>
      <c r="BQ176" s="56"/>
      <c r="BR176" s="611"/>
      <c r="BS176" s="56"/>
      <c r="BT176" s="56"/>
      <c r="BU176" s="56"/>
      <c r="BV176" s="56"/>
      <c r="BW176" s="611"/>
      <c r="BX176" s="56"/>
      <c r="BY176" s="56"/>
      <c r="BZ176" s="56"/>
      <c r="CA176" s="56"/>
      <c r="CB176" s="611"/>
      <c r="CC176" s="56"/>
      <c r="CD176" s="56"/>
      <c r="CE176" s="56"/>
      <c r="CF176" s="56"/>
      <c r="CG176" s="611"/>
      <c r="CH176" s="56"/>
      <c r="CI176" s="56"/>
      <c r="CJ176" s="56"/>
      <c r="CK176" s="56"/>
      <c r="CL176" s="611"/>
      <c r="CM176" s="56"/>
      <c r="CN176" s="56"/>
      <c r="CO176" s="56"/>
      <c r="CP176" s="56"/>
      <c r="CQ176" s="611"/>
      <c r="CR176" s="56"/>
      <c r="CS176" s="56"/>
      <c r="CT176" s="56"/>
      <c r="CU176" s="56"/>
      <c r="CV176" s="611"/>
      <c r="CW176" s="56"/>
      <c r="CX176" s="56"/>
      <c r="CY176" s="56"/>
      <c r="CZ176" s="56"/>
      <c r="DA176" s="611"/>
      <c r="DB176" s="56"/>
      <c r="DC176" s="56"/>
      <c r="DD176" s="56"/>
      <c r="DE176" s="56"/>
      <c r="DF176" s="611"/>
      <c r="DG176" s="56"/>
      <c r="DH176" s="56"/>
      <c r="DI176" s="56"/>
      <c r="DJ176" s="56"/>
      <c r="DK176" s="611"/>
      <c r="DL176" s="56"/>
      <c r="DM176" s="56"/>
      <c r="DN176" s="56"/>
      <c r="DO176" s="56"/>
      <c r="DP176" s="611"/>
      <c r="DQ176" s="56"/>
      <c r="DR176" s="56"/>
      <c r="DS176" s="56"/>
      <c r="DT176" s="56"/>
      <c r="DU176" s="611"/>
      <c r="DV176" s="56"/>
      <c r="DW176" s="56"/>
      <c r="DX176" s="56"/>
      <c r="DY176" s="56"/>
      <c r="DZ176" s="611"/>
      <c r="EA176" s="56"/>
      <c r="EB176" s="56"/>
      <c r="EC176" s="56"/>
      <c r="ED176" s="56"/>
      <c r="EE176" s="611"/>
      <c r="EF176" s="56"/>
      <c r="EG176" s="56"/>
      <c r="EH176" s="56"/>
      <c r="EI176" s="56"/>
      <c r="EJ176" s="611"/>
      <c r="EK176" s="56"/>
      <c r="EL176" s="56"/>
      <c r="EM176" s="56"/>
      <c r="EN176" s="56"/>
      <c r="EO176" s="144"/>
    </row>
    <row r="177" spans="4:148" s="42" customFormat="1" hidden="1" x14ac:dyDescent="0.3">
      <c r="D177" s="234" t="s">
        <v>462</v>
      </c>
      <c r="E177" s="496"/>
      <c r="G177" s="44">
        <v>0</v>
      </c>
      <c r="H177" s="44"/>
      <c r="I177" s="44"/>
      <c r="J177" s="607"/>
      <c r="K177" s="44"/>
      <c r="L177" s="44">
        <f>SUM(L178:L179)</f>
        <v>0</v>
      </c>
      <c r="M177" s="44"/>
      <c r="N177" s="44"/>
      <c r="O177" s="607"/>
      <c r="P177" s="44"/>
      <c r="Q177" s="44">
        <f>SUM(Q178:Q179)</f>
        <v>0</v>
      </c>
      <c r="R177" s="44"/>
      <c r="S177" s="44"/>
      <c r="T177" s="607"/>
      <c r="U177" s="44"/>
      <c r="V177" s="44">
        <f>SUM(V178:V179)</f>
        <v>0</v>
      </c>
      <c r="W177" s="44"/>
      <c r="X177" s="44"/>
      <c r="Y177" s="607"/>
      <c r="Z177" s="44"/>
      <c r="AA177" s="44">
        <f>SUM(AA178:AA179)</f>
        <v>0</v>
      </c>
      <c r="AB177" s="44"/>
      <c r="AC177" s="44"/>
      <c r="AD177" s="607"/>
      <c r="AE177" s="44"/>
      <c r="AF177" s="44">
        <f>SUM(AF178:AF179)</f>
        <v>0</v>
      </c>
      <c r="AG177" s="44"/>
      <c r="AH177" s="44"/>
      <c r="AI177" s="607"/>
      <c r="AJ177" s="44"/>
      <c r="AK177" s="44">
        <f>SUM(AK178:AK179)</f>
        <v>0</v>
      </c>
      <c r="AL177" s="44"/>
      <c r="AM177" s="44"/>
      <c r="AN177" s="607"/>
      <c r="AO177" s="44"/>
      <c r="AP177" s="44">
        <f>SUM(AP178:AP179)</f>
        <v>0</v>
      </c>
      <c r="AQ177" s="44"/>
      <c r="AR177" s="44"/>
      <c r="AS177" s="607"/>
      <c r="AT177" s="44"/>
      <c r="AU177" s="44">
        <f>SUM(AU178:AU179)</f>
        <v>0</v>
      </c>
      <c r="AV177" s="44"/>
      <c r="AW177" s="44"/>
      <c r="AX177" s="607"/>
      <c r="AY177" s="44"/>
      <c r="AZ177" s="44">
        <f>SUM(AZ178:AZ179)</f>
        <v>0</v>
      </c>
      <c r="BA177" s="44"/>
      <c r="BB177" s="44"/>
      <c r="BC177" s="607"/>
      <c r="BD177" s="44"/>
      <c r="BE177" s="44">
        <f>SUM(BE178:BE179)</f>
        <v>0</v>
      </c>
      <c r="BF177" s="44"/>
      <c r="BG177" s="44"/>
      <c r="BH177" s="607"/>
      <c r="BI177" s="44"/>
      <c r="BJ177" s="44">
        <f>SUM(BJ178:BJ179)</f>
        <v>0</v>
      </c>
      <c r="BK177" s="44"/>
      <c r="BL177" s="44"/>
      <c r="BM177" s="607"/>
      <c r="BN177" s="44"/>
      <c r="BO177" s="44">
        <f>SUM(BO178:BO179)</f>
        <v>0</v>
      </c>
      <c r="BP177" s="44"/>
      <c r="BQ177" s="44"/>
      <c r="BR177" s="607"/>
      <c r="BS177" s="44"/>
      <c r="BT177" s="44">
        <f>SUM(BT178:BT179)</f>
        <v>0</v>
      </c>
      <c r="BU177" s="44"/>
      <c r="BV177" s="44"/>
      <c r="BW177" s="607"/>
      <c r="BX177" s="44"/>
      <c r="BY177" s="44">
        <v>0</v>
      </c>
      <c r="BZ177" s="44"/>
      <c r="CA177" s="44"/>
      <c r="CB177" s="607"/>
      <c r="CC177" s="44"/>
      <c r="CD177" s="44">
        <f>SUM(CD178:CD179)</f>
        <v>0</v>
      </c>
      <c r="CE177" s="44"/>
      <c r="CF177" s="44"/>
      <c r="CG177" s="607"/>
      <c r="CH177" s="44"/>
      <c r="CI177" s="44">
        <f>SUM(CI178:CI179)</f>
        <v>0</v>
      </c>
      <c r="CJ177" s="44"/>
      <c r="CK177" s="44"/>
      <c r="CL177" s="607"/>
      <c r="CM177" s="44"/>
      <c r="CN177" s="44">
        <f>SUM(CN178:CN179)</f>
        <v>0</v>
      </c>
      <c r="CO177" s="44"/>
      <c r="CP177" s="44"/>
      <c r="CQ177" s="607"/>
      <c r="CR177" s="44"/>
      <c r="CS177" s="44">
        <f>SUM(CS178:CS179)</f>
        <v>0</v>
      </c>
      <c r="CT177" s="44"/>
      <c r="CU177" s="44"/>
      <c r="CV177" s="607"/>
      <c r="CW177" s="44"/>
      <c r="CX177" s="44">
        <f>SUM(CX178:CX179)</f>
        <v>0</v>
      </c>
      <c r="CY177" s="44"/>
      <c r="CZ177" s="44"/>
      <c r="DA177" s="607"/>
      <c r="DB177" s="44"/>
      <c r="DC177" s="44">
        <f>SUM(DC178:DC179)</f>
        <v>0</v>
      </c>
      <c r="DD177" s="44"/>
      <c r="DE177" s="44"/>
      <c r="DF177" s="607"/>
      <c r="DG177" s="44"/>
      <c r="DH177" s="44">
        <f>SUM(DH178:DH179)</f>
        <v>0</v>
      </c>
      <c r="DI177" s="44"/>
      <c r="DJ177" s="44"/>
      <c r="DK177" s="607"/>
      <c r="DL177" s="44"/>
      <c r="DM177" s="44">
        <f>SUM(DM178:DM179)</f>
        <v>0</v>
      </c>
      <c r="DN177" s="44"/>
      <c r="DO177" s="44"/>
      <c r="DP177" s="607"/>
      <c r="DQ177" s="44"/>
      <c r="DR177" s="44">
        <f>SUM(DR178:DR179)</f>
        <v>0</v>
      </c>
      <c r="DS177" s="44"/>
      <c r="DT177" s="44"/>
      <c r="DU177" s="607"/>
      <c r="DV177" s="44"/>
      <c r="DW177" s="44">
        <f>SUM(DW178:DW179)</f>
        <v>0</v>
      </c>
      <c r="DX177" s="44"/>
      <c r="DY177" s="44"/>
      <c r="DZ177" s="607"/>
      <c r="EA177" s="44"/>
      <c r="EB177" s="44">
        <f>SUM(EB178:EB179)</f>
        <v>0</v>
      </c>
      <c r="EC177" s="44"/>
      <c r="ED177" s="44"/>
      <c r="EE177" s="607"/>
      <c r="EF177" s="44"/>
      <c r="EG177" s="44">
        <f>SUM(EG178:EG179)</f>
        <v>0</v>
      </c>
      <c r="EH177" s="44"/>
      <c r="EI177" s="44"/>
      <c r="EJ177" s="607"/>
      <c r="EK177" s="44"/>
      <c r="EL177" s="44">
        <f>SUM(EL178:EL179)</f>
        <v>0</v>
      </c>
      <c r="EM177" s="44"/>
      <c r="EN177" s="44"/>
      <c r="EO177" s="234"/>
      <c r="EQ177" s="136"/>
      <c r="ER177" s="136"/>
    </row>
    <row r="178" spans="4:148" hidden="1" x14ac:dyDescent="0.3">
      <c r="D178" s="144" t="s">
        <v>446</v>
      </c>
      <c r="E178" s="494"/>
      <c r="F178" s="500"/>
      <c r="G178" s="609">
        <v>0</v>
      </c>
      <c r="H178" s="610"/>
      <c r="I178" s="56"/>
      <c r="J178" s="611"/>
      <c r="K178" s="612"/>
      <c r="L178" s="609">
        <f>L182+L186+L190+L194</f>
        <v>0</v>
      </c>
      <c r="M178" s="610"/>
      <c r="N178" s="56"/>
      <c r="O178" s="611"/>
      <c r="P178" s="612"/>
      <c r="Q178" s="609">
        <f>Q182+Q186+Q190+Q194</f>
        <v>0</v>
      </c>
      <c r="R178" s="610"/>
      <c r="S178" s="56"/>
      <c r="T178" s="611"/>
      <c r="U178" s="612"/>
      <c r="V178" s="609">
        <f>V182+V186+V190+V194</f>
        <v>0</v>
      </c>
      <c r="W178" s="610"/>
      <c r="X178" s="56"/>
      <c r="Y178" s="611"/>
      <c r="Z178" s="612"/>
      <c r="AA178" s="609">
        <f>AA182+AA186+AA190+AA194</f>
        <v>0</v>
      </c>
      <c r="AB178" s="610"/>
      <c r="AC178" s="56"/>
      <c r="AD178" s="611"/>
      <c r="AE178" s="612"/>
      <c r="AF178" s="609">
        <f>AF182+AF186+AF190+AF194</f>
        <v>0</v>
      </c>
      <c r="AG178" s="610"/>
      <c r="AH178" s="56"/>
      <c r="AI178" s="611"/>
      <c r="AJ178" s="612"/>
      <c r="AK178" s="609">
        <f>AK182+AK186+AK190+AK194</f>
        <v>0</v>
      </c>
      <c r="AL178" s="610"/>
      <c r="AM178" s="56"/>
      <c r="AN178" s="611"/>
      <c r="AO178" s="612"/>
      <c r="AP178" s="609">
        <f>AP182+AP186+AP190+AP194</f>
        <v>0</v>
      </c>
      <c r="AQ178" s="610"/>
      <c r="AR178" s="56"/>
      <c r="AS178" s="611"/>
      <c r="AT178" s="612"/>
      <c r="AU178" s="609">
        <f>AU182+AU186+AU190+AU194</f>
        <v>0</v>
      </c>
      <c r="AV178" s="610"/>
      <c r="AW178" s="56"/>
      <c r="AX178" s="611"/>
      <c r="AY178" s="612"/>
      <c r="AZ178" s="609">
        <f>AZ182+AZ186+AZ190+AZ194</f>
        <v>0</v>
      </c>
      <c r="BA178" s="610"/>
      <c r="BB178" s="56"/>
      <c r="BC178" s="611"/>
      <c r="BD178" s="612"/>
      <c r="BE178" s="609">
        <f>BE182+BE186+BE190+BE194</f>
        <v>0</v>
      </c>
      <c r="BF178" s="610"/>
      <c r="BG178" s="56"/>
      <c r="BH178" s="611"/>
      <c r="BI178" s="612"/>
      <c r="BJ178" s="609">
        <f>BJ182+BJ186+BJ190+BJ194</f>
        <v>0</v>
      </c>
      <c r="BK178" s="610"/>
      <c r="BL178" s="56"/>
      <c r="BM178" s="611"/>
      <c r="BN178" s="612"/>
      <c r="BO178" s="609">
        <f>BO182+BO186+BO190+BO194</f>
        <v>0</v>
      </c>
      <c r="BP178" s="610"/>
      <c r="BQ178" s="56"/>
      <c r="BR178" s="611"/>
      <c r="BS178" s="612"/>
      <c r="BT178" s="609">
        <f>BT182+BT186+BT190+BT194</f>
        <v>0</v>
      </c>
      <c r="BU178" s="610"/>
      <c r="BV178" s="56"/>
      <c r="BW178" s="611"/>
      <c r="BX178" s="612"/>
      <c r="BY178" s="609">
        <v>0</v>
      </c>
      <c r="BZ178" s="610"/>
      <c r="CA178" s="56"/>
      <c r="CB178" s="611"/>
      <c r="CC178" s="612"/>
      <c r="CD178" s="609">
        <f>CD182+CD186+CD190+CD194</f>
        <v>0</v>
      </c>
      <c r="CE178" s="610"/>
      <c r="CF178" s="56"/>
      <c r="CG178" s="611"/>
      <c r="CH178" s="612"/>
      <c r="CI178" s="609">
        <f>CI182+CI186+CI190+CI194</f>
        <v>0</v>
      </c>
      <c r="CJ178" s="610"/>
      <c r="CK178" s="56"/>
      <c r="CL178" s="611"/>
      <c r="CM178" s="612"/>
      <c r="CN178" s="609">
        <f>CN182+CN186+CN190+CN194</f>
        <v>0</v>
      </c>
      <c r="CO178" s="610"/>
      <c r="CP178" s="56"/>
      <c r="CQ178" s="611"/>
      <c r="CR178" s="612"/>
      <c r="CS178" s="609">
        <f>CS182+CS186+CS190+CS194</f>
        <v>0</v>
      </c>
      <c r="CT178" s="610"/>
      <c r="CU178" s="56"/>
      <c r="CV178" s="611"/>
      <c r="CW178" s="612"/>
      <c r="CX178" s="609">
        <f>CX182+CX186+CX190+CX194</f>
        <v>0</v>
      </c>
      <c r="CY178" s="610"/>
      <c r="CZ178" s="56"/>
      <c r="DA178" s="611"/>
      <c r="DB178" s="612"/>
      <c r="DC178" s="609">
        <f>DC182+DC186+DC190+DC194</f>
        <v>0</v>
      </c>
      <c r="DD178" s="610"/>
      <c r="DE178" s="56"/>
      <c r="DF178" s="611"/>
      <c r="DG178" s="612"/>
      <c r="DH178" s="609">
        <f>DH182+DH186+DH190+DH194</f>
        <v>0</v>
      </c>
      <c r="DI178" s="610"/>
      <c r="DJ178" s="56"/>
      <c r="DK178" s="611"/>
      <c r="DL178" s="612"/>
      <c r="DM178" s="609">
        <f>DM182+DM186+DM190+DM194</f>
        <v>0</v>
      </c>
      <c r="DN178" s="610"/>
      <c r="DO178" s="56"/>
      <c r="DP178" s="611"/>
      <c r="DQ178" s="612"/>
      <c r="DR178" s="609">
        <f>DR182+DR186+DR190+DR194</f>
        <v>0</v>
      </c>
      <c r="DS178" s="610"/>
      <c r="DT178" s="56"/>
      <c r="DU178" s="611"/>
      <c r="DV178" s="612"/>
      <c r="DW178" s="609">
        <f>DW182+DW186+DW190+DW194</f>
        <v>0</v>
      </c>
      <c r="DX178" s="610"/>
      <c r="DY178" s="56"/>
      <c r="DZ178" s="611"/>
      <c r="EA178" s="612"/>
      <c r="EB178" s="609">
        <f>EB182+EB186+EB190+EB194</f>
        <v>0</v>
      </c>
      <c r="EC178" s="610"/>
      <c r="ED178" s="56"/>
      <c r="EE178" s="611"/>
      <c r="EF178" s="612"/>
      <c r="EG178" s="609">
        <f>EG182+EG186+EG190+EG194</f>
        <v>0</v>
      </c>
      <c r="EH178" s="610"/>
      <c r="EI178" s="56"/>
      <c r="EJ178" s="611"/>
      <c r="EK178" s="612"/>
      <c r="EL178" s="609">
        <f>EL182+EL186+EL190+EL194</f>
        <v>0</v>
      </c>
      <c r="EM178" s="610"/>
      <c r="EN178" s="56"/>
      <c r="EO178" s="144"/>
    </row>
    <row r="179" spans="4:148" hidden="1" x14ac:dyDescent="0.3">
      <c r="D179" s="144" t="s">
        <v>447</v>
      </c>
      <c r="E179" s="494"/>
      <c r="F179" s="513"/>
      <c r="G179" s="117">
        <v>0</v>
      </c>
      <c r="H179" s="116"/>
      <c r="I179" s="56"/>
      <c r="J179" s="611"/>
      <c r="K179" s="620"/>
      <c r="L179" s="117">
        <f>L183+L187+L191+L195</f>
        <v>0</v>
      </c>
      <c r="M179" s="116"/>
      <c r="N179" s="56"/>
      <c r="O179" s="611"/>
      <c r="P179" s="620"/>
      <c r="Q179" s="117">
        <f>Q183+Q187+Q191+Q195</f>
        <v>0</v>
      </c>
      <c r="R179" s="116"/>
      <c r="S179" s="56"/>
      <c r="T179" s="611"/>
      <c r="U179" s="620"/>
      <c r="V179" s="117">
        <f>V183+V187+V191+V195</f>
        <v>0</v>
      </c>
      <c r="W179" s="116"/>
      <c r="X179" s="56"/>
      <c r="Y179" s="611"/>
      <c r="Z179" s="620"/>
      <c r="AA179" s="117">
        <f>AA183+AA187+AA191+AA195</f>
        <v>0</v>
      </c>
      <c r="AB179" s="116"/>
      <c r="AC179" s="56"/>
      <c r="AD179" s="611"/>
      <c r="AE179" s="620"/>
      <c r="AF179" s="117">
        <f>AF183+AF187+AF191+AF195</f>
        <v>0</v>
      </c>
      <c r="AG179" s="116"/>
      <c r="AH179" s="56"/>
      <c r="AI179" s="611"/>
      <c r="AJ179" s="620"/>
      <c r="AK179" s="117">
        <f>AK183+AK187+AK191+AK195</f>
        <v>0</v>
      </c>
      <c r="AL179" s="116"/>
      <c r="AM179" s="56"/>
      <c r="AN179" s="611"/>
      <c r="AO179" s="620"/>
      <c r="AP179" s="117">
        <f>AP183+AP187+AP191+AP195</f>
        <v>0</v>
      </c>
      <c r="AQ179" s="116"/>
      <c r="AR179" s="56"/>
      <c r="AS179" s="611"/>
      <c r="AT179" s="620"/>
      <c r="AU179" s="117">
        <f>AU183+AU187+AU191+AU195</f>
        <v>0</v>
      </c>
      <c r="AV179" s="116"/>
      <c r="AW179" s="56"/>
      <c r="AX179" s="611"/>
      <c r="AY179" s="620"/>
      <c r="AZ179" s="117">
        <f>AZ183+AZ187+AZ191+AZ195</f>
        <v>0</v>
      </c>
      <c r="BA179" s="116"/>
      <c r="BB179" s="56"/>
      <c r="BC179" s="611"/>
      <c r="BD179" s="620"/>
      <c r="BE179" s="117">
        <f>BE183+BE187+BE191+BE195</f>
        <v>0</v>
      </c>
      <c r="BF179" s="116"/>
      <c r="BG179" s="56"/>
      <c r="BH179" s="611"/>
      <c r="BI179" s="620"/>
      <c r="BJ179" s="117">
        <f>BJ183+BJ187+BJ191+BJ195</f>
        <v>0</v>
      </c>
      <c r="BK179" s="116"/>
      <c r="BL179" s="56"/>
      <c r="BM179" s="611"/>
      <c r="BN179" s="620"/>
      <c r="BO179" s="117">
        <f>BO183+BO187+BO191+BO195</f>
        <v>0</v>
      </c>
      <c r="BP179" s="116"/>
      <c r="BQ179" s="56"/>
      <c r="BR179" s="611"/>
      <c r="BS179" s="620"/>
      <c r="BT179" s="117">
        <f>BT183+BT187+BT191+BT195</f>
        <v>0</v>
      </c>
      <c r="BU179" s="116"/>
      <c r="BV179" s="56"/>
      <c r="BW179" s="611"/>
      <c r="BX179" s="620"/>
      <c r="BY179" s="117">
        <v>0</v>
      </c>
      <c r="BZ179" s="116"/>
      <c r="CA179" s="56"/>
      <c r="CB179" s="611"/>
      <c r="CC179" s="620"/>
      <c r="CD179" s="117">
        <f>CD183+CD187+CD191+CD195</f>
        <v>0</v>
      </c>
      <c r="CE179" s="116"/>
      <c r="CF179" s="56"/>
      <c r="CG179" s="611"/>
      <c r="CH179" s="620"/>
      <c r="CI179" s="117">
        <f>CI183+CI187+CI191+CI195</f>
        <v>0</v>
      </c>
      <c r="CJ179" s="116"/>
      <c r="CK179" s="56"/>
      <c r="CL179" s="611"/>
      <c r="CM179" s="620"/>
      <c r="CN179" s="117">
        <f>CN183+CN187+CN191+CN195</f>
        <v>0</v>
      </c>
      <c r="CO179" s="116"/>
      <c r="CP179" s="56"/>
      <c r="CQ179" s="611"/>
      <c r="CR179" s="620"/>
      <c r="CS179" s="117">
        <f>CS183+CS187+CS191+CS195</f>
        <v>0</v>
      </c>
      <c r="CT179" s="116"/>
      <c r="CU179" s="56"/>
      <c r="CV179" s="611"/>
      <c r="CW179" s="620"/>
      <c r="CX179" s="117">
        <f>CX183+CX187+CX191+CX195</f>
        <v>0</v>
      </c>
      <c r="CY179" s="116"/>
      <c r="CZ179" s="56"/>
      <c r="DA179" s="611"/>
      <c r="DB179" s="620"/>
      <c r="DC179" s="117">
        <f>DC183+DC187+DC191+DC195</f>
        <v>0</v>
      </c>
      <c r="DD179" s="116"/>
      <c r="DE179" s="56"/>
      <c r="DF179" s="611"/>
      <c r="DG179" s="620"/>
      <c r="DH179" s="117">
        <f>DH183+DH187+DH191+DH195</f>
        <v>0</v>
      </c>
      <c r="DI179" s="116"/>
      <c r="DJ179" s="56"/>
      <c r="DK179" s="611"/>
      <c r="DL179" s="620"/>
      <c r="DM179" s="117">
        <f>DM183+DM187+DM191+DM195</f>
        <v>0</v>
      </c>
      <c r="DN179" s="116"/>
      <c r="DO179" s="56"/>
      <c r="DP179" s="611"/>
      <c r="DQ179" s="620"/>
      <c r="DR179" s="117">
        <f>DR183+DR187+DR191+DR195</f>
        <v>0</v>
      </c>
      <c r="DS179" s="116"/>
      <c r="DT179" s="56"/>
      <c r="DU179" s="611"/>
      <c r="DV179" s="620"/>
      <c r="DW179" s="117">
        <f>DW183+DW187+DW191+DW195</f>
        <v>0</v>
      </c>
      <c r="DX179" s="116"/>
      <c r="DY179" s="56"/>
      <c r="DZ179" s="611"/>
      <c r="EA179" s="620"/>
      <c r="EB179" s="117">
        <f>EB183+EB187+EB191+EB195</f>
        <v>0</v>
      </c>
      <c r="EC179" s="116"/>
      <c r="ED179" s="56"/>
      <c r="EE179" s="611"/>
      <c r="EF179" s="620"/>
      <c r="EG179" s="117">
        <f>EG183+EG187+EG191+EG195</f>
        <v>0</v>
      </c>
      <c r="EH179" s="116"/>
      <c r="EI179" s="56"/>
      <c r="EJ179" s="611"/>
      <c r="EK179" s="620"/>
      <c r="EL179" s="117">
        <f>EL183+EL187+EL191+EL195</f>
        <v>0</v>
      </c>
      <c r="EM179" s="116"/>
      <c r="EN179" s="56"/>
      <c r="EO179" s="144"/>
    </row>
    <row r="180" spans="4:148" hidden="1" x14ac:dyDescent="0.3">
      <c r="D180" s="144"/>
      <c r="E180" s="494"/>
      <c r="G180" s="56"/>
      <c r="H180" s="56"/>
      <c r="I180" s="56"/>
      <c r="J180" s="611"/>
      <c r="K180" s="56"/>
      <c r="L180" s="56"/>
      <c r="M180" s="56"/>
      <c r="N180" s="56"/>
      <c r="O180" s="611"/>
      <c r="P180" s="56"/>
      <c r="Q180" s="56"/>
      <c r="R180" s="56"/>
      <c r="S180" s="56"/>
      <c r="T180" s="611"/>
      <c r="U180" s="56"/>
      <c r="V180" s="56"/>
      <c r="W180" s="56"/>
      <c r="X180" s="56"/>
      <c r="Y180" s="611"/>
      <c r="Z180" s="56"/>
      <c r="AA180" s="56"/>
      <c r="AB180" s="56"/>
      <c r="AC180" s="56"/>
      <c r="AD180" s="611"/>
      <c r="AE180" s="56"/>
      <c r="AF180" s="56"/>
      <c r="AG180" s="56"/>
      <c r="AH180" s="56"/>
      <c r="AI180" s="611"/>
      <c r="AJ180" s="56"/>
      <c r="AK180" s="56"/>
      <c r="AL180" s="56"/>
      <c r="AM180" s="56"/>
      <c r="AN180" s="611"/>
      <c r="AO180" s="56"/>
      <c r="AP180" s="56"/>
      <c r="AQ180" s="56"/>
      <c r="AR180" s="56"/>
      <c r="AS180" s="611"/>
      <c r="AT180" s="56"/>
      <c r="AU180" s="56"/>
      <c r="AV180" s="56"/>
      <c r="AW180" s="56"/>
      <c r="AX180" s="611"/>
      <c r="AY180" s="56"/>
      <c r="AZ180" s="56"/>
      <c r="BA180" s="56"/>
      <c r="BB180" s="56"/>
      <c r="BC180" s="611"/>
      <c r="BD180" s="56"/>
      <c r="BE180" s="56"/>
      <c r="BF180" s="56"/>
      <c r="BG180" s="56"/>
      <c r="BH180" s="611"/>
      <c r="BI180" s="56"/>
      <c r="BJ180" s="56"/>
      <c r="BK180" s="56"/>
      <c r="BL180" s="56"/>
      <c r="BM180" s="611"/>
      <c r="BN180" s="56"/>
      <c r="BO180" s="56"/>
      <c r="BP180" s="56"/>
      <c r="BQ180" s="56"/>
      <c r="BR180" s="611"/>
      <c r="BS180" s="56"/>
      <c r="BT180" s="56"/>
      <c r="BU180" s="56"/>
      <c r="BV180" s="56"/>
      <c r="BW180" s="611"/>
      <c r="BX180" s="56"/>
      <c r="BY180" s="56"/>
      <c r="BZ180" s="56"/>
      <c r="CA180" s="56"/>
      <c r="CB180" s="611"/>
      <c r="CC180" s="56"/>
      <c r="CD180" s="56"/>
      <c r="CE180" s="56"/>
      <c r="CF180" s="56"/>
      <c r="CG180" s="611"/>
      <c r="CH180" s="56"/>
      <c r="CI180" s="56"/>
      <c r="CJ180" s="56"/>
      <c r="CK180" s="56"/>
      <c r="CL180" s="611"/>
      <c r="CM180" s="56"/>
      <c r="CN180" s="56"/>
      <c r="CO180" s="56"/>
      <c r="CP180" s="56"/>
      <c r="CQ180" s="611"/>
      <c r="CR180" s="56"/>
      <c r="CS180" s="56"/>
      <c r="CT180" s="56"/>
      <c r="CU180" s="56"/>
      <c r="CV180" s="611"/>
      <c r="CW180" s="56"/>
      <c r="CX180" s="56"/>
      <c r="CY180" s="56"/>
      <c r="CZ180" s="56"/>
      <c r="DA180" s="611"/>
      <c r="DB180" s="56"/>
      <c r="DC180" s="56"/>
      <c r="DD180" s="56"/>
      <c r="DE180" s="56"/>
      <c r="DF180" s="611"/>
      <c r="DG180" s="56"/>
      <c r="DH180" s="56"/>
      <c r="DI180" s="56"/>
      <c r="DJ180" s="56"/>
      <c r="DK180" s="611"/>
      <c r="DL180" s="56"/>
      <c r="DM180" s="56"/>
      <c r="DN180" s="56"/>
      <c r="DO180" s="56"/>
      <c r="DP180" s="611"/>
      <c r="DQ180" s="56"/>
      <c r="DR180" s="56"/>
      <c r="DS180" s="56"/>
      <c r="DT180" s="56"/>
      <c r="DU180" s="611"/>
      <c r="DV180" s="56"/>
      <c r="DW180" s="56"/>
      <c r="DX180" s="56"/>
      <c r="DY180" s="56"/>
      <c r="DZ180" s="611"/>
      <c r="EA180" s="56"/>
      <c r="EB180" s="56"/>
      <c r="EC180" s="56"/>
      <c r="ED180" s="56"/>
      <c r="EE180" s="611"/>
      <c r="EF180" s="56"/>
      <c r="EG180" s="56"/>
      <c r="EH180" s="56"/>
      <c r="EI180" s="56"/>
      <c r="EJ180" s="611"/>
      <c r="EK180" s="56"/>
      <c r="EL180" s="56"/>
      <c r="EM180" s="56"/>
      <c r="EN180" s="56"/>
      <c r="EO180" s="144"/>
    </row>
    <row r="181" spans="4:148" hidden="1" x14ac:dyDescent="0.3">
      <c r="D181" s="144" t="s">
        <v>463</v>
      </c>
      <c r="E181" s="494"/>
      <c r="G181" s="56">
        <v>0</v>
      </c>
      <c r="H181" s="56"/>
      <c r="I181" s="56"/>
      <c r="J181" s="611"/>
      <c r="K181" s="56"/>
      <c r="L181" s="56">
        <f>SUM(L182:L183)</f>
        <v>0</v>
      </c>
      <c r="M181" s="56"/>
      <c r="N181" s="56"/>
      <c r="O181" s="611"/>
      <c r="P181" s="56"/>
      <c r="Q181" s="56">
        <f>SUM(Q182:Q183)</f>
        <v>0</v>
      </c>
      <c r="R181" s="56"/>
      <c r="S181" s="56"/>
      <c r="T181" s="611"/>
      <c r="U181" s="56"/>
      <c r="V181" s="56">
        <f>SUM(V182:V183)</f>
        <v>0</v>
      </c>
      <c r="W181" s="56"/>
      <c r="X181" s="56"/>
      <c r="Y181" s="611"/>
      <c r="Z181" s="56"/>
      <c r="AA181" s="56">
        <f>SUM(AA182:AA183)</f>
        <v>0</v>
      </c>
      <c r="AB181" s="56"/>
      <c r="AC181" s="56"/>
      <c r="AD181" s="611"/>
      <c r="AE181" s="56"/>
      <c r="AF181" s="56">
        <f>SUM(AF182:AF183)</f>
        <v>0</v>
      </c>
      <c r="AG181" s="56"/>
      <c r="AH181" s="56"/>
      <c r="AI181" s="611"/>
      <c r="AJ181" s="56"/>
      <c r="AK181" s="56">
        <f>SUM(AK182:AK183)</f>
        <v>0</v>
      </c>
      <c r="AL181" s="56"/>
      <c r="AM181" s="56"/>
      <c r="AN181" s="611"/>
      <c r="AO181" s="56"/>
      <c r="AP181" s="56">
        <f>SUM(AP182:AP183)</f>
        <v>0</v>
      </c>
      <c r="AQ181" s="56"/>
      <c r="AR181" s="56"/>
      <c r="AS181" s="611"/>
      <c r="AT181" s="56"/>
      <c r="AU181" s="56">
        <f>SUM(AU182:AU183)</f>
        <v>0</v>
      </c>
      <c r="AV181" s="56"/>
      <c r="AW181" s="56"/>
      <c r="AX181" s="611"/>
      <c r="AY181" s="56"/>
      <c r="AZ181" s="56">
        <f>SUM(AZ182:AZ183)</f>
        <v>0</v>
      </c>
      <c r="BA181" s="56"/>
      <c r="BB181" s="56"/>
      <c r="BC181" s="611"/>
      <c r="BD181" s="56"/>
      <c r="BE181" s="56">
        <f>SUM(BE182:BE183)</f>
        <v>0</v>
      </c>
      <c r="BF181" s="56"/>
      <c r="BG181" s="56"/>
      <c r="BH181" s="611"/>
      <c r="BI181" s="56"/>
      <c r="BJ181" s="56">
        <f>SUM(BJ182:BJ183)</f>
        <v>0</v>
      </c>
      <c r="BK181" s="56"/>
      <c r="BL181" s="56"/>
      <c r="BM181" s="611"/>
      <c r="BN181" s="56"/>
      <c r="BO181" s="56">
        <f>SUM(BO182:BO183)</f>
        <v>0</v>
      </c>
      <c r="BP181" s="56"/>
      <c r="BQ181" s="56"/>
      <c r="BR181" s="611"/>
      <c r="BS181" s="56"/>
      <c r="BT181" s="56">
        <f>SUM(BT182:BT183)</f>
        <v>0</v>
      </c>
      <c r="BU181" s="56"/>
      <c r="BV181" s="56"/>
      <c r="BW181" s="611"/>
      <c r="BX181" s="56"/>
      <c r="BY181" s="56">
        <v>0</v>
      </c>
      <c r="BZ181" s="56"/>
      <c r="CA181" s="56"/>
      <c r="CB181" s="611"/>
      <c r="CC181" s="56"/>
      <c r="CD181" s="56">
        <f>SUM(CD182:CD183)</f>
        <v>0</v>
      </c>
      <c r="CE181" s="56"/>
      <c r="CF181" s="56"/>
      <c r="CG181" s="611"/>
      <c r="CH181" s="56"/>
      <c r="CI181" s="56">
        <f>SUM(CI182:CI183)</f>
        <v>0</v>
      </c>
      <c r="CJ181" s="56"/>
      <c r="CK181" s="56"/>
      <c r="CL181" s="611"/>
      <c r="CM181" s="56"/>
      <c r="CN181" s="56">
        <f>SUM(CN182:CN183)</f>
        <v>0</v>
      </c>
      <c r="CO181" s="56"/>
      <c r="CP181" s="56"/>
      <c r="CQ181" s="611"/>
      <c r="CR181" s="56"/>
      <c r="CS181" s="56">
        <f>SUM(CS182:CS183)</f>
        <v>0</v>
      </c>
      <c r="CT181" s="56"/>
      <c r="CU181" s="56"/>
      <c r="CV181" s="611"/>
      <c r="CW181" s="56"/>
      <c r="CX181" s="56">
        <f>SUM(CX182:CX183)</f>
        <v>0</v>
      </c>
      <c r="CY181" s="56"/>
      <c r="CZ181" s="56"/>
      <c r="DA181" s="611"/>
      <c r="DB181" s="56"/>
      <c r="DC181" s="56">
        <f>SUM(DC182:DC183)</f>
        <v>0</v>
      </c>
      <c r="DD181" s="56"/>
      <c r="DE181" s="56"/>
      <c r="DF181" s="611"/>
      <c r="DG181" s="56"/>
      <c r="DH181" s="56">
        <f>SUM(DH182:DH183)</f>
        <v>0</v>
      </c>
      <c r="DI181" s="56"/>
      <c r="DJ181" s="56"/>
      <c r="DK181" s="611"/>
      <c r="DL181" s="56"/>
      <c r="DM181" s="56">
        <f>SUM(DM182:DM183)</f>
        <v>0</v>
      </c>
      <c r="DN181" s="56"/>
      <c r="DO181" s="56"/>
      <c r="DP181" s="611"/>
      <c r="DQ181" s="56"/>
      <c r="DR181" s="56">
        <f>SUM(DR182:DR183)</f>
        <v>0</v>
      </c>
      <c r="DS181" s="56"/>
      <c r="DT181" s="56"/>
      <c r="DU181" s="611"/>
      <c r="DV181" s="56"/>
      <c r="DW181" s="56">
        <f>SUM(DW182:DW183)</f>
        <v>0</v>
      </c>
      <c r="DX181" s="56"/>
      <c r="DY181" s="56"/>
      <c r="DZ181" s="611"/>
      <c r="EA181" s="56"/>
      <c r="EB181" s="56">
        <f>SUM(EB182:EB183)</f>
        <v>0</v>
      </c>
      <c r="EC181" s="56"/>
      <c r="ED181" s="56"/>
      <c r="EE181" s="611"/>
      <c r="EF181" s="56"/>
      <c r="EG181" s="56">
        <f>SUM(EG182:EG183)</f>
        <v>0</v>
      </c>
      <c r="EH181" s="56"/>
      <c r="EI181" s="56"/>
      <c r="EJ181" s="611"/>
      <c r="EK181" s="56"/>
      <c r="EL181" s="56">
        <f>SUM(EL182:EL183)</f>
        <v>0</v>
      </c>
      <c r="EM181" s="56"/>
      <c r="EN181" s="56"/>
      <c r="EO181" s="144"/>
    </row>
    <row r="182" spans="4:148" hidden="1" x14ac:dyDescent="0.3">
      <c r="D182" s="144" t="s">
        <v>446</v>
      </c>
      <c r="E182" s="494"/>
      <c r="F182" s="500"/>
      <c r="G182" s="609">
        <v>0</v>
      </c>
      <c r="H182" s="610"/>
      <c r="I182" s="56"/>
      <c r="J182" s="611"/>
      <c r="K182" s="612"/>
      <c r="L182" s="609">
        <v>0</v>
      </c>
      <c r="M182" s="610"/>
      <c r="N182" s="56"/>
      <c r="O182" s="611"/>
      <c r="P182" s="612"/>
      <c r="Q182" s="609">
        <v>0</v>
      </c>
      <c r="R182" s="610"/>
      <c r="S182" s="56"/>
      <c r="T182" s="611"/>
      <c r="U182" s="612"/>
      <c r="V182" s="609">
        <v>0</v>
      </c>
      <c r="W182" s="610"/>
      <c r="X182" s="56"/>
      <c r="Y182" s="611"/>
      <c r="Z182" s="612"/>
      <c r="AA182" s="609">
        <v>0</v>
      </c>
      <c r="AB182" s="610"/>
      <c r="AC182" s="56"/>
      <c r="AD182" s="611"/>
      <c r="AE182" s="612"/>
      <c r="AF182" s="609">
        <v>0</v>
      </c>
      <c r="AG182" s="610"/>
      <c r="AH182" s="56"/>
      <c r="AI182" s="611"/>
      <c r="AJ182" s="612"/>
      <c r="AK182" s="609">
        <v>0</v>
      </c>
      <c r="AL182" s="610"/>
      <c r="AM182" s="56"/>
      <c r="AN182" s="611"/>
      <c r="AO182" s="612"/>
      <c r="AP182" s="609">
        <v>0</v>
      </c>
      <c r="AQ182" s="610"/>
      <c r="AR182" s="56"/>
      <c r="AS182" s="611"/>
      <c r="AT182" s="612"/>
      <c r="AU182" s="609">
        <v>0</v>
      </c>
      <c r="AV182" s="610"/>
      <c r="AW182" s="56"/>
      <c r="AX182" s="611"/>
      <c r="AY182" s="612"/>
      <c r="AZ182" s="609">
        <v>0</v>
      </c>
      <c r="BA182" s="610"/>
      <c r="BB182" s="56"/>
      <c r="BC182" s="611"/>
      <c r="BD182" s="612"/>
      <c r="BE182" s="609">
        <v>0</v>
      </c>
      <c r="BF182" s="610"/>
      <c r="BG182" s="56"/>
      <c r="BH182" s="611"/>
      <c r="BI182" s="612"/>
      <c r="BJ182" s="609">
        <v>0</v>
      </c>
      <c r="BK182" s="610"/>
      <c r="BL182" s="56"/>
      <c r="BM182" s="611"/>
      <c r="BN182" s="612"/>
      <c r="BO182" s="609">
        <v>0</v>
      </c>
      <c r="BP182" s="610"/>
      <c r="BQ182" s="56"/>
      <c r="BR182" s="611"/>
      <c r="BS182" s="612"/>
      <c r="BT182" s="609">
        <f>SUM(L182:BO182)</f>
        <v>0</v>
      </c>
      <c r="BU182" s="610"/>
      <c r="BV182" s="56"/>
      <c r="BW182" s="611"/>
      <c r="BX182" s="612"/>
      <c r="BY182" s="609">
        <v>0</v>
      </c>
      <c r="BZ182" s="610"/>
      <c r="CA182" s="56"/>
      <c r="CB182" s="611"/>
      <c r="CC182" s="612"/>
      <c r="CD182" s="609">
        <v>0</v>
      </c>
      <c r="CE182" s="610"/>
      <c r="CF182" s="56"/>
      <c r="CG182" s="611"/>
      <c r="CH182" s="612"/>
      <c r="CI182" s="609">
        <v>0</v>
      </c>
      <c r="CJ182" s="610"/>
      <c r="CK182" s="56"/>
      <c r="CL182" s="611"/>
      <c r="CM182" s="612"/>
      <c r="CN182" s="609">
        <v>0</v>
      </c>
      <c r="CO182" s="610"/>
      <c r="CP182" s="56"/>
      <c r="CQ182" s="611"/>
      <c r="CR182" s="612"/>
      <c r="CS182" s="609">
        <v>0</v>
      </c>
      <c r="CT182" s="610"/>
      <c r="CU182" s="56"/>
      <c r="CV182" s="611"/>
      <c r="CW182" s="612"/>
      <c r="CX182" s="609">
        <v>0</v>
      </c>
      <c r="CY182" s="610"/>
      <c r="CZ182" s="56"/>
      <c r="DA182" s="611"/>
      <c r="DB182" s="612"/>
      <c r="DC182" s="609">
        <v>0</v>
      </c>
      <c r="DD182" s="610"/>
      <c r="DE182" s="56"/>
      <c r="DF182" s="611"/>
      <c r="DG182" s="612"/>
      <c r="DH182" s="609">
        <v>0</v>
      </c>
      <c r="DI182" s="610"/>
      <c r="DJ182" s="56"/>
      <c r="DK182" s="611"/>
      <c r="DL182" s="612"/>
      <c r="DM182" s="609">
        <v>0</v>
      </c>
      <c r="DN182" s="610"/>
      <c r="DO182" s="56"/>
      <c r="DP182" s="611"/>
      <c r="DQ182" s="612"/>
      <c r="DR182" s="609">
        <v>0</v>
      </c>
      <c r="DS182" s="610"/>
      <c r="DT182" s="56"/>
      <c r="DU182" s="611"/>
      <c r="DV182" s="612"/>
      <c r="DW182" s="609">
        <v>0</v>
      </c>
      <c r="DX182" s="610"/>
      <c r="DY182" s="56"/>
      <c r="DZ182" s="611"/>
      <c r="EA182" s="612"/>
      <c r="EB182" s="609">
        <v>0</v>
      </c>
      <c r="EC182" s="610"/>
      <c r="ED182" s="56"/>
      <c r="EE182" s="611"/>
      <c r="EF182" s="612"/>
      <c r="EG182" s="609">
        <v>0</v>
      </c>
      <c r="EH182" s="610"/>
      <c r="EI182" s="56"/>
      <c r="EJ182" s="611"/>
      <c r="EK182" s="612"/>
      <c r="EL182" s="609">
        <f>SUM(CD182:EG182)</f>
        <v>0</v>
      </c>
      <c r="EM182" s="610"/>
      <c r="EN182" s="56"/>
      <c r="EO182" s="144"/>
    </row>
    <row r="183" spans="4:148" hidden="1" x14ac:dyDescent="0.3">
      <c r="D183" s="144" t="s">
        <v>447</v>
      </c>
      <c r="E183" s="494"/>
      <c r="F183" s="513"/>
      <c r="G183" s="117">
        <v>0</v>
      </c>
      <c r="H183" s="116"/>
      <c r="I183" s="56"/>
      <c r="J183" s="611"/>
      <c r="K183" s="620"/>
      <c r="L183" s="117">
        <v>0</v>
      </c>
      <c r="M183" s="116"/>
      <c r="N183" s="56"/>
      <c r="O183" s="611"/>
      <c r="P183" s="620"/>
      <c r="Q183" s="117">
        <v>0</v>
      </c>
      <c r="R183" s="116"/>
      <c r="S183" s="56"/>
      <c r="T183" s="611"/>
      <c r="U183" s="620"/>
      <c r="V183" s="117">
        <v>0</v>
      </c>
      <c r="W183" s="116"/>
      <c r="X183" s="56"/>
      <c r="Y183" s="611"/>
      <c r="Z183" s="620"/>
      <c r="AA183" s="117">
        <v>0</v>
      </c>
      <c r="AB183" s="116"/>
      <c r="AC183" s="56"/>
      <c r="AD183" s="611"/>
      <c r="AE183" s="620"/>
      <c r="AF183" s="117">
        <v>0</v>
      </c>
      <c r="AG183" s="116"/>
      <c r="AH183" s="56"/>
      <c r="AI183" s="611"/>
      <c r="AJ183" s="620"/>
      <c r="AK183" s="117">
        <v>0</v>
      </c>
      <c r="AL183" s="116"/>
      <c r="AM183" s="56"/>
      <c r="AN183" s="611"/>
      <c r="AO183" s="620"/>
      <c r="AP183" s="117">
        <v>0</v>
      </c>
      <c r="AQ183" s="116"/>
      <c r="AR183" s="56"/>
      <c r="AS183" s="611"/>
      <c r="AT183" s="620"/>
      <c r="AU183" s="117">
        <v>0</v>
      </c>
      <c r="AV183" s="116"/>
      <c r="AW183" s="56"/>
      <c r="AX183" s="611"/>
      <c r="AY183" s="620"/>
      <c r="AZ183" s="117">
        <v>0</v>
      </c>
      <c r="BA183" s="116"/>
      <c r="BB183" s="56"/>
      <c r="BC183" s="611"/>
      <c r="BD183" s="620"/>
      <c r="BE183" s="117">
        <v>0</v>
      </c>
      <c r="BF183" s="116"/>
      <c r="BG183" s="56"/>
      <c r="BH183" s="611"/>
      <c r="BI183" s="620"/>
      <c r="BJ183" s="117">
        <v>0</v>
      </c>
      <c r="BK183" s="116"/>
      <c r="BL183" s="56"/>
      <c r="BM183" s="611"/>
      <c r="BN183" s="620"/>
      <c r="BO183" s="117">
        <v>0</v>
      </c>
      <c r="BP183" s="116"/>
      <c r="BQ183" s="56"/>
      <c r="BR183" s="611"/>
      <c r="BS183" s="620"/>
      <c r="BT183" s="117">
        <f>SUM(L183:BO183)</f>
        <v>0</v>
      </c>
      <c r="BU183" s="116"/>
      <c r="BV183" s="56"/>
      <c r="BW183" s="611"/>
      <c r="BX183" s="620"/>
      <c r="BY183" s="117">
        <v>0</v>
      </c>
      <c r="BZ183" s="116"/>
      <c r="CA183" s="56"/>
      <c r="CB183" s="611"/>
      <c r="CC183" s="620"/>
      <c r="CD183" s="117">
        <v>0</v>
      </c>
      <c r="CE183" s="116"/>
      <c r="CF183" s="56"/>
      <c r="CG183" s="611"/>
      <c r="CH183" s="620"/>
      <c r="CI183" s="117">
        <v>0</v>
      </c>
      <c r="CJ183" s="116"/>
      <c r="CK183" s="56"/>
      <c r="CL183" s="611"/>
      <c r="CM183" s="620"/>
      <c r="CN183" s="117">
        <v>0</v>
      </c>
      <c r="CO183" s="116"/>
      <c r="CP183" s="56"/>
      <c r="CQ183" s="611"/>
      <c r="CR183" s="620"/>
      <c r="CS183" s="117">
        <v>0</v>
      </c>
      <c r="CT183" s="116"/>
      <c r="CU183" s="56"/>
      <c r="CV183" s="611"/>
      <c r="CW183" s="620"/>
      <c r="CX183" s="117">
        <v>0</v>
      </c>
      <c r="CY183" s="116"/>
      <c r="CZ183" s="56"/>
      <c r="DA183" s="611"/>
      <c r="DB183" s="620"/>
      <c r="DC183" s="117">
        <v>0</v>
      </c>
      <c r="DD183" s="116"/>
      <c r="DE183" s="56"/>
      <c r="DF183" s="611"/>
      <c r="DG183" s="620"/>
      <c r="DH183" s="117">
        <v>0</v>
      </c>
      <c r="DI183" s="116"/>
      <c r="DJ183" s="56"/>
      <c r="DK183" s="611"/>
      <c r="DL183" s="620"/>
      <c r="DM183" s="117">
        <v>0</v>
      </c>
      <c r="DN183" s="116"/>
      <c r="DO183" s="56"/>
      <c r="DP183" s="611"/>
      <c r="DQ183" s="620"/>
      <c r="DR183" s="117">
        <v>0</v>
      </c>
      <c r="DS183" s="116"/>
      <c r="DT183" s="56"/>
      <c r="DU183" s="611"/>
      <c r="DV183" s="620"/>
      <c r="DW183" s="117">
        <v>0</v>
      </c>
      <c r="DX183" s="116"/>
      <c r="DY183" s="56"/>
      <c r="DZ183" s="611"/>
      <c r="EA183" s="620"/>
      <c r="EB183" s="117">
        <v>0</v>
      </c>
      <c r="EC183" s="116"/>
      <c r="ED183" s="56"/>
      <c r="EE183" s="611"/>
      <c r="EF183" s="620"/>
      <c r="EG183" s="117">
        <v>0</v>
      </c>
      <c r="EH183" s="116"/>
      <c r="EI183" s="56"/>
      <c r="EJ183" s="611"/>
      <c r="EK183" s="620"/>
      <c r="EL183" s="117">
        <f>SUM(CD183:EG183)</f>
        <v>0</v>
      </c>
      <c r="EM183" s="116"/>
      <c r="EN183" s="56"/>
      <c r="EO183" s="144"/>
    </row>
    <row r="184" spans="4:148" hidden="1" x14ac:dyDescent="0.3">
      <c r="D184" s="144"/>
      <c r="E184" s="494"/>
      <c r="G184" s="56"/>
      <c r="H184" s="56"/>
      <c r="I184" s="56"/>
      <c r="J184" s="611"/>
      <c r="K184" s="56"/>
      <c r="L184" s="56"/>
      <c r="M184" s="56"/>
      <c r="N184" s="56"/>
      <c r="O184" s="611"/>
      <c r="P184" s="56"/>
      <c r="Q184" s="56"/>
      <c r="R184" s="56"/>
      <c r="S184" s="56"/>
      <c r="T184" s="611"/>
      <c r="U184" s="56"/>
      <c r="V184" s="56"/>
      <c r="W184" s="56"/>
      <c r="X184" s="56"/>
      <c r="Y184" s="611"/>
      <c r="Z184" s="56"/>
      <c r="AA184" s="56"/>
      <c r="AB184" s="56"/>
      <c r="AC184" s="56"/>
      <c r="AD184" s="611"/>
      <c r="AE184" s="56"/>
      <c r="AF184" s="56"/>
      <c r="AG184" s="56"/>
      <c r="AH184" s="56"/>
      <c r="AI184" s="611"/>
      <c r="AJ184" s="56"/>
      <c r="AK184" s="56"/>
      <c r="AL184" s="56"/>
      <c r="AM184" s="56"/>
      <c r="AN184" s="611"/>
      <c r="AO184" s="56"/>
      <c r="AP184" s="56"/>
      <c r="AQ184" s="56"/>
      <c r="AR184" s="56"/>
      <c r="AS184" s="611"/>
      <c r="AT184" s="56"/>
      <c r="AU184" s="56"/>
      <c r="AV184" s="56"/>
      <c r="AW184" s="56"/>
      <c r="AX184" s="611"/>
      <c r="AY184" s="56"/>
      <c r="AZ184" s="56"/>
      <c r="BA184" s="56"/>
      <c r="BB184" s="56"/>
      <c r="BC184" s="611"/>
      <c r="BD184" s="56"/>
      <c r="BE184" s="56"/>
      <c r="BF184" s="56"/>
      <c r="BG184" s="56"/>
      <c r="BH184" s="611"/>
      <c r="BI184" s="56"/>
      <c r="BJ184" s="56"/>
      <c r="BK184" s="56"/>
      <c r="BL184" s="56"/>
      <c r="BM184" s="611"/>
      <c r="BN184" s="56"/>
      <c r="BO184" s="56"/>
      <c r="BP184" s="56"/>
      <c r="BQ184" s="56"/>
      <c r="BR184" s="611"/>
      <c r="BS184" s="56"/>
      <c r="BT184" s="56"/>
      <c r="BU184" s="56"/>
      <c r="BV184" s="56"/>
      <c r="BW184" s="611"/>
      <c r="BX184" s="56"/>
      <c r="BY184" s="56"/>
      <c r="BZ184" s="56"/>
      <c r="CA184" s="56"/>
      <c r="CB184" s="611"/>
      <c r="CC184" s="56"/>
      <c r="CD184" s="56"/>
      <c r="CE184" s="56"/>
      <c r="CF184" s="56"/>
      <c r="CG184" s="611"/>
      <c r="CH184" s="56"/>
      <c r="CI184" s="56"/>
      <c r="CJ184" s="56"/>
      <c r="CK184" s="56"/>
      <c r="CL184" s="611"/>
      <c r="CM184" s="56"/>
      <c r="CN184" s="56"/>
      <c r="CO184" s="56"/>
      <c r="CP184" s="56"/>
      <c r="CQ184" s="611"/>
      <c r="CR184" s="56"/>
      <c r="CS184" s="56"/>
      <c r="CT184" s="56"/>
      <c r="CU184" s="56"/>
      <c r="CV184" s="611"/>
      <c r="CW184" s="56"/>
      <c r="CX184" s="56"/>
      <c r="CY184" s="56"/>
      <c r="CZ184" s="56"/>
      <c r="DA184" s="611"/>
      <c r="DB184" s="56"/>
      <c r="DC184" s="56"/>
      <c r="DD184" s="56"/>
      <c r="DE184" s="56"/>
      <c r="DF184" s="611"/>
      <c r="DG184" s="56"/>
      <c r="DH184" s="56"/>
      <c r="DI184" s="56"/>
      <c r="DJ184" s="56"/>
      <c r="DK184" s="611"/>
      <c r="DL184" s="56"/>
      <c r="DM184" s="56"/>
      <c r="DN184" s="56"/>
      <c r="DO184" s="56"/>
      <c r="DP184" s="611"/>
      <c r="DQ184" s="56"/>
      <c r="DR184" s="56"/>
      <c r="DS184" s="56"/>
      <c r="DT184" s="56"/>
      <c r="DU184" s="611"/>
      <c r="DV184" s="56"/>
      <c r="DW184" s="56"/>
      <c r="DX184" s="56"/>
      <c r="DY184" s="56"/>
      <c r="DZ184" s="611"/>
      <c r="EA184" s="56"/>
      <c r="EB184" s="56"/>
      <c r="EC184" s="56"/>
      <c r="ED184" s="56"/>
      <c r="EE184" s="611"/>
      <c r="EF184" s="56"/>
      <c r="EG184" s="56"/>
      <c r="EH184" s="56"/>
      <c r="EI184" s="56"/>
      <c r="EJ184" s="611"/>
      <c r="EK184" s="56"/>
      <c r="EL184" s="56"/>
      <c r="EM184" s="56"/>
      <c r="EN184" s="56"/>
      <c r="EO184" s="144"/>
    </row>
    <row r="185" spans="4:148" hidden="1" x14ac:dyDescent="0.3">
      <c r="D185" s="144" t="s">
        <v>464</v>
      </c>
      <c r="E185" s="494"/>
      <c r="G185" s="56">
        <f>SUM(G186:G187)</f>
        <v>0</v>
      </c>
      <c r="H185" s="56"/>
      <c r="I185" s="56"/>
      <c r="J185" s="611"/>
      <c r="K185" s="56"/>
      <c r="L185" s="56">
        <f>SUM(L186:L187)</f>
        <v>0</v>
      </c>
      <c r="M185" s="56"/>
      <c r="N185" s="56"/>
      <c r="O185" s="611"/>
      <c r="P185" s="56"/>
      <c r="Q185" s="56">
        <f>SUM(Q186:Q187)</f>
        <v>0</v>
      </c>
      <c r="R185" s="56"/>
      <c r="S185" s="56"/>
      <c r="T185" s="611"/>
      <c r="U185" s="56"/>
      <c r="V185" s="56">
        <f>SUM(V186:V187)</f>
        <v>0</v>
      </c>
      <c r="W185" s="56"/>
      <c r="X185" s="56"/>
      <c r="Y185" s="611"/>
      <c r="Z185" s="56"/>
      <c r="AA185" s="56">
        <f>SUM(AA186:AA187)</f>
        <v>0</v>
      </c>
      <c r="AB185" s="56"/>
      <c r="AC185" s="56"/>
      <c r="AD185" s="611"/>
      <c r="AE185" s="56"/>
      <c r="AF185" s="56">
        <f>SUM(AF186:AF187)</f>
        <v>0</v>
      </c>
      <c r="AG185" s="56"/>
      <c r="AH185" s="56"/>
      <c r="AI185" s="611"/>
      <c r="AJ185" s="56"/>
      <c r="AK185" s="56">
        <f>SUM(AK186:AK187)</f>
        <v>0</v>
      </c>
      <c r="AL185" s="56"/>
      <c r="AM185" s="56"/>
      <c r="AN185" s="611"/>
      <c r="AO185" s="56"/>
      <c r="AP185" s="56">
        <f>SUM(AP186:AP187)</f>
        <v>0</v>
      </c>
      <c r="AQ185" s="56"/>
      <c r="AR185" s="56"/>
      <c r="AS185" s="611"/>
      <c r="AT185" s="56"/>
      <c r="AU185" s="56">
        <f>SUM(AU186:AU187)</f>
        <v>0</v>
      </c>
      <c r="AV185" s="56"/>
      <c r="AW185" s="56"/>
      <c r="AX185" s="611"/>
      <c r="AY185" s="56"/>
      <c r="AZ185" s="56">
        <f>SUM(AZ186:AZ187)</f>
        <v>0</v>
      </c>
      <c r="BA185" s="56"/>
      <c r="BB185" s="56"/>
      <c r="BC185" s="611"/>
      <c r="BD185" s="56"/>
      <c r="BE185" s="56">
        <f>SUM(BE186:BE187)</f>
        <v>0</v>
      </c>
      <c r="BF185" s="56"/>
      <c r="BG185" s="56"/>
      <c r="BH185" s="611"/>
      <c r="BI185" s="56"/>
      <c r="BJ185" s="56">
        <f>SUM(BJ186:BJ187)</f>
        <v>0</v>
      </c>
      <c r="BK185" s="56"/>
      <c r="BL185" s="56"/>
      <c r="BM185" s="611"/>
      <c r="BN185" s="56"/>
      <c r="BO185" s="56">
        <f>SUM(BO186:BO187)</f>
        <v>0</v>
      </c>
      <c r="BP185" s="56"/>
      <c r="BQ185" s="56"/>
      <c r="BR185" s="611"/>
      <c r="BS185" s="56"/>
      <c r="BT185" s="56">
        <f>SUM(BT186:BT187)</f>
        <v>0</v>
      </c>
      <c r="BU185" s="56"/>
      <c r="BV185" s="56"/>
      <c r="BW185" s="611"/>
      <c r="BX185" s="56"/>
      <c r="BY185" s="56">
        <f>SUM(BY186:BY187)</f>
        <v>0</v>
      </c>
      <c r="BZ185" s="56"/>
      <c r="CA185" s="56"/>
      <c r="CB185" s="611"/>
      <c r="CC185" s="56"/>
      <c r="CD185" s="56">
        <f>SUM(CD186:CD187)</f>
        <v>0</v>
      </c>
      <c r="CE185" s="56"/>
      <c r="CF185" s="56"/>
      <c r="CG185" s="611"/>
      <c r="CH185" s="56"/>
      <c r="CI185" s="56">
        <f>SUM(CI186:CI187)</f>
        <v>0</v>
      </c>
      <c r="CJ185" s="56"/>
      <c r="CK185" s="56"/>
      <c r="CL185" s="611"/>
      <c r="CM185" s="56"/>
      <c r="CN185" s="56">
        <f>SUM(CN186:CN187)</f>
        <v>0</v>
      </c>
      <c r="CO185" s="56"/>
      <c r="CP185" s="56"/>
      <c r="CQ185" s="611"/>
      <c r="CR185" s="56"/>
      <c r="CS185" s="56">
        <f>SUM(CS186:CS187)</f>
        <v>0</v>
      </c>
      <c r="CT185" s="56"/>
      <c r="CU185" s="56"/>
      <c r="CV185" s="611"/>
      <c r="CW185" s="56"/>
      <c r="CX185" s="56">
        <f>SUM(CX186:CX187)</f>
        <v>0</v>
      </c>
      <c r="CY185" s="56"/>
      <c r="CZ185" s="56"/>
      <c r="DA185" s="611"/>
      <c r="DB185" s="56"/>
      <c r="DC185" s="56">
        <f>SUM(DC186:DC187)</f>
        <v>0</v>
      </c>
      <c r="DD185" s="56"/>
      <c r="DE185" s="56"/>
      <c r="DF185" s="611"/>
      <c r="DG185" s="56"/>
      <c r="DH185" s="56">
        <f>SUM(DH186:DH187)</f>
        <v>0</v>
      </c>
      <c r="DI185" s="56"/>
      <c r="DJ185" s="56"/>
      <c r="DK185" s="611"/>
      <c r="DL185" s="56"/>
      <c r="DM185" s="56">
        <f>SUM(DM186:DM187)</f>
        <v>0</v>
      </c>
      <c r="DN185" s="56"/>
      <c r="DO185" s="56"/>
      <c r="DP185" s="611"/>
      <c r="DQ185" s="56"/>
      <c r="DR185" s="56">
        <f>SUM(DR186:DR187)</f>
        <v>0</v>
      </c>
      <c r="DS185" s="56"/>
      <c r="DT185" s="56"/>
      <c r="DU185" s="611"/>
      <c r="DV185" s="56"/>
      <c r="DW185" s="56">
        <f>SUM(DW186:DW187)</f>
        <v>0</v>
      </c>
      <c r="DX185" s="56"/>
      <c r="DY185" s="56"/>
      <c r="DZ185" s="611"/>
      <c r="EA185" s="56"/>
      <c r="EB185" s="56">
        <f>SUM(EB186:EB187)</f>
        <v>0</v>
      </c>
      <c r="EC185" s="56"/>
      <c r="ED185" s="56"/>
      <c r="EE185" s="611"/>
      <c r="EF185" s="56"/>
      <c r="EG185" s="56">
        <f>SUM(EG186:EG187)</f>
        <v>0</v>
      </c>
      <c r="EH185" s="56"/>
      <c r="EI185" s="56"/>
      <c r="EJ185" s="611"/>
      <c r="EK185" s="56"/>
      <c r="EL185" s="56">
        <f>SUM(EL186:EL187)</f>
        <v>0</v>
      </c>
      <c r="EM185" s="56"/>
      <c r="EN185" s="56"/>
      <c r="EO185" s="144"/>
    </row>
    <row r="186" spans="4:148" hidden="1" x14ac:dyDescent="0.3">
      <c r="D186" s="144" t="s">
        <v>446</v>
      </c>
      <c r="E186" s="494"/>
      <c r="F186" s="500"/>
      <c r="G186" s="609">
        <v>0</v>
      </c>
      <c r="H186" s="610"/>
      <c r="I186" s="56"/>
      <c r="J186" s="611"/>
      <c r="K186" s="612"/>
      <c r="L186" s="609">
        <v>0</v>
      </c>
      <c r="M186" s="610"/>
      <c r="N186" s="56"/>
      <c r="O186" s="611"/>
      <c r="P186" s="612"/>
      <c r="Q186" s="609">
        <v>0</v>
      </c>
      <c r="R186" s="610"/>
      <c r="S186" s="56"/>
      <c r="T186" s="611"/>
      <c r="U186" s="612"/>
      <c r="V186" s="609">
        <v>0</v>
      </c>
      <c r="W186" s="610"/>
      <c r="X186" s="56"/>
      <c r="Y186" s="611"/>
      <c r="Z186" s="612"/>
      <c r="AA186" s="609">
        <v>0</v>
      </c>
      <c r="AB186" s="610"/>
      <c r="AC186" s="56"/>
      <c r="AD186" s="611"/>
      <c r="AE186" s="612"/>
      <c r="AF186" s="609">
        <v>0</v>
      </c>
      <c r="AG186" s="610"/>
      <c r="AH186" s="56"/>
      <c r="AI186" s="611"/>
      <c r="AJ186" s="612"/>
      <c r="AK186" s="609">
        <v>0</v>
      </c>
      <c r="AL186" s="610"/>
      <c r="AM186" s="56"/>
      <c r="AN186" s="611"/>
      <c r="AO186" s="612"/>
      <c r="AP186" s="609">
        <v>0</v>
      </c>
      <c r="AQ186" s="610"/>
      <c r="AR186" s="56"/>
      <c r="AS186" s="611"/>
      <c r="AT186" s="612"/>
      <c r="AU186" s="609">
        <v>0</v>
      </c>
      <c r="AV186" s="610"/>
      <c r="AW186" s="56"/>
      <c r="AX186" s="611"/>
      <c r="AY186" s="612"/>
      <c r="AZ186" s="609">
        <v>0</v>
      </c>
      <c r="BA186" s="610"/>
      <c r="BB186" s="56"/>
      <c r="BC186" s="611"/>
      <c r="BD186" s="612"/>
      <c r="BE186" s="609">
        <v>0</v>
      </c>
      <c r="BF186" s="610"/>
      <c r="BG186" s="56"/>
      <c r="BH186" s="611"/>
      <c r="BI186" s="612"/>
      <c r="BJ186" s="609">
        <v>0</v>
      </c>
      <c r="BK186" s="610"/>
      <c r="BL186" s="56"/>
      <c r="BM186" s="611"/>
      <c r="BN186" s="612"/>
      <c r="BO186" s="609">
        <v>0</v>
      </c>
      <c r="BP186" s="610"/>
      <c r="BQ186" s="56"/>
      <c r="BR186" s="611"/>
      <c r="BS186" s="612"/>
      <c r="BT186" s="609">
        <f>SUM(L186:BO186)</f>
        <v>0</v>
      </c>
      <c r="BU186" s="610"/>
      <c r="BV186" s="56"/>
      <c r="BW186" s="611"/>
      <c r="BX186" s="612"/>
      <c r="BY186" s="609">
        <v>0</v>
      </c>
      <c r="BZ186" s="610"/>
      <c r="CA186" s="56"/>
      <c r="CB186" s="611"/>
      <c r="CC186" s="612"/>
      <c r="CD186" s="609">
        <v>0</v>
      </c>
      <c r="CE186" s="610"/>
      <c r="CF186" s="56"/>
      <c r="CG186" s="611"/>
      <c r="CH186" s="612"/>
      <c r="CI186" s="609">
        <v>0</v>
      </c>
      <c r="CJ186" s="610"/>
      <c r="CK186" s="56"/>
      <c r="CL186" s="611"/>
      <c r="CM186" s="612"/>
      <c r="CN186" s="609">
        <v>0</v>
      </c>
      <c r="CO186" s="610"/>
      <c r="CP186" s="56"/>
      <c r="CQ186" s="611"/>
      <c r="CR186" s="612"/>
      <c r="CS186" s="609">
        <v>0</v>
      </c>
      <c r="CT186" s="610"/>
      <c r="CU186" s="56"/>
      <c r="CV186" s="611"/>
      <c r="CW186" s="612"/>
      <c r="CX186" s="609">
        <v>0</v>
      </c>
      <c r="CY186" s="610"/>
      <c r="CZ186" s="56"/>
      <c r="DA186" s="611"/>
      <c r="DB186" s="612"/>
      <c r="DC186" s="609">
        <v>0</v>
      </c>
      <c r="DD186" s="610"/>
      <c r="DE186" s="56"/>
      <c r="DF186" s="611"/>
      <c r="DG186" s="612"/>
      <c r="DH186" s="609">
        <v>0</v>
      </c>
      <c r="DI186" s="610"/>
      <c r="DJ186" s="56"/>
      <c r="DK186" s="611"/>
      <c r="DL186" s="612"/>
      <c r="DM186" s="609">
        <v>0</v>
      </c>
      <c r="DN186" s="610"/>
      <c r="DO186" s="56"/>
      <c r="DP186" s="611"/>
      <c r="DQ186" s="612"/>
      <c r="DR186" s="609">
        <v>0</v>
      </c>
      <c r="DS186" s="610"/>
      <c r="DT186" s="56"/>
      <c r="DU186" s="611"/>
      <c r="DV186" s="612"/>
      <c r="DW186" s="609">
        <v>0</v>
      </c>
      <c r="DX186" s="610"/>
      <c r="DY186" s="56"/>
      <c r="DZ186" s="611"/>
      <c r="EA186" s="612"/>
      <c r="EB186" s="609">
        <v>0</v>
      </c>
      <c r="EC186" s="610"/>
      <c r="ED186" s="56"/>
      <c r="EE186" s="611"/>
      <c r="EF186" s="612"/>
      <c r="EG186" s="609">
        <v>0</v>
      </c>
      <c r="EH186" s="610"/>
      <c r="EI186" s="56"/>
      <c r="EJ186" s="611"/>
      <c r="EK186" s="612"/>
      <c r="EL186" s="609">
        <f>SUM(CD186:EG186)</f>
        <v>0</v>
      </c>
      <c r="EM186" s="610"/>
      <c r="EN186" s="56"/>
      <c r="EO186" s="144"/>
    </row>
    <row r="187" spans="4:148" hidden="1" x14ac:dyDescent="0.3">
      <c r="D187" s="144" t="s">
        <v>447</v>
      </c>
      <c r="E187" s="494"/>
      <c r="F187" s="513"/>
      <c r="G187" s="117">
        <v>0</v>
      </c>
      <c r="H187" s="116"/>
      <c r="I187" s="56"/>
      <c r="J187" s="611"/>
      <c r="K187" s="620"/>
      <c r="L187" s="117">
        <v>0</v>
      </c>
      <c r="M187" s="116"/>
      <c r="N187" s="56"/>
      <c r="O187" s="611"/>
      <c r="P187" s="620"/>
      <c r="Q187" s="117">
        <v>0</v>
      </c>
      <c r="R187" s="116"/>
      <c r="S187" s="56"/>
      <c r="T187" s="611"/>
      <c r="U187" s="620"/>
      <c r="V187" s="117">
        <v>0</v>
      </c>
      <c r="W187" s="116"/>
      <c r="X187" s="56"/>
      <c r="Y187" s="611"/>
      <c r="Z187" s="620"/>
      <c r="AA187" s="117">
        <v>0</v>
      </c>
      <c r="AB187" s="116"/>
      <c r="AC187" s="56"/>
      <c r="AD187" s="611"/>
      <c r="AE187" s="620"/>
      <c r="AF187" s="117">
        <v>0</v>
      </c>
      <c r="AG187" s="116"/>
      <c r="AH187" s="56"/>
      <c r="AI187" s="611"/>
      <c r="AJ187" s="620"/>
      <c r="AK187" s="117">
        <v>0</v>
      </c>
      <c r="AL187" s="116"/>
      <c r="AM187" s="56"/>
      <c r="AN187" s="611"/>
      <c r="AO187" s="620"/>
      <c r="AP187" s="117">
        <v>0</v>
      </c>
      <c r="AQ187" s="116"/>
      <c r="AR187" s="56"/>
      <c r="AS187" s="611"/>
      <c r="AT187" s="620"/>
      <c r="AU187" s="117">
        <v>0</v>
      </c>
      <c r="AV187" s="116"/>
      <c r="AW187" s="56"/>
      <c r="AX187" s="611"/>
      <c r="AY187" s="620"/>
      <c r="AZ187" s="117">
        <v>0</v>
      </c>
      <c r="BA187" s="116"/>
      <c r="BB187" s="56"/>
      <c r="BC187" s="611"/>
      <c r="BD187" s="620"/>
      <c r="BE187" s="117">
        <v>0</v>
      </c>
      <c r="BF187" s="116"/>
      <c r="BG187" s="56"/>
      <c r="BH187" s="611"/>
      <c r="BI187" s="620"/>
      <c r="BJ187" s="117">
        <v>0</v>
      </c>
      <c r="BK187" s="116"/>
      <c r="BL187" s="56"/>
      <c r="BM187" s="611"/>
      <c r="BN187" s="620"/>
      <c r="BO187" s="117">
        <v>0</v>
      </c>
      <c r="BP187" s="116"/>
      <c r="BQ187" s="56"/>
      <c r="BR187" s="611"/>
      <c r="BS187" s="620"/>
      <c r="BT187" s="117">
        <f>SUM(L187:BO187)</f>
        <v>0</v>
      </c>
      <c r="BU187" s="116"/>
      <c r="BV187" s="56"/>
      <c r="BW187" s="611"/>
      <c r="BX187" s="620"/>
      <c r="BY187" s="117">
        <v>0</v>
      </c>
      <c r="BZ187" s="116"/>
      <c r="CA187" s="56"/>
      <c r="CB187" s="611"/>
      <c r="CC187" s="620"/>
      <c r="CD187" s="117">
        <v>0</v>
      </c>
      <c r="CE187" s="116"/>
      <c r="CF187" s="56"/>
      <c r="CG187" s="611"/>
      <c r="CH187" s="620"/>
      <c r="CI187" s="117">
        <v>0</v>
      </c>
      <c r="CJ187" s="116"/>
      <c r="CK187" s="56"/>
      <c r="CL187" s="611"/>
      <c r="CM187" s="620"/>
      <c r="CN187" s="117">
        <v>0</v>
      </c>
      <c r="CO187" s="116"/>
      <c r="CP187" s="56"/>
      <c r="CQ187" s="611"/>
      <c r="CR187" s="620"/>
      <c r="CS187" s="117">
        <v>0</v>
      </c>
      <c r="CT187" s="116"/>
      <c r="CU187" s="56"/>
      <c r="CV187" s="611"/>
      <c r="CW187" s="620"/>
      <c r="CX187" s="117">
        <v>0</v>
      </c>
      <c r="CY187" s="116"/>
      <c r="CZ187" s="56"/>
      <c r="DA187" s="611"/>
      <c r="DB187" s="620"/>
      <c r="DC187" s="117">
        <v>0</v>
      </c>
      <c r="DD187" s="116"/>
      <c r="DE187" s="56"/>
      <c r="DF187" s="611"/>
      <c r="DG187" s="620"/>
      <c r="DH187" s="117">
        <v>0</v>
      </c>
      <c r="DI187" s="116"/>
      <c r="DJ187" s="56"/>
      <c r="DK187" s="611"/>
      <c r="DL187" s="620"/>
      <c r="DM187" s="117">
        <v>0</v>
      </c>
      <c r="DN187" s="116"/>
      <c r="DO187" s="56"/>
      <c r="DP187" s="611"/>
      <c r="DQ187" s="620"/>
      <c r="DR187" s="117">
        <v>0</v>
      </c>
      <c r="DS187" s="116"/>
      <c r="DT187" s="56"/>
      <c r="DU187" s="611"/>
      <c r="DV187" s="620"/>
      <c r="DW187" s="117">
        <v>0</v>
      </c>
      <c r="DX187" s="116"/>
      <c r="DY187" s="56"/>
      <c r="DZ187" s="611"/>
      <c r="EA187" s="620"/>
      <c r="EB187" s="117">
        <v>0</v>
      </c>
      <c r="EC187" s="116"/>
      <c r="ED187" s="56"/>
      <c r="EE187" s="611"/>
      <c r="EF187" s="620"/>
      <c r="EG187" s="117">
        <v>0</v>
      </c>
      <c r="EH187" s="116"/>
      <c r="EI187" s="56"/>
      <c r="EJ187" s="611"/>
      <c r="EK187" s="620"/>
      <c r="EL187" s="117">
        <f>SUM(CD187:EG187)</f>
        <v>0</v>
      </c>
      <c r="EM187" s="116"/>
      <c r="EN187" s="56"/>
      <c r="EO187" s="144"/>
    </row>
    <row r="188" spans="4:148" hidden="1" x14ac:dyDescent="0.3">
      <c r="D188" s="144"/>
      <c r="E188" s="494"/>
      <c r="G188" s="56"/>
      <c r="H188" s="56"/>
      <c r="I188" s="56"/>
      <c r="J188" s="611"/>
      <c r="K188" s="56"/>
      <c r="L188" s="56"/>
      <c r="M188" s="56"/>
      <c r="N188" s="56"/>
      <c r="O188" s="611"/>
      <c r="P188" s="56"/>
      <c r="Q188" s="56"/>
      <c r="R188" s="56"/>
      <c r="S188" s="56"/>
      <c r="T188" s="611"/>
      <c r="U188" s="56"/>
      <c r="V188" s="56"/>
      <c r="W188" s="56"/>
      <c r="X188" s="56"/>
      <c r="Y188" s="611"/>
      <c r="Z188" s="56"/>
      <c r="AA188" s="56"/>
      <c r="AB188" s="56"/>
      <c r="AC188" s="56"/>
      <c r="AD188" s="611"/>
      <c r="AE188" s="56"/>
      <c r="AF188" s="56"/>
      <c r="AG188" s="56"/>
      <c r="AH188" s="56"/>
      <c r="AI188" s="611"/>
      <c r="AJ188" s="56"/>
      <c r="AK188" s="56"/>
      <c r="AL188" s="56"/>
      <c r="AM188" s="56"/>
      <c r="AN188" s="611"/>
      <c r="AO188" s="56"/>
      <c r="AP188" s="56"/>
      <c r="AQ188" s="56"/>
      <c r="AR188" s="56"/>
      <c r="AS188" s="611"/>
      <c r="AT188" s="56"/>
      <c r="AU188" s="56"/>
      <c r="AV188" s="56"/>
      <c r="AW188" s="56"/>
      <c r="AX188" s="611"/>
      <c r="AY188" s="56"/>
      <c r="AZ188" s="56"/>
      <c r="BA188" s="56"/>
      <c r="BB188" s="56"/>
      <c r="BC188" s="611"/>
      <c r="BD188" s="56"/>
      <c r="BE188" s="56"/>
      <c r="BF188" s="56"/>
      <c r="BG188" s="56"/>
      <c r="BH188" s="611"/>
      <c r="BI188" s="56"/>
      <c r="BJ188" s="56"/>
      <c r="BK188" s="56"/>
      <c r="BL188" s="56"/>
      <c r="BM188" s="611"/>
      <c r="BN188" s="56"/>
      <c r="BO188" s="56"/>
      <c r="BP188" s="56"/>
      <c r="BQ188" s="56"/>
      <c r="BR188" s="611"/>
      <c r="BS188" s="56"/>
      <c r="BT188" s="56"/>
      <c r="BU188" s="56"/>
      <c r="BV188" s="56"/>
      <c r="BW188" s="611"/>
      <c r="BX188" s="56"/>
      <c r="BY188" s="56"/>
      <c r="BZ188" s="56"/>
      <c r="CA188" s="56"/>
      <c r="CB188" s="611"/>
      <c r="CC188" s="56"/>
      <c r="CD188" s="56"/>
      <c r="CE188" s="56"/>
      <c r="CF188" s="56"/>
      <c r="CG188" s="611"/>
      <c r="CH188" s="56"/>
      <c r="CI188" s="56"/>
      <c r="CJ188" s="56"/>
      <c r="CK188" s="56"/>
      <c r="CL188" s="611"/>
      <c r="CM188" s="56"/>
      <c r="CN188" s="56"/>
      <c r="CO188" s="56"/>
      <c r="CP188" s="56"/>
      <c r="CQ188" s="611"/>
      <c r="CR188" s="56"/>
      <c r="CS188" s="56"/>
      <c r="CT188" s="56"/>
      <c r="CU188" s="56"/>
      <c r="CV188" s="611"/>
      <c r="CW188" s="56"/>
      <c r="CX188" s="56"/>
      <c r="CY188" s="56"/>
      <c r="CZ188" s="56"/>
      <c r="DA188" s="611"/>
      <c r="DB188" s="56"/>
      <c r="DC188" s="56"/>
      <c r="DD188" s="56"/>
      <c r="DE188" s="56"/>
      <c r="DF188" s="611"/>
      <c r="DG188" s="56"/>
      <c r="DH188" s="56"/>
      <c r="DI188" s="56"/>
      <c r="DJ188" s="56"/>
      <c r="DK188" s="611"/>
      <c r="DL188" s="56"/>
      <c r="DM188" s="56"/>
      <c r="DN188" s="56"/>
      <c r="DO188" s="56"/>
      <c r="DP188" s="611"/>
      <c r="DQ188" s="56"/>
      <c r="DR188" s="56"/>
      <c r="DS188" s="56"/>
      <c r="DT188" s="56"/>
      <c r="DU188" s="611"/>
      <c r="DV188" s="56"/>
      <c r="DW188" s="56"/>
      <c r="DX188" s="56"/>
      <c r="DY188" s="56"/>
      <c r="DZ188" s="611"/>
      <c r="EA188" s="56"/>
      <c r="EB188" s="56"/>
      <c r="EC188" s="56"/>
      <c r="ED188" s="56"/>
      <c r="EE188" s="611"/>
      <c r="EF188" s="56"/>
      <c r="EG188" s="56"/>
      <c r="EH188" s="56"/>
      <c r="EI188" s="56"/>
      <c r="EJ188" s="611"/>
      <c r="EK188" s="56"/>
      <c r="EL188" s="56"/>
      <c r="EM188" s="56"/>
      <c r="EN188" s="56"/>
      <c r="EO188" s="144"/>
    </row>
    <row r="189" spans="4:148" hidden="1" x14ac:dyDescent="0.3">
      <c r="D189" s="144" t="s">
        <v>465</v>
      </c>
      <c r="E189" s="494"/>
      <c r="G189" s="56">
        <f>SUM(G190:G191)</f>
        <v>0</v>
      </c>
      <c r="H189" s="56"/>
      <c r="I189" s="56"/>
      <c r="J189" s="611"/>
      <c r="K189" s="56"/>
      <c r="L189" s="56">
        <f>SUM(L190:L191)</f>
        <v>0</v>
      </c>
      <c r="M189" s="56"/>
      <c r="N189" s="56"/>
      <c r="O189" s="611"/>
      <c r="P189" s="56"/>
      <c r="Q189" s="56">
        <f>SUM(Q190:Q191)</f>
        <v>0</v>
      </c>
      <c r="R189" s="56"/>
      <c r="S189" s="56"/>
      <c r="T189" s="611"/>
      <c r="U189" s="56"/>
      <c r="V189" s="56">
        <f>SUM(V190:V191)</f>
        <v>0</v>
      </c>
      <c r="W189" s="56"/>
      <c r="X189" s="56"/>
      <c r="Y189" s="611"/>
      <c r="Z189" s="56"/>
      <c r="AA189" s="56">
        <f>SUM(AA190:AA191)</f>
        <v>0</v>
      </c>
      <c r="AB189" s="56"/>
      <c r="AC189" s="56"/>
      <c r="AD189" s="611"/>
      <c r="AE189" s="56"/>
      <c r="AF189" s="56">
        <f>SUM(AF190:AF191)</f>
        <v>0</v>
      </c>
      <c r="AG189" s="56"/>
      <c r="AH189" s="56"/>
      <c r="AI189" s="611"/>
      <c r="AJ189" s="56"/>
      <c r="AK189" s="56">
        <f>SUM(AK190:AK191)</f>
        <v>0</v>
      </c>
      <c r="AL189" s="56"/>
      <c r="AM189" s="56"/>
      <c r="AN189" s="611"/>
      <c r="AO189" s="56"/>
      <c r="AP189" s="56">
        <f>SUM(AP190:AP191)</f>
        <v>0</v>
      </c>
      <c r="AQ189" s="56"/>
      <c r="AR189" s="56"/>
      <c r="AS189" s="611"/>
      <c r="AT189" s="56"/>
      <c r="AU189" s="56">
        <f>SUM(AU190:AU191)</f>
        <v>0</v>
      </c>
      <c r="AV189" s="56"/>
      <c r="AW189" s="56"/>
      <c r="AX189" s="611"/>
      <c r="AY189" s="56"/>
      <c r="AZ189" s="56">
        <f>SUM(AZ190:AZ191)</f>
        <v>0</v>
      </c>
      <c r="BA189" s="56"/>
      <c r="BB189" s="56"/>
      <c r="BC189" s="611"/>
      <c r="BD189" s="56"/>
      <c r="BE189" s="56">
        <f>SUM(BE190:BE191)</f>
        <v>0</v>
      </c>
      <c r="BF189" s="56"/>
      <c r="BG189" s="56"/>
      <c r="BH189" s="611"/>
      <c r="BI189" s="56"/>
      <c r="BJ189" s="56">
        <f>SUM(BJ190:BJ191)</f>
        <v>0</v>
      </c>
      <c r="BK189" s="56"/>
      <c r="BL189" s="56"/>
      <c r="BM189" s="611"/>
      <c r="BN189" s="56"/>
      <c r="BO189" s="56">
        <f>SUM(BO190:BO191)</f>
        <v>0</v>
      </c>
      <c r="BP189" s="56"/>
      <c r="BQ189" s="56"/>
      <c r="BR189" s="611"/>
      <c r="BS189" s="56"/>
      <c r="BT189" s="56">
        <f>SUM(BT190:BT191)</f>
        <v>0</v>
      </c>
      <c r="BU189" s="56"/>
      <c r="BV189" s="56"/>
      <c r="BW189" s="611"/>
      <c r="BX189" s="56"/>
      <c r="BY189" s="56">
        <f>SUM(BY190:BY191)</f>
        <v>0</v>
      </c>
      <c r="BZ189" s="56"/>
      <c r="CA189" s="56"/>
      <c r="CB189" s="611"/>
      <c r="CC189" s="56"/>
      <c r="CD189" s="56">
        <f>SUM(CD190:CD191)</f>
        <v>0</v>
      </c>
      <c r="CE189" s="56"/>
      <c r="CF189" s="56"/>
      <c r="CG189" s="611"/>
      <c r="CH189" s="56"/>
      <c r="CI189" s="56">
        <f>SUM(CI190:CI191)</f>
        <v>0</v>
      </c>
      <c r="CJ189" s="56"/>
      <c r="CK189" s="56"/>
      <c r="CL189" s="611"/>
      <c r="CM189" s="56"/>
      <c r="CN189" s="56">
        <f>SUM(CN190:CN191)</f>
        <v>0</v>
      </c>
      <c r="CO189" s="56"/>
      <c r="CP189" s="56"/>
      <c r="CQ189" s="611"/>
      <c r="CR189" s="56"/>
      <c r="CS189" s="56">
        <f>SUM(CS190:CS191)</f>
        <v>0</v>
      </c>
      <c r="CT189" s="56"/>
      <c r="CU189" s="56"/>
      <c r="CV189" s="611"/>
      <c r="CW189" s="56"/>
      <c r="CX189" s="56">
        <f>SUM(CX190:CX191)</f>
        <v>0</v>
      </c>
      <c r="CY189" s="56"/>
      <c r="CZ189" s="56"/>
      <c r="DA189" s="611"/>
      <c r="DB189" s="56"/>
      <c r="DC189" s="56">
        <f>SUM(DC190:DC191)</f>
        <v>0</v>
      </c>
      <c r="DD189" s="56"/>
      <c r="DE189" s="56"/>
      <c r="DF189" s="611"/>
      <c r="DG189" s="56"/>
      <c r="DH189" s="56">
        <f>SUM(DH190:DH191)</f>
        <v>0</v>
      </c>
      <c r="DI189" s="56"/>
      <c r="DJ189" s="56"/>
      <c r="DK189" s="611"/>
      <c r="DL189" s="56"/>
      <c r="DM189" s="56">
        <f>SUM(DM190:DM191)</f>
        <v>0</v>
      </c>
      <c r="DN189" s="56"/>
      <c r="DO189" s="56"/>
      <c r="DP189" s="611"/>
      <c r="DQ189" s="56"/>
      <c r="DR189" s="56">
        <f>SUM(DR190:DR191)</f>
        <v>0</v>
      </c>
      <c r="DS189" s="56"/>
      <c r="DT189" s="56"/>
      <c r="DU189" s="611"/>
      <c r="DV189" s="56"/>
      <c r="DW189" s="56">
        <f>SUM(DW190:DW191)</f>
        <v>0</v>
      </c>
      <c r="DX189" s="56"/>
      <c r="DY189" s="56"/>
      <c r="DZ189" s="611"/>
      <c r="EA189" s="56"/>
      <c r="EB189" s="56">
        <f>SUM(EB190:EB191)</f>
        <v>0</v>
      </c>
      <c r="EC189" s="56"/>
      <c r="ED189" s="56"/>
      <c r="EE189" s="611"/>
      <c r="EF189" s="56"/>
      <c r="EG189" s="56">
        <f>SUM(EG190:EG191)</f>
        <v>0</v>
      </c>
      <c r="EH189" s="56"/>
      <c r="EI189" s="56"/>
      <c r="EJ189" s="611"/>
      <c r="EK189" s="56"/>
      <c r="EL189" s="56">
        <f>SUM(EL190:EL191)</f>
        <v>0</v>
      </c>
      <c r="EM189" s="56"/>
      <c r="EN189" s="56"/>
      <c r="EO189" s="144"/>
    </row>
    <row r="190" spans="4:148" hidden="1" x14ac:dyDescent="0.3">
      <c r="D190" s="144" t="s">
        <v>446</v>
      </c>
      <c r="E190" s="494"/>
      <c r="F190" s="500"/>
      <c r="G190" s="609">
        <v>0</v>
      </c>
      <c r="H190" s="610"/>
      <c r="I190" s="56"/>
      <c r="J190" s="611"/>
      <c r="K190" s="612"/>
      <c r="L190" s="609">
        <v>0</v>
      </c>
      <c r="M190" s="610"/>
      <c r="N190" s="56"/>
      <c r="O190" s="611"/>
      <c r="P190" s="612"/>
      <c r="Q190" s="609">
        <v>0</v>
      </c>
      <c r="R190" s="610"/>
      <c r="S190" s="56"/>
      <c r="T190" s="611"/>
      <c r="U190" s="612"/>
      <c r="V190" s="609">
        <v>0</v>
      </c>
      <c r="W190" s="610"/>
      <c r="X190" s="56"/>
      <c r="Y190" s="611"/>
      <c r="Z190" s="612"/>
      <c r="AA190" s="609">
        <v>0</v>
      </c>
      <c r="AB190" s="610"/>
      <c r="AC190" s="56"/>
      <c r="AD190" s="611"/>
      <c r="AE190" s="612"/>
      <c r="AF190" s="609">
        <v>0</v>
      </c>
      <c r="AG190" s="610"/>
      <c r="AH190" s="56"/>
      <c r="AI190" s="611"/>
      <c r="AJ190" s="612"/>
      <c r="AK190" s="609">
        <v>0</v>
      </c>
      <c r="AL190" s="610"/>
      <c r="AM190" s="56"/>
      <c r="AN190" s="611"/>
      <c r="AO190" s="612"/>
      <c r="AP190" s="609">
        <v>0</v>
      </c>
      <c r="AQ190" s="610"/>
      <c r="AR190" s="56"/>
      <c r="AS190" s="611"/>
      <c r="AT190" s="612"/>
      <c r="AU190" s="609">
        <v>0</v>
      </c>
      <c r="AV190" s="610"/>
      <c r="AW190" s="56"/>
      <c r="AX190" s="611"/>
      <c r="AY190" s="612"/>
      <c r="AZ190" s="609">
        <v>0</v>
      </c>
      <c r="BA190" s="610"/>
      <c r="BB190" s="56"/>
      <c r="BC190" s="611"/>
      <c r="BD190" s="612"/>
      <c r="BE190" s="609">
        <v>0</v>
      </c>
      <c r="BF190" s="610"/>
      <c r="BG190" s="56"/>
      <c r="BH190" s="611"/>
      <c r="BI190" s="612"/>
      <c r="BJ190" s="609">
        <v>0</v>
      </c>
      <c r="BK190" s="610"/>
      <c r="BL190" s="56"/>
      <c r="BM190" s="611"/>
      <c r="BN190" s="612"/>
      <c r="BO190" s="609">
        <v>0</v>
      </c>
      <c r="BP190" s="610"/>
      <c r="BQ190" s="56"/>
      <c r="BR190" s="611"/>
      <c r="BS190" s="612"/>
      <c r="BT190" s="609">
        <f>SUM(L190:BO190)</f>
        <v>0</v>
      </c>
      <c r="BU190" s="610"/>
      <c r="BV190" s="56"/>
      <c r="BW190" s="611"/>
      <c r="BX190" s="612"/>
      <c r="BY190" s="609">
        <v>0</v>
      </c>
      <c r="BZ190" s="610"/>
      <c r="CA190" s="56"/>
      <c r="CB190" s="611"/>
      <c r="CC190" s="612"/>
      <c r="CD190" s="609">
        <v>0</v>
      </c>
      <c r="CE190" s="610"/>
      <c r="CF190" s="56"/>
      <c r="CG190" s="611"/>
      <c r="CH190" s="612"/>
      <c r="CI190" s="609">
        <v>0</v>
      </c>
      <c r="CJ190" s="610"/>
      <c r="CK190" s="56"/>
      <c r="CL190" s="611"/>
      <c r="CM190" s="612"/>
      <c r="CN190" s="609">
        <v>0</v>
      </c>
      <c r="CO190" s="610"/>
      <c r="CP190" s="56"/>
      <c r="CQ190" s="611"/>
      <c r="CR190" s="612"/>
      <c r="CS190" s="609">
        <v>0</v>
      </c>
      <c r="CT190" s="610"/>
      <c r="CU190" s="56"/>
      <c r="CV190" s="611"/>
      <c r="CW190" s="612"/>
      <c r="CX190" s="609">
        <v>0</v>
      </c>
      <c r="CY190" s="610"/>
      <c r="CZ190" s="56"/>
      <c r="DA190" s="611"/>
      <c r="DB190" s="612"/>
      <c r="DC190" s="609">
        <v>0</v>
      </c>
      <c r="DD190" s="610"/>
      <c r="DE190" s="56"/>
      <c r="DF190" s="611"/>
      <c r="DG190" s="612"/>
      <c r="DH190" s="609">
        <v>0</v>
      </c>
      <c r="DI190" s="610"/>
      <c r="DJ190" s="56"/>
      <c r="DK190" s="611"/>
      <c r="DL190" s="612"/>
      <c r="DM190" s="609">
        <v>0</v>
      </c>
      <c r="DN190" s="610"/>
      <c r="DO190" s="56"/>
      <c r="DP190" s="611"/>
      <c r="DQ190" s="612"/>
      <c r="DR190" s="609">
        <v>0</v>
      </c>
      <c r="DS190" s="610"/>
      <c r="DT190" s="56"/>
      <c r="DU190" s="611"/>
      <c r="DV190" s="612"/>
      <c r="DW190" s="609">
        <v>0</v>
      </c>
      <c r="DX190" s="610"/>
      <c r="DY190" s="56"/>
      <c r="DZ190" s="611"/>
      <c r="EA190" s="612"/>
      <c r="EB190" s="609">
        <v>0</v>
      </c>
      <c r="EC190" s="610"/>
      <c r="ED190" s="56"/>
      <c r="EE190" s="611"/>
      <c r="EF190" s="612"/>
      <c r="EG190" s="609">
        <v>0</v>
      </c>
      <c r="EH190" s="610"/>
      <c r="EI190" s="56"/>
      <c r="EJ190" s="611"/>
      <c r="EK190" s="612"/>
      <c r="EL190" s="609">
        <f>SUM(CD190:EG190)</f>
        <v>0</v>
      </c>
      <c r="EM190" s="610"/>
      <c r="EN190" s="56"/>
      <c r="EO190" s="144"/>
    </row>
    <row r="191" spans="4:148" hidden="1" x14ac:dyDescent="0.3">
      <c r="D191" s="144" t="s">
        <v>447</v>
      </c>
      <c r="E191" s="494"/>
      <c r="F191" s="513"/>
      <c r="G191" s="117">
        <v>0</v>
      </c>
      <c r="H191" s="116"/>
      <c r="I191" s="56"/>
      <c r="J191" s="611"/>
      <c r="K191" s="620"/>
      <c r="L191" s="117">
        <v>0</v>
      </c>
      <c r="M191" s="116"/>
      <c r="N191" s="56"/>
      <c r="O191" s="611"/>
      <c r="P191" s="620"/>
      <c r="Q191" s="117">
        <v>0</v>
      </c>
      <c r="R191" s="116"/>
      <c r="S191" s="56"/>
      <c r="T191" s="611"/>
      <c r="U191" s="620"/>
      <c r="V191" s="117">
        <v>0</v>
      </c>
      <c r="W191" s="116"/>
      <c r="X191" s="56"/>
      <c r="Y191" s="611"/>
      <c r="Z191" s="620"/>
      <c r="AA191" s="117">
        <v>0</v>
      </c>
      <c r="AB191" s="116"/>
      <c r="AC191" s="56"/>
      <c r="AD191" s="611"/>
      <c r="AE191" s="620"/>
      <c r="AF191" s="117">
        <v>0</v>
      </c>
      <c r="AG191" s="116"/>
      <c r="AH191" s="56"/>
      <c r="AI191" s="611"/>
      <c r="AJ191" s="620"/>
      <c r="AK191" s="117">
        <v>0</v>
      </c>
      <c r="AL191" s="116"/>
      <c r="AM191" s="56"/>
      <c r="AN191" s="611"/>
      <c r="AO191" s="620"/>
      <c r="AP191" s="117">
        <v>0</v>
      </c>
      <c r="AQ191" s="116"/>
      <c r="AR191" s="56"/>
      <c r="AS191" s="611"/>
      <c r="AT191" s="620"/>
      <c r="AU191" s="117">
        <v>0</v>
      </c>
      <c r="AV191" s="116"/>
      <c r="AW191" s="56"/>
      <c r="AX191" s="611"/>
      <c r="AY191" s="620"/>
      <c r="AZ191" s="117">
        <v>0</v>
      </c>
      <c r="BA191" s="116"/>
      <c r="BB191" s="56"/>
      <c r="BC191" s="611"/>
      <c r="BD191" s="620"/>
      <c r="BE191" s="117">
        <v>0</v>
      </c>
      <c r="BF191" s="116"/>
      <c r="BG191" s="56"/>
      <c r="BH191" s="611"/>
      <c r="BI191" s="620"/>
      <c r="BJ191" s="117">
        <v>0</v>
      </c>
      <c r="BK191" s="116"/>
      <c r="BL191" s="56"/>
      <c r="BM191" s="611"/>
      <c r="BN191" s="620"/>
      <c r="BO191" s="117">
        <v>0</v>
      </c>
      <c r="BP191" s="116"/>
      <c r="BQ191" s="56"/>
      <c r="BR191" s="611"/>
      <c r="BS191" s="620"/>
      <c r="BT191" s="117">
        <f>SUM(L191:BO191)</f>
        <v>0</v>
      </c>
      <c r="BU191" s="116"/>
      <c r="BV191" s="56"/>
      <c r="BW191" s="611"/>
      <c r="BX191" s="620"/>
      <c r="BY191" s="117">
        <v>0</v>
      </c>
      <c r="BZ191" s="116"/>
      <c r="CA191" s="56"/>
      <c r="CB191" s="611"/>
      <c r="CC191" s="620"/>
      <c r="CD191" s="117">
        <v>0</v>
      </c>
      <c r="CE191" s="116"/>
      <c r="CF191" s="56"/>
      <c r="CG191" s="611"/>
      <c r="CH191" s="620"/>
      <c r="CI191" s="117">
        <v>0</v>
      </c>
      <c r="CJ191" s="116"/>
      <c r="CK191" s="56"/>
      <c r="CL191" s="611"/>
      <c r="CM191" s="620"/>
      <c r="CN191" s="117">
        <v>0</v>
      </c>
      <c r="CO191" s="116"/>
      <c r="CP191" s="56"/>
      <c r="CQ191" s="611"/>
      <c r="CR191" s="620"/>
      <c r="CS191" s="117">
        <v>0</v>
      </c>
      <c r="CT191" s="116"/>
      <c r="CU191" s="56"/>
      <c r="CV191" s="611"/>
      <c r="CW191" s="620"/>
      <c r="CX191" s="117">
        <v>0</v>
      </c>
      <c r="CY191" s="116"/>
      <c r="CZ191" s="56"/>
      <c r="DA191" s="611"/>
      <c r="DB191" s="620"/>
      <c r="DC191" s="117">
        <v>0</v>
      </c>
      <c r="DD191" s="116"/>
      <c r="DE191" s="56"/>
      <c r="DF191" s="611"/>
      <c r="DG191" s="620"/>
      <c r="DH191" s="117">
        <v>0</v>
      </c>
      <c r="DI191" s="116"/>
      <c r="DJ191" s="56"/>
      <c r="DK191" s="611"/>
      <c r="DL191" s="620"/>
      <c r="DM191" s="117">
        <v>0</v>
      </c>
      <c r="DN191" s="116"/>
      <c r="DO191" s="56"/>
      <c r="DP191" s="611"/>
      <c r="DQ191" s="620"/>
      <c r="DR191" s="117">
        <v>0</v>
      </c>
      <c r="DS191" s="116"/>
      <c r="DT191" s="56"/>
      <c r="DU191" s="611"/>
      <c r="DV191" s="620"/>
      <c r="DW191" s="117">
        <v>0</v>
      </c>
      <c r="DX191" s="116"/>
      <c r="DY191" s="56"/>
      <c r="DZ191" s="611"/>
      <c r="EA191" s="620"/>
      <c r="EB191" s="117">
        <v>0</v>
      </c>
      <c r="EC191" s="116"/>
      <c r="ED191" s="56"/>
      <c r="EE191" s="611"/>
      <c r="EF191" s="620"/>
      <c r="EG191" s="117">
        <v>0</v>
      </c>
      <c r="EH191" s="116"/>
      <c r="EI191" s="56"/>
      <c r="EJ191" s="611"/>
      <c r="EK191" s="620"/>
      <c r="EL191" s="117">
        <f>SUM(CD191:EG191)</f>
        <v>0</v>
      </c>
      <c r="EM191" s="116"/>
      <c r="EN191" s="56"/>
      <c r="EO191" s="144"/>
    </row>
    <row r="192" spans="4:148" hidden="1" x14ac:dyDescent="0.3">
      <c r="D192" s="144"/>
      <c r="E192" s="494"/>
      <c r="G192" s="56"/>
      <c r="H192" s="56"/>
      <c r="I192" s="56"/>
      <c r="J192" s="611"/>
      <c r="K192" s="56"/>
      <c r="L192" s="56"/>
      <c r="M192" s="56"/>
      <c r="N192" s="56"/>
      <c r="O192" s="611"/>
      <c r="P192" s="56"/>
      <c r="Q192" s="56"/>
      <c r="R192" s="56"/>
      <c r="S192" s="56"/>
      <c r="T192" s="611"/>
      <c r="U192" s="56"/>
      <c r="V192" s="56"/>
      <c r="W192" s="56"/>
      <c r="X192" s="56"/>
      <c r="Y192" s="611"/>
      <c r="Z192" s="56"/>
      <c r="AA192" s="56"/>
      <c r="AB192" s="56"/>
      <c r="AC192" s="56"/>
      <c r="AD192" s="611"/>
      <c r="AE192" s="56"/>
      <c r="AF192" s="56"/>
      <c r="AG192" s="56"/>
      <c r="AH192" s="56"/>
      <c r="AI192" s="611"/>
      <c r="AJ192" s="56"/>
      <c r="AK192" s="56"/>
      <c r="AL192" s="56"/>
      <c r="AM192" s="56"/>
      <c r="AN192" s="611"/>
      <c r="AO192" s="56"/>
      <c r="AP192" s="56"/>
      <c r="AQ192" s="56"/>
      <c r="AR192" s="56"/>
      <c r="AS192" s="611"/>
      <c r="AT192" s="56"/>
      <c r="AU192" s="56"/>
      <c r="AV192" s="56"/>
      <c r="AW192" s="56"/>
      <c r="AX192" s="611"/>
      <c r="AY192" s="56"/>
      <c r="AZ192" s="56"/>
      <c r="BA192" s="56"/>
      <c r="BB192" s="56"/>
      <c r="BC192" s="611"/>
      <c r="BD192" s="56"/>
      <c r="BE192" s="56"/>
      <c r="BF192" s="56"/>
      <c r="BG192" s="56"/>
      <c r="BH192" s="611"/>
      <c r="BI192" s="56"/>
      <c r="BJ192" s="56"/>
      <c r="BK192" s="56"/>
      <c r="BL192" s="56"/>
      <c r="BM192" s="611"/>
      <c r="BN192" s="56"/>
      <c r="BO192" s="56"/>
      <c r="BP192" s="56"/>
      <c r="BQ192" s="56"/>
      <c r="BR192" s="611"/>
      <c r="BS192" s="56"/>
      <c r="BT192" s="56"/>
      <c r="BU192" s="56"/>
      <c r="BV192" s="56"/>
      <c r="BW192" s="611"/>
      <c r="BX192" s="56"/>
      <c r="BY192" s="56"/>
      <c r="BZ192" s="56"/>
      <c r="CA192" s="56"/>
      <c r="CB192" s="611"/>
      <c r="CC192" s="56"/>
      <c r="CD192" s="56"/>
      <c r="CE192" s="56"/>
      <c r="CF192" s="56"/>
      <c r="CG192" s="611"/>
      <c r="CH192" s="56"/>
      <c r="CI192" s="56"/>
      <c r="CJ192" s="56"/>
      <c r="CK192" s="56"/>
      <c r="CL192" s="611"/>
      <c r="CM192" s="56"/>
      <c r="CN192" s="56"/>
      <c r="CO192" s="56"/>
      <c r="CP192" s="56"/>
      <c r="CQ192" s="611"/>
      <c r="CR192" s="56"/>
      <c r="CS192" s="56"/>
      <c r="CT192" s="56"/>
      <c r="CU192" s="56"/>
      <c r="CV192" s="611"/>
      <c r="CW192" s="56"/>
      <c r="CX192" s="56"/>
      <c r="CY192" s="56"/>
      <c r="CZ192" s="56"/>
      <c r="DA192" s="611"/>
      <c r="DB192" s="56"/>
      <c r="DC192" s="56"/>
      <c r="DD192" s="56"/>
      <c r="DE192" s="56"/>
      <c r="DF192" s="611"/>
      <c r="DG192" s="56"/>
      <c r="DH192" s="56"/>
      <c r="DI192" s="56"/>
      <c r="DJ192" s="56"/>
      <c r="DK192" s="611"/>
      <c r="DL192" s="56"/>
      <c r="DM192" s="56"/>
      <c r="DN192" s="56"/>
      <c r="DO192" s="56"/>
      <c r="DP192" s="611"/>
      <c r="DQ192" s="56"/>
      <c r="DR192" s="56"/>
      <c r="DS192" s="56"/>
      <c r="DT192" s="56"/>
      <c r="DU192" s="611"/>
      <c r="DV192" s="56"/>
      <c r="DW192" s="56"/>
      <c r="DX192" s="56"/>
      <c r="DY192" s="56"/>
      <c r="DZ192" s="611"/>
      <c r="EA192" s="56"/>
      <c r="EB192" s="56"/>
      <c r="EC192" s="56"/>
      <c r="ED192" s="56"/>
      <c r="EE192" s="611"/>
      <c r="EF192" s="56"/>
      <c r="EG192" s="56"/>
      <c r="EH192" s="56"/>
      <c r="EI192" s="56"/>
      <c r="EJ192" s="611"/>
      <c r="EK192" s="56"/>
      <c r="EL192" s="56"/>
      <c r="EM192" s="56"/>
      <c r="EN192" s="56"/>
      <c r="EO192" s="144"/>
    </row>
    <row r="193" spans="4:145" hidden="1" x14ac:dyDescent="0.3">
      <c r="D193" s="144" t="s">
        <v>466</v>
      </c>
      <c r="E193" s="494"/>
      <c r="G193" s="56">
        <f>SUM(G194:G195)</f>
        <v>0</v>
      </c>
      <c r="H193" s="56"/>
      <c r="I193" s="56"/>
      <c r="J193" s="611"/>
      <c r="K193" s="56"/>
      <c r="L193" s="56">
        <f>SUM(L194:L195)</f>
        <v>0</v>
      </c>
      <c r="M193" s="56"/>
      <c r="N193" s="56"/>
      <c r="O193" s="611"/>
      <c r="P193" s="56"/>
      <c r="Q193" s="56">
        <f>SUM(Q194:Q195)</f>
        <v>0</v>
      </c>
      <c r="R193" s="56"/>
      <c r="S193" s="56"/>
      <c r="T193" s="611"/>
      <c r="U193" s="56"/>
      <c r="V193" s="56">
        <f>SUM(V194:V195)</f>
        <v>0</v>
      </c>
      <c r="W193" s="56"/>
      <c r="X193" s="56"/>
      <c r="Y193" s="611"/>
      <c r="Z193" s="56"/>
      <c r="AA193" s="56">
        <f>SUM(AA194:AA195)</f>
        <v>0</v>
      </c>
      <c r="AB193" s="56"/>
      <c r="AC193" s="56"/>
      <c r="AD193" s="611"/>
      <c r="AE193" s="56"/>
      <c r="AF193" s="56">
        <f>SUM(AF194:AF195)</f>
        <v>0</v>
      </c>
      <c r="AG193" s="56"/>
      <c r="AH193" s="56"/>
      <c r="AI193" s="611"/>
      <c r="AJ193" s="56"/>
      <c r="AK193" s="56">
        <f>SUM(AK194:AK195)</f>
        <v>0</v>
      </c>
      <c r="AL193" s="56"/>
      <c r="AM193" s="56"/>
      <c r="AN193" s="611"/>
      <c r="AO193" s="56"/>
      <c r="AP193" s="56">
        <f>SUM(AP194:AP195)</f>
        <v>0</v>
      </c>
      <c r="AQ193" s="56"/>
      <c r="AR193" s="56"/>
      <c r="AS193" s="611"/>
      <c r="AT193" s="56"/>
      <c r="AU193" s="56">
        <f>SUM(AU194:AU195)</f>
        <v>0</v>
      </c>
      <c r="AV193" s="56"/>
      <c r="AW193" s="56"/>
      <c r="AX193" s="611"/>
      <c r="AY193" s="56"/>
      <c r="AZ193" s="56">
        <f>SUM(AZ194:AZ195)</f>
        <v>0</v>
      </c>
      <c r="BA193" s="56"/>
      <c r="BB193" s="56"/>
      <c r="BC193" s="611"/>
      <c r="BD193" s="56"/>
      <c r="BE193" s="56">
        <f>SUM(BE194:BE195)</f>
        <v>0</v>
      </c>
      <c r="BF193" s="56"/>
      <c r="BG193" s="56"/>
      <c r="BH193" s="611"/>
      <c r="BI193" s="56"/>
      <c r="BJ193" s="56">
        <f>SUM(BJ194:BJ195)</f>
        <v>0</v>
      </c>
      <c r="BK193" s="56"/>
      <c r="BL193" s="56"/>
      <c r="BM193" s="611"/>
      <c r="BN193" s="56"/>
      <c r="BO193" s="56">
        <f>SUM(BO194:BO195)</f>
        <v>0</v>
      </c>
      <c r="BP193" s="56"/>
      <c r="BQ193" s="56"/>
      <c r="BR193" s="611"/>
      <c r="BS193" s="56"/>
      <c r="BT193" s="56">
        <f>SUM(BT194:BT195)</f>
        <v>0</v>
      </c>
      <c r="BU193" s="56"/>
      <c r="BV193" s="56"/>
      <c r="BW193" s="611"/>
      <c r="BX193" s="56"/>
      <c r="BY193" s="56">
        <f>SUM(BY194:BY195)</f>
        <v>0</v>
      </c>
      <c r="BZ193" s="56"/>
      <c r="CA193" s="56"/>
      <c r="CB193" s="611"/>
      <c r="CC193" s="56"/>
      <c r="CD193" s="56">
        <f>SUM(CD194:CD195)</f>
        <v>0</v>
      </c>
      <c r="CE193" s="56"/>
      <c r="CF193" s="56"/>
      <c r="CG193" s="611"/>
      <c r="CH193" s="56"/>
      <c r="CI193" s="56">
        <f>SUM(CI194:CI195)</f>
        <v>0</v>
      </c>
      <c r="CJ193" s="56"/>
      <c r="CK193" s="56"/>
      <c r="CL193" s="611"/>
      <c r="CM193" s="56"/>
      <c r="CN193" s="56">
        <f>SUM(CN194:CN195)</f>
        <v>0</v>
      </c>
      <c r="CO193" s="56"/>
      <c r="CP193" s="56"/>
      <c r="CQ193" s="611"/>
      <c r="CR193" s="56"/>
      <c r="CS193" s="56">
        <f>SUM(CS194:CS195)</f>
        <v>0</v>
      </c>
      <c r="CT193" s="56"/>
      <c r="CU193" s="56"/>
      <c r="CV193" s="611"/>
      <c r="CW193" s="56"/>
      <c r="CX193" s="56">
        <f>SUM(CX194:CX195)</f>
        <v>0</v>
      </c>
      <c r="CY193" s="56"/>
      <c r="CZ193" s="56"/>
      <c r="DA193" s="611"/>
      <c r="DB193" s="56"/>
      <c r="DC193" s="56">
        <f>SUM(DC194:DC195)</f>
        <v>0</v>
      </c>
      <c r="DD193" s="56"/>
      <c r="DE193" s="56"/>
      <c r="DF193" s="611"/>
      <c r="DG193" s="56"/>
      <c r="DH193" s="56">
        <f>SUM(DH194:DH195)</f>
        <v>0</v>
      </c>
      <c r="DI193" s="56"/>
      <c r="DJ193" s="56"/>
      <c r="DK193" s="611"/>
      <c r="DL193" s="56"/>
      <c r="DM193" s="56">
        <f>SUM(DM194:DM195)</f>
        <v>0</v>
      </c>
      <c r="DN193" s="56"/>
      <c r="DO193" s="56"/>
      <c r="DP193" s="611"/>
      <c r="DQ193" s="56"/>
      <c r="DR193" s="56">
        <f>SUM(DR194:DR195)</f>
        <v>0</v>
      </c>
      <c r="DS193" s="56"/>
      <c r="DT193" s="56"/>
      <c r="DU193" s="611"/>
      <c r="DV193" s="56"/>
      <c r="DW193" s="56">
        <f>SUM(DW194:DW195)</f>
        <v>0</v>
      </c>
      <c r="DX193" s="56"/>
      <c r="DY193" s="56"/>
      <c r="DZ193" s="611"/>
      <c r="EA193" s="56"/>
      <c r="EB193" s="56">
        <f>SUM(EB194:EB195)</f>
        <v>0</v>
      </c>
      <c r="EC193" s="56"/>
      <c r="ED193" s="56"/>
      <c r="EE193" s="611"/>
      <c r="EF193" s="56"/>
      <c r="EG193" s="56">
        <f>SUM(EG194:EG195)</f>
        <v>0</v>
      </c>
      <c r="EH193" s="56"/>
      <c r="EI193" s="56"/>
      <c r="EJ193" s="611"/>
      <c r="EK193" s="56"/>
      <c r="EL193" s="56">
        <f>SUM(EL194:EL195)</f>
        <v>0</v>
      </c>
      <c r="EM193" s="56"/>
      <c r="EN193" s="56"/>
      <c r="EO193" s="144"/>
    </row>
    <row r="194" spans="4:145" hidden="1" x14ac:dyDescent="0.3">
      <c r="D194" s="144" t="s">
        <v>446</v>
      </c>
      <c r="E194" s="494"/>
      <c r="F194" s="500"/>
      <c r="G194" s="609">
        <v>0</v>
      </c>
      <c r="H194" s="610"/>
      <c r="I194" s="56"/>
      <c r="J194" s="611"/>
      <c r="K194" s="612"/>
      <c r="L194" s="609">
        <v>0</v>
      </c>
      <c r="M194" s="610"/>
      <c r="N194" s="56"/>
      <c r="O194" s="611"/>
      <c r="P194" s="612"/>
      <c r="Q194" s="609">
        <v>0</v>
      </c>
      <c r="R194" s="610"/>
      <c r="S194" s="56"/>
      <c r="T194" s="611"/>
      <c r="U194" s="612"/>
      <c r="V194" s="609">
        <v>0</v>
      </c>
      <c r="W194" s="610"/>
      <c r="X194" s="56"/>
      <c r="Y194" s="611"/>
      <c r="Z194" s="612"/>
      <c r="AA194" s="609">
        <v>0</v>
      </c>
      <c r="AB194" s="610"/>
      <c r="AC194" s="56"/>
      <c r="AD194" s="611"/>
      <c r="AE194" s="612"/>
      <c r="AF194" s="609">
        <v>0</v>
      </c>
      <c r="AG194" s="610"/>
      <c r="AH194" s="56"/>
      <c r="AI194" s="611"/>
      <c r="AJ194" s="612"/>
      <c r="AK194" s="609">
        <v>0</v>
      </c>
      <c r="AL194" s="610"/>
      <c r="AM194" s="56"/>
      <c r="AN194" s="611"/>
      <c r="AO194" s="612"/>
      <c r="AP194" s="609">
        <v>0</v>
      </c>
      <c r="AQ194" s="610"/>
      <c r="AR194" s="56"/>
      <c r="AS194" s="611"/>
      <c r="AT194" s="612"/>
      <c r="AU194" s="609">
        <v>0</v>
      </c>
      <c r="AV194" s="610"/>
      <c r="AW194" s="56"/>
      <c r="AX194" s="611"/>
      <c r="AY194" s="612"/>
      <c r="AZ194" s="609">
        <v>0</v>
      </c>
      <c r="BA194" s="610"/>
      <c r="BB194" s="56"/>
      <c r="BC194" s="611"/>
      <c r="BD194" s="612"/>
      <c r="BE194" s="609">
        <v>0</v>
      </c>
      <c r="BF194" s="610"/>
      <c r="BG194" s="56"/>
      <c r="BH194" s="611"/>
      <c r="BI194" s="612"/>
      <c r="BJ194" s="609">
        <v>0</v>
      </c>
      <c r="BK194" s="610"/>
      <c r="BL194" s="56"/>
      <c r="BM194" s="611"/>
      <c r="BN194" s="612"/>
      <c r="BO194" s="609">
        <v>0</v>
      </c>
      <c r="BP194" s="610"/>
      <c r="BQ194" s="56"/>
      <c r="BR194" s="611"/>
      <c r="BS194" s="612"/>
      <c r="BT194" s="609">
        <f>SUM(L194:BO194)</f>
        <v>0</v>
      </c>
      <c r="BU194" s="610"/>
      <c r="BV194" s="56"/>
      <c r="BW194" s="611"/>
      <c r="BX194" s="612"/>
      <c r="BY194" s="609">
        <v>0</v>
      </c>
      <c r="BZ194" s="610"/>
      <c r="CA194" s="56"/>
      <c r="CB194" s="611"/>
      <c r="CC194" s="612"/>
      <c r="CD194" s="609">
        <v>0</v>
      </c>
      <c r="CE194" s="610"/>
      <c r="CF194" s="56"/>
      <c r="CG194" s="611"/>
      <c r="CH194" s="612"/>
      <c r="CI194" s="609">
        <v>0</v>
      </c>
      <c r="CJ194" s="610"/>
      <c r="CK194" s="56"/>
      <c r="CL194" s="611"/>
      <c r="CM194" s="612"/>
      <c r="CN194" s="609">
        <v>0</v>
      </c>
      <c r="CO194" s="610"/>
      <c r="CP194" s="56"/>
      <c r="CQ194" s="611"/>
      <c r="CR194" s="612"/>
      <c r="CS194" s="609">
        <v>0</v>
      </c>
      <c r="CT194" s="610"/>
      <c r="CU194" s="56"/>
      <c r="CV194" s="611"/>
      <c r="CW194" s="612"/>
      <c r="CX194" s="609">
        <v>0</v>
      </c>
      <c r="CY194" s="610"/>
      <c r="CZ194" s="56"/>
      <c r="DA194" s="611"/>
      <c r="DB194" s="612"/>
      <c r="DC194" s="609">
        <v>0</v>
      </c>
      <c r="DD194" s="610"/>
      <c r="DE194" s="56"/>
      <c r="DF194" s="611"/>
      <c r="DG194" s="612"/>
      <c r="DH194" s="609">
        <v>0</v>
      </c>
      <c r="DI194" s="610"/>
      <c r="DJ194" s="56"/>
      <c r="DK194" s="611"/>
      <c r="DL194" s="612"/>
      <c r="DM194" s="609">
        <v>0</v>
      </c>
      <c r="DN194" s="610"/>
      <c r="DO194" s="56"/>
      <c r="DP194" s="611"/>
      <c r="DQ194" s="612"/>
      <c r="DR194" s="609">
        <v>0</v>
      </c>
      <c r="DS194" s="610"/>
      <c r="DT194" s="56"/>
      <c r="DU194" s="611"/>
      <c r="DV194" s="612"/>
      <c r="DW194" s="609">
        <v>0</v>
      </c>
      <c r="DX194" s="610"/>
      <c r="DY194" s="56"/>
      <c r="DZ194" s="611"/>
      <c r="EA194" s="612"/>
      <c r="EB194" s="609">
        <v>0</v>
      </c>
      <c r="EC194" s="610"/>
      <c r="ED194" s="56"/>
      <c r="EE194" s="611"/>
      <c r="EF194" s="612"/>
      <c r="EG194" s="609">
        <v>0</v>
      </c>
      <c r="EH194" s="610"/>
      <c r="EI194" s="56"/>
      <c r="EJ194" s="611"/>
      <c r="EK194" s="612"/>
      <c r="EL194" s="609">
        <f>SUM(CD194:EG194)</f>
        <v>0</v>
      </c>
      <c r="EM194" s="610"/>
      <c r="EN194" s="56"/>
      <c r="EO194" s="144"/>
    </row>
    <row r="195" spans="4:145" hidden="1" x14ac:dyDescent="0.3">
      <c r="D195" s="144" t="s">
        <v>447</v>
      </c>
      <c r="E195" s="494"/>
      <c r="F195" s="513"/>
      <c r="G195" s="117">
        <v>0</v>
      </c>
      <c r="H195" s="116"/>
      <c r="I195" s="56"/>
      <c r="J195" s="611"/>
      <c r="K195" s="620"/>
      <c r="L195" s="117">
        <v>0</v>
      </c>
      <c r="M195" s="116"/>
      <c r="N195" s="56"/>
      <c r="O195" s="611"/>
      <c r="P195" s="620"/>
      <c r="Q195" s="117">
        <v>0</v>
      </c>
      <c r="R195" s="116"/>
      <c r="S195" s="56"/>
      <c r="T195" s="611"/>
      <c r="U195" s="620"/>
      <c r="V195" s="117">
        <v>0</v>
      </c>
      <c r="W195" s="116"/>
      <c r="X195" s="56"/>
      <c r="Y195" s="611"/>
      <c r="Z195" s="620"/>
      <c r="AA195" s="117">
        <v>0</v>
      </c>
      <c r="AB195" s="116"/>
      <c r="AC195" s="56"/>
      <c r="AD195" s="611"/>
      <c r="AE195" s="620"/>
      <c r="AF195" s="117">
        <v>0</v>
      </c>
      <c r="AG195" s="116"/>
      <c r="AH195" s="56"/>
      <c r="AI195" s="611"/>
      <c r="AJ195" s="620"/>
      <c r="AK195" s="117">
        <v>0</v>
      </c>
      <c r="AL195" s="116"/>
      <c r="AM195" s="56"/>
      <c r="AN195" s="611"/>
      <c r="AO195" s="620"/>
      <c r="AP195" s="117">
        <v>0</v>
      </c>
      <c r="AQ195" s="116"/>
      <c r="AR195" s="56"/>
      <c r="AS195" s="611"/>
      <c r="AT195" s="620"/>
      <c r="AU195" s="117">
        <v>0</v>
      </c>
      <c r="AV195" s="116"/>
      <c r="AW195" s="56"/>
      <c r="AX195" s="611"/>
      <c r="AY195" s="620"/>
      <c r="AZ195" s="117">
        <v>0</v>
      </c>
      <c r="BA195" s="116"/>
      <c r="BB195" s="56"/>
      <c r="BC195" s="611"/>
      <c r="BD195" s="620"/>
      <c r="BE195" s="117">
        <v>0</v>
      </c>
      <c r="BF195" s="116"/>
      <c r="BG195" s="56"/>
      <c r="BH195" s="611"/>
      <c r="BI195" s="620"/>
      <c r="BJ195" s="117">
        <v>0</v>
      </c>
      <c r="BK195" s="116"/>
      <c r="BL195" s="56"/>
      <c r="BM195" s="611"/>
      <c r="BN195" s="620"/>
      <c r="BO195" s="117">
        <v>0</v>
      </c>
      <c r="BP195" s="116"/>
      <c r="BQ195" s="56"/>
      <c r="BR195" s="611"/>
      <c r="BS195" s="620"/>
      <c r="BT195" s="117">
        <f>SUM(L195:BO195)</f>
        <v>0</v>
      </c>
      <c r="BU195" s="116"/>
      <c r="BV195" s="56"/>
      <c r="BW195" s="611"/>
      <c r="BX195" s="620"/>
      <c r="BY195" s="117">
        <v>0</v>
      </c>
      <c r="BZ195" s="116"/>
      <c r="CA195" s="56"/>
      <c r="CB195" s="611"/>
      <c r="CC195" s="620"/>
      <c r="CD195" s="117">
        <v>0</v>
      </c>
      <c r="CE195" s="116"/>
      <c r="CF195" s="56"/>
      <c r="CG195" s="611"/>
      <c r="CH195" s="620"/>
      <c r="CI195" s="117">
        <v>0</v>
      </c>
      <c r="CJ195" s="116"/>
      <c r="CK195" s="56"/>
      <c r="CL195" s="611"/>
      <c r="CM195" s="620"/>
      <c r="CN195" s="117">
        <v>0</v>
      </c>
      <c r="CO195" s="116"/>
      <c r="CP195" s="56"/>
      <c r="CQ195" s="611"/>
      <c r="CR195" s="620"/>
      <c r="CS195" s="117">
        <v>0</v>
      </c>
      <c r="CT195" s="116"/>
      <c r="CU195" s="56"/>
      <c r="CV195" s="611"/>
      <c r="CW195" s="620"/>
      <c r="CX195" s="117">
        <v>0</v>
      </c>
      <c r="CY195" s="116"/>
      <c r="CZ195" s="56"/>
      <c r="DA195" s="611"/>
      <c r="DB195" s="620"/>
      <c r="DC195" s="117">
        <v>0</v>
      </c>
      <c r="DD195" s="116"/>
      <c r="DE195" s="56"/>
      <c r="DF195" s="611"/>
      <c r="DG195" s="620"/>
      <c r="DH195" s="117">
        <v>0</v>
      </c>
      <c r="DI195" s="116"/>
      <c r="DJ195" s="56"/>
      <c r="DK195" s="611"/>
      <c r="DL195" s="620"/>
      <c r="DM195" s="117">
        <v>0</v>
      </c>
      <c r="DN195" s="116"/>
      <c r="DO195" s="56"/>
      <c r="DP195" s="611"/>
      <c r="DQ195" s="620"/>
      <c r="DR195" s="117">
        <v>0</v>
      </c>
      <c r="DS195" s="116"/>
      <c r="DT195" s="56"/>
      <c r="DU195" s="611"/>
      <c r="DV195" s="620"/>
      <c r="DW195" s="117">
        <v>0</v>
      </c>
      <c r="DX195" s="116"/>
      <c r="DY195" s="56"/>
      <c r="DZ195" s="611"/>
      <c r="EA195" s="620"/>
      <c r="EB195" s="117">
        <v>0</v>
      </c>
      <c r="EC195" s="116"/>
      <c r="ED195" s="56"/>
      <c r="EE195" s="611"/>
      <c r="EF195" s="620"/>
      <c r="EG195" s="117">
        <v>0</v>
      </c>
      <c r="EH195" s="116"/>
      <c r="EI195" s="56"/>
      <c r="EJ195" s="611"/>
      <c r="EK195" s="620"/>
      <c r="EL195" s="117">
        <f>SUM(CD195:EG195)</f>
        <v>0</v>
      </c>
      <c r="EM195" s="116"/>
      <c r="EN195" s="56"/>
      <c r="EO195" s="144"/>
    </row>
    <row r="196" spans="4:145" hidden="1" x14ac:dyDescent="0.3">
      <c r="D196" s="144"/>
      <c r="E196" s="494"/>
      <c r="G196" s="56"/>
      <c r="H196" s="56"/>
      <c r="I196" s="56"/>
      <c r="J196" s="611"/>
      <c r="K196" s="56"/>
      <c r="L196" s="56"/>
      <c r="M196" s="56"/>
      <c r="N196" s="56"/>
      <c r="O196" s="611"/>
      <c r="P196" s="56"/>
      <c r="Q196" s="56"/>
      <c r="R196" s="56"/>
      <c r="S196" s="56"/>
      <c r="T196" s="611"/>
      <c r="U196" s="56"/>
      <c r="V196" s="56"/>
      <c r="W196" s="56"/>
      <c r="X196" s="56"/>
      <c r="Y196" s="611"/>
      <c r="Z196" s="56"/>
      <c r="AA196" s="56"/>
      <c r="AB196" s="56"/>
      <c r="AC196" s="56"/>
      <c r="AD196" s="611"/>
      <c r="AE196" s="56"/>
      <c r="AF196" s="56"/>
      <c r="AG196" s="56"/>
      <c r="AH196" s="56"/>
      <c r="AI196" s="611"/>
      <c r="AJ196" s="56"/>
      <c r="AK196" s="56"/>
      <c r="AL196" s="56"/>
      <c r="AM196" s="56"/>
      <c r="AN196" s="611"/>
      <c r="AO196" s="56"/>
      <c r="AP196" s="56"/>
      <c r="AQ196" s="56"/>
      <c r="AR196" s="56"/>
      <c r="AS196" s="611"/>
      <c r="AT196" s="56"/>
      <c r="AU196" s="56"/>
      <c r="AV196" s="56"/>
      <c r="AW196" s="56"/>
      <c r="AX196" s="611"/>
      <c r="AY196" s="56"/>
      <c r="AZ196" s="56"/>
      <c r="BA196" s="56"/>
      <c r="BB196" s="56"/>
      <c r="BC196" s="611"/>
      <c r="BD196" s="56"/>
      <c r="BE196" s="56"/>
      <c r="BF196" s="56"/>
      <c r="BG196" s="56"/>
      <c r="BH196" s="611"/>
      <c r="BI196" s="56"/>
      <c r="BJ196" s="56"/>
      <c r="BK196" s="56"/>
      <c r="BL196" s="56"/>
      <c r="BM196" s="611"/>
      <c r="BN196" s="56"/>
      <c r="BO196" s="56"/>
      <c r="BP196" s="56"/>
      <c r="BQ196" s="56"/>
      <c r="BR196" s="611"/>
      <c r="BS196" s="56"/>
      <c r="BT196" s="56"/>
      <c r="BU196" s="56"/>
      <c r="BV196" s="56"/>
      <c r="BW196" s="611"/>
      <c r="BX196" s="56"/>
      <c r="BY196" s="56"/>
      <c r="BZ196" s="56"/>
      <c r="CA196" s="56"/>
      <c r="CB196" s="611"/>
      <c r="CC196" s="56"/>
      <c r="CD196" s="56"/>
      <c r="CE196" s="56"/>
      <c r="CF196" s="56"/>
      <c r="CG196" s="611"/>
      <c r="CH196" s="56"/>
      <c r="CI196" s="56"/>
      <c r="CJ196" s="56"/>
      <c r="CK196" s="56"/>
      <c r="CL196" s="611"/>
      <c r="CM196" s="56"/>
      <c r="CN196" s="56"/>
      <c r="CO196" s="56"/>
      <c r="CP196" s="56"/>
      <c r="CQ196" s="611"/>
      <c r="CR196" s="56"/>
      <c r="CS196" s="56"/>
      <c r="CT196" s="56"/>
      <c r="CU196" s="56"/>
      <c r="CV196" s="611"/>
      <c r="CW196" s="56"/>
      <c r="CX196" s="56"/>
      <c r="CY196" s="56"/>
      <c r="CZ196" s="56"/>
      <c r="DA196" s="611"/>
      <c r="DB196" s="56"/>
      <c r="DC196" s="56"/>
      <c r="DD196" s="56"/>
      <c r="DE196" s="56"/>
      <c r="DF196" s="611"/>
      <c r="DG196" s="56"/>
      <c r="DH196" s="56"/>
      <c r="DI196" s="56"/>
      <c r="DJ196" s="56"/>
      <c r="DK196" s="611"/>
      <c r="DL196" s="56"/>
      <c r="DM196" s="56"/>
      <c r="DN196" s="56"/>
      <c r="DO196" s="56"/>
      <c r="DP196" s="611"/>
      <c r="DQ196" s="56"/>
      <c r="DR196" s="56"/>
      <c r="DS196" s="56"/>
      <c r="DT196" s="56"/>
      <c r="DU196" s="611"/>
      <c r="DV196" s="56"/>
      <c r="DW196" s="56"/>
      <c r="DX196" s="56"/>
      <c r="DY196" s="56"/>
      <c r="DZ196" s="611"/>
      <c r="EA196" s="56"/>
      <c r="EB196" s="56"/>
      <c r="EC196" s="56"/>
      <c r="ED196" s="56"/>
      <c r="EE196" s="611"/>
      <c r="EF196" s="56"/>
      <c r="EG196" s="56"/>
      <c r="EH196" s="56"/>
      <c r="EI196" s="56"/>
      <c r="EJ196" s="611"/>
      <c r="EK196" s="56"/>
      <c r="EL196" s="56"/>
      <c r="EM196" s="56"/>
      <c r="EN196" s="56"/>
      <c r="EO196" s="144"/>
    </row>
    <row r="197" spans="4:145" x14ac:dyDescent="0.3">
      <c r="D197" s="230"/>
      <c r="E197" s="627"/>
      <c r="F197" s="138"/>
      <c r="G197" s="126"/>
      <c r="H197" s="126"/>
      <c r="I197" s="126"/>
      <c r="J197" s="628"/>
      <c r="K197" s="126"/>
      <c r="L197" s="126"/>
      <c r="M197" s="126"/>
      <c r="N197" s="126"/>
      <c r="O197" s="628"/>
      <c r="P197" s="126"/>
      <c r="Q197" s="126"/>
      <c r="R197" s="126"/>
      <c r="S197" s="126"/>
      <c r="T197" s="628"/>
      <c r="U197" s="126"/>
      <c r="V197" s="126"/>
      <c r="W197" s="126"/>
      <c r="X197" s="126"/>
      <c r="Y197" s="628"/>
      <c r="Z197" s="126"/>
      <c r="AA197" s="126"/>
      <c r="AB197" s="126"/>
      <c r="AC197" s="126"/>
      <c r="AD197" s="628"/>
      <c r="AE197" s="126"/>
      <c r="AF197" s="126"/>
      <c r="AG197" s="126"/>
      <c r="AH197" s="126"/>
      <c r="AI197" s="628"/>
      <c r="AJ197" s="126"/>
      <c r="AK197" s="126"/>
      <c r="AL197" s="126"/>
      <c r="AM197" s="126"/>
      <c r="AN197" s="628"/>
      <c r="AO197" s="126"/>
      <c r="AP197" s="126"/>
      <c r="AQ197" s="126"/>
      <c r="AR197" s="126"/>
      <c r="AS197" s="628"/>
      <c r="AT197" s="126"/>
      <c r="AU197" s="126"/>
      <c r="AV197" s="126"/>
      <c r="AW197" s="126"/>
      <c r="AX197" s="628"/>
      <c r="AY197" s="126"/>
      <c r="AZ197" s="126"/>
      <c r="BA197" s="126"/>
      <c r="BB197" s="126"/>
      <c r="BC197" s="628"/>
      <c r="BD197" s="126"/>
      <c r="BE197" s="126"/>
      <c r="BF197" s="126"/>
      <c r="BG197" s="126"/>
      <c r="BH197" s="628"/>
      <c r="BI197" s="126"/>
      <c r="BJ197" s="126"/>
      <c r="BK197" s="126"/>
      <c r="BL197" s="126"/>
      <c r="BM197" s="628"/>
      <c r="BN197" s="126"/>
      <c r="BO197" s="126"/>
      <c r="BP197" s="126"/>
      <c r="BQ197" s="126"/>
      <c r="BR197" s="628"/>
      <c r="BS197" s="126"/>
      <c r="BT197" s="126"/>
      <c r="BU197" s="126"/>
      <c r="BV197" s="126"/>
      <c r="BW197" s="628"/>
      <c r="BX197" s="126"/>
      <c r="BY197" s="126"/>
      <c r="BZ197" s="126"/>
      <c r="CA197" s="126"/>
      <c r="CB197" s="628"/>
      <c r="CC197" s="126"/>
      <c r="CD197" s="126"/>
      <c r="CE197" s="126"/>
      <c r="CF197" s="126"/>
      <c r="CG197" s="628"/>
      <c r="CH197" s="126"/>
      <c r="CI197" s="126"/>
      <c r="CJ197" s="126"/>
      <c r="CK197" s="126"/>
      <c r="CL197" s="628"/>
      <c r="CM197" s="126"/>
      <c r="CN197" s="126"/>
      <c r="CO197" s="126"/>
      <c r="CP197" s="126"/>
      <c r="CQ197" s="628"/>
      <c r="CR197" s="126"/>
      <c r="CS197" s="126"/>
      <c r="CT197" s="126"/>
      <c r="CU197" s="126"/>
      <c r="CV197" s="628"/>
      <c r="CW197" s="126"/>
      <c r="CX197" s="126"/>
      <c r="CY197" s="126"/>
      <c r="CZ197" s="126"/>
      <c r="DA197" s="628"/>
      <c r="DB197" s="126"/>
      <c r="DC197" s="126"/>
      <c r="DD197" s="126"/>
      <c r="DE197" s="126"/>
      <c r="DF197" s="628"/>
      <c r="DG197" s="126"/>
      <c r="DH197" s="126"/>
      <c r="DI197" s="126"/>
      <c r="DJ197" s="126"/>
      <c r="DK197" s="628"/>
      <c r="DL197" s="126"/>
      <c r="DM197" s="126"/>
      <c r="DN197" s="126"/>
      <c r="DO197" s="126"/>
      <c r="DP197" s="628"/>
      <c r="DQ197" s="126"/>
      <c r="DR197" s="126"/>
      <c r="DS197" s="126"/>
      <c r="DT197" s="126"/>
      <c r="DU197" s="628"/>
      <c r="DV197" s="126"/>
      <c r="DW197" s="126"/>
      <c r="DX197" s="126"/>
      <c r="DY197" s="126"/>
      <c r="DZ197" s="628"/>
      <c r="EA197" s="126"/>
      <c r="EB197" s="126"/>
      <c r="EC197" s="126"/>
      <c r="ED197" s="126"/>
      <c r="EE197" s="628"/>
      <c r="EF197" s="126"/>
      <c r="EG197" s="126"/>
      <c r="EH197" s="126"/>
      <c r="EI197" s="126"/>
      <c r="EJ197" s="628"/>
      <c r="EK197" s="126"/>
      <c r="EL197" s="126"/>
      <c r="EM197" s="126"/>
      <c r="EN197" s="127"/>
      <c r="EO197" s="144"/>
    </row>
    <row r="198" spans="4:145" x14ac:dyDescent="0.3"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</row>
    <row r="199" spans="4:145" ht="6" customHeight="1" x14ac:dyDescent="0.3"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</row>
    <row r="200" spans="4:145" x14ac:dyDescent="0.3"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</row>
    <row r="201" spans="4:145" x14ac:dyDescent="0.3">
      <c r="D201" s="159"/>
      <c r="E201" s="159"/>
      <c r="F201" s="159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</row>
    <row r="203" spans="4:145" ht="13.5" customHeight="1" x14ac:dyDescent="0.3"/>
    <row r="204" spans="4:145" hidden="1" x14ac:dyDescent="0.3">
      <c r="L204" s="136">
        <f t="shared" ref="L204:BO208" si="18">L12-CD12</f>
        <v>46626420</v>
      </c>
      <c r="M204" s="136">
        <f t="shared" si="18"/>
        <v>0</v>
      </c>
      <c r="N204" s="136">
        <f t="shared" si="18"/>
        <v>0</v>
      </c>
      <c r="O204" s="136">
        <f t="shared" si="18"/>
        <v>0</v>
      </c>
      <c r="P204" s="136">
        <f t="shared" si="18"/>
        <v>0</v>
      </c>
      <c r="Q204" s="136">
        <f t="shared" si="18"/>
        <v>0</v>
      </c>
      <c r="R204" s="136">
        <f t="shared" si="18"/>
        <v>0</v>
      </c>
      <c r="S204" s="136">
        <f t="shared" si="18"/>
        <v>0</v>
      </c>
      <c r="T204" s="136">
        <f t="shared" si="18"/>
        <v>0</v>
      </c>
      <c r="U204" s="136">
        <f t="shared" si="18"/>
        <v>0</v>
      </c>
      <c r="V204" s="136">
        <f t="shared" si="18"/>
        <v>-14088400</v>
      </c>
      <c r="W204" s="136">
        <f t="shared" si="18"/>
        <v>0</v>
      </c>
      <c r="X204" s="136">
        <f t="shared" si="18"/>
        <v>0</v>
      </c>
      <c r="Y204" s="136">
        <f t="shared" si="18"/>
        <v>0</v>
      </c>
      <c r="Z204" s="136">
        <f t="shared" si="18"/>
        <v>0</v>
      </c>
      <c r="AA204" s="136">
        <f t="shared" si="18"/>
        <v>0</v>
      </c>
      <c r="AB204" s="136">
        <f t="shared" si="18"/>
        <v>0</v>
      </c>
      <c r="AC204" s="136">
        <f t="shared" si="18"/>
        <v>0</v>
      </c>
      <c r="AD204" s="136">
        <f t="shared" si="18"/>
        <v>0</v>
      </c>
      <c r="AE204" s="136">
        <f t="shared" si="18"/>
        <v>0</v>
      </c>
      <c r="AF204" s="136">
        <f t="shared" si="18"/>
        <v>0</v>
      </c>
      <c r="AG204" s="136">
        <f t="shared" si="18"/>
        <v>0</v>
      </c>
      <c r="AH204" s="136">
        <f t="shared" si="18"/>
        <v>0</v>
      </c>
      <c r="AI204" s="136">
        <f t="shared" si="18"/>
        <v>0</v>
      </c>
      <c r="AJ204" s="136">
        <f t="shared" si="18"/>
        <v>0</v>
      </c>
      <c r="AK204" s="136">
        <f t="shared" si="18"/>
        <v>6790681</v>
      </c>
      <c r="AL204" s="136">
        <f t="shared" si="18"/>
        <v>0</v>
      </c>
      <c r="AM204" s="136">
        <f t="shared" si="18"/>
        <v>0</v>
      </c>
      <c r="AN204" s="136">
        <f t="shared" si="18"/>
        <v>0</v>
      </c>
      <c r="AO204" s="136">
        <f t="shared" si="18"/>
        <v>0</v>
      </c>
      <c r="AP204" s="136">
        <f t="shared" si="18"/>
        <v>0</v>
      </c>
      <c r="AQ204" s="136">
        <f t="shared" si="18"/>
        <v>0</v>
      </c>
      <c r="AR204" s="136">
        <f t="shared" si="18"/>
        <v>0</v>
      </c>
      <c r="AS204" s="136">
        <f t="shared" si="18"/>
        <v>0</v>
      </c>
      <c r="AT204" s="136">
        <f t="shared" si="18"/>
        <v>0</v>
      </c>
      <c r="AU204" s="136">
        <f t="shared" si="18"/>
        <v>-6098240</v>
      </c>
      <c r="AV204" s="136">
        <f t="shared" si="18"/>
        <v>0</v>
      </c>
      <c r="AW204" s="136">
        <f t="shared" si="18"/>
        <v>0</v>
      </c>
      <c r="AX204" s="136">
        <f t="shared" si="18"/>
        <v>0</v>
      </c>
      <c r="AY204" s="136">
        <f t="shared" si="18"/>
        <v>0</v>
      </c>
      <c r="AZ204" s="136">
        <f t="shared" si="18"/>
        <v>5451574</v>
      </c>
      <c r="BA204" s="136">
        <f t="shared" si="18"/>
        <v>0</v>
      </c>
      <c r="BB204" s="136">
        <f t="shared" si="18"/>
        <v>0</v>
      </c>
      <c r="BC204" s="136">
        <f t="shared" si="18"/>
        <v>0</v>
      </c>
      <c r="BD204" s="136">
        <f t="shared" si="18"/>
        <v>0</v>
      </c>
      <c r="BE204" s="136">
        <f t="shared" si="18"/>
        <v>5596913</v>
      </c>
      <c r="BF204" s="136">
        <f t="shared" si="18"/>
        <v>0</v>
      </c>
      <c r="BG204" s="136">
        <f t="shared" si="18"/>
        <v>0</v>
      </c>
      <c r="BH204" s="136">
        <f t="shared" si="18"/>
        <v>0</v>
      </c>
      <c r="BI204" s="136">
        <f t="shared" si="18"/>
        <v>0</v>
      </c>
      <c r="BJ204" s="136">
        <f t="shared" si="18"/>
        <v>0</v>
      </c>
      <c r="BK204" s="136">
        <f t="shared" si="18"/>
        <v>0</v>
      </c>
      <c r="BL204" s="136">
        <f t="shared" si="18"/>
        <v>0</v>
      </c>
      <c r="BM204" s="136">
        <f t="shared" si="18"/>
        <v>0</v>
      </c>
      <c r="BN204" s="136">
        <f t="shared" si="18"/>
        <v>0</v>
      </c>
      <c r="BO204" s="136">
        <f t="shared" si="18"/>
        <v>-11128875</v>
      </c>
    </row>
    <row r="205" spans="4:145" hidden="1" x14ac:dyDescent="0.3">
      <c r="L205" s="136">
        <f t="shared" si="18"/>
        <v>46626420</v>
      </c>
      <c r="M205" s="136">
        <f t="shared" si="18"/>
        <v>0</v>
      </c>
      <c r="N205" s="136">
        <f t="shared" si="18"/>
        <v>0</v>
      </c>
      <c r="O205" s="136">
        <f t="shared" si="18"/>
        <v>0</v>
      </c>
      <c r="P205" s="136">
        <f t="shared" si="18"/>
        <v>0</v>
      </c>
      <c r="Q205" s="136">
        <f t="shared" si="18"/>
        <v>0</v>
      </c>
      <c r="R205" s="136">
        <f t="shared" si="18"/>
        <v>0</v>
      </c>
      <c r="S205" s="136">
        <f t="shared" si="18"/>
        <v>0</v>
      </c>
      <c r="T205" s="136">
        <f t="shared" si="18"/>
        <v>0</v>
      </c>
      <c r="U205" s="136">
        <f t="shared" si="18"/>
        <v>0</v>
      </c>
      <c r="V205" s="136">
        <f t="shared" si="18"/>
        <v>-14088400</v>
      </c>
      <c r="W205" s="136">
        <f t="shared" si="18"/>
        <v>0</v>
      </c>
      <c r="X205" s="136">
        <f t="shared" si="18"/>
        <v>0</v>
      </c>
      <c r="Y205" s="136">
        <f t="shared" si="18"/>
        <v>0</v>
      </c>
      <c r="Z205" s="136">
        <f t="shared" si="18"/>
        <v>0</v>
      </c>
      <c r="AA205" s="136">
        <f t="shared" si="18"/>
        <v>0</v>
      </c>
      <c r="AB205" s="136">
        <f t="shared" si="18"/>
        <v>0</v>
      </c>
      <c r="AC205" s="136">
        <f t="shared" si="18"/>
        <v>0</v>
      </c>
      <c r="AD205" s="136">
        <f t="shared" si="18"/>
        <v>0</v>
      </c>
      <c r="AE205" s="136">
        <f t="shared" si="18"/>
        <v>0</v>
      </c>
      <c r="AF205" s="136">
        <f t="shared" si="18"/>
        <v>0</v>
      </c>
      <c r="AG205" s="136">
        <f t="shared" si="18"/>
        <v>0</v>
      </c>
      <c r="AH205" s="136">
        <f t="shared" si="18"/>
        <v>0</v>
      </c>
      <c r="AI205" s="136">
        <f t="shared" si="18"/>
        <v>0</v>
      </c>
      <c r="AJ205" s="136">
        <f t="shared" si="18"/>
        <v>0</v>
      </c>
      <c r="AK205" s="136">
        <f t="shared" si="18"/>
        <v>6790681</v>
      </c>
      <c r="AL205" s="136">
        <f t="shared" si="18"/>
        <v>0</v>
      </c>
      <c r="AM205" s="136">
        <f t="shared" si="18"/>
        <v>0</v>
      </c>
      <c r="AN205" s="136">
        <f t="shared" si="18"/>
        <v>0</v>
      </c>
      <c r="AO205" s="136">
        <f t="shared" si="18"/>
        <v>0</v>
      </c>
      <c r="AP205" s="136">
        <f t="shared" si="18"/>
        <v>0</v>
      </c>
      <c r="AQ205" s="136">
        <f t="shared" si="18"/>
        <v>0</v>
      </c>
      <c r="AR205" s="136">
        <f t="shared" si="18"/>
        <v>0</v>
      </c>
      <c r="AS205" s="136">
        <f t="shared" si="18"/>
        <v>0</v>
      </c>
      <c r="AT205" s="136">
        <f t="shared" si="18"/>
        <v>0</v>
      </c>
      <c r="AU205" s="136">
        <f t="shared" si="18"/>
        <v>-6098240</v>
      </c>
      <c r="AV205" s="136">
        <f t="shared" si="18"/>
        <v>0</v>
      </c>
      <c r="AW205" s="136">
        <f t="shared" si="18"/>
        <v>0</v>
      </c>
      <c r="AX205" s="136">
        <f t="shared" si="18"/>
        <v>0</v>
      </c>
      <c r="AY205" s="136">
        <f t="shared" si="18"/>
        <v>0</v>
      </c>
      <c r="AZ205" s="136">
        <f t="shared" si="18"/>
        <v>5451574</v>
      </c>
      <c r="BA205" s="136">
        <f t="shared" si="18"/>
        <v>0</v>
      </c>
      <c r="BB205" s="136">
        <f t="shared" si="18"/>
        <v>0</v>
      </c>
      <c r="BC205" s="136">
        <f t="shared" si="18"/>
        <v>0</v>
      </c>
      <c r="BD205" s="136">
        <f t="shared" si="18"/>
        <v>0</v>
      </c>
      <c r="BE205" s="136">
        <f t="shared" si="18"/>
        <v>5596913</v>
      </c>
      <c r="BF205" s="136">
        <f t="shared" si="18"/>
        <v>0</v>
      </c>
      <c r="BG205" s="136">
        <f t="shared" si="18"/>
        <v>0</v>
      </c>
      <c r="BH205" s="136">
        <f t="shared" si="18"/>
        <v>0</v>
      </c>
      <c r="BI205" s="136">
        <f t="shared" si="18"/>
        <v>0</v>
      </c>
      <c r="BJ205" s="136">
        <f t="shared" si="18"/>
        <v>0</v>
      </c>
      <c r="BK205" s="136">
        <f t="shared" si="18"/>
        <v>0</v>
      </c>
      <c r="BL205" s="136">
        <f t="shared" si="18"/>
        <v>0</v>
      </c>
      <c r="BM205" s="136">
        <f t="shared" si="18"/>
        <v>0</v>
      </c>
      <c r="BN205" s="136">
        <f t="shared" si="18"/>
        <v>0</v>
      </c>
      <c r="BO205" s="136">
        <f t="shared" si="18"/>
        <v>-11128875</v>
      </c>
    </row>
    <row r="206" spans="4:145" hidden="1" x14ac:dyDescent="0.3">
      <c r="L206" s="136">
        <f t="shared" si="18"/>
        <v>0</v>
      </c>
      <c r="M206" s="136">
        <f t="shared" si="18"/>
        <v>0</v>
      </c>
      <c r="N206" s="136">
        <f t="shared" si="18"/>
        <v>0</v>
      </c>
      <c r="O206" s="136">
        <f t="shared" si="18"/>
        <v>0</v>
      </c>
      <c r="P206" s="136">
        <f t="shared" si="18"/>
        <v>0</v>
      </c>
      <c r="Q206" s="136">
        <f t="shared" si="18"/>
        <v>0</v>
      </c>
      <c r="R206" s="136">
        <f t="shared" si="18"/>
        <v>0</v>
      </c>
      <c r="S206" s="136">
        <f t="shared" si="18"/>
        <v>0</v>
      </c>
      <c r="T206" s="136">
        <f t="shared" si="18"/>
        <v>0</v>
      </c>
      <c r="U206" s="136">
        <f t="shared" si="18"/>
        <v>0</v>
      </c>
      <c r="V206" s="136">
        <f t="shared" si="18"/>
        <v>0</v>
      </c>
      <c r="W206" s="136">
        <f t="shared" si="18"/>
        <v>0</v>
      </c>
      <c r="X206" s="136">
        <f t="shared" si="18"/>
        <v>0</v>
      </c>
      <c r="Y206" s="136">
        <f t="shared" si="18"/>
        <v>0</v>
      </c>
      <c r="Z206" s="136">
        <f t="shared" si="18"/>
        <v>0</v>
      </c>
      <c r="AA206" s="136">
        <f t="shared" si="18"/>
        <v>0</v>
      </c>
      <c r="AB206" s="136">
        <f t="shared" si="18"/>
        <v>0</v>
      </c>
      <c r="AC206" s="136">
        <f t="shared" si="18"/>
        <v>0</v>
      </c>
      <c r="AD206" s="136">
        <f t="shared" si="18"/>
        <v>0</v>
      </c>
      <c r="AE206" s="136">
        <f t="shared" si="18"/>
        <v>0</v>
      </c>
      <c r="AF206" s="136">
        <f t="shared" si="18"/>
        <v>0</v>
      </c>
      <c r="AG206" s="136">
        <f t="shared" si="18"/>
        <v>0</v>
      </c>
      <c r="AH206" s="136">
        <f t="shared" si="18"/>
        <v>0</v>
      </c>
      <c r="AI206" s="136">
        <f t="shared" si="18"/>
        <v>0</v>
      </c>
      <c r="AJ206" s="136">
        <f t="shared" si="18"/>
        <v>0</v>
      </c>
      <c r="AK206" s="136">
        <f t="shared" si="18"/>
        <v>0</v>
      </c>
      <c r="AL206" s="136">
        <f t="shared" si="18"/>
        <v>0</v>
      </c>
      <c r="AM206" s="136">
        <f t="shared" si="18"/>
        <v>0</v>
      </c>
      <c r="AN206" s="136">
        <f t="shared" si="18"/>
        <v>0</v>
      </c>
      <c r="AO206" s="136">
        <f t="shared" si="18"/>
        <v>0</v>
      </c>
      <c r="AP206" s="136">
        <f t="shared" si="18"/>
        <v>0</v>
      </c>
      <c r="AQ206" s="136">
        <f t="shared" si="18"/>
        <v>0</v>
      </c>
      <c r="AR206" s="136">
        <f t="shared" si="18"/>
        <v>0</v>
      </c>
      <c r="AS206" s="136">
        <f t="shared" si="18"/>
        <v>0</v>
      </c>
      <c r="AT206" s="136">
        <f t="shared" si="18"/>
        <v>0</v>
      </c>
      <c r="AU206" s="136">
        <f t="shared" si="18"/>
        <v>0</v>
      </c>
      <c r="AV206" s="136">
        <f t="shared" si="18"/>
        <v>0</v>
      </c>
      <c r="AW206" s="136">
        <f t="shared" si="18"/>
        <v>0</v>
      </c>
      <c r="AX206" s="136">
        <f t="shared" si="18"/>
        <v>0</v>
      </c>
      <c r="AY206" s="136">
        <f t="shared" si="18"/>
        <v>0</v>
      </c>
      <c r="AZ206" s="136">
        <f t="shared" si="18"/>
        <v>0</v>
      </c>
      <c r="BA206" s="136">
        <f t="shared" si="18"/>
        <v>0</v>
      </c>
      <c r="BB206" s="136">
        <f t="shared" si="18"/>
        <v>0</v>
      </c>
      <c r="BC206" s="136">
        <f t="shared" si="18"/>
        <v>0</v>
      </c>
      <c r="BD206" s="136">
        <f t="shared" si="18"/>
        <v>0</v>
      </c>
      <c r="BE206" s="136">
        <f t="shared" si="18"/>
        <v>0</v>
      </c>
      <c r="BF206" s="136">
        <f t="shared" si="18"/>
        <v>0</v>
      </c>
      <c r="BG206" s="136">
        <f t="shared" si="18"/>
        <v>0</v>
      </c>
      <c r="BH206" s="136">
        <f t="shared" si="18"/>
        <v>0</v>
      </c>
      <c r="BI206" s="136">
        <f t="shared" si="18"/>
        <v>0</v>
      </c>
      <c r="BJ206" s="136">
        <f t="shared" si="18"/>
        <v>0</v>
      </c>
      <c r="BK206" s="136">
        <f t="shared" si="18"/>
        <v>0</v>
      </c>
      <c r="BL206" s="136">
        <f t="shared" si="18"/>
        <v>0</v>
      </c>
      <c r="BM206" s="136">
        <f t="shared" si="18"/>
        <v>0</v>
      </c>
      <c r="BN206" s="136">
        <f t="shared" si="18"/>
        <v>0</v>
      </c>
      <c r="BO206" s="136">
        <f t="shared" si="18"/>
        <v>0</v>
      </c>
      <c r="BU206" s="136">
        <f t="shared" ref="BU206:BX215" si="19">BU12-EM12</f>
        <v>0</v>
      </c>
      <c r="BV206" s="136">
        <f t="shared" si="19"/>
        <v>0</v>
      </c>
      <c r="BW206" s="136">
        <f t="shared" si="19"/>
        <v>0</v>
      </c>
      <c r="BX206" s="136">
        <f t="shared" si="19"/>
        <v>0</v>
      </c>
      <c r="BZ206" s="136">
        <f t="shared" ref="BZ206:CA215" si="20">BZ12-ER12</f>
        <v>0</v>
      </c>
      <c r="CA206" s="136">
        <f t="shared" si="20"/>
        <v>0</v>
      </c>
    </row>
    <row r="207" spans="4:145" hidden="1" x14ac:dyDescent="0.3">
      <c r="L207" s="136">
        <f t="shared" si="18"/>
        <v>0</v>
      </c>
      <c r="M207" s="136">
        <f t="shared" si="18"/>
        <v>0</v>
      </c>
      <c r="N207" s="136">
        <f t="shared" si="18"/>
        <v>0</v>
      </c>
      <c r="O207" s="136">
        <f t="shared" si="18"/>
        <v>0</v>
      </c>
      <c r="P207" s="136">
        <f t="shared" si="18"/>
        <v>0</v>
      </c>
      <c r="Q207" s="136">
        <f t="shared" si="18"/>
        <v>0</v>
      </c>
      <c r="R207" s="136">
        <f t="shared" si="18"/>
        <v>0</v>
      </c>
      <c r="S207" s="136">
        <f t="shared" si="18"/>
        <v>0</v>
      </c>
      <c r="T207" s="136">
        <f t="shared" si="18"/>
        <v>0</v>
      </c>
      <c r="U207" s="136">
        <f t="shared" si="18"/>
        <v>0</v>
      </c>
      <c r="V207" s="136">
        <f t="shared" si="18"/>
        <v>0</v>
      </c>
      <c r="W207" s="136">
        <f t="shared" si="18"/>
        <v>0</v>
      </c>
      <c r="X207" s="136">
        <f t="shared" si="18"/>
        <v>0</v>
      </c>
      <c r="Y207" s="136">
        <f t="shared" si="18"/>
        <v>0</v>
      </c>
      <c r="Z207" s="136">
        <f t="shared" si="18"/>
        <v>0</v>
      </c>
      <c r="AA207" s="136">
        <f t="shared" si="18"/>
        <v>0</v>
      </c>
      <c r="AB207" s="136">
        <f t="shared" si="18"/>
        <v>0</v>
      </c>
      <c r="AC207" s="136">
        <f t="shared" si="18"/>
        <v>0</v>
      </c>
      <c r="AD207" s="136">
        <f t="shared" si="18"/>
        <v>0</v>
      </c>
      <c r="AE207" s="136">
        <f t="shared" si="18"/>
        <v>0</v>
      </c>
      <c r="AF207" s="136">
        <f t="shared" si="18"/>
        <v>0</v>
      </c>
      <c r="AG207" s="136">
        <f t="shared" si="18"/>
        <v>0</v>
      </c>
      <c r="AH207" s="136">
        <f t="shared" si="18"/>
        <v>0</v>
      </c>
      <c r="AI207" s="136">
        <f t="shared" si="18"/>
        <v>0</v>
      </c>
      <c r="AJ207" s="136">
        <f t="shared" si="18"/>
        <v>0</v>
      </c>
      <c r="AK207" s="136">
        <f t="shared" si="18"/>
        <v>0</v>
      </c>
      <c r="AL207" s="136">
        <f t="shared" si="18"/>
        <v>0</v>
      </c>
      <c r="AM207" s="136">
        <f t="shared" si="18"/>
        <v>0</v>
      </c>
      <c r="AN207" s="136">
        <f t="shared" si="18"/>
        <v>0</v>
      </c>
      <c r="AO207" s="136">
        <f t="shared" si="18"/>
        <v>0</v>
      </c>
      <c r="AP207" s="136">
        <f t="shared" si="18"/>
        <v>0</v>
      </c>
      <c r="AQ207" s="136">
        <f t="shared" si="18"/>
        <v>0</v>
      </c>
      <c r="AR207" s="136">
        <f t="shared" si="18"/>
        <v>0</v>
      </c>
      <c r="AS207" s="136">
        <f t="shared" si="18"/>
        <v>0</v>
      </c>
      <c r="AT207" s="136">
        <f t="shared" si="18"/>
        <v>0</v>
      </c>
      <c r="AU207" s="136">
        <f t="shared" si="18"/>
        <v>0</v>
      </c>
      <c r="AV207" s="136">
        <f t="shared" si="18"/>
        <v>0</v>
      </c>
      <c r="AW207" s="136">
        <f t="shared" si="18"/>
        <v>0</v>
      </c>
      <c r="AX207" s="136">
        <f t="shared" si="18"/>
        <v>0</v>
      </c>
      <c r="AY207" s="136">
        <f t="shared" si="18"/>
        <v>0</v>
      </c>
      <c r="AZ207" s="136">
        <f t="shared" si="18"/>
        <v>0</v>
      </c>
      <c r="BA207" s="136">
        <f t="shared" si="18"/>
        <v>0</v>
      </c>
      <c r="BB207" s="136">
        <f t="shared" si="18"/>
        <v>0</v>
      </c>
      <c r="BC207" s="136">
        <f t="shared" si="18"/>
        <v>0</v>
      </c>
      <c r="BD207" s="136">
        <f t="shared" si="18"/>
        <v>0</v>
      </c>
      <c r="BE207" s="136">
        <f t="shared" si="18"/>
        <v>0</v>
      </c>
      <c r="BF207" s="136">
        <f t="shared" si="18"/>
        <v>0</v>
      </c>
      <c r="BG207" s="136">
        <f t="shared" si="18"/>
        <v>0</v>
      </c>
      <c r="BH207" s="136">
        <f t="shared" si="18"/>
        <v>0</v>
      </c>
      <c r="BI207" s="136">
        <f t="shared" si="18"/>
        <v>0</v>
      </c>
      <c r="BJ207" s="136">
        <f t="shared" si="18"/>
        <v>0</v>
      </c>
      <c r="BK207" s="136">
        <f t="shared" si="18"/>
        <v>0</v>
      </c>
      <c r="BL207" s="136">
        <f t="shared" si="18"/>
        <v>0</v>
      </c>
      <c r="BM207" s="136">
        <f t="shared" si="18"/>
        <v>0</v>
      </c>
      <c r="BN207" s="136">
        <f t="shared" si="18"/>
        <v>0</v>
      </c>
      <c r="BO207" s="136">
        <f t="shared" si="18"/>
        <v>0</v>
      </c>
      <c r="BU207" s="136">
        <f t="shared" si="19"/>
        <v>0</v>
      </c>
      <c r="BV207" s="136">
        <f t="shared" si="19"/>
        <v>0</v>
      </c>
      <c r="BW207" s="136">
        <f t="shared" si="19"/>
        <v>0</v>
      </c>
      <c r="BX207" s="136">
        <f t="shared" si="19"/>
        <v>0</v>
      </c>
      <c r="BZ207" s="136">
        <f t="shared" si="20"/>
        <v>0</v>
      </c>
      <c r="CA207" s="136">
        <f t="shared" si="20"/>
        <v>0</v>
      </c>
    </row>
    <row r="208" spans="4:145" hidden="1" x14ac:dyDescent="0.3">
      <c r="L208" s="136">
        <f t="shared" si="18"/>
        <v>0</v>
      </c>
      <c r="M208" s="136">
        <f t="shared" si="18"/>
        <v>0</v>
      </c>
      <c r="N208" s="136">
        <f t="shared" si="18"/>
        <v>0</v>
      </c>
      <c r="O208" s="136">
        <f t="shared" si="18"/>
        <v>0</v>
      </c>
      <c r="P208" s="136">
        <f t="shared" si="18"/>
        <v>0</v>
      </c>
      <c r="Q208" s="136">
        <f t="shared" si="18"/>
        <v>0</v>
      </c>
      <c r="R208" s="136">
        <f t="shared" si="18"/>
        <v>0</v>
      </c>
      <c r="S208" s="136">
        <f t="shared" si="18"/>
        <v>0</v>
      </c>
      <c r="T208" s="136">
        <f t="shared" si="18"/>
        <v>0</v>
      </c>
      <c r="U208" s="136">
        <f t="shared" si="18"/>
        <v>0</v>
      </c>
      <c r="V208" s="136">
        <f t="shared" si="18"/>
        <v>0</v>
      </c>
      <c r="W208" s="136">
        <f t="shared" si="18"/>
        <v>0</v>
      </c>
      <c r="X208" s="136">
        <f t="shared" si="18"/>
        <v>0</v>
      </c>
      <c r="Y208" s="136">
        <f t="shared" si="18"/>
        <v>0</v>
      </c>
      <c r="Z208" s="136">
        <f t="shared" si="18"/>
        <v>0</v>
      </c>
      <c r="AA208" s="136">
        <f t="shared" si="18"/>
        <v>0</v>
      </c>
      <c r="AB208" s="136">
        <f t="shared" si="18"/>
        <v>0</v>
      </c>
      <c r="AC208" s="136">
        <f t="shared" si="18"/>
        <v>0</v>
      </c>
      <c r="AD208" s="136">
        <f t="shared" si="18"/>
        <v>0</v>
      </c>
      <c r="AE208" s="136">
        <f t="shared" si="18"/>
        <v>0</v>
      </c>
      <c r="AF208" s="136">
        <f t="shared" si="18"/>
        <v>0</v>
      </c>
      <c r="AG208" s="136">
        <f t="shared" si="18"/>
        <v>0</v>
      </c>
      <c r="AH208" s="136">
        <f t="shared" si="18"/>
        <v>0</v>
      </c>
      <c r="AI208" s="136">
        <f t="shared" si="18"/>
        <v>0</v>
      </c>
      <c r="AJ208" s="136">
        <f t="shared" si="18"/>
        <v>0</v>
      </c>
      <c r="AK208" s="136">
        <f t="shared" si="18"/>
        <v>0</v>
      </c>
      <c r="AL208" s="136">
        <f t="shared" si="18"/>
        <v>0</v>
      </c>
      <c r="AM208" s="136">
        <f t="shared" si="18"/>
        <v>0</v>
      </c>
      <c r="AN208" s="136">
        <f t="shared" si="18"/>
        <v>0</v>
      </c>
      <c r="AO208" s="136">
        <f t="shared" si="18"/>
        <v>0</v>
      </c>
      <c r="AP208" s="136">
        <f t="shared" si="18"/>
        <v>0</v>
      </c>
      <c r="AQ208" s="136">
        <f t="shared" ref="AQ208:BO213" si="21">AQ16-DI16</f>
        <v>0</v>
      </c>
      <c r="AR208" s="136">
        <f t="shared" si="21"/>
        <v>0</v>
      </c>
      <c r="AS208" s="136">
        <f t="shared" si="21"/>
        <v>0</v>
      </c>
      <c r="AT208" s="136">
        <f t="shared" si="21"/>
        <v>0</v>
      </c>
      <c r="AU208" s="136">
        <f t="shared" si="21"/>
        <v>0</v>
      </c>
      <c r="AV208" s="136">
        <f t="shared" si="21"/>
        <v>0</v>
      </c>
      <c r="AW208" s="136">
        <f t="shared" si="21"/>
        <v>0</v>
      </c>
      <c r="AX208" s="136">
        <f t="shared" si="21"/>
        <v>0</v>
      </c>
      <c r="AY208" s="136">
        <f t="shared" si="21"/>
        <v>0</v>
      </c>
      <c r="AZ208" s="136">
        <f t="shared" si="21"/>
        <v>0</v>
      </c>
      <c r="BA208" s="136">
        <f t="shared" si="21"/>
        <v>0</v>
      </c>
      <c r="BB208" s="136">
        <f t="shared" si="21"/>
        <v>0</v>
      </c>
      <c r="BC208" s="136">
        <f t="shared" si="21"/>
        <v>0</v>
      </c>
      <c r="BD208" s="136">
        <f t="shared" si="21"/>
        <v>0</v>
      </c>
      <c r="BE208" s="136">
        <f t="shared" si="21"/>
        <v>0</v>
      </c>
      <c r="BF208" s="136">
        <f t="shared" si="21"/>
        <v>0</v>
      </c>
      <c r="BG208" s="136">
        <f t="shared" si="21"/>
        <v>0</v>
      </c>
      <c r="BH208" s="136">
        <f t="shared" si="21"/>
        <v>0</v>
      </c>
      <c r="BI208" s="136">
        <f t="shared" si="21"/>
        <v>0</v>
      </c>
      <c r="BJ208" s="136">
        <f t="shared" si="21"/>
        <v>0</v>
      </c>
      <c r="BK208" s="136">
        <f t="shared" si="21"/>
        <v>0</v>
      </c>
      <c r="BL208" s="136">
        <f t="shared" si="21"/>
        <v>0</v>
      </c>
      <c r="BM208" s="136">
        <f t="shared" si="21"/>
        <v>0</v>
      </c>
      <c r="BN208" s="136">
        <f t="shared" si="21"/>
        <v>0</v>
      </c>
      <c r="BO208" s="136">
        <f t="shared" si="21"/>
        <v>0</v>
      </c>
      <c r="BU208" s="136">
        <f t="shared" si="19"/>
        <v>0</v>
      </c>
      <c r="BV208" s="136">
        <f t="shared" si="19"/>
        <v>0</v>
      </c>
      <c r="BW208" s="136">
        <f t="shared" si="19"/>
        <v>0</v>
      </c>
      <c r="BX208" s="136">
        <f t="shared" si="19"/>
        <v>0</v>
      </c>
      <c r="BZ208" s="136">
        <f t="shared" si="20"/>
        <v>0</v>
      </c>
      <c r="CA208" s="136">
        <f t="shared" si="20"/>
        <v>0</v>
      </c>
    </row>
    <row r="209" spans="12:79" hidden="1" x14ac:dyDescent="0.3">
      <c r="L209" s="136">
        <f t="shared" ref="L209:AP213" si="22">L17-CD17</f>
        <v>46626420</v>
      </c>
      <c r="M209" s="136">
        <f t="shared" si="22"/>
        <v>0</v>
      </c>
      <c r="N209" s="136">
        <f t="shared" si="22"/>
        <v>0</v>
      </c>
      <c r="O209" s="136">
        <f t="shared" si="22"/>
        <v>0</v>
      </c>
      <c r="P209" s="136">
        <f t="shared" si="22"/>
        <v>0</v>
      </c>
      <c r="Q209" s="136">
        <f t="shared" si="22"/>
        <v>0</v>
      </c>
      <c r="R209" s="136">
        <f t="shared" si="22"/>
        <v>0</v>
      </c>
      <c r="S209" s="136">
        <f t="shared" si="22"/>
        <v>0</v>
      </c>
      <c r="T209" s="136">
        <f t="shared" si="22"/>
        <v>0</v>
      </c>
      <c r="U209" s="136">
        <f t="shared" si="22"/>
        <v>0</v>
      </c>
      <c r="V209" s="136">
        <f t="shared" si="22"/>
        <v>-14088400</v>
      </c>
      <c r="W209" s="136">
        <f t="shared" si="22"/>
        <v>0</v>
      </c>
      <c r="X209" s="136">
        <f t="shared" si="22"/>
        <v>0</v>
      </c>
      <c r="Y209" s="136">
        <f t="shared" si="22"/>
        <v>0</v>
      </c>
      <c r="Z209" s="136">
        <f t="shared" si="22"/>
        <v>0</v>
      </c>
      <c r="AA209" s="136">
        <f t="shared" si="22"/>
        <v>0</v>
      </c>
      <c r="AB209" s="136">
        <f t="shared" si="22"/>
        <v>0</v>
      </c>
      <c r="AC209" s="136">
        <f t="shared" si="22"/>
        <v>0</v>
      </c>
      <c r="AD209" s="136">
        <f t="shared" si="22"/>
        <v>0</v>
      </c>
      <c r="AE209" s="136">
        <f t="shared" si="22"/>
        <v>0</v>
      </c>
      <c r="AF209" s="136">
        <f t="shared" si="22"/>
        <v>0</v>
      </c>
      <c r="AG209" s="136">
        <f t="shared" si="22"/>
        <v>0</v>
      </c>
      <c r="AH209" s="136">
        <f t="shared" si="22"/>
        <v>0</v>
      </c>
      <c r="AI209" s="136">
        <f t="shared" si="22"/>
        <v>0</v>
      </c>
      <c r="AJ209" s="136">
        <f t="shared" si="22"/>
        <v>0</v>
      </c>
      <c r="AK209" s="136">
        <f t="shared" si="22"/>
        <v>6790681</v>
      </c>
      <c r="AL209" s="136">
        <f t="shared" si="22"/>
        <v>0</v>
      </c>
      <c r="AM209" s="136">
        <f t="shared" si="22"/>
        <v>0</v>
      </c>
      <c r="AN209" s="136">
        <f t="shared" si="22"/>
        <v>0</v>
      </c>
      <c r="AO209" s="136">
        <f t="shared" si="22"/>
        <v>0</v>
      </c>
      <c r="AP209" s="136">
        <f t="shared" si="22"/>
        <v>0</v>
      </c>
      <c r="AQ209" s="136">
        <f t="shared" si="21"/>
        <v>0</v>
      </c>
      <c r="AR209" s="136">
        <f t="shared" si="21"/>
        <v>0</v>
      </c>
      <c r="AS209" s="136">
        <f t="shared" si="21"/>
        <v>0</v>
      </c>
      <c r="AT209" s="136">
        <f t="shared" si="21"/>
        <v>0</v>
      </c>
      <c r="AU209" s="136">
        <f t="shared" si="21"/>
        <v>-6098240</v>
      </c>
      <c r="AV209" s="136">
        <f t="shared" si="21"/>
        <v>0</v>
      </c>
      <c r="AW209" s="136">
        <f t="shared" si="21"/>
        <v>0</v>
      </c>
      <c r="AX209" s="136">
        <f t="shared" si="21"/>
        <v>0</v>
      </c>
      <c r="AY209" s="136">
        <f t="shared" si="21"/>
        <v>0</v>
      </c>
      <c r="AZ209" s="136">
        <f t="shared" si="21"/>
        <v>5451574</v>
      </c>
      <c r="BA209" s="136">
        <f t="shared" si="21"/>
        <v>0</v>
      </c>
      <c r="BB209" s="136">
        <f t="shared" si="21"/>
        <v>0</v>
      </c>
      <c r="BC209" s="136">
        <f t="shared" si="21"/>
        <v>0</v>
      </c>
      <c r="BD209" s="136">
        <f t="shared" si="21"/>
        <v>0</v>
      </c>
      <c r="BE209" s="136">
        <f t="shared" si="21"/>
        <v>5596913</v>
      </c>
      <c r="BF209" s="136">
        <f t="shared" si="21"/>
        <v>0</v>
      </c>
      <c r="BG209" s="136">
        <f t="shared" si="21"/>
        <v>0</v>
      </c>
      <c r="BH209" s="136">
        <f t="shared" si="21"/>
        <v>0</v>
      </c>
      <c r="BI209" s="136">
        <f t="shared" si="21"/>
        <v>0</v>
      </c>
      <c r="BJ209" s="136">
        <f t="shared" si="21"/>
        <v>0</v>
      </c>
      <c r="BK209" s="136">
        <f t="shared" si="21"/>
        <v>0</v>
      </c>
      <c r="BL209" s="136">
        <f t="shared" si="21"/>
        <v>0</v>
      </c>
      <c r="BM209" s="136">
        <f t="shared" si="21"/>
        <v>0</v>
      </c>
      <c r="BN209" s="136">
        <f t="shared" si="21"/>
        <v>0</v>
      </c>
      <c r="BO209" s="136">
        <f t="shared" si="21"/>
        <v>-11128875</v>
      </c>
      <c r="BU209" s="136">
        <f t="shared" si="19"/>
        <v>0</v>
      </c>
      <c r="BV209" s="136">
        <f t="shared" si="19"/>
        <v>0</v>
      </c>
      <c r="BW209" s="136">
        <f t="shared" si="19"/>
        <v>0</v>
      </c>
      <c r="BX209" s="136">
        <f t="shared" si="19"/>
        <v>0</v>
      </c>
      <c r="BZ209" s="136">
        <f t="shared" si="20"/>
        <v>0</v>
      </c>
      <c r="CA209" s="136">
        <f t="shared" si="20"/>
        <v>0</v>
      </c>
    </row>
    <row r="210" spans="12:79" hidden="1" x14ac:dyDescent="0.3">
      <c r="L210" s="136">
        <f t="shared" si="22"/>
        <v>46626420</v>
      </c>
      <c r="M210" s="136">
        <f t="shared" si="22"/>
        <v>0</v>
      </c>
      <c r="N210" s="136">
        <f t="shared" si="22"/>
        <v>0</v>
      </c>
      <c r="O210" s="136">
        <f t="shared" si="22"/>
        <v>0</v>
      </c>
      <c r="P210" s="136">
        <f t="shared" si="22"/>
        <v>0</v>
      </c>
      <c r="Q210" s="136">
        <f t="shared" si="22"/>
        <v>0</v>
      </c>
      <c r="R210" s="136">
        <f t="shared" si="22"/>
        <v>0</v>
      </c>
      <c r="S210" s="136">
        <f t="shared" si="22"/>
        <v>0</v>
      </c>
      <c r="T210" s="136">
        <f t="shared" si="22"/>
        <v>0</v>
      </c>
      <c r="U210" s="136">
        <f t="shared" si="22"/>
        <v>0</v>
      </c>
      <c r="V210" s="136">
        <f t="shared" si="22"/>
        <v>-14088400</v>
      </c>
      <c r="W210" s="136">
        <f t="shared" si="22"/>
        <v>0</v>
      </c>
      <c r="X210" s="136">
        <f t="shared" si="22"/>
        <v>0</v>
      </c>
      <c r="Y210" s="136">
        <f t="shared" si="22"/>
        <v>0</v>
      </c>
      <c r="Z210" s="136">
        <f t="shared" si="22"/>
        <v>0</v>
      </c>
      <c r="AA210" s="136">
        <f t="shared" si="22"/>
        <v>0</v>
      </c>
      <c r="AB210" s="136">
        <f t="shared" si="22"/>
        <v>0</v>
      </c>
      <c r="AC210" s="136">
        <f t="shared" si="22"/>
        <v>0</v>
      </c>
      <c r="AD210" s="136">
        <f t="shared" si="22"/>
        <v>0</v>
      </c>
      <c r="AE210" s="136">
        <f t="shared" si="22"/>
        <v>0</v>
      </c>
      <c r="AF210" s="136">
        <f t="shared" si="22"/>
        <v>0</v>
      </c>
      <c r="AG210" s="136">
        <f t="shared" si="22"/>
        <v>0</v>
      </c>
      <c r="AH210" s="136">
        <f t="shared" si="22"/>
        <v>0</v>
      </c>
      <c r="AI210" s="136">
        <f t="shared" si="22"/>
        <v>0</v>
      </c>
      <c r="AJ210" s="136">
        <f t="shared" si="22"/>
        <v>0</v>
      </c>
      <c r="AK210" s="136">
        <f t="shared" si="22"/>
        <v>6790681</v>
      </c>
      <c r="AL210" s="136">
        <f t="shared" si="22"/>
        <v>0</v>
      </c>
      <c r="AM210" s="136">
        <f t="shared" si="22"/>
        <v>0</v>
      </c>
      <c r="AN210" s="136">
        <f t="shared" si="22"/>
        <v>0</v>
      </c>
      <c r="AO210" s="136">
        <f t="shared" si="22"/>
        <v>0</v>
      </c>
      <c r="AP210" s="136">
        <f t="shared" si="22"/>
        <v>0</v>
      </c>
      <c r="AQ210" s="136">
        <f t="shared" si="21"/>
        <v>0</v>
      </c>
      <c r="AR210" s="136">
        <f t="shared" si="21"/>
        <v>0</v>
      </c>
      <c r="AS210" s="136">
        <f t="shared" si="21"/>
        <v>0</v>
      </c>
      <c r="AT210" s="136">
        <f t="shared" si="21"/>
        <v>0</v>
      </c>
      <c r="AU210" s="136">
        <f t="shared" si="21"/>
        <v>-6098240</v>
      </c>
      <c r="AV210" s="136">
        <f t="shared" si="21"/>
        <v>0</v>
      </c>
      <c r="AW210" s="136">
        <f t="shared" si="21"/>
        <v>0</v>
      </c>
      <c r="AX210" s="136">
        <f t="shared" si="21"/>
        <v>0</v>
      </c>
      <c r="AY210" s="136">
        <f t="shared" si="21"/>
        <v>0</v>
      </c>
      <c r="AZ210" s="136">
        <f t="shared" si="21"/>
        <v>5451574</v>
      </c>
      <c r="BA210" s="136">
        <f t="shared" si="21"/>
        <v>0</v>
      </c>
      <c r="BB210" s="136">
        <f t="shared" si="21"/>
        <v>0</v>
      </c>
      <c r="BC210" s="136">
        <f t="shared" si="21"/>
        <v>0</v>
      </c>
      <c r="BD210" s="136">
        <f t="shared" si="21"/>
        <v>0</v>
      </c>
      <c r="BE210" s="136">
        <f t="shared" si="21"/>
        <v>5596913</v>
      </c>
      <c r="BF210" s="136">
        <f t="shared" si="21"/>
        <v>0</v>
      </c>
      <c r="BG210" s="136">
        <f t="shared" si="21"/>
        <v>0</v>
      </c>
      <c r="BH210" s="136">
        <f t="shared" si="21"/>
        <v>0</v>
      </c>
      <c r="BI210" s="136">
        <f t="shared" si="21"/>
        <v>0</v>
      </c>
      <c r="BJ210" s="136">
        <f t="shared" si="21"/>
        <v>0</v>
      </c>
      <c r="BK210" s="136">
        <f t="shared" si="21"/>
        <v>0</v>
      </c>
      <c r="BL210" s="136">
        <f t="shared" si="21"/>
        <v>0</v>
      </c>
      <c r="BM210" s="136">
        <f t="shared" si="21"/>
        <v>0</v>
      </c>
      <c r="BN210" s="136">
        <f t="shared" si="21"/>
        <v>0</v>
      </c>
      <c r="BO210" s="136">
        <f t="shared" si="21"/>
        <v>-11128875</v>
      </c>
      <c r="BU210" s="136">
        <f t="shared" si="19"/>
        <v>0</v>
      </c>
      <c r="BV210" s="136">
        <f t="shared" si="19"/>
        <v>0</v>
      </c>
      <c r="BW210" s="136">
        <f t="shared" si="19"/>
        <v>0</v>
      </c>
      <c r="BX210" s="136">
        <f t="shared" si="19"/>
        <v>0</v>
      </c>
      <c r="BZ210" s="136">
        <f t="shared" si="20"/>
        <v>0</v>
      </c>
      <c r="CA210" s="136">
        <f t="shared" si="20"/>
        <v>0</v>
      </c>
    </row>
    <row r="211" spans="12:79" hidden="1" x14ac:dyDescent="0.3">
      <c r="L211" s="136">
        <f t="shared" si="22"/>
        <v>0</v>
      </c>
      <c r="M211" s="136">
        <f t="shared" si="22"/>
        <v>0</v>
      </c>
      <c r="N211" s="136">
        <f t="shared" si="22"/>
        <v>0</v>
      </c>
      <c r="O211" s="136">
        <f t="shared" si="22"/>
        <v>0</v>
      </c>
      <c r="P211" s="136">
        <f t="shared" si="22"/>
        <v>0</v>
      </c>
      <c r="Q211" s="136">
        <f t="shared" si="22"/>
        <v>0</v>
      </c>
      <c r="R211" s="136">
        <f t="shared" si="22"/>
        <v>0</v>
      </c>
      <c r="S211" s="136">
        <f t="shared" si="22"/>
        <v>0</v>
      </c>
      <c r="T211" s="136">
        <f t="shared" si="22"/>
        <v>0</v>
      </c>
      <c r="U211" s="136">
        <f t="shared" si="22"/>
        <v>0</v>
      </c>
      <c r="V211" s="136">
        <f t="shared" si="22"/>
        <v>0</v>
      </c>
      <c r="W211" s="136">
        <f t="shared" si="22"/>
        <v>0</v>
      </c>
      <c r="X211" s="136">
        <f t="shared" si="22"/>
        <v>0</v>
      </c>
      <c r="Y211" s="136">
        <f t="shared" si="22"/>
        <v>0</v>
      </c>
      <c r="Z211" s="136">
        <f t="shared" si="22"/>
        <v>0</v>
      </c>
      <c r="AA211" s="136">
        <f t="shared" si="22"/>
        <v>0</v>
      </c>
      <c r="AB211" s="136">
        <f t="shared" si="22"/>
        <v>0</v>
      </c>
      <c r="AC211" s="136">
        <f t="shared" si="22"/>
        <v>0</v>
      </c>
      <c r="AD211" s="136">
        <f t="shared" si="22"/>
        <v>0</v>
      </c>
      <c r="AE211" s="136">
        <f t="shared" si="22"/>
        <v>0</v>
      </c>
      <c r="AF211" s="136">
        <f t="shared" si="22"/>
        <v>0</v>
      </c>
      <c r="AG211" s="136">
        <f t="shared" si="22"/>
        <v>0</v>
      </c>
      <c r="AH211" s="136">
        <f t="shared" si="22"/>
        <v>0</v>
      </c>
      <c r="AI211" s="136">
        <f t="shared" si="22"/>
        <v>0</v>
      </c>
      <c r="AJ211" s="136">
        <f t="shared" si="22"/>
        <v>0</v>
      </c>
      <c r="AK211" s="136">
        <f t="shared" si="22"/>
        <v>0</v>
      </c>
      <c r="AL211" s="136">
        <f t="shared" si="22"/>
        <v>0</v>
      </c>
      <c r="AM211" s="136">
        <f t="shared" si="22"/>
        <v>0</v>
      </c>
      <c r="AN211" s="136">
        <f t="shared" si="22"/>
        <v>0</v>
      </c>
      <c r="AO211" s="136">
        <f t="shared" si="22"/>
        <v>0</v>
      </c>
      <c r="AP211" s="136">
        <f t="shared" si="22"/>
        <v>0</v>
      </c>
      <c r="AQ211" s="136">
        <f t="shared" si="21"/>
        <v>0</v>
      </c>
      <c r="AR211" s="136">
        <f t="shared" si="21"/>
        <v>0</v>
      </c>
      <c r="AS211" s="136">
        <f t="shared" si="21"/>
        <v>0</v>
      </c>
      <c r="AT211" s="136">
        <f t="shared" si="21"/>
        <v>0</v>
      </c>
      <c r="AU211" s="136">
        <f t="shared" si="21"/>
        <v>0</v>
      </c>
      <c r="AV211" s="136">
        <f t="shared" si="21"/>
        <v>0</v>
      </c>
      <c r="AW211" s="136">
        <f t="shared" si="21"/>
        <v>0</v>
      </c>
      <c r="AX211" s="136">
        <f t="shared" si="21"/>
        <v>0</v>
      </c>
      <c r="AY211" s="136">
        <f t="shared" si="21"/>
        <v>0</v>
      </c>
      <c r="AZ211" s="136">
        <f t="shared" si="21"/>
        <v>0</v>
      </c>
      <c r="BA211" s="136">
        <f t="shared" si="21"/>
        <v>0</v>
      </c>
      <c r="BB211" s="136">
        <f t="shared" si="21"/>
        <v>0</v>
      </c>
      <c r="BC211" s="136">
        <f t="shared" si="21"/>
        <v>0</v>
      </c>
      <c r="BD211" s="136">
        <f t="shared" si="21"/>
        <v>0</v>
      </c>
      <c r="BE211" s="136">
        <f t="shared" si="21"/>
        <v>0</v>
      </c>
      <c r="BF211" s="136">
        <f t="shared" si="21"/>
        <v>0</v>
      </c>
      <c r="BG211" s="136">
        <f t="shared" si="21"/>
        <v>0</v>
      </c>
      <c r="BH211" s="136">
        <f t="shared" si="21"/>
        <v>0</v>
      </c>
      <c r="BI211" s="136">
        <f t="shared" si="21"/>
        <v>0</v>
      </c>
      <c r="BJ211" s="136">
        <f t="shared" si="21"/>
        <v>0</v>
      </c>
      <c r="BK211" s="136">
        <f t="shared" si="21"/>
        <v>0</v>
      </c>
      <c r="BL211" s="136">
        <f t="shared" si="21"/>
        <v>0</v>
      </c>
      <c r="BM211" s="136">
        <f t="shared" si="21"/>
        <v>0</v>
      </c>
      <c r="BN211" s="136">
        <f t="shared" si="21"/>
        <v>0</v>
      </c>
      <c r="BO211" s="136">
        <f t="shared" si="21"/>
        <v>0</v>
      </c>
      <c r="BU211" s="136">
        <f t="shared" si="19"/>
        <v>0</v>
      </c>
      <c r="BV211" s="136">
        <f t="shared" si="19"/>
        <v>0</v>
      </c>
      <c r="BW211" s="136">
        <f t="shared" si="19"/>
        <v>0</v>
      </c>
      <c r="BX211" s="136">
        <f t="shared" si="19"/>
        <v>0</v>
      </c>
      <c r="BZ211" s="136">
        <f t="shared" si="20"/>
        <v>0</v>
      </c>
      <c r="CA211" s="136">
        <f t="shared" si="20"/>
        <v>0</v>
      </c>
    </row>
    <row r="212" spans="12:79" hidden="1" x14ac:dyDescent="0.3">
      <c r="L212" s="136">
        <f t="shared" si="22"/>
        <v>0</v>
      </c>
      <c r="M212" s="136">
        <f t="shared" si="22"/>
        <v>0</v>
      </c>
      <c r="N212" s="136">
        <f t="shared" si="22"/>
        <v>0</v>
      </c>
      <c r="O212" s="136">
        <f t="shared" si="22"/>
        <v>0</v>
      </c>
      <c r="P212" s="136">
        <f t="shared" si="22"/>
        <v>0</v>
      </c>
      <c r="Q212" s="136">
        <f t="shared" si="22"/>
        <v>0</v>
      </c>
      <c r="R212" s="136">
        <f t="shared" si="22"/>
        <v>0</v>
      </c>
      <c r="S212" s="136">
        <f t="shared" si="22"/>
        <v>0</v>
      </c>
      <c r="T212" s="136">
        <f t="shared" si="22"/>
        <v>0</v>
      </c>
      <c r="U212" s="136">
        <f t="shared" si="22"/>
        <v>0</v>
      </c>
      <c r="V212" s="136">
        <f t="shared" si="22"/>
        <v>0</v>
      </c>
      <c r="W212" s="136">
        <f t="shared" si="22"/>
        <v>0</v>
      </c>
      <c r="X212" s="136">
        <f t="shared" si="22"/>
        <v>0</v>
      </c>
      <c r="Y212" s="136">
        <f t="shared" si="22"/>
        <v>0</v>
      </c>
      <c r="Z212" s="136">
        <f t="shared" si="22"/>
        <v>0</v>
      </c>
      <c r="AA212" s="136">
        <f t="shared" si="22"/>
        <v>0</v>
      </c>
      <c r="AB212" s="136">
        <f t="shared" si="22"/>
        <v>0</v>
      </c>
      <c r="AC212" s="136">
        <f t="shared" si="22"/>
        <v>0</v>
      </c>
      <c r="AD212" s="136">
        <f t="shared" si="22"/>
        <v>0</v>
      </c>
      <c r="AE212" s="136">
        <f t="shared" si="22"/>
        <v>0</v>
      </c>
      <c r="AF212" s="136">
        <f t="shared" si="22"/>
        <v>0</v>
      </c>
      <c r="AG212" s="136">
        <f t="shared" si="22"/>
        <v>0</v>
      </c>
      <c r="AH212" s="136">
        <f t="shared" si="22"/>
        <v>0</v>
      </c>
      <c r="AI212" s="136">
        <f t="shared" si="22"/>
        <v>0</v>
      </c>
      <c r="AJ212" s="136">
        <f t="shared" si="22"/>
        <v>0</v>
      </c>
      <c r="AK212" s="136">
        <f t="shared" si="22"/>
        <v>0</v>
      </c>
      <c r="AL212" s="136">
        <f t="shared" si="22"/>
        <v>0</v>
      </c>
      <c r="AM212" s="136">
        <f t="shared" si="22"/>
        <v>0</v>
      </c>
      <c r="AN212" s="136">
        <f t="shared" si="22"/>
        <v>0</v>
      </c>
      <c r="AO212" s="136">
        <f t="shared" si="22"/>
        <v>0</v>
      </c>
      <c r="AP212" s="136">
        <f t="shared" si="22"/>
        <v>0</v>
      </c>
      <c r="AQ212" s="136">
        <f t="shared" si="21"/>
        <v>0</v>
      </c>
      <c r="AR212" s="136">
        <f t="shared" si="21"/>
        <v>0</v>
      </c>
      <c r="AS212" s="136">
        <f t="shared" si="21"/>
        <v>0</v>
      </c>
      <c r="AT212" s="136">
        <f t="shared" si="21"/>
        <v>0</v>
      </c>
      <c r="AU212" s="136">
        <f t="shared" si="21"/>
        <v>0</v>
      </c>
      <c r="AV212" s="136">
        <f t="shared" si="21"/>
        <v>0</v>
      </c>
      <c r="AW212" s="136">
        <f t="shared" si="21"/>
        <v>0</v>
      </c>
      <c r="AX212" s="136">
        <f t="shared" si="21"/>
        <v>0</v>
      </c>
      <c r="AY212" s="136">
        <f t="shared" si="21"/>
        <v>0</v>
      </c>
      <c r="AZ212" s="136">
        <f t="shared" si="21"/>
        <v>0</v>
      </c>
      <c r="BA212" s="136">
        <f t="shared" si="21"/>
        <v>0</v>
      </c>
      <c r="BB212" s="136">
        <f t="shared" si="21"/>
        <v>0</v>
      </c>
      <c r="BC212" s="136">
        <f t="shared" si="21"/>
        <v>0</v>
      </c>
      <c r="BD212" s="136">
        <f t="shared" si="21"/>
        <v>0</v>
      </c>
      <c r="BE212" s="136">
        <f t="shared" si="21"/>
        <v>0</v>
      </c>
      <c r="BF212" s="136">
        <f t="shared" si="21"/>
        <v>0</v>
      </c>
      <c r="BG212" s="136">
        <f t="shared" si="21"/>
        <v>0</v>
      </c>
      <c r="BH212" s="136">
        <f t="shared" si="21"/>
        <v>0</v>
      </c>
      <c r="BI212" s="136">
        <f t="shared" si="21"/>
        <v>0</v>
      </c>
      <c r="BJ212" s="136">
        <f t="shared" si="21"/>
        <v>0</v>
      </c>
      <c r="BK212" s="136">
        <f t="shared" si="21"/>
        <v>0</v>
      </c>
      <c r="BL212" s="136">
        <f t="shared" si="21"/>
        <v>0</v>
      </c>
      <c r="BM212" s="136">
        <f t="shared" si="21"/>
        <v>0</v>
      </c>
      <c r="BN212" s="136">
        <f t="shared" si="21"/>
        <v>0</v>
      </c>
      <c r="BO212" s="136">
        <f t="shared" si="21"/>
        <v>0</v>
      </c>
      <c r="BU212" s="136">
        <f t="shared" si="19"/>
        <v>0</v>
      </c>
      <c r="BV212" s="136">
        <f t="shared" si="19"/>
        <v>0</v>
      </c>
      <c r="BW212" s="136">
        <f t="shared" si="19"/>
        <v>0</v>
      </c>
      <c r="BX212" s="136">
        <f t="shared" si="19"/>
        <v>0</v>
      </c>
      <c r="BZ212" s="136">
        <f t="shared" si="20"/>
        <v>0</v>
      </c>
      <c r="CA212" s="136">
        <f t="shared" si="20"/>
        <v>0</v>
      </c>
    </row>
    <row r="213" spans="12:79" hidden="1" x14ac:dyDescent="0.3">
      <c r="L213" s="136">
        <f t="shared" si="22"/>
        <v>0</v>
      </c>
      <c r="M213" s="136">
        <f t="shared" si="22"/>
        <v>0</v>
      </c>
      <c r="N213" s="136">
        <f t="shared" si="22"/>
        <v>0</v>
      </c>
      <c r="O213" s="136">
        <f t="shared" si="22"/>
        <v>0</v>
      </c>
      <c r="P213" s="136">
        <f t="shared" si="22"/>
        <v>0</v>
      </c>
      <c r="Q213" s="136">
        <f t="shared" si="22"/>
        <v>0</v>
      </c>
      <c r="R213" s="136">
        <f t="shared" si="22"/>
        <v>0</v>
      </c>
      <c r="S213" s="136">
        <f t="shared" si="22"/>
        <v>0</v>
      </c>
      <c r="T213" s="136">
        <f t="shared" si="22"/>
        <v>0</v>
      </c>
      <c r="U213" s="136">
        <f t="shared" si="22"/>
        <v>0</v>
      </c>
      <c r="V213" s="136">
        <f t="shared" si="22"/>
        <v>0</v>
      </c>
      <c r="W213" s="136">
        <f t="shared" si="22"/>
        <v>0</v>
      </c>
      <c r="X213" s="136">
        <f t="shared" si="22"/>
        <v>0</v>
      </c>
      <c r="Y213" s="136">
        <f t="shared" si="22"/>
        <v>0</v>
      </c>
      <c r="Z213" s="136">
        <f t="shared" si="22"/>
        <v>0</v>
      </c>
      <c r="AA213" s="136">
        <f t="shared" si="22"/>
        <v>0</v>
      </c>
      <c r="AB213" s="136">
        <f t="shared" si="22"/>
        <v>0</v>
      </c>
      <c r="AC213" s="136">
        <f t="shared" si="22"/>
        <v>0</v>
      </c>
      <c r="AD213" s="136">
        <f t="shared" si="22"/>
        <v>0</v>
      </c>
      <c r="AE213" s="136">
        <f t="shared" si="22"/>
        <v>0</v>
      </c>
      <c r="AF213" s="136">
        <f t="shared" si="22"/>
        <v>0</v>
      </c>
      <c r="AG213" s="136">
        <f t="shared" si="22"/>
        <v>0</v>
      </c>
      <c r="AH213" s="136">
        <f t="shared" si="22"/>
        <v>0</v>
      </c>
      <c r="AI213" s="136">
        <f t="shared" si="22"/>
        <v>0</v>
      </c>
      <c r="AJ213" s="136">
        <f t="shared" si="22"/>
        <v>0</v>
      </c>
      <c r="AK213" s="136">
        <f t="shared" si="22"/>
        <v>0</v>
      </c>
      <c r="AL213" s="136">
        <f t="shared" si="22"/>
        <v>0</v>
      </c>
      <c r="AM213" s="136">
        <f t="shared" si="22"/>
        <v>0</v>
      </c>
      <c r="AN213" s="136">
        <f t="shared" si="22"/>
        <v>0</v>
      </c>
      <c r="AO213" s="136">
        <f t="shared" si="22"/>
        <v>0</v>
      </c>
      <c r="AP213" s="136">
        <f t="shared" si="22"/>
        <v>0</v>
      </c>
      <c r="AQ213" s="136">
        <f t="shared" si="21"/>
        <v>0</v>
      </c>
      <c r="AR213" s="136">
        <f t="shared" si="21"/>
        <v>0</v>
      </c>
      <c r="AS213" s="136">
        <f t="shared" si="21"/>
        <v>0</v>
      </c>
      <c r="AT213" s="136">
        <f t="shared" si="21"/>
        <v>0</v>
      </c>
      <c r="AU213" s="136">
        <f t="shared" si="21"/>
        <v>0</v>
      </c>
      <c r="AV213" s="136">
        <f t="shared" si="21"/>
        <v>0</v>
      </c>
      <c r="AW213" s="136">
        <f t="shared" si="21"/>
        <v>0</v>
      </c>
      <c r="AX213" s="136">
        <f t="shared" si="21"/>
        <v>0</v>
      </c>
      <c r="AY213" s="136">
        <f t="shared" si="21"/>
        <v>0</v>
      </c>
      <c r="AZ213" s="136">
        <f t="shared" si="21"/>
        <v>0</v>
      </c>
      <c r="BA213" s="136">
        <f t="shared" si="21"/>
        <v>0</v>
      </c>
      <c r="BB213" s="136">
        <f t="shared" si="21"/>
        <v>0</v>
      </c>
      <c r="BC213" s="136">
        <f t="shared" si="21"/>
        <v>0</v>
      </c>
      <c r="BD213" s="136">
        <f t="shared" si="21"/>
        <v>0</v>
      </c>
      <c r="BE213" s="136">
        <f t="shared" si="21"/>
        <v>0</v>
      </c>
      <c r="BF213" s="136">
        <f t="shared" si="21"/>
        <v>0</v>
      </c>
      <c r="BG213" s="136">
        <f t="shared" si="21"/>
        <v>0</v>
      </c>
      <c r="BH213" s="136">
        <f t="shared" si="21"/>
        <v>0</v>
      </c>
      <c r="BI213" s="136">
        <f t="shared" si="21"/>
        <v>0</v>
      </c>
      <c r="BJ213" s="136">
        <f t="shared" si="21"/>
        <v>0</v>
      </c>
      <c r="BK213" s="136">
        <f t="shared" si="21"/>
        <v>0</v>
      </c>
      <c r="BL213" s="136">
        <f t="shared" si="21"/>
        <v>0</v>
      </c>
      <c r="BM213" s="136">
        <f t="shared" si="21"/>
        <v>0</v>
      </c>
      <c r="BN213" s="136">
        <f t="shared" si="21"/>
        <v>0</v>
      </c>
      <c r="BO213" s="136">
        <f t="shared" si="21"/>
        <v>0</v>
      </c>
      <c r="BU213" s="136">
        <f t="shared" si="19"/>
        <v>0</v>
      </c>
      <c r="BV213" s="136">
        <f t="shared" si="19"/>
        <v>0</v>
      </c>
      <c r="BW213" s="136">
        <f t="shared" si="19"/>
        <v>0</v>
      </c>
      <c r="BX213" s="136">
        <f t="shared" si="19"/>
        <v>0</v>
      </c>
      <c r="BZ213" s="136">
        <f t="shared" si="20"/>
        <v>0</v>
      </c>
      <c r="CA213" s="136">
        <f t="shared" si="20"/>
        <v>0</v>
      </c>
    </row>
    <row r="214" spans="12:79" hidden="1" x14ac:dyDescent="0.3">
      <c r="L214" s="136">
        <f t="shared" ref="L214:BO218" si="23">L32-CD32</f>
        <v>0</v>
      </c>
      <c r="M214" s="136">
        <f t="shared" si="23"/>
        <v>0</v>
      </c>
      <c r="N214" s="136">
        <f t="shared" si="23"/>
        <v>0</v>
      </c>
      <c r="O214" s="136">
        <f t="shared" si="23"/>
        <v>0</v>
      </c>
      <c r="P214" s="136">
        <f t="shared" si="23"/>
        <v>0</v>
      </c>
      <c r="Q214" s="136">
        <f t="shared" si="23"/>
        <v>0</v>
      </c>
      <c r="R214" s="136">
        <f t="shared" si="23"/>
        <v>0</v>
      </c>
      <c r="S214" s="136">
        <f t="shared" si="23"/>
        <v>0</v>
      </c>
      <c r="T214" s="136">
        <f t="shared" si="23"/>
        <v>0</v>
      </c>
      <c r="U214" s="136">
        <f t="shared" si="23"/>
        <v>0</v>
      </c>
      <c r="V214" s="136">
        <f t="shared" si="23"/>
        <v>0</v>
      </c>
      <c r="W214" s="136">
        <f t="shared" si="23"/>
        <v>0</v>
      </c>
      <c r="X214" s="136">
        <f t="shared" si="23"/>
        <v>0</v>
      </c>
      <c r="Y214" s="136">
        <f t="shared" si="23"/>
        <v>0</v>
      </c>
      <c r="Z214" s="136">
        <f t="shared" si="23"/>
        <v>0</v>
      </c>
      <c r="AA214" s="136">
        <f t="shared" si="23"/>
        <v>0</v>
      </c>
      <c r="AB214" s="136">
        <f t="shared" si="23"/>
        <v>0</v>
      </c>
      <c r="AC214" s="136">
        <f t="shared" si="23"/>
        <v>0</v>
      </c>
      <c r="AD214" s="136">
        <f t="shared" si="23"/>
        <v>0</v>
      </c>
      <c r="AE214" s="136">
        <f t="shared" si="23"/>
        <v>0</v>
      </c>
      <c r="AF214" s="136">
        <f t="shared" si="23"/>
        <v>0</v>
      </c>
      <c r="AG214" s="136">
        <f t="shared" si="23"/>
        <v>0</v>
      </c>
      <c r="AH214" s="136">
        <f t="shared" si="23"/>
        <v>0</v>
      </c>
      <c r="AI214" s="136">
        <f t="shared" si="23"/>
        <v>0</v>
      </c>
      <c r="AJ214" s="136">
        <f t="shared" si="23"/>
        <v>0</v>
      </c>
      <c r="AK214" s="136">
        <f t="shared" si="23"/>
        <v>0</v>
      </c>
      <c r="AL214" s="136">
        <f t="shared" si="23"/>
        <v>0</v>
      </c>
      <c r="AM214" s="136">
        <f t="shared" si="23"/>
        <v>0</v>
      </c>
      <c r="AN214" s="136">
        <f t="shared" si="23"/>
        <v>0</v>
      </c>
      <c r="AO214" s="136">
        <f t="shared" si="23"/>
        <v>0</v>
      </c>
      <c r="AP214" s="136">
        <f t="shared" si="23"/>
        <v>0</v>
      </c>
      <c r="AQ214" s="136">
        <f t="shared" si="23"/>
        <v>0</v>
      </c>
      <c r="AR214" s="136">
        <f t="shared" si="23"/>
        <v>0</v>
      </c>
      <c r="AS214" s="136">
        <f t="shared" si="23"/>
        <v>0</v>
      </c>
      <c r="AT214" s="136">
        <f t="shared" si="23"/>
        <v>0</v>
      </c>
      <c r="AU214" s="136">
        <f t="shared" si="23"/>
        <v>0</v>
      </c>
      <c r="AV214" s="136">
        <f t="shared" si="23"/>
        <v>0</v>
      </c>
      <c r="AW214" s="136">
        <f t="shared" si="23"/>
        <v>0</v>
      </c>
      <c r="AX214" s="136">
        <f t="shared" si="23"/>
        <v>0</v>
      </c>
      <c r="AY214" s="136">
        <f t="shared" si="23"/>
        <v>0</v>
      </c>
      <c r="AZ214" s="136">
        <f t="shared" si="23"/>
        <v>0</v>
      </c>
      <c r="BA214" s="136">
        <f t="shared" si="23"/>
        <v>0</v>
      </c>
      <c r="BB214" s="136">
        <f t="shared" si="23"/>
        <v>0</v>
      </c>
      <c r="BC214" s="136">
        <f t="shared" si="23"/>
        <v>0</v>
      </c>
      <c r="BD214" s="136">
        <f t="shared" si="23"/>
        <v>0</v>
      </c>
      <c r="BE214" s="136">
        <f t="shared" si="23"/>
        <v>0</v>
      </c>
      <c r="BF214" s="136">
        <f t="shared" si="23"/>
        <v>0</v>
      </c>
      <c r="BG214" s="136">
        <f t="shared" si="23"/>
        <v>0</v>
      </c>
      <c r="BH214" s="136">
        <f t="shared" si="23"/>
        <v>0</v>
      </c>
      <c r="BI214" s="136">
        <f t="shared" si="23"/>
        <v>0</v>
      </c>
      <c r="BJ214" s="136">
        <f t="shared" si="23"/>
        <v>0</v>
      </c>
      <c r="BK214" s="136">
        <f t="shared" si="23"/>
        <v>0</v>
      </c>
      <c r="BL214" s="136">
        <f t="shared" si="23"/>
        <v>0</v>
      </c>
      <c r="BM214" s="136">
        <f t="shared" si="23"/>
        <v>0</v>
      </c>
      <c r="BN214" s="136">
        <f t="shared" si="23"/>
        <v>0</v>
      </c>
      <c r="BO214" s="136">
        <f t="shared" si="23"/>
        <v>-11128875</v>
      </c>
      <c r="BU214" s="136">
        <f t="shared" si="19"/>
        <v>0</v>
      </c>
      <c r="BV214" s="136">
        <f t="shared" si="19"/>
        <v>0</v>
      </c>
      <c r="BW214" s="136">
        <f t="shared" si="19"/>
        <v>0</v>
      </c>
      <c r="BX214" s="136">
        <f t="shared" si="19"/>
        <v>0</v>
      </c>
      <c r="BZ214" s="136">
        <f t="shared" si="20"/>
        <v>0</v>
      </c>
      <c r="CA214" s="136">
        <f t="shared" si="20"/>
        <v>0</v>
      </c>
    </row>
    <row r="215" spans="12:79" hidden="1" x14ac:dyDescent="0.3">
      <c r="L215" s="136">
        <f t="shared" si="23"/>
        <v>0</v>
      </c>
      <c r="M215" s="136">
        <f t="shared" si="23"/>
        <v>0</v>
      </c>
      <c r="N215" s="136">
        <f t="shared" si="23"/>
        <v>0</v>
      </c>
      <c r="O215" s="136">
        <f t="shared" si="23"/>
        <v>0</v>
      </c>
      <c r="P215" s="136">
        <f t="shared" si="23"/>
        <v>0</v>
      </c>
      <c r="Q215" s="136">
        <f t="shared" si="23"/>
        <v>0</v>
      </c>
      <c r="R215" s="136">
        <f t="shared" si="23"/>
        <v>0</v>
      </c>
      <c r="S215" s="136">
        <f t="shared" si="23"/>
        <v>0</v>
      </c>
      <c r="T215" s="136">
        <f t="shared" si="23"/>
        <v>0</v>
      </c>
      <c r="U215" s="136">
        <f t="shared" si="23"/>
        <v>0</v>
      </c>
      <c r="V215" s="136">
        <f t="shared" si="23"/>
        <v>0</v>
      </c>
      <c r="W215" s="136">
        <f t="shared" si="23"/>
        <v>0</v>
      </c>
      <c r="X215" s="136">
        <f t="shared" si="23"/>
        <v>0</v>
      </c>
      <c r="Y215" s="136">
        <f t="shared" si="23"/>
        <v>0</v>
      </c>
      <c r="Z215" s="136">
        <f t="shared" si="23"/>
        <v>0</v>
      </c>
      <c r="AA215" s="136">
        <f t="shared" si="23"/>
        <v>0</v>
      </c>
      <c r="AB215" s="136">
        <f t="shared" si="23"/>
        <v>0</v>
      </c>
      <c r="AC215" s="136">
        <f t="shared" si="23"/>
        <v>0</v>
      </c>
      <c r="AD215" s="136">
        <f t="shared" si="23"/>
        <v>0</v>
      </c>
      <c r="AE215" s="136">
        <f t="shared" si="23"/>
        <v>0</v>
      </c>
      <c r="AF215" s="136">
        <f t="shared" si="23"/>
        <v>0</v>
      </c>
      <c r="AG215" s="136">
        <f t="shared" si="23"/>
        <v>0</v>
      </c>
      <c r="AH215" s="136">
        <f t="shared" si="23"/>
        <v>0</v>
      </c>
      <c r="AI215" s="136">
        <f t="shared" si="23"/>
        <v>0</v>
      </c>
      <c r="AJ215" s="136">
        <f t="shared" si="23"/>
        <v>0</v>
      </c>
      <c r="AK215" s="136">
        <f t="shared" si="23"/>
        <v>0</v>
      </c>
      <c r="AL215" s="136">
        <f t="shared" si="23"/>
        <v>0</v>
      </c>
      <c r="AM215" s="136">
        <f t="shared" si="23"/>
        <v>0</v>
      </c>
      <c r="AN215" s="136">
        <f t="shared" si="23"/>
        <v>0</v>
      </c>
      <c r="AO215" s="136">
        <f t="shared" si="23"/>
        <v>0</v>
      </c>
      <c r="AP215" s="136">
        <f t="shared" si="23"/>
        <v>0</v>
      </c>
      <c r="AQ215" s="136">
        <f t="shared" si="23"/>
        <v>0</v>
      </c>
      <c r="AR215" s="136">
        <f t="shared" si="23"/>
        <v>0</v>
      </c>
      <c r="AS215" s="136">
        <f t="shared" si="23"/>
        <v>0</v>
      </c>
      <c r="AT215" s="136">
        <f t="shared" si="23"/>
        <v>0</v>
      </c>
      <c r="AU215" s="136">
        <f t="shared" si="23"/>
        <v>0</v>
      </c>
      <c r="AV215" s="136">
        <f t="shared" si="23"/>
        <v>0</v>
      </c>
      <c r="AW215" s="136">
        <f t="shared" si="23"/>
        <v>0</v>
      </c>
      <c r="AX215" s="136">
        <f t="shared" si="23"/>
        <v>0</v>
      </c>
      <c r="AY215" s="136">
        <f t="shared" si="23"/>
        <v>0</v>
      </c>
      <c r="AZ215" s="136">
        <f t="shared" si="23"/>
        <v>0</v>
      </c>
      <c r="BA215" s="136">
        <f t="shared" si="23"/>
        <v>0</v>
      </c>
      <c r="BB215" s="136">
        <f t="shared" si="23"/>
        <v>0</v>
      </c>
      <c r="BC215" s="136">
        <f t="shared" si="23"/>
        <v>0</v>
      </c>
      <c r="BD215" s="136">
        <f t="shared" si="23"/>
        <v>0</v>
      </c>
      <c r="BE215" s="136">
        <f t="shared" si="23"/>
        <v>0</v>
      </c>
      <c r="BF215" s="136">
        <f t="shared" si="23"/>
        <v>0</v>
      </c>
      <c r="BG215" s="136">
        <f t="shared" si="23"/>
        <v>0</v>
      </c>
      <c r="BH215" s="136">
        <f t="shared" si="23"/>
        <v>0</v>
      </c>
      <c r="BI215" s="136">
        <f t="shared" si="23"/>
        <v>0</v>
      </c>
      <c r="BJ215" s="136">
        <f t="shared" si="23"/>
        <v>0</v>
      </c>
      <c r="BK215" s="136">
        <f t="shared" si="23"/>
        <v>0</v>
      </c>
      <c r="BL215" s="136">
        <f t="shared" si="23"/>
        <v>0</v>
      </c>
      <c r="BM215" s="136">
        <f t="shared" si="23"/>
        <v>0</v>
      </c>
      <c r="BN215" s="136">
        <f t="shared" si="23"/>
        <v>0</v>
      </c>
      <c r="BO215" s="136">
        <f t="shared" si="23"/>
        <v>-11128875</v>
      </c>
      <c r="BU215" s="136">
        <f t="shared" si="19"/>
        <v>0</v>
      </c>
      <c r="BV215" s="136">
        <f t="shared" si="19"/>
        <v>0</v>
      </c>
      <c r="BW215" s="136">
        <f t="shared" si="19"/>
        <v>0</v>
      </c>
      <c r="BX215" s="136">
        <f t="shared" si="19"/>
        <v>0</v>
      </c>
      <c r="BZ215" s="136">
        <f t="shared" si="20"/>
        <v>0</v>
      </c>
      <c r="CA215" s="136">
        <f t="shared" si="20"/>
        <v>0</v>
      </c>
    </row>
    <row r="216" spans="12:79" hidden="1" x14ac:dyDescent="0.3">
      <c r="L216" s="136">
        <f t="shared" si="23"/>
        <v>0</v>
      </c>
      <c r="M216" s="136">
        <f t="shared" si="23"/>
        <v>0</v>
      </c>
      <c r="N216" s="136">
        <f t="shared" si="23"/>
        <v>0</v>
      </c>
      <c r="O216" s="136">
        <f t="shared" si="23"/>
        <v>0</v>
      </c>
      <c r="P216" s="136">
        <f t="shared" si="23"/>
        <v>0</v>
      </c>
      <c r="Q216" s="136">
        <f t="shared" si="23"/>
        <v>0</v>
      </c>
      <c r="R216" s="136">
        <f t="shared" si="23"/>
        <v>0</v>
      </c>
      <c r="S216" s="136">
        <f t="shared" si="23"/>
        <v>0</v>
      </c>
      <c r="T216" s="136">
        <f t="shared" si="23"/>
        <v>0</v>
      </c>
      <c r="U216" s="136">
        <f t="shared" si="23"/>
        <v>0</v>
      </c>
      <c r="V216" s="136">
        <f t="shared" si="23"/>
        <v>0</v>
      </c>
      <c r="W216" s="136">
        <f t="shared" si="23"/>
        <v>0</v>
      </c>
      <c r="X216" s="136">
        <f t="shared" si="23"/>
        <v>0</v>
      </c>
      <c r="Y216" s="136">
        <f t="shared" si="23"/>
        <v>0</v>
      </c>
      <c r="Z216" s="136">
        <f t="shared" si="23"/>
        <v>0</v>
      </c>
      <c r="AA216" s="136">
        <f t="shared" si="23"/>
        <v>0</v>
      </c>
      <c r="AB216" s="136">
        <f t="shared" si="23"/>
        <v>0</v>
      </c>
      <c r="AC216" s="136">
        <f t="shared" si="23"/>
        <v>0</v>
      </c>
      <c r="AD216" s="136">
        <f t="shared" si="23"/>
        <v>0</v>
      </c>
      <c r="AE216" s="136">
        <f t="shared" si="23"/>
        <v>0</v>
      </c>
      <c r="AF216" s="136">
        <f t="shared" si="23"/>
        <v>0</v>
      </c>
      <c r="AG216" s="136">
        <f t="shared" si="23"/>
        <v>0</v>
      </c>
      <c r="AH216" s="136">
        <f t="shared" si="23"/>
        <v>0</v>
      </c>
      <c r="AI216" s="136">
        <f t="shared" si="23"/>
        <v>0</v>
      </c>
      <c r="AJ216" s="136">
        <f t="shared" si="23"/>
        <v>0</v>
      </c>
      <c r="AK216" s="136">
        <f t="shared" si="23"/>
        <v>0</v>
      </c>
      <c r="AL216" s="136">
        <f t="shared" si="23"/>
        <v>0</v>
      </c>
      <c r="AM216" s="136">
        <f t="shared" si="23"/>
        <v>0</v>
      </c>
      <c r="AN216" s="136">
        <f t="shared" si="23"/>
        <v>0</v>
      </c>
      <c r="AO216" s="136">
        <f t="shared" si="23"/>
        <v>0</v>
      </c>
      <c r="AP216" s="136">
        <f t="shared" si="23"/>
        <v>0</v>
      </c>
      <c r="AQ216" s="136">
        <f t="shared" si="23"/>
        <v>0</v>
      </c>
      <c r="AR216" s="136">
        <f t="shared" si="23"/>
        <v>0</v>
      </c>
      <c r="AS216" s="136">
        <f t="shared" si="23"/>
        <v>0</v>
      </c>
      <c r="AT216" s="136">
        <f t="shared" si="23"/>
        <v>0</v>
      </c>
      <c r="AU216" s="136">
        <f t="shared" si="23"/>
        <v>0</v>
      </c>
      <c r="AV216" s="136">
        <f t="shared" si="23"/>
        <v>0</v>
      </c>
      <c r="AW216" s="136">
        <f t="shared" si="23"/>
        <v>0</v>
      </c>
      <c r="AX216" s="136">
        <f t="shared" si="23"/>
        <v>0</v>
      </c>
      <c r="AY216" s="136">
        <f t="shared" si="23"/>
        <v>0</v>
      </c>
      <c r="AZ216" s="136">
        <f t="shared" si="23"/>
        <v>0</v>
      </c>
      <c r="BA216" s="136">
        <f t="shared" si="23"/>
        <v>0</v>
      </c>
      <c r="BB216" s="136">
        <f t="shared" si="23"/>
        <v>0</v>
      </c>
      <c r="BC216" s="136">
        <f t="shared" si="23"/>
        <v>0</v>
      </c>
      <c r="BD216" s="136">
        <f t="shared" si="23"/>
        <v>0</v>
      </c>
      <c r="BE216" s="136">
        <f t="shared" si="23"/>
        <v>0</v>
      </c>
      <c r="BF216" s="136">
        <f t="shared" si="23"/>
        <v>0</v>
      </c>
      <c r="BG216" s="136">
        <f t="shared" si="23"/>
        <v>0</v>
      </c>
      <c r="BH216" s="136">
        <f t="shared" si="23"/>
        <v>0</v>
      </c>
      <c r="BI216" s="136">
        <f t="shared" si="23"/>
        <v>0</v>
      </c>
      <c r="BJ216" s="136">
        <f t="shared" si="23"/>
        <v>0</v>
      </c>
      <c r="BK216" s="136">
        <f t="shared" si="23"/>
        <v>0</v>
      </c>
      <c r="BL216" s="136">
        <f t="shared" si="23"/>
        <v>0</v>
      </c>
      <c r="BM216" s="136">
        <f t="shared" si="23"/>
        <v>0</v>
      </c>
      <c r="BN216" s="136">
        <f t="shared" si="23"/>
        <v>0</v>
      </c>
      <c r="BO216" s="136">
        <f t="shared" si="23"/>
        <v>0</v>
      </c>
      <c r="BU216" s="136">
        <f t="shared" ref="BU216:BX229" si="24">BU32-EM32</f>
        <v>0</v>
      </c>
      <c r="BV216" s="136">
        <f t="shared" si="24"/>
        <v>0</v>
      </c>
      <c r="BW216" s="136">
        <f t="shared" si="24"/>
        <v>0</v>
      </c>
      <c r="BX216" s="136">
        <f t="shared" si="24"/>
        <v>0</v>
      </c>
      <c r="BZ216" s="136">
        <f t="shared" ref="BZ216:CA229" si="25">BZ32-ER32</f>
        <v>0</v>
      </c>
      <c r="CA216" s="136">
        <f t="shared" si="25"/>
        <v>0</v>
      </c>
    </row>
    <row r="217" spans="12:79" hidden="1" x14ac:dyDescent="0.3">
      <c r="L217" s="136">
        <f t="shared" si="23"/>
        <v>0</v>
      </c>
      <c r="M217" s="136">
        <f t="shared" si="23"/>
        <v>0</v>
      </c>
      <c r="N217" s="136">
        <f t="shared" si="23"/>
        <v>0</v>
      </c>
      <c r="O217" s="136">
        <f t="shared" si="23"/>
        <v>0</v>
      </c>
      <c r="P217" s="136">
        <f t="shared" si="23"/>
        <v>0</v>
      </c>
      <c r="Q217" s="136">
        <f t="shared" si="23"/>
        <v>0</v>
      </c>
      <c r="R217" s="136">
        <f t="shared" si="23"/>
        <v>0</v>
      </c>
      <c r="S217" s="136">
        <f t="shared" si="23"/>
        <v>0</v>
      </c>
      <c r="T217" s="136">
        <f t="shared" si="23"/>
        <v>0</v>
      </c>
      <c r="U217" s="136">
        <f t="shared" si="23"/>
        <v>0</v>
      </c>
      <c r="V217" s="136">
        <f t="shared" si="23"/>
        <v>0</v>
      </c>
      <c r="W217" s="136">
        <f t="shared" si="23"/>
        <v>0</v>
      </c>
      <c r="X217" s="136">
        <f t="shared" si="23"/>
        <v>0</v>
      </c>
      <c r="Y217" s="136">
        <f t="shared" si="23"/>
        <v>0</v>
      </c>
      <c r="Z217" s="136">
        <f t="shared" si="23"/>
        <v>0</v>
      </c>
      <c r="AA217" s="136">
        <f t="shared" si="23"/>
        <v>0</v>
      </c>
      <c r="AB217" s="136">
        <f t="shared" si="23"/>
        <v>0</v>
      </c>
      <c r="AC217" s="136">
        <f t="shared" si="23"/>
        <v>0</v>
      </c>
      <c r="AD217" s="136">
        <f t="shared" si="23"/>
        <v>0</v>
      </c>
      <c r="AE217" s="136">
        <f t="shared" si="23"/>
        <v>0</v>
      </c>
      <c r="AF217" s="136">
        <f t="shared" si="23"/>
        <v>0</v>
      </c>
      <c r="AG217" s="136">
        <f t="shared" si="23"/>
        <v>0</v>
      </c>
      <c r="AH217" s="136">
        <f t="shared" si="23"/>
        <v>0</v>
      </c>
      <c r="AI217" s="136">
        <f t="shared" si="23"/>
        <v>0</v>
      </c>
      <c r="AJ217" s="136">
        <f t="shared" si="23"/>
        <v>0</v>
      </c>
      <c r="AK217" s="136">
        <f t="shared" si="23"/>
        <v>0</v>
      </c>
      <c r="AL217" s="136">
        <f t="shared" si="23"/>
        <v>0</v>
      </c>
      <c r="AM217" s="136">
        <f t="shared" si="23"/>
        <v>0</v>
      </c>
      <c r="AN217" s="136">
        <f t="shared" si="23"/>
        <v>0</v>
      </c>
      <c r="AO217" s="136">
        <f t="shared" si="23"/>
        <v>0</v>
      </c>
      <c r="AP217" s="136">
        <f t="shared" si="23"/>
        <v>0</v>
      </c>
      <c r="AQ217" s="136">
        <f t="shared" si="23"/>
        <v>0</v>
      </c>
      <c r="AR217" s="136">
        <f t="shared" si="23"/>
        <v>0</v>
      </c>
      <c r="AS217" s="136">
        <f t="shared" si="23"/>
        <v>0</v>
      </c>
      <c r="AT217" s="136">
        <f t="shared" si="23"/>
        <v>0</v>
      </c>
      <c r="AU217" s="136">
        <f t="shared" si="23"/>
        <v>0</v>
      </c>
      <c r="AV217" s="136">
        <f t="shared" si="23"/>
        <v>0</v>
      </c>
      <c r="AW217" s="136">
        <f t="shared" si="23"/>
        <v>0</v>
      </c>
      <c r="AX217" s="136">
        <f t="shared" si="23"/>
        <v>0</v>
      </c>
      <c r="AY217" s="136">
        <f t="shared" si="23"/>
        <v>0</v>
      </c>
      <c r="AZ217" s="136">
        <f t="shared" si="23"/>
        <v>0</v>
      </c>
      <c r="BA217" s="136">
        <f t="shared" si="23"/>
        <v>0</v>
      </c>
      <c r="BB217" s="136">
        <f t="shared" si="23"/>
        <v>0</v>
      </c>
      <c r="BC217" s="136">
        <f t="shared" si="23"/>
        <v>0</v>
      </c>
      <c r="BD217" s="136">
        <f t="shared" si="23"/>
        <v>0</v>
      </c>
      <c r="BE217" s="136">
        <f t="shared" si="23"/>
        <v>0</v>
      </c>
      <c r="BF217" s="136">
        <f t="shared" si="23"/>
        <v>0</v>
      </c>
      <c r="BG217" s="136">
        <f t="shared" si="23"/>
        <v>0</v>
      </c>
      <c r="BH217" s="136">
        <f t="shared" si="23"/>
        <v>0</v>
      </c>
      <c r="BI217" s="136">
        <f t="shared" si="23"/>
        <v>0</v>
      </c>
      <c r="BJ217" s="136">
        <f t="shared" si="23"/>
        <v>0</v>
      </c>
      <c r="BK217" s="136">
        <f t="shared" si="23"/>
        <v>0</v>
      </c>
      <c r="BL217" s="136">
        <f t="shared" si="23"/>
        <v>0</v>
      </c>
      <c r="BM217" s="136">
        <f t="shared" si="23"/>
        <v>0</v>
      </c>
      <c r="BN217" s="136">
        <f t="shared" si="23"/>
        <v>0</v>
      </c>
      <c r="BO217" s="136">
        <f t="shared" si="23"/>
        <v>0</v>
      </c>
      <c r="BU217" s="136">
        <f t="shared" si="24"/>
        <v>0</v>
      </c>
      <c r="BV217" s="136">
        <f t="shared" si="24"/>
        <v>0</v>
      </c>
      <c r="BW217" s="136">
        <f t="shared" si="24"/>
        <v>0</v>
      </c>
      <c r="BX217" s="136">
        <f t="shared" si="24"/>
        <v>0</v>
      </c>
      <c r="BZ217" s="136">
        <f t="shared" si="25"/>
        <v>0</v>
      </c>
      <c r="CA217" s="136">
        <f t="shared" si="25"/>
        <v>0</v>
      </c>
    </row>
    <row r="218" spans="12:79" hidden="1" x14ac:dyDescent="0.3">
      <c r="L218" s="136">
        <f t="shared" si="23"/>
        <v>0</v>
      </c>
      <c r="M218" s="136">
        <f t="shared" si="23"/>
        <v>0</v>
      </c>
      <c r="N218" s="136">
        <f t="shared" si="23"/>
        <v>0</v>
      </c>
      <c r="O218" s="136">
        <f t="shared" si="23"/>
        <v>0</v>
      </c>
      <c r="P218" s="136">
        <f t="shared" si="23"/>
        <v>0</v>
      </c>
      <c r="Q218" s="136">
        <f t="shared" si="23"/>
        <v>0</v>
      </c>
      <c r="R218" s="136">
        <f t="shared" si="23"/>
        <v>0</v>
      </c>
      <c r="S218" s="136">
        <f t="shared" si="23"/>
        <v>0</v>
      </c>
      <c r="T218" s="136">
        <f t="shared" si="23"/>
        <v>0</v>
      </c>
      <c r="U218" s="136">
        <f t="shared" si="23"/>
        <v>0</v>
      </c>
      <c r="V218" s="136">
        <f t="shared" si="23"/>
        <v>0</v>
      </c>
      <c r="W218" s="136">
        <f t="shared" si="23"/>
        <v>0</v>
      </c>
      <c r="X218" s="136">
        <f t="shared" si="23"/>
        <v>0</v>
      </c>
      <c r="Y218" s="136">
        <f t="shared" si="23"/>
        <v>0</v>
      </c>
      <c r="Z218" s="136">
        <f t="shared" si="23"/>
        <v>0</v>
      </c>
      <c r="AA218" s="136">
        <f t="shared" si="23"/>
        <v>0</v>
      </c>
      <c r="AB218" s="136">
        <f t="shared" si="23"/>
        <v>0</v>
      </c>
      <c r="AC218" s="136">
        <f t="shared" si="23"/>
        <v>0</v>
      </c>
      <c r="AD218" s="136">
        <f t="shared" si="23"/>
        <v>0</v>
      </c>
      <c r="AE218" s="136">
        <f t="shared" si="23"/>
        <v>0</v>
      </c>
      <c r="AF218" s="136">
        <f t="shared" si="23"/>
        <v>0</v>
      </c>
      <c r="AG218" s="136">
        <f t="shared" si="23"/>
        <v>0</v>
      </c>
      <c r="AH218" s="136">
        <f t="shared" si="23"/>
        <v>0</v>
      </c>
      <c r="AI218" s="136">
        <f t="shared" si="23"/>
        <v>0</v>
      </c>
      <c r="AJ218" s="136">
        <f t="shared" si="23"/>
        <v>0</v>
      </c>
      <c r="AK218" s="136">
        <f t="shared" si="23"/>
        <v>0</v>
      </c>
      <c r="AL218" s="136">
        <f t="shared" si="23"/>
        <v>0</v>
      </c>
      <c r="AM218" s="136">
        <f t="shared" si="23"/>
        <v>0</v>
      </c>
      <c r="AN218" s="136">
        <f t="shared" si="23"/>
        <v>0</v>
      </c>
      <c r="AO218" s="136">
        <f t="shared" si="23"/>
        <v>0</v>
      </c>
      <c r="AP218" s="136">
        <f t="shared" si="23"/>
        <v>0</v>
      </c>
      <c r="AQ218" s="136">
        <f t="shared" ref="AQ218:BO228" si="26">AQ36-DI36</f>
        <v>0</v>
      </c>
      <c r="AR218" s="136">
        <f t="shared" si="26"/>
        <v>0</v>
      </c>
      <c r="AS218" s="136">
        <f t="shared" si="26"/>
        <v>0</v>
      </c>
      <c r="AT218" s="136">
        <f t="shared" si="26"/>
        <v>0</v>
      </c>
      <c r="AU218" s="136">
        <f t="shared" si="26"/>
        <v>0</v>
      </c>
      <c r="AV218" s="136">
        <f t="shared" si="26"/>
        <v>0</v>
      </c>
      <c r="AW218" s="136">
        <f t="shared" si="26"/>
        <v>0</v>
      </c>
      <c r="AX218" s="136">
        <f t="shared" si="26"/>
        <v>0</v>
      </c>
      <c r="AY218" s="136">
        <f t="shared" si="26"/>
        <v>0</v>
      </c>
      <c r="AZ218" s="136">
        <f t="shared" si="26"/>
        <v>0</v>
      </c>
      <c r="BA218" s="136">
        <f t="shared" si="26"/>
        <v>0</v>
      </c>
      <c r="BB218" s="136">
        <f t="shared" si="26"/>
        <v>0</v>
      </c>
      <c r="BC218" s="136">
        <f t="shared" si="26"/>
        <v>0</v>
      </c>
      <c r="BD218" s="136">
        <f t="shared" si="26"/>
        <v>0</v>
      </c>
      <c r="BE218" s="136">
        <f t="shared" si="26"/>
        <v>0</v>
      </c>
      <c r="BF218" s="136">
        <f t="shared" si="26"/>
        <v>0</v>
      </c>
      <c r="BG218" s="136">
        <f t="shared" si="26"/>
        <v>0</v>
      </c>
      <c r="BH218" s="136">
        <f t="shared" si="26"/>
        <v>0</v>
      </c>
      <c r="BI218" s="136">
        <f t="shared" si="26"/>
        <v>0</v>
      </c>
      <c r="BJ218" s="136">
        <f t="shared" si="26"/>
        <v>0</v>
      </c>
      <c r="BK218" s="136">
        <f t="shared" si="26"/>
        <v>0</v>
      </c>
      <c r="BL218" s="136">
        <f t="shared" si="26"/>
        <v>0</v>
      </c>
      <c r="BM218" s="136">
        <f t="shared" si="26"/>
        <v>0</v>
      </c>
      <c r="BN218" s="136">
        <f t="shared" si="26"/>
        <v>0</v>
      </c>
      <c r="BO218" s="136">
        <f t="shared" si="26"/>
        <v>0</v>
      </c>
      <c r="BU218" s="136">
        <f t="shared" si="24"/>
        <v>0</v>
      </c>
      <c r="BV218" s="136">
        <f t="shared" si="24"/>
        <v>0</v>
      </c>
      <c r="BW218" s="136">
        <f t="shared" si="24"/>
        <v>0</v>
      </c>
      <c r="BX218" s="136">
        <f t="shared" si="24"/>
        <v>0</v>
      </c>
      <c r="BZ218" s="136">
        <f t="shared" si="25"/>
        <v>0</v>
      </c>
      <c r="CA218" s="136">
        <f t="shared" si="25"/>
        <v>0</v>
      </c>
    </row>
    <row r="219" spans="12:79" hidden="1" x14ac:dyDescent="0.3">
      <c r="L219" s="136">
        <f t="shared" ref="L219:AP227" si="27">L37-CD37</f>
        <v>1484820</v>
      </c>
      <c r="M219" s="136">
        <f t="shared" si="27"/>
        <v>0</v>
      </c>
      <c r="N219" s="136">
        <f t="shared" si="27"/>
        <v>0</v>
      </c>
      <c r="O219" s="136">
        <f t="shared" si="27"/>
        <v>0</v>
      </c>
      <c r="P219" s="136">
        <f t="shared" si="27"/>
        <v>0</v>
      </c>
      <c r="Q219" s="136">
        <f t="shared" si="27"/>
        <v>0</v>
      </c>
      <c r="R219" s="136">
        <f t="shared" si="27"/>
        <v>0</v>
      </c>
      <c r="S219" s="136">
        <f t="shared" si="27"/>
        <v>0</v>
      </c>
      <c r="T219" s="136">
        <f t="shared" si="27"/>
        <v>0</v>
      </c>
      <c r="U219" s="136">
        <f t="shared" si="27"/>
        <v>0</v>
      </c>
      <c r="V219" s="136">
        <f t="shared" si="27"/>
        <v>0</v>
      </c>
      <c r="W219" s="136">
        <f t="shared" si="27"/>
        <v>0</v>
      </c>
      <c r="X219" s="136">
        <f t="shared" si="27"/>
        <v>0</v>
      </c>
      <c r="Y219" s="136">
        <f t="shared" si="27"/>
        <v>0</v>
      </c>
      <c r="Z219" s="136">
        <f t="shared" si="27"/>
        <v>0</v>
      </c>
      <c r="AA219" s="136">
        <f t="shared" si="27"/>
        <v>0</v>
      </c>
      <c r="AB219" s="136">
        <f t="shared" si="27"/>
        <v>0</v>
      </c>
      <c r="AC219" s="136">
        <f t="shared" si="27"/>
        <v>0</v>
      </c>
      <c r="AD219" s="136">
        <f t="shared" si="27"/>
        <v>0</v>
      </c>
      <c r="AE219" s="136">
        <f t="shared" si="27"/>
        <v>0</v>
      </c>
      <c r="AF219" s="136">
        <f t="shared" si="27"/>
        <v>0</v>
      </c>
      <c r="AG219" s="136">
        <f t="shared" si="27"/>
        <v>0</v>
      </c>
      <c r="AH219" s="136">
        <f t="shared" si="27"/>
        <v>0</v>
      </c>
      <c r="AI219" s="136">
        <f t="shared" si="27"/>
        <v>0</v>
      </c>
      <c r="AJ219" s="136">
        <f t="shared" si="27"/>
        <v>0</v>
      </c>
      <c r="AK219" s="136">
        <f t="shared" si="27"/>
        <v>0</v>
      </c>
      <c r="AL219" s="136">
        <f t="shared" si="27"/>
        <v>0</v>
      </c>
      <c r="AM219" s="136">
        <f t="shared" si="27"/>
        <v>0</v>
      </c>
      <c r="AN219" s="136">
        <f t="shared" si="27"/>
        <v>0</v>
      </c>
      <c r="AO219" s="136">
        <f t="shared" si="27"/>
        <v>0</v>
      </c>
      <c r="AP219" s="136">
        <f t="shared" si="27"/>
        <v>0</v>
      </c>
      <c r="AQ219" s="136">
        <f t="shared" si="26"/>
        <v>0</v>
      </c>
      <c r="AR219" s="136">
        <f t="shared" si="26"/>
        <v>0</v>
      </c>
      <c r="AS219" s="136">
        <f t="shared" si="26"/>
        <v>0</v>
      </c>
      <c r="AT219" s="136">
        <f t="shared" si="26"/>
        <v>0</v>
      </c>
      <c r="AU219" s="136">
        <f t="shared" si="26"/>
        <v>0</v>
      </c>
      <c r="AV219" s="136">
        <f t="shared" si="26"/>
        <v>0</v>
      </c>
      <c r="AW219" s="136">
        <f t="shared" si="26"/>
        <v>0</v>
      </c>
      <c r="AX219" s="136">
        <f t="shared" si="26"/>
        <v>0</v>
      </c>
      <c r="AY219" s="136">
        <f t="shared" si="26"/>
        <v>0</v>
      </c>
      <c r="AZ219" s="136">
        <f t="shared" si="26"/>
        <v>0</v>
      </c>
      <c r="BA219" s="136">
        <f t="shared" si="26"/>
        <v>0</v>
      </c>
      <c r="BB219" s="136">
        <f t="shared" si="26"/>
        <v>0</v>
      </c>
      <c r="BC219" s="136">
        <f t="shared" si="26"/>
        <v>0</v>
      </c>
      <c r="BD219" s="136">
        <f t="shared" si="26"/>
        <v>0</v>
      </c>
      <c r="BE219" s="136">
        <f t="shared" si="26"/>
        <v>0</v>
      </c>
      <c r="BF219" s="136">
        <f t="shared" si="26"/>
        <v>0</v>
      </c>
      <c r="BG219" s="136">
        <f t="shared" si="26"/>
        <v>0</v>
      </c>
      <c r="BH219" s="136">
        <f t="shared" si="26"/>
        <v>0</v>
      </c>
      <c r="BI219" s="136">
        <f t="shared" si="26"/>
        <v>0</v>
      </c>
      <c r="BJ219" s="136">
        <f t="shared" si="26"/>
        <v>0</v>
      </c>
      <c r="BK219" s="136">
        <f t="shared" si="26"/>
        <v>0</v>
      </c>
      <c r="BL219" s="136">
        <f t="shared" si="26"/>
        <v>0</v>
      </c>
      <c r="BM219" s="136">
        <f t="shared" si="26"/>
        <v>0</v>
      </c>
      <c r="BN219" s="136">
        <f t="shared" si="26"/>
        <v>0</v>
      </c>
      <c r="BO219" s="136">
        <f t="shared" si="26"/>
        <v>0</v>
      </c>
      <c r="BU219" s="136">
        <f t="shared" si="24"/>
        <v>0</v>
      </c>
      <c r="BV219" s="136">
        <f t="shared" si="24"/>
        <v>0</v>
      </c>
      <c r="BW219" s="136">
        <f t="shared" si="24"/>
        <v>0</v>
      </c>
      <c r="BX219" s="136">
        <f t="shared" si="24"/>
        <v>0</v>
      </c>
      <c r="BZ219" s="136">
        <f t="shared" si="25"/>
        <v>0</v>
      </c>
      <c r="CA219" s="136">
        <f t="shared" si="25"/>
        <v>0</v>
      </c>
    </row>
    <row r="220" spans="12:79" hidden="1" x14ac:dyDescent="0.3">
      <c r="L220" s="136">
        <f t="shared" si="27"/>
        <v>1484820</v>
      </c>
      <c r="M220" s="136">
        <f t="shared" si="27"/>
        <v>0</v>
      </c>
      <c r="N220" s="136">
        <f t="shared" si="27"/>
        <v>0</v>
      </c>
      <c r="O220" s="136">
        <f t="shared" si="27"/>
        <v>0</v>
      </c>
      <c r="P220" s="136">
        <f t="shared" si="27"/>
        <v>0</v>
      </c>
      <c r="Q220" s="136">
        <f t="shared" si="27"/>
        <v>0</v>
      </c>
      <c r="R220" s="136">
        <f t="shared" si="27"/>
        <v>0</v>
      </c>
      <c r="S220" s="136">
        <f t="shared" si="27"/>
        <v>0</v>
      </c>
      <c r="T220" s="136">
        <f t="shared" si="27"/>
        <v>0</v>
      </c>
      <c r="U220" s="136">
        <f t="shared" si="27"/>
        <v>0</v>
      </c>
      <c r="V220" s="136">
        <f t="shared" si="27"/>
        <v>0</v>
      </c>
      <c r="W220" s="136">
        <f t="shared" si="27"/>
        <v>0</v>
      </c>
      <c r="X220" s="136">
        <f t="shared" si="27"/>
        <v>0</v>
      </c>
      <c r="Y220" s="136">
        <f t="shared" si="27"/>
        <v>0</v>
      </c>
      <c r="Z220" s="136">
        <f t="shared" si="27"/>
        <v>0</v>
      </c>
      <c r="AA220" s="136">
        <f t="shared" si="27"/>
        <v>0</v>
      </c>
      <c r="AB220" s="136">
        <f t="shared" si="27"/>
        <v>0</v>
      </c>
      <c r="AC220" s="136">
        <f t="shared" si="27"/>
        <v>0</v>
      </c>
      <c r="AD220" s="136">
        <f t="shared" si="27"/>
        <v>0</v>
      </c>
      <c r="AE220" s="136">
        <f t="shared" si="27"/>
        <v>0</v>
      </c>
      <c r="AF220" s="136">
        <f t="shared" si="27"/>
        <v>0</v>
      </c>
      <c r="AG220" s="136">
        <f t="shared" si="27"/>
        <v>0</v>
      </c>
      <c r="AH220" s="136">
        <f t="shared" si="27"/>
        <v>0</v>
      </c>
      <c r="AI220" s="136">
        <f t="shared" si="27"/>
        <v>0</v>
      </c>
      <c r="AJ220" s="136">
        <f t="shared" si="27"/>
        <v>0</v>
      </c>
      <c r="AK220" s="136">
        <f t="shared" si="27"/>
        <v>0</v>
      </c>
      <c r="AL220" s="136">
        <f t="shared" si="27"/>
        <v>0</v>
      </c>
      <c r="AM220" s="136">
        <f t="shared" si="27"/>
        <v>0</v>
      </c>
      <c r="AN220" s="136">
        <f t="shared" si="27"/>
        <v>0</v>
      </c>
      <c r="AO220" s="136">
        <f t="shared" si="27"/>
        <v>0</v>
      </c>
      <c r="AP220" s="136">
        <f t="shared" si="27"/>
        <v>0</v>
      </c>
      <c r="AQ220" s="136">
        <f t="shared" si="26"/>
        <v>0</v>
      </c>
      <c r="AR220" s="136">
        <f t="shared" si="26"/>
        <v>0</v>
      </c>
      <c r="AS220" s="136">
        <f t="shared" si="26"/>
        <v>0</v>
      </c>
      <c r="AT220" s="136">
        <f t="shared" si="26"/>
        <v>0</v>
      </c>
      <c r="AU220" s="136">
        <f t="shared" si="26"/>
        <v>0</v>
      </c>
      <c r="AV220" s="136">
        <f t="shared" si="26"/>
        <v>0</v>
      </c>
      <c r="AW220" s="136">
        <f t="shared" si="26"/>
        <v>0</v>
      </c>
      <c r="AX220" s="136">
        <f t="shared" si="26"/>
        <v>0</v>
      </c>
      <c r="AY220" s="136">
        <f t="shared" si="26"/>
        <v>0</v>
      </c>
      <c r="AZ220" s="136">
        <f t="shared" si="26"/>
        <v>0</v>
      </c>
      <c r="BA220" s="136">
        <f t="shared" si="26"/>
        <v>0</v>
      </c>
      <c r="BB220" s="136">
        <f t="shared" si="26"/>
        <v>0</v>
      </c>
      <c r="BC220" s="136">
        <f t="shared" si="26"/>
        <v>0</v>
      </c>
      <c r="BD220" s="136">
        <f t="shared" si="26"/>
        <v>0</v>
      </c>
      <c r="BE220" s="136">
        <f t="shared" si="26"/>
        <v>0</v>
      </c>
      <c r="BF220" s="136">
        <f t="shared" si="26"/>
        <v>0</v>
      </c>
      <c r="BG220" s="136">
        <f t="shared" si="26"/>
        <v>0</v>
      </c>
      <c r="BH220" s="136">
        <f t="shared" si="26"/>
        <v>0</v>
      </c>
      <c r="BI220" s="136">
        <f t="shared" si="26"/>
        <v>0</v>
      </c>
      <c r="BJ220" s="136">
        <f t="shared" si="26"/>
        <v>0</v>
      </c>
      <c r="BK220" s="136">
        <f t="shared" si="26"/>
        <v>0</v>
      </c>
      <c r="BL220" s="136">
        <f t="shared" si="26"/>
        <v>0</v>
      </c>
      <c r="BM220" s="136">
        <f t="shared" si="26"/>
        <v>0</v>
      </c>
      <c r="BN220" s="136">
        <f t="shared" si="26"/>
        <v>0</v>
      </c>
      <c r="BO220" s="136">
        <f t="shared" si="26"/>
        <v>0</v>
      </c>
      <c r="BU220" s="136">
        <f t="shared" si="24"/>
        <v>0</v>
      </c>
      <c r="BV220" s="136">
        <f t="shared" si="24"/>
        <v>0</v>
      </c>
      <c r="BW220" s="136">
        <f t="shared" si="24"/>
        <v>0</v>
      </c>
      <c r="BX220" s="136">
        <f t="shared" si="24"/>
        <v>0</v>
      </c>
      <c r="BZ220" s="136">
        <f t="shared" si="25"/>
        <v>0</v>
      </c>
      <c r="CA220" s="136">
        <f t="shared" si="25"/>
        <v>0</v>
      </c>
    </row>
    <row r="221" spans="12:79" hidden="1" x14ac:dyDescent="0.3">
      <c r="L221" s="136">
        <f t="shared" si="27"/>
        <v>0</v>
      </c>
      <c r="M221" s="136">
        <f t="shared" si="27"/>
        <v>0</v>
      </c>
      <c r="N221" s="136">
        <f t="shared" si="27"/>
        <v>0</v>
      </c>
      <c r="O221" s="136">
        <f t="shared" si="27"/>
        <v>0</v>
      </c>
      <c r="P221" s="136">
        <f t="shared" si="27"/>
        <v>0</v>
      </c>
      <c r="Q221" s="136">
        <f t="shared" si="27"/>
        <v>0</v>
      </c>
      <c r="R221" s="136">
        <f t="shared" si="27"/>
        <v>0</v>
      </c>
      <c r="S221" s="136">
        <f t="shared" si="27"/>
        <v>0</v>
      </c>
      <c r="T221" s="136">
        <f t="shared" si="27"/>
        <v>0</v>
      </c>
      <c r="U221" s="136">
        <f t="shared" si="27"/>
        <v>0</v>
      </c>
      <c r="V221" s="136">
        <f t="shared" si="27"/>
        <v>0</v>
      </c>
      <c r="W221" s="136">
        <f t="shared" si="27"/>
        <v>0</v>
      </c>
      <c r="X221" s="136">
        <f t="shared" si="27"/>
        <v>0</v>
      </c>
      <c r="Y221" s="136">
        <f t="shared" si="27"/>
        <v>0</v>
      </c>
      <c r="Z221" s="136">
        <f t="shared" si="27"/>
        <v>0</v>
      </c>
      <c r="AA221" s="136">
        <f t="shared" si="27"/>
        <v>0</v>
      </c>
      <c r="AB221" s="136">
        <f t="shared" si="27"/>
        <v>0</v>
      </c>
      <c r="AC221" s="136">
        <f t="shared" si="27"/>
        <v>0</v>
      </c>
      <c r="AD221" s="136">
        <f t="shared" si="27"/>
        <v>0</v>
      </c>
      <c r="AE221" s="136">
        <f t="shared" si="27"/>
        <v>0</v>
      </c>
      <c r="AF221" s="136">
        <f t="shared" si="27"/>
        <v>0</v>
      </c>
      <c r="AG221" s="136">
        <f t="shared" si="27"/>
        <v>0</v>
      </c>
      <c r="AH221" s="136">
        <f t="shared" si="27"/>
        <v>0</v>
      </c>
      <c r="AI221" s="136">
        <f t="shared" si="27"/>
        <v>0</v>
      </c>
      <c r="AJ221" s="136">
        <f t="shared" si="27"/>
        <v>0</v>
      </c>
      <c r="AK221" s="136">
        <f t="shared" si="27"/>
        <v>0</v>
      </c>
      <c r="AL221" s="136">
        <f t="shared" si="27"/>
        <v>0</v>
      </c>
      <c r="AM221" s="136">
        <f t="shared" si="27"/>
        <v>0</v>
      </c>
      <c r="AN221" s="136">
        <f t="shared" si="27"/>
        <v>0</v>
      </c>
      <c r="AO221" s="136">
        <f t="shared" si="27"/>
        <v>0</v>
      </c>
      <c r="AP221" s="136">
        <f t="shared" si="27"/>
        <v>0</v>
      </c>
      <c r="AQ221" s="136">
        <f t="shared" si="26"/>
        <v>0</v>
      </c>
      <c r="AR221" s="136">
        <f t="shared" si="26"/>
        <v>0</v>
      </c>
      <c r="AS221" s="136">
        <f t="shared" si="26"/>
        <v>0</v>
      </c>
      <c r="AT221" s="136">
        <f t="shared" si="26"/>
        <v>0</v>
      </c>
      <c r="AU221" s="136">
        <f t="shared" si="26"/>
        <v>0</v>
      </c>
      <c r="AV221" s="136">
        <f t="shared" si="26"/>
        <v>0</v>
      </c>
      <c r="AW221" s="136">
        <f t="shared" si="26"/>
        <v>0</v>
      </c>
      <c r="AX221" s="136">
        <f t="shared" si="26"/>
        <v>0</v>
      </c>
      <c r="AY221" s="136">
        <f t="shared" si="26"/>
        <v>0</v>
      </c>
      <c r="AZ221" s="136">
        <f t="shared" si="26"/>
        <v>0</v>
      </c>
      <c r="BA221" s="136">
        <f t="shared" si="26"/>
        <v>0</v>
      </c>
      <c r="BB221" s="136">
        <f t="shared" si="26"/>
        <v>0</v>
      </c>
      <c r="BC221" s="136">
        <f t="shared" si="26"/>
        <v>0</v>
      </c>
      <c r="BD221" s="136">
        <f t="shared" si="26"/>
        <v>0</v>
      </c>
      <c r="BE221" s="136">
        <f t="shared" si="26"/>
        <v>0</v>
      </c>
      <c r="BF221" s="136">
        <f t="shared" si="26"/>
        <v>0</v>
      </c>
      <c r="BG221" s="136">
        <f t="shared" si="26"/>
        <v>0</v>
      </c>
      <c r="BH221" s="136">
        <f t="shared" si="26"/>
        <v>0</v>
      </c>
      <c r="BI221" s="136">
        <f t="shared" si="26"/>
        <v>0</v>
      </c>
      <c r="BJ221" s="136">
        <f t="shared" si="26"/>
        <v>0</v>
      </c>
      <c r="BK221" s="136">
        <f t="shared" si="26"/>
        <v>0</v>
      </c>
      <c r="BL221" s="136">
        <f t="shared" si="26"/>
        <v>0</v>
      </c>
      <c r="BM221" s="136">
        <f t="shared" si="26"/>
        <v>0</v>
      </c>
      <c r="BN221" s="136">
        <f t="shared" si="26"/>
        <v>0</v>
      </c>
      <c r="BO221" s="136">
        <f t="shared" si="26"/>
        <v>0</v>
      </c>
      <c r="BU221" s="136">
        <f t="shared" si="24"/>
        <v>0</v>
      </c>
      <c r="BV221" s="136">
        <f t="shared" si="24"/>
        <v>0</v>
      </c>
      <c r="BW221" s="136">
        <f t="shared" si="24"/>
        <v>0</v>
      </c>
      <c r="BX221" s="136">
        <f t="shared" si="24"/>
        <v>0</v>
      </c>
      <c r="BZ221" s="136">
        <f t="shared" si="25"/>
        <v>0</v>
      </c>
      <c r="CA221" s="136">
        <f t="shared" si="25"/>
        <v>0</v>
      </c>
    </row>
    <row r="222" spans="12:79" hidden="1" x14ac:dyDescent="0.3">
      <c r="L222" s="136">
        <f t="shared" si="27"/>
        <v>0</v>
      </c>
      <c r="M222" s="136">
        <f t="shared" si="27"/>
        <v>0</v>
      </c>
      <c r="N222" s="136">
        <f t="shared" si="27"/>
        <v>0</v>
      </c>
      <c r="O222" s="136">
        <f t="shared" si="27"/>
        <v>0</v>
      </c>
      <c r="P222" s="136">
        <f t="shared" si="27"/>
        <v>0</v>
      </c>
      <c r="Q222" s="136">
        <f t="shared" si="27"/>
        <v>0</v>
      </c>
      <c r="R222" s="136">
        <f t="shared" si="27"/>
        <v>0</v>
      </c>
      <c r="S222" s="136">
        <f t="shared" si="27"/>
        <v>0</v>
      </c>
      <c r="T222" s="136">
        <f t="shared" si="27"/>
        <v>0</v>
      </c>
      <c r="U222" s="136">
        <f t="shared" si="27"/>
        <v>0</v>
      </c>
      <c r="V222" s="136">
        <f t="shared" si="27"/>
        <v>0</v>
      </c>
      <c r="W222" s="136">
        <f t="shared" si="27"/>
        <v>0</v>
      </c>
      <c r="X222" s="136">
        <f t="shared" si="27"/>
        <v>0</v>
      </c>
      <c r="Y222" s="136">
        <f t="shared" si="27"/>
        <v>0</v>
      </c>
      <c r="Z222" s="136">
        <f t="shared" si="27"/>
        <v>0</v>
      </c>
      <c r="AA222" s="136">
        <f t="shared" si="27"/>
        <v>0</v>
      </c>
      <c r="AB222" s="136">
        <f t="shared" si="27"/>
        <v>0</v>
      </c>
      <c r="AC222" s="136">
        <f t="shared" si="27"/>
        <v>0</v>
      </c>
      <c r="AD222" s="136">
        <f t="shared" si="27"/>
        <v>0</v>
      </c>
      <c r="AE222" s="136">
        <f t="shared" si="27"/>
        <v>0</v>
      </c>
      <c r="AF222" s="136">
        <f t="shared" si="27"/>
        <v>0</v>
      </c>
      <c r="AG222" s="136">
        <f t="shared" si="27"/>
        <v>0</v>
      </c>
      <c r="AH222" s="136">
        <f t="shared" si="27"/>
        <v>0</v>
      </c>
      <c r="AI222" s="136">
        <f t="shared" si="27"/>
        <v>0</v>
      </c>
      <c r="AJ222" s="136">
        <f t="shared" si="27"/>
        <v>0</v>
      </c>
      <c r="AK222" s="136">
        <f t="shared" si="27"/>
        <v>0</v>
      </c>
      <c r="AL222" s="136">
        <f t="shared" si="27"/>
        <v>0</v>
      </c>
      <c r="AM222" s="136">
        <f t="shared" si="27"/>
        <v>0</v>
      </c>
      <c r="AN222" s="136">
        <f t="shared" si="27"/>
        <v>0</v>
      </c>
      <c r="AO222" s="136">
        <f t="shared" si="27"/>
        <v>0</v>
      </c>
      <c r="AP222" s="136">
        <f t="shared" si="27"/>
        <v>0</v>
      </c>
      <c r="AQ222" s="136">
        <f t="shared" si="26"/>
        <v>0</v>
      </c>
      <c r="AR222" s="136">
        <f t="shared" si="26"/>
        <v>0</v>
      </c>
      <c r="AS222" s="136">
        <f t="shared" si="26"/>
        <v>0</v>
      </c>
      <c r="AT222" s="136">
        <f t="shared" si="26"/>
        <v>0</v>
      </c>
      <c r="AU222" s="136">
        <f t="shared" si="26"/>
        <v>0</v>
      </c>
      <c r="AV222" s="136">
        <f t="shared" si="26"/>
        <v>0</v>
      </c>
      <c r="AW222" s="136">
        <f t="shared" si="26"/>
        <v>0</v>
      </c>
      <c r="AX222" s="136">
        <f t="shared" si="26"/>
        <v>0</v>
      </c>
      <c r="AY222" s="136">
        <f t="shared" si="26"/>
        <v>0</v>
      </c>
      <c r="AZ222" s="136">
        <f t="shared" si="26"/>
        <v>0</v>
      </c>
      <c r="BA222" s="136">
        <f t="shared" si="26"/>
        <v>0</v>
      </c>
      <c r="BB222" s="136">
        <f t="shared" si="26"/>
        <v>0</v>
      </c>
      <c r="BC222" s="136">
        <f t="shared" si="26"/>
        <v>0</v>
      </c>
      <c r="BD222" s="136">
        <f t="shared" si="26"/>
        <v>0</v>
      </c>
      <c r="BE222" s="136">
        <f t="shared" si="26"/>
        <v>0</v>
      </c>
      <c r="BF222" s="136">
        <f t="shared" si="26"/>
        <v>0</v>
      </c>
      <c r="BG222" s="136">
        <f t="shared" si="26"/>
        <v>0</v>
      </c>
      <c r="BH222" s="136">
        <f t="shared" si="26"/>
        <v>0</v>
      </c>
      <c r="BI222" s="136">
        <f t="shared" si="26"/>
        <v>0</v>
      </c>
      <c r="BJ222" s="136">
        <f t="shared" si="26"/>
        <v>0</v>
      </c>
      <c r="BK222" s="136">
        <f t="shared" si="26"/>
        <v>0</v>
      </c>
      <c r="BL222" s="136">
        <f t="shared" si="26"/>
        <v>0</v>
      </c>
      <c r="BM222" s="136">
        <f t="shared" si="26"/>
        <v>0</v>
      </c>
      <c r="BN222" s="136">
        <f t="shared" si="26"/>
        <v>0</v>
      </c>
      <c r="BO222" s="136">
        <f t="shared" si="26"/>
        <v>0</v>
      </c>
      <c r="BU222" s="136">
        <f t="shared" si="24"/>
        <v>0</v>
      </c>
      <c r="BV222" s="136">
        <f t="shared" si="24"/>
        <v>0</v>
      </c>
      <c r="BW222" s="136">
        <f t="shared" si="24"/>
        <v>0</v>
      </c>
      <c r="BX222" s="136">
        <f t="shared" si="24"/>
        <v>0</v>
      </c>
      <c r="BZ222" s="136">
        <f t="shared" si="25"/>
        <v>0</v>
      </c>
      <c r="CA222" s="136">
        <f t="shared" si="25"/>
        <v>0</v>
      </c>
    </row>
    <row r="223" spans="12:79" hidden="1" x14ac:dyDescent="0.3">
      <c r="L223" s="136">
        <f t="shared" si="27"/>
        <v>0</v>
      </c>
      <c r="M223" s="136">
        <f t="shared" si="27"/>
        <v>0</v>
      </c>
      <c r="N223" s="136">
        <f t="shared" si="27"/>
        <v>0</v>
      </c>
      <c r="O223" s="136">
        <f t="shared" si="27"/>
        <v>0</v>
      </c>
      <c r="P223" s="136">
        <f t="shared" si="27"/>
        <v>0</v>
      </c>
      <c r="Q223" s="136">
        <f t="shared" si="27"/>
        <v>0</v>
      </c>
      <c r="R223" s="136">
        <f t="shared" si="27"/>
        <v>0</v>
      </c>
      <c r="S223" s="136">
        <f t="shared" si="27"/>
        <v>0</v>
      </c>
      <c r="T223" s="136">
        <f t="shared" si="27"/>
        <v>0</v>
      </c>
      <c r="U223" s="136">
        <f t="shared" si="27"/>
        <v>0</v>
      </c>
      <c r="V223" s="136">
        <f t="shared" si="27"/>
        <v>0</v>
      </c>
      <c r="W223" s="136">
        <f t="shared" si="27"/>
        <v>0</v>
      </c>
      <c r="X223" s="136">
        <f t="shared" si="27"/>
        <v>0</v>
      </c>
      <c r="Y223" s="136">
        <f t="shared" si="27"/>
        <v>0</v>
      </c>
      <c r="Z223" s="136">
        <f t="shared" si="27"/>
        <v>0</v>
      </c>
      <c r="AA223" s="136">
        <f t="shared" si="27"/>
        <v>0</v>
      </c>
      <c r="AB223" s="136">
        <f t="shared" si="27"/>
        <v>0</v>
      </c>
      <c r="AC223" s="136">
        <f t="shared" si="27"/>
        <v>0</v>
      </c>
      <c r="AD223" s="136">
        <f t="shared" si="27"/>
        <v>0</v>
      </c>
      <c r="AE223" s="136">
        <f t="shared" si="27"/>
        <v>0</v>
      </c>
      <c r="AF223" s="136">
        <f t="shared" si="27"/>
        <v>0</v>
      </c>
      <c r="AG223" s="136">
        <f t="shared" si="27"/>
        <v>0</v>
      </c>
      <c r="AH223" s="136">
        <f t="shared" si="27"/>
        <v>0</v>
      </c>
      <c r="AI223" s="136">
        <f t="shared" si="27"/>
        <v>0</v>
      </c>
      <c r="AJ223" s="136">
        <f t="shared" si="27"/>
        <v>0</v>
      </c>
      <c r="AK223" s="136">
        <f t="shared" si="27"/>
        <v>0</v>
      </c>
      <c r="AL223" s="136">
        <f t="shared" si="27"/>
        <v>0</v>
      </c>
      <c r="AM223" s="136">
        <f t="shared" si="27"/>
        <v>0</v>
      </c>
      <c r="AN223" s="136">
        <f t="shared" si="27"/>
        <v>0</v>
      </c>
      <c r="AO223" s="136">
        <f t="shared" si="27"/>
        <v>0</v>
      </c>
      <c r="AP223" s="136">
        <f t="shared" si="27"/>
        <v>0</v>
      </c>
      <c r="AQ223" s="136">
        <f t="shared" si="26"/>
        <v>0</v>
      </c>
      <c r="AR223" s="136">
        <f t="shared" si="26"/>
        <v>0</v>
      </c>
      <c r="AS223" s="136">
        <f t="shared" si="26"/>
        <v>0</v>
      </c>
      <c r="AT223" s="136">
        <f t="shared" si="26"/>
        <v>0</v>
      </c>
      <c r="AU223" s="136">
        <f t="shared" si="26"/>
        <v>0</v>
      </c>
      <c r="AV223" s="136">
        <f t="shared" si="26"/>
        <v>0</v>
      </c>
      <c r="AW223" s="136">
        <f t="shared" si="26"/>
        <v>0</v>
      </c>
      <c r="AX223" s="136">
        <f t="shared" si="26"/>
        <v>0</v>
      </c>
      <c r="AY223" s="136">
        <f t="shared" si="26"/>
        <v>0</v>
      </c>
      <c r="AZ223" s="136">
        <f t="shared" si="26"/>
        <v>0</v>
      </c>
      <c r="BA223" s="136">
        <f t="shared" si="26"/>
        <v>0</v>
      </c>
      <c r="BB223" s="136">
        <f t="shared" si="26"/>
        <v>0</v>
      </c>
      <c r="BC223" s="136">
        <f t="shared" si="26"/>
        <v>0</v>
      </c>
      <c r="BD223" s="136">
        <f t="shared" si="26"/>
        <v>0</v>
      </c>
      <c r="BE223" s="136">
        <f t="shared" si="26"/>
        <v>0</v>
      </c>
      <c r="BF223" s="136">
        <f t="shared" si="26"/>
        <v>0</v>
      </c>
      <c r="BG223" s="136">
        <f t="shared" si="26"/>
        <v>0</v>
      </c>
      <c r="BH223" s="136">
        <f t="shared" si="26"/>
        <v>0</v>
      </c>
      <c r="BI223" s="136">
        <f t="shared" si="26"/>
        <v>0</v>
      </c>
      <c r="BJ223" s="136">
        <f t="shared" si="26"/>
        <v>0</v>
      </c>
      <c r="BK223" s="136">
        <f t="shared" si="26"/>
        <v>0</v>
      </c>
      <c r="BL223" s="136">
        <f t="shared" si="26"/>
        <v>0</v>
      </c>
      <c r="BM223" s="136">
        <f t="shared" si="26"/>
        <v>0</v>
      </c>
      <c r="BN223" s="136">
        <f t="shared" si="26"/>
        <v>0</v>
      </c>
      <c r="BO223" s="136">
        <f t="shared" si="26"/>
        <v>0</v>
      </c>
      <c r="BU223" s="136">
        <f t="shared" si="24"/>
        <v>0</v>
      </c>
      <c r="BV223" s="136">
        <f t="shared" si="24"/>
        <v>0</v>
      </c>
      <c r="BW223" s="136">
        <f t="shared" si="24"/>
        <v>0</v>
      </c>
      <c r="BX223" s="136">
        <f t="shared" si="24"/>
        <v>0</v>
      </c>
      <c r="BZ223" s="136">
        <f t="shared" si="25"/>
        <v>0</v>
      </c>
      <c r="CA223" s="136">
        <f t="shared" si="25"/>
        <v>0</v>
      </c>
    </row>
    <row r="224" spans="12:79" hidden="1" x14ac:dyDescent="0.3">
      <c r="L224" s="136">
        <f t="shared" si="27"/>
        <v>21066080</v>
      </c>
      <c r="M224" s="136">
        <f t="shared" si="27"/>
        <v>0</v>
      </c>
      <c r="N224" s="136">
        <f t="shared" si="27"/>
        <v>0</v>
      </c>
      <c r="O224" s="136">
        <f t="shared" si="27"/>
        <v>0</v>
      </c>
      <c r="P224" s="136">
        <f t="shared" si="27"/>
        <v>0</v>
      </c>
      <c r="Q224" s="136">
        <f t="shared" si="27"/>
        <v>0</v>
      </c>
      <c r="R224" s="136">
        <f t="shared" si="27"/>
        <v>0</v>
      </c>
      <c r="S224" s="136">
        <f t="shared" si="27"/>
        <v>0</v>
      </c>
      <c r="T224" s="136">
        <f t="shared" si="27"/>
        <v>0</v>
      </c>
      <c r="U224" s="136">
        <f t="shared" si="27"/>
        <v>0</v>
      </c>
      <c r="V224" s="136">
        <f t="shared" si="27"/>
        <v>0</v>
      </c>
      <c r="W224" s="136">
        <f t="shared" si="27"/>
        <v>0</v>
      </c>
      <c r="X224" s="136">
        <f t="shared" si="27"/>
        <v>0</v>
      </c>
      <c r="Y224" s="136">
        <f t="shared" si="27"/>
        <v>0</v>
      </c>
      <c r="Z224" s="136">
        <f t="shared" si="27"/>
        <v>0</v>
      </c>
      <c r="AA224" s="136">
        <f t="shared" si="27"/>
        <v>0</v>
      </c>
      <c r="AB224" s="136">
        <f t="shared" si="27"/>
        <v>0</v>
      </c>
      <c r="AC224" s="136">
        <f t="shared" si="27"/>
        <v>0</v>
      </c>
      <c r="AD224" s="136">
        <f t="shared" si="27"/>
        <v>0</v>
      </c>
      <c r="AE224" s="136">
        <f t="shared" si="27"/>
        <v>0</v>
      </c>
      <c r="AF224" s="136">
        <f t="shared" si="27"/>
        <v>0</v>
      </c>
      <c r="AG224" s="136">
        <f t="shared" si="27"/>
        <v>0</v>
      </c>
      <c r="AH224" s="136">
        <f t="shared" si="27"/>
        <v>0</v>
      </c>
      <c r="AI224" s="136">
        <f t="shared" si="27"/>
        <v>0</v>
      </c>
      <c r="AJ224" s="136">
        <f t="shared" si="27"/>
        <v>0</v>
      </c>
      <c r="AK224" s="136">
        <f t="shared" si="27"/>
        <v>0</v>
      </c>
      <c r="AL224" s="136">
        <f t="shared" si="27"/>
        <v>0</v>
      </c>
      <c r="AM224" s="136">
        <f t="shared" si="27"/>
        <v>0</v>
      </c>
      <c r="AN224" s="136">
        <f t="shared" si="27"/>
        <v>0</v>
      </c>
      <c r="AO224" s="136">
        <f t="shared" si="27"/>
        <v>0</v>
      </c>
      <c r="AP224" s="136">
        <f t="shared" si="27"/>
        <v>0</v>
      </c>
      <c r="AQ224" s="136">
        <f t="shared" si="26"/>
        <v>0</v>
      </c>
      <c r="AR224" s="136">
        <f t="shared" si="26"/>
        <v>0</v>
      </c>
      <c r="AS224" s="136">
        <f t="shared" si="26"/>
        <v>0</v>
      </c>
      <c r="AT224" s="136">
        <f t="shared" si="26"/>
        <v>0</v>
      </c>
      <c r="AU224" s="136">
        <f t="shared" si="26"/>
        <v>0</v>
      </c>
      <c r="AV224" s="136">
        <f t="shared" si="26"/>
        <v>0</v>
      </c>
      <c r="AW224" s="136">
        <f t="shared" si="26"/>
        <v>0</v>
      </c>
      <c r="AX224" s="136">
        <f t="shared" si="26"/>
        <v>0</v>
      </c>
      <c r="AY224" s="136">
        <f t="shared" si="26"/>
        <v>0</v>
      </c>
      <c r="AZ224" s="136">
        <f t="shared" si="26"/>
        <v>0</v>
      </c>
      <c r="BA224" s="136">
        <f t="shared" si="26"/>
        <v>0</v>
      </c>
      <c r="BB224" s="136">
        <f t="shared" si="26"/>
        <v>0</v>
      </c>
      <c r="BC224" s="136">
        <f t="shared" si="26"/>
        <v>0</v>
      </c>
      <c r="BD224" s="136">
        <f t="shared" si="26"/>
        <v>0</v>
      </c>
      <c r="BE224" s="136">
        <f t="shared" si="26"/>
        <v>0</v>
      </c>
      <c r="BF224" s="136">
        <f t="shared" si="26"/>
        <v>0</v>
      </c>
      <c r="BG224" s="136">
        <f t="shared" si="26"/>
        <v>0</v>
      </c>
      <c r="BH224" s="136">
        <f t="shared" si="26"/>
        <v>0</v>
      </c>
      <c r="BI224" s="136">
        <f t="shared" si="26"/>
        <v>0</v>
      </c>
      <c r="BJ224" s="136">
        <f t="shared" si="26"/>
        <v>0</v>
      </c>
      <c r="BK224" s="136">
        <f t="shared" si="26"/>
        <v>0</v>
      </c>
      <c r="BL224" s="136">
        <f t="shared" si="26"/>
        <v>0</v>
      </c>
      <c r="BM224" s="136">
        <f t="shared" si="26"/>
        <v>0</v>
      </c>
      <c r="BN224" s="136">
        <f t="shared" si="26"/>
        <v>0</v>
      </c>
      <c r="BO224" s="136">
        <f t="shared" si="26"/>
        <v>0</v>
      </c>
      <c r="BU224" s="136">
        <f t="shared" si="24"/>
        <v>0</v>
      </c>
      <c r="BV224" s="136">
        <f t="shared" si="24"/>
        <v>0</v>
      </c>
      <c r="BW224" s="136">
        <f t="shared" si="24"/>
        <v>0</v>
      </c>
      <c r="BX224" s="136">
        <f t="shared" si="24"/>
        <v>0</v>
      </c>
      <c r="BZ224" s="136">
        <f t="shared" si="25"/>
        <v>0</v>
      </c>
      <c r="CA224" s="136">
        <f t="shared" si="25"/>
        <v>0</v>
      </c>
    </row>
    <row r="225" spans="12:79" hidden="1" x14ac:dyDescent="0.3">
      <c r="L225" s="136">
        <f t="shared" si="27"/>
        <v>21066080</v>
      </c>
      <c r="M225" s="136">
        <f t="shared" si="27"/>
        <v>0</v>
      </c>
      <c r="N225" s="136">
        <f t="shared" si="27"/>
        <v>0</v>
      </c>
      <c r="O225" s="136">
        <f t="shared" si="27"/>
        <v>0</v>
      </c>
      <c r="P225" s="136">
        <f t="shared" si="27"/>
        <v>0</v>
      </c>
      <c r="Q225" s="136">
        <f t="shared" si="27"/>
        <v>0</v>
      </c>
      <c r="R225" s="136">
        <f t="shared" si="27"/>
        <v>0</v>
      </c>
      <c r="S225" s="136">
        <f t="shared" si="27"/>
        <v>0</v>
      </c>
      <c r="T225" s="136">
        <f t="shared" si="27"/>
        <v>0</v>
      </c>
      <c r="U225" s="136">
        <f t="shared" si="27"/>
        <v>0</v>
      </c>
      <c r="V225" s="136">
        <f t="shared" si="27"/>
        <v>0</v>
      </c>
      <c r="W225" s="136">
        <f t="shared" si="27"/>
        <v>0</v>
      </c>
      <c r="X225" s="136">
        <f t="shared" si="27"/>
        <v>0</v>
      </c>
      <c r="Y225" s="136">
        <f t="shared" si="27"/>
        <v>0</v>
      </c>
      <c r="Z225" s="136">
        <f t="shared" si="27"/>
        <v>0</v>
      </c>
      <c r="AA225" s="136">
        <f t="shared" si="27"/>
        <v>0</v>
      </c>
      <c r="AB225" s="136">
        <f t="shared" si="27"/>
        <v>0</v>
      </c>
      <c r="AC225" s="136">
        <f t="shared" si="27"/>
        <v>0</v>
      </c>
      <c r="AD225" s="136">
        <f t="shared" si="27"/>
        <v>0</v>
      </c>
      <c r="AE225" s="136">
        <f t="shared" si="27"/>
        <v>0</v>
      </c>
      <c r="AF225" s="136">
        <f t="shared" si="27"/>
        <v>0</v>
      </c>
      <c r="AG225" s="136">
        <f t="shared" si="27"/>
        <v>0</v>
      </c>
      <c r="AH225" s="136">
        <f t="shared" si="27"/>
        <v>0</v>
      </c>
      <c r="AI225" s="136">
        <f t="shared" si="27"/>
        <v>0</v>
      </c>
      <c r="AJ225" s="136">
        <f t="shared" si="27"/>
        <v>0</v>
      </c>
      <c r="AK225" s="136">
        <f t="shared" si="27"/>
        <v>0</v>
      </c>
      <c r="AL225" s="136">
        <f t="shared" si="27"/>
        <v>0</v>
      </c>
      <c r="AM225" s="136">
        <f t="shared" si="27"/>
        <v>0</v>
      </c>
      <c r="AN225" s="136">
        <f t="shared" si="27"/>
        <v>0</v>
      </c>
      <c r="AO225" s="136">
        <f t="shared" si="27"/>
        <v>0</v>
      </c>
      <c r="AP225" s="136">
        <f t="shared" si="27"/>
        <v>0</v>
      </c>
      <c r="AQ225" s="136">
        <f t="shared" si="26"/>
        <v>0</v>
      </c>
      <c r="AR225" s="136">
        <f t="shared" si="26"/>
        <v>0</v>
      </c>
      <c r="AS225" s="136">
        <f t="shared" si="26"/>
        <v>0</v>
      </c>
      <c r="AT225" s="136">
        <f t="shared" si="26"/>
        <v>0</v>
      </c>
      <c r="AU225" s="136">
        <f t="shared" si="26"/>
        <v>0</v>
      </c>
      <c r="AV225" s="136">
        <f t="shared" si="26"/>
        <v>0</v>
      </c>
      <c r="AW225" s="136">
        <f t="shared" si="26"/>
        <v>0</v>
      </c>
      <c r="AX225" s="136">
        <f t="shared" si="26"/>
        <v>0</v>
      </c>
      <c r="AY225" s="136">
        <f t="shared" si="26"/>
        <v>0</v>
      </c>
      <c r="AZ225" s="136">
        <f t="shared" si="26"/>
        <v>0</v>
      </c>
      <c r="BA225" s="136">
        <f t="shared" si="26"/>
        <v>0</v>
      </c>
      <c r="BB225" s="136">
        <f t="shared" si="26"/>
        <v>0</v>
      </c>
      <c r="BC225" s="136">
        <f t="shared" si="26"/>
        <v>0</v>
      </c>
      <c r="BD225" s="136">
        <f t="shared" si="26"/>
        <v>0</v>
      </c>
      <c r="BE225" s="136">
        <f t="shared" si="26"/>
        <v>0</v>
      </c>
      <c r="BF225" s="136">
        <f t="shared" si="26"/>
        <v>0</v>
      </c>
      <c r="BG225" s="136">
        <f t="shared" si="26"/>
        <v>0</v>
      </c>
      <c r="BH225" s="136">
        <f t="shared" si="26"/>
        <v>0</v>
      </c>
      <c r="BI225" s="136">
        <f t="shared" si="26"/>
        <v>0</v>
      </c>
      <c r="BJ225" s="136">
        <f t="shared" si="26"/>
        <v>0</v>
      </c>
      <c r="BK225" s="136">
        <f t="shared" si="26"/>
        <v>0</v>
      </c>
      <c r="BL225" s="136">
        <f t="shared" si="26"/>
        <v>0</v>
      </c>
      <c r="BM225" s="136">
        <f t="shared" si="26"/>
        <v>0</v>
      </c>
      <c r="BN225" s="136">
        <f t="shared" si="26"/>
        <v>0</v>
      </c>
      <c r="BO225" s="136">
        <f t="shared" si="26"/>
        <v>0</v>
      </c>
      <c r="BU225" s="136">
        <f t="shared" si="24"/>
        <v>0</v>
      </c>
      <c r="BV225" s="136">
        <f t="shared" si="24"/>
        <v>0</v>
      </c>
      <c r="BW225" s="136">
        <f t="shared" si="24"/>
        <v>0</v>
      </c>
      <c r="BX225" s="136">
        <f t="shared" si="24"/>
        <v>0</v>
      </c>
      <c r="BZ225" s="136">
        <f t="shared" si="25"/>
        <v>0</v>
      </c>
      <c r="CA225" s="136">
        <f t="shared" si="25"/>
        <v>0</v>
      </c>
    </row>
    <row r="226" spans="12:79" hidden="1" x14ac:dyDescent="0.3">
      <c r="L226" s="136">
        <f t="shared" si="27"/>
        <v>0</v>
      </c>
      <c r="M226" s="136">
        <f t="shared" si="27"/>
        <v>0</v>
      </c>
      <c r="N226" s="136">
        <f t="shared" si="27"/>
        <v>0</v>
      </c>
      <c r="O226" s="136">
        <f t="shared" si="27"/>
        <v>0</v>
      </c>
      <c r="P226" s="136">
        <f t="shared" si="27"/>
        <v>0</v>
      </c>
      <c r="Q226" s="136">
        <f t="shared" si="27"/>
        <v>0</v>
      </c>
      <c r="R226" s="136">
        <f t="shared" si="27"/>
        <v>0</v>
      </c>
      <c r="S226" s="136">
        <f t="shared" si="27"/>
        <v>0</v>
      </c>
      <c r="T226" s="136">
        <f t="shared" si="27"/>
        <v>0</v>
      </c>
      <c r="U226" s="136">
        <f t="shared" si="27"/>
        <v>0</v>
      </c>
      <c r="V226" s="136">
        <f t="shared" si="27"/>
        <v>0</v>
      </c>
      <c r="W226" s="136">
        <f t="shared" si="27"/>
        <v>0</v>
      </c>
      <c r="X226" s="136">
        <f t="shared" si="27"/>
        <v>0</v>
      </c>
      <c r="Y226" s="136">
        <f t="shared" si="27"/>
        <v>0</v>
      </c>
      <c r="Z226" s="136">
        <f t="shared" si="27"/>
        <v>0</v>
      </c>
      <c r="AA226" s="136">
        <f t="shared" si="27"/>
        <v>0</v>
      </c>
      <c r="AB226" s="136">
        <f t="shared" si="27"/>
        <v>0</v>
      </c>
      <c r="AC226" s="136">
        <f t="shared" si="27"/>
        <v>0</v>
      </c>
      <c r="AD226" s="136">
        <f t="shared" si="27"/>
        <v>0</v>
      </c>
      <c r="AE226" s="136">
        <f t="shared" si="27"/>
        <v>0</v>
      </c>
      <c r="AF226" s="136">
        <f t="shared" si="27"/>
        <v>0</v>
      </c>
      <c r="AG226" s="136">
        <f t="shared" si="27"/>
        <v>0</v>
      </c>
      <c r="AH226" s="136">
        <f t="shared" si="27"/>
        <v>0</v>
      </c>
      <c r="AI226" s="136">
        <f t="shared" si="27"/>
        <v>0</v>
      </c>
      <c r="AJ226" s="136">
        <f t="shared" si="27"/>
        <v>0</v>
      </c>
      <c r="AK226" s="136">
        <f t="shared" si="27"/>
        <v>0</v>
      </c>
      <c r="AL226" s="136">
        <f t="shared" si="27"/>
        <v>0</v>
      </c>
      <c r="AM226" s="136">
        <f t="shared" si="27"/>
        <v>0</v>
      </c>
      <c r="AN226" s="136">
        <f t="shared" si="27"/>
        <v>0</v>
      </c>
      <c r="AO226" s="136">
        <f t="shared" si="27"/>
        <v>0</v>
      </c>
      <c r="AP226" s="136">
        <f t="shared" si="27"/>
        <v>0</v>
      </c>
      <c r="AQ226" s="136">
        <f t="shared" si="26"/>
        <v>0</v>
      </c>
      <c r="AR226" s="136">
        <f t="shared" si="26"/>
        <v>0</v>
      </c>
      <c r="AS226" s="136">
        <f t="shared" si="26"/>
        <v>0</v>
      </c>
      <c r="AT226" s="136">
        <f t="shared" si="26"/>
        <v>0</v>
      </c>
      <c r="AU226" s="136">
        <f t="shared" si="26"/>
        <v>0</v>
      </c>
      <c r="AV226" s="136">
        <f t="shared" si="26"/>
        <v>0</v>
      </c>
      <c r="AW226" s="136">
        <f t="shared" si="26"/>
        <v>0</v>
      </c>
      <c r="AX226" s="136">
        <f t="shared" si="26"/>
        <v>0</v>
      </c>
      <c r="AY226" s="136">
        <f t="shared" si="26"/>
        <v>0</v>
      </c>
      <c r="AZ226" s="136">
        <f t="shared" si="26"/>
        <v>0</v>
      </c>
      <c r="BA226" s="136">
        <f t="shared" si="26"/>
        <v>0</v>
      </c>
      <c r="BB226" s="136">
        <f t="shared" si="26"/>
        <v>0</v>
      </c>
      <c r="BC226" s="136">
        <f t="shared" si="26"/>
        <v>0</v>
      </c>
      <c r="BD226" s="136">
        <f t="shared" si="26"/>
        <v>0</v>
      </c>
      <c r="BE226" s="136">
        <f t="shared" si="26"/>
        <v>0</v>
      </c>
      <c r="BF226" s="136">
        <f t="shared" si="26"/>
        <v>0</v>
      </c>
      <c r="BG226" s="136">
        <f t="shared" si="26"/>
        <v>0</v>
      </c>
      <c r="BH226" s="136">
        <f t="shared" si="26"/>
        <v>0</v>
      </c>
      <c r="BI226" s="136">
        <f t="shared" si="26"/>
        <v>0</v>
      </c>
      <c r="BJ226" s="136">
        <f t="shared" si="26"/>
        <v>0</v>
      </c>
      <c r="BK226" s="136">
        <f t="shared" si="26"/>
        <v>0</v>
      </c>
      <c r="BL226" s="136">
        <f t="shared" si="26"/>
        <v>0</v>
      </c>
      <c r="BM226" s="136">
        <f t="shared" si="26"/>
        <v>0</v>
      </c>
      <c r="BN226" s="136">
        <f t="shared" si="26"/>
        <v>0</v>
      </c>
      <c r="BO226" s="136">
        <f t="shared" si="26"/>
        <v>0</v>
      </c>
      <c r="BU226" s="136">
        <f t="shared" si="24"/>
        <v>0</v>
      </c>
      <c r="BV226" s="136">
        <f t="shared" si="24"/>
        <v>0</v>
      </c>
      <c r="BW226" s="136">
        <f t="shared" si="24"/>
        <v>0</v>
      </c>
      <c r="BX226" s="136">
        <f t="shared" si="24"/>
        <v>0</v>
      </c>
      <c r="BZ226" s="136">
        <f t="shared" si="25"/>
        <v>0</v>
      </c>
      <c r="CA226" s="136">
        <f t="shared" si="25"/>
        <v>0</v>
      </c>
    </row>
    <row r="227" spans="12:79" hidden="1" x14ac:dyDescent="0.3">
      <c r="L227" s="136">
        <f t="shared" si="27"/>
        <v>0</v>
      </c>
      <c r="M227" s="136">
        <f t="shared" si="27"/>
        <v>0</v>
      </c>
      <c r="N227" s="136">
        <f t="shared" si="27"/>
        <v>0</v>
      </c>
      <c r="O227" s="136">
        <f t="shared" si="27"/>
        <v>0</v>
      </c>
      <c r="P227" s="136">
        <f t="shared" si="27"/>
        <v>0</v>
      </c>
      <c r="Q227" s="136">
        <f t="shared" si="27"/>
        <v>0</v>
      </c>
      <c r="R227" s="136">
        <f t="shared" si="27"/>
        <v>0</v>
      </c>
      <c r="S227" s="136">
        <f t="shared" ref="S227:AP237" si="28">S45-CK45</f>
        <v>0</v>
      </c>
      <c r="T227" s="136">
        <f t="shared" si="28"/>
        <v>0</v>
      </c>
      <c r="U227" s="136">
        <f t="shared" si="28"/>
        <v>0</v>
      </c>
      <c r="V227" s="136">
        <f t="shared" si="28"/>
        <v>0</v>
      </c>
      <c r="W227" s="136">
        <f t="shared" si="28"/>
        <v>0</v>
      </c>
      <c r="X227" s="136">
        <f t="shared" si="28"/>
        <v>0</v>
      </c>
      <c r="Y227" s="136">
        <f t="shared" si="28"/>
        <v>0</v>
      </c>
      <c r="Z227" s="136">
        <f t="shared" si="28"/>
        <v>0</v>
      </c>
      <c r="AA227" s="136">
        <f t="shared" si="28"/>
        <v>0</v>
      </c>
      <c r="AB227" s="136">
        <f t="shared" si="28"/>
        <v>0</v>
      </c>
      <c r="AC227" s="136">
        <f t="shared" si="28"/>
        <v>0</v>
      </c>
      <c r="AD227" s="136">
        <f t="shared" si="28"/>
        <v>0</v>
      </c>
      <c r="AE227" s="136">
        <f t="shared" si="28"/>
        <v>0</v>
      </c>
      <c r="AF227" s="136">
        <f t="shared" si="28"/>
        <v>0</v>
      </c>
      <c r="AG227" s="136">
        <f t="shared" si="28"/>
        <v>0</v>
      </c>
      <c r="AH227" s="136">
        <f t="shared" si="28"/>
        <v>0</v>
      </c>
      <c r="AI227" s="136">
        <f t="shared" si="28"/>
        <v>0</v>
      </c>
      <c r="AJ227" s="136">
        <f t="shared" si="28"/>
        <v>0</v>
      </c>
      <c r="AK227" s="136">
        <f t="shared" si="28"/>
        <v>0</v>
      </c>
      <c r="AL227" s="136">
        <f t="shared" si="28"/>
        <v>0</v>
      </c>
      <c r="AM227" s="136">
        <f t="shared" si="28"/>
        <v>0</v>
      </c>
      <c r="AN227" s="136">
        <f t="shared" si="28"/>
        <v>0</v>
      </c>
      <c r="AO227" s="136">
        <f t="shared" si="28"/>
        <v>0</v>
      </c>
      <c r="AP227" s="136">
        <f t="shared" si="28"/>
        <v>0</v>
      </c>
      <c r="AQ227" s="136">
        <f t="shared" si="26"/>
        <v>0</v>
      </c>
      <c r="AR227" s="136">
        <f t="shared" si="26"/>
        <v>0</v>
      </c>
      <c r="AS227" s="136">
        <f t="shared" si="26"/>
        <v>0</v>
      </c>
      <c r="AT227" s="136">
        <f t="shared" si="26"/>
        <v>0</v>
      </c>
      <c r="AU227" s="136">
        <f t="shared" si="26"/>
        <v>0</v>
      </c>
      <c r="AV227" s="136">
        <f t="shared" si="26"/>
        <v>0</v>
      </c>
      <c r="AW227" s="136">
        <f t="shared" si="26"/>
        <v>0</v>
      </c>
      <c r="AX227" s="136">
        <f t="shared" si="26"/>
        <v>0</v>
      </c>
      <c r="AY227" s="136">
        <f t="shared" si="26"/>
        <v>0</v>
      </c>
      <c r="AZ227" s="136">
        <f t="shared" si="26"/>
        <v>0</v>
      </c>
      <c r="BA227" s="136">
        <f t="shared" si="26"/>
        <v>0</v>
      </c>
      <c r="BB227" s="136">
        <f t="shared" si="26"/>
        <v>0</v>
      </c>
      <c r="BC227" s="136">
        <f t="shared" si="26"/>
        <v>0</v>
      </c>
      <c r="BD227" s="136">
        <f t="shared" si="26"/>
        <v>0</v>
      </c>
      <c r="BE227" s="136">
        <f t="shared" si="26"/>
        <v>0</v>
      </c>
      <c r="BF227" s="136">
        <f t="shared" si="26"/>
        <v>0</v>
      </c>
      <c r="BG227" s="136">
        <f t="shared" si="26"/>
        <v>0</v>
      </c>
      <c r="BH227" s="136">
        <f t="shared" si="26"/>
        <v>0</v>
      </c>
      <c r="BI227" s="136">
        <f t="shared" si="26"/>
        <v>0</v>
      </c>
      <c r="BJ227" s="136">
        <f t="shared" si="26"/>
        <v>0</v>
      </c>
      <c r="BK227" s="136">
        <f t="shared" si="26"/>
        <v>0</v>
      </c>
      <c r="BL227" s="136">
        <f t="shared" si="26"/>
        <v>0</v>
      </c>
      <c r="BM227" s="136">
        <f t="shared" si="26"/>
        <v>0</v>
      </c>
      <c r="BN227" s="136">
        <f t="shared" si="26"/>
        <v>0</v>
      </c>
      <c r="BO227" s="136">
        <f t="shared" si="26"/>
        <v>0</v>
      </c>
      <c r="BU227" s="136">
        <f t="shared" si="24"/>
        <v>0</v>
      </c>
      <c r="BV227" s="136">
        <f t="shared" si="24"/>
        <v>0</v>
      </c>
      <c r="BW227" s="136">
        <f t="shared" si="24"/>
        <v>0</v>
      </c>
      <c r="BX227" s="136">
        <f t="shared" si="24"/>
        <v>0</v>
      </c>
      <c r="BZ227" s="136">
        <f t="shared" si="25"/>
        <v>0</v>
      </c>
      <c r="CA227" s="136">
        <f t="shared" si="25"/>
        <v>0</v>
      </c>
    </row>
    <row r="228" spans="12:79" hidden="1" x14ac:dyDescent="0.3">
      <c r="L228" s="136">
        <f t="shared" ref="L228:R237" si="29">L46-CD46</f>
        <v>0</v>
      </c>
      <c r="M228" s="136">
        <f t="shared" si="29"/>
        <v>0</v>
      </c>
      <c r="N228" s="136">
        <f t="shared" si="29"/>
        <v>0</v>
      </c>
      <c r="O228" s="136">
        <f t="shared" si="29"/>
        <v>0</v>
      </c>
      <c r="P228" s="136">
        <f t="shared" si="29"/>
        <v>0</v>
      </c>
      <c r="Q228" s="136">
        <f t="shared" si="29"/>
        <v>0</v>
      </c>
      <c r="R228" s="136">
        <f t="shared" si="29"/>
        <v>0</v>
      </c>
      <c r="S228" s="136">
        <f t="shared" si="28"/>
        <v>0</v>
      </c>
      <c r="T228" s="136">
        <f t="shared" si="28"/>
        <v>0</v>
      </c>
      <c r="U228" s="136">
        <f t="shared" si="28"/>
        <v>0</v>
      </c>
      <c r="V228" s="136">
        <f t="shared" si="28"/>
        <v>0</v>
      </c>
      <c r="W228" s="136">
        <f t="shared" si="28"/>
        <v>0</v>
      </c>
      <c r="X228" s="136">
        <f t="shared" si="28"/>
        <v>0</v>
      </c>
      <c r="Y228" s="136">
        <f t="shared" si="28"/>
        <v>0</v>
      </c>
      <c r="Z228" s="136">
        <f t="shared" si="28"/>
        <v>0</v>
      </c>
      <c r="AA228" s="136">
        <f t="shared" si="28"/>
        <v>0</v>
      </c>
      <c r="AB228" s="136">
        <f t="shared" si="28"/>
        <v>0</v>
      </c>
      <c r="AC228" s="136">
        <f t="shared" si="28"/>
        <v>0</v>
      </c>
      <c r="AD228" s="136">
        <f t="shared" si="28"/>
        <v>0</v>
      </c>
      <c r="AE228" s="136">
        <f t="shared" si="28"/>
        <v>0</v>
      </c>
      <c r="AF228" s="136">
        <f t="shared" si="28"/>
        <v>0</v>
      </c>
      <c r="AG228" s="136">
        <f t="shared" si="28"/>
        <v>0</v>
      </c>
      <c r="AH228" s="136">
        <f t="shared" si="28"/>
        <v>0</v>
      </c>
      <c r="AI228" s="136">
        <f t="shared" si="28"/>
        <v>0</v>
      </c>
      <c r="AJ228" s="136">
        <f t="shared" si="28"/>
        <v>0</v>
      </c>
      <c r="AK228" s="136">
        <f t="shared" si="28"/>
        <v>0</v>
      </c>
      <c r="AL228" s="136">
        <f t="shared" si="28"/>
        <v>0</v>
      </c>
      <c r="AM228" s="136">
        <f t="shared" si="28"/>
        <v>0</v>
      </c>
      <c r="AN228" s="136">
        <f t="shared" si="28"/>
        <v>0</v>
      </c>
      <c r="AO228" s="136">
        <f t="shared" si="28"/>
        <v>0</v>
      </c>
      <c r="AP228" s="136">
        <f t="shared" si="28"/>
        <v>0</v>
      </c>
      <c r="AQ228" s="136">
        <f t="shared" si="26"/>
        <v>0</v>
      </c>
      <c r="AR228" s="136">
        <f t="shared" si="26"/>
        <v>0</v>
      </c>
      <c r="AS228" s="136">
        <f t="shared" si="26"/>
        <v>0</v>
      </c>
      <c r="AT228" s="136">
        <f t="shared" si="26"/>
        <v>0</v>
      </c>
      <c r="AU228" s="136">
        <f t="shared" si="26"/>
        <v>0</v>
      </c>
      <c r="AV228" s="136">
        <f t="shared" ref="AV228:BO237" si="30">AV46-DN46</f>
        <v>0</v>
      </c>
      <c r="AW228" s="136">
        <f t="shared" si="30"/>
        <v>0</v>
      </c>
      <c r="AX228" s="136">
        <f t="shared" si="30"/>
        <v>0</v>
      </c>
      <c r="AY228" s="136">
        <f t="shared" si="30"/>
        <v>0</v>
      </c>
      <c r="AZ228" s="136">
        <f t="shared" si="30"/>
        <v>0</v>
      </c>
      <c r="BA228" s="136">
        <f t="shared" si="30"/>
        <v>0</v>
      </c>
      <c r="BB228" s="136">
        <f t="shared" si="30"/>
        <v>0</v>
      </c>
      <c r="BC228" s="136">
        <f t="shared" si="30"/>
        <v>0</v>
      </c>
      <c r="BD228" s="136">
        <f t="shared" si="30"/>
        <v>0</v>
      </c>
      <c r="BE228" s="136">
        <f t="shared" si="30"/>
        <v>0</v>
      </c>
      <c r="BF228" s="136">
        <f t="shared" si="30"/>
        <v>0</v>
      </c>
      <c r="BG228" s="136">
        <f t="shared" si="30"/>
        <v>0</v>
      </c>
      <c r="BH228" s="136">
        <f t="shared" si="30"/>
        <v>0</v>
      </c>
      <c r="BI228" s="136">
        <f t="shared" si="30"/>
        <v>0</v>
      </c>
      <c r="BJ228" s="136">
        <f t="shared" si="30"/>
        <v>0</v>
      </c>
      <c r="BK228" s="136">
        <f t="shared" si="30"/>
        <v>0</v>
      </c>
      <c r="BL228" s="136">
        <f t="shared" si="30"/>
        <v>0</v>
      </c>
      <c r="BM228" s="136">
        <f t="shared" si="30"/>
        <v>0</v>
      </c>
      <c r="BN228" s="136">
        <f t="shared" si="30"/>
        <v>0</v>
      </c>
      <c r="BO228" s="136">
        <f t="shared" si="30"/>
        <v>0</v>
      </c>
      <c r="BU228" s="136">
        <f t="shared" si="24"/>
        <v>0</v>
      </c>
      <c r="BV228" s="136">
        <f t="shared" si="24"/>
        <v>0</v>
      </c>
      <c r="BW228" s="136">
        <f t="shared" si="24"/>
        <v>0</v>
      </c>
      <c r="BX228" s="136">
        <f t="shared" si="24"/>
        <v>0</v>
      </c>
      <c r="BZ228" s="136">
        <f t="shared" si="25"/>
        <v>0</v>
      </c>
      <c r="CA228" s="136">
        <f t="shared" si="25"/>
        <v>0</v>
      </c>
    </row>
    <row r="229" spans="12:79" hidden="1" x14ac:dyDescent="0.3">
      <c r="L229" s="136">
        <f t="shared" si="29"/>
        <v>24075520</v>
      </c>
      <c r="M229" s="136">
        <f t="shared" si="29"/>
        <v>0</v>
      </c>
      <c r="N229" s="136">
        <f t="shared" si="29"/>
        <v>0</v>
      </c>
      <c r="O229" s="136">
        <f t="shared" si="29"/>
        <v>0</v>
      </c>
      <c r="P229" s="136">
        <f t="shared" si="29"/>
        <v>0</v>
      </c>
      <c r="Q229" s="136">
        <f t="shared" si="29"/>
        <v>0</v>
      </c>
      <c r="R229" s="136">
        <f t="shared" si="29"/>
        <v>0</v>
      </c>
      <c r="S229" s="136">
        <f t="shared" si="28"/>
        <v>0</v>
      </c>
      <c r="T229" s="136">
        <f t="shared" si="28"/>
        <v>0</v>
      </c>
      <c r="U229" s="136">
        <f t="shared" si="28"/>
        <v>0</v>
      </c>
      <c r="V229" s="136">
        <f t="shared" si="28"/>
        <v>0</v>
      </c>
      <c r="W229" s="136">
        <f t="shared" si="28"/>
        <v>0</v>
      </c>
      <c r="X229" s="136">
        <f t="shared" si="28"/>
        <v>0</v>
      </c>
      <c r="Y229" s="136">
        <f t="shared" si="28"/>
        <v>0</v>
      </c>
      <c r="Z229" s="136">
        <f t="shared" si="28"/>
        <v>0</v>
      </c>
      <c r="AA229" s="136">
        <f t="shared" si="28"/>
        <v>0</v>
      </c>
      <c r="AB229" s="136">
        <f t="shared" si="28"/>
        <v>0</v>
      </c>
      <c r="AC229" s="136">
        <f t="shared" si="28"/>
        <v>0</v>
      </c>
      <c r="AD229" s="136">
        <f t="shared" si="28"/>
        <v>0</v>
      </c>
      <c r="AE229" s="136">
        <f t="shared" si="28"/>
        <v>0</v>
      </c>
      <c r="AF229" s="136">
        <f t="shared" si="28"/>
        <v>0</v>
      </c>
      <c r="AG229" s="136">
        <f t="shared" si="28"/>
        <v>0</v>
      </c>
      <c r="AH229" s="136">
        <f t="shared" si="28"/>
        <v>0</v>
      </c>
      <c r="AI229" s="136">
        <f t="shared" si="28"/>
        <v>0</v>
      </c>
      <c r="AJ229" s="136">
        <f t="shared" si="28"/>
        <v>0</v>
      </c>
      <c r="AK229" s="136">
        <f t="shared" si="28"/>
        <v>0</v>
      </c>
      <c r="AL229" s="136">
        <f t="shared" si="28"/>
        <v>0</v>
      </c>
      <c r="AM229" s="136">
        <f t="shared" si="28"/>
        <v>0</v>
      </c>
      <c r="AN229" s="136">
        <f t="shared" si="28"/>
        <v>0</v>
      </c>
      <c r="AO229" s="136">
        <f t="shared" si="28"/>
        <v>0</v>
      </c>
      <c r="AP229" s="136">
        <f t="shared" si="28"/>
        <v>0</v>
      </c>
      <c r="AQ229" s="136">
        <f t="shared" ref="AQ229:AU237" si="31">AQ47-DI47</f>
        <v>0</v>
      </c>
      <c r="AR229" s="136">
        <f t="shared" si="31"/>
        <v>0</v>
      </c>
      <c r="AS229" s="136">
        <f t="shared" si="31"/>
        <v>0</v>
      </c>
      <c r="AT229" s="136">
        <f t="shared" si="31"/>
        <v>0</v>
      </c>
      <c r="AU229" s="136">
        <f t="shared" si="31"/>
        <v>0</v>
      </c>
      <c r="AV229" s="136">
        <f t="shared" si="30"/>
        <v>0</v>
      </c>
      <c r="AW229" s="136">
        <f t="shared" si="30"/>
        <v>0</v>
      </c>
      <c r="AX229" s="136">
        <f t="shared" si="30"/>
        <v>0</v>
      </c>
      <c r="AY229" s="136">
        <f t="shared" si="30"/>
        <v>0</v>
      </c>
      <c r="AZ229" s="136">
        <f t="shared" si="30"/>
        <v>0</v>
      </c>
      <c r="BA229" s="136">
        <f t="shared" si="30"/>
        <v>0</v>
      </c>
      <c r="BB229" s="136">
        <f t="shared" si="30"/>
        <v>0</v>
      </c>
      <c r="BC229" s="136">
        <f t="shared" si="30"/>
        <v>0</v>
      </c>
      <c r="BD229" s="136">
        <f t="shared" si="30"/>
        <v>0</v>
      </c>
      <c r="BE229" s="136">
        <f t="shared" si="30"/>
        <v>0</v>
      </c>
      <c r="BF229" s="136">
        <f t="shared" si="30"/>
        <v>0</v>
      </c>
      <c r="BG229" s="136">
        <f t="shared" si="30"/>
        <v>0</v>
      </c>
      <c r="BH229" s="136">
        <f t="shared" si="30"/>
        <v>0</v>
      </c>
      <c r="BI229" s="136">
        <f t="shared" si="30"/>
        <v>0</v>
      </c>
      <c r="BJ229" s="136">
        <f t="shared" si="30"/>
        <v>0</v>
      </c>
      <c r="BK229" s="136">
        <f t="shared" si="30"/>
        <v>0</v>
      </c>
      <c r="BL229" s="136">
        <f t="shared" si="30"/>
        <v>0</v>
      </c>
      <c r="BM229" s="136">
        <f t="shared" si="30"/>
        <v>0</v>
      </c>
      <c r="BN229" s="136">
        <f t="shared" si="30"/>
        <v>0</v>
      </c>
      <c r="BO229" s="136">
        <f t="shared" si="30"/>
        <v>0</v>
      </c>
      <c r="BU229" s="136">
        <f t="shared" si="24"/>
        <v>0</v>
      </c>
      <c r="BV229" s="136">
        <f t="shared" si="24"/>
        <v>0</v>
      </c>
      <c r="BW229" s="136">
        <f t="shared" si="24"/>
        <v>0</v>
      </c>
      <c r="BX229" s="136">
        <f t="shared" si="24"/>
        <v>0</v>
      </c>
      <c r="BZ229" s="136">
        <f t="shared" si="25"/>
        <v>0</v>
      </c>
      <c r="CA229" s="136">
        <f t="shared" si="25"/>
        <v>0</v>
      </c>
    </row>
    <row r="230" spans="12:79" hidden="1" x14ac:dyDescent="0.3">
      <c r="L230" s="136">
        <f t="shared" si="29"/>
        <v>24075520</v>
      </c>
      <c r="M230" s="136">
        <f t="shared" si="29"/>
        <v>0</v>
      </c>
      <c r="N230" s="136">
        <f t="shared" si="29"/>
        <v>0</v>
      </c>
      <c r="O230" s="136">
        <f t="shared" si="29"/>
        <v>0</v>
      </c>
      <c r="P230" s="136">
        <f t="shared" si="29"/>
        <v>0</v>
      </c>
      <c r="Q230" s="136">
        <f t="shared" si="29"/>
        <v>0</v>
      </c>
      <c r="R230" s="136">
        <f t="shared" si="29"/>
        <v>0</v>
      </c>
      <c r="S230" s="136">
        <f t="shared" si="28"/>
        <v>0</v>
      </c>
      <c r="T230" s="136">
        <f t="shared" si="28"/>
        <v>0</v>
      </c>
      <c r="U230" s="136">
        <f t="shared" si="28"/>
        <v>0</v>
      </c>
      <c r="V230" s="136">
        <f t="shared" si="28"/>
        <v>0</v>
      </c>
      <c r="W230" s="136">
        <f t="shared" si="28"/>
        <v>0</v>
      </c>
      <c r="X230" s="136">
        <f t="shared" si="28"/>
        <v>0</v>
      </c>
      <c r="Y230" s="136">
        <f t="shared" si="28"/>
        <v>0</v>
      </c>
      <c r="Z230" s="136">
        <f t="shared" si="28"/>
        <v>0</v>
      </c>
      <c r="AA230" s="136">
        <f t="shared" si="28"/>
        <v>0</v>
      </c>
      <c r="AB230" s="136">
        <f t="shared" si="28"/>
        <v>0</v>
      </c>
      <c r="AC230" s="136">
        <f t="shared" si="28"/>
        <v>0</v>
      </c>
      <c r="AD230" s="136">
        <f t="shared" si="28"/>
        <v>0</v>
      </c>
      <c r="AE230" s="136">
        <f t="shared" si="28"/>
        <v>0</v>
      </c>
      <c r="AF230" s="136">
        <f t="shared" si="28"/>
        <v>0</v>
      </c>
      <c r="AG230" s="136">
        <f t="shared" si="28"/>
        <v>0</v>
      </c>
      <c r="AH230" s="136">
        <f t="shared" si="28"/>
        <v>0</v>
      </c>
      <c r="AI230" s="136">
        <f t="shared" si="28"/>
        <v>0</v>
      </c>
      <c r="AJ230" s="136">
        <f t="shared" si="28"/>
        <v>0</v>
      </c>
      <c r="AK230" s="136">
        <f t="shared" si="28"/>
        <v>0</v>
      </c>
      <c r="AL230" s="136">
        <f t="shared" si="28"/>
        <v>0</v>
      </c>
      <c r="AM230" s="136">
        <f t="shared" si="28"/>
        <v>0</v>
      </c>
      <c r="AN230" s="136">
        <f t="shared" si="28"/>
        <v>0</v>
      </c>
      <c r="AO230" s="136">
        <f t="shared" si="28"/>
        <v>0</v>
      </c>
      <c r="AP230" s="136">
        <f t="shared" si="28"/>
        <v>0</v>
      </c>
      <c r="AQ230" s="136">
        <f t="shared" si="31"/>
        <v>0</v>
      </c>
      <c r="AR230" s="136">
        <f t="shared" si="31"/>
        <v>0</v>
      </c>
      <c r="AS230" s="136">
        <f t="shared" si="31"/>
        <v>0</v>
      </c>
      <c r="AT230" s="136">
        <f t="shared" si="31"/>
        <v>0</v>
      </c>
      <c r="AU230" s="136">
        <f t="shared" si="31"/>
        <v>0</v>
      </c>
      <c r="AV230" s="136">
        <f t="shared" si="30"/>
        <v>0</v>
      </c>
      <c r="AW230" s="136">
        <f t="shared" si="30"/>
        <v>0</v>
      </c>
      <c r="AX230" s="136">
        <f t="shared" si="30"/>
        <v>0</v>
      </c>
      <c r="AY230" s="136">
        <f t="shared" si="30"/>
        <v>0</v>
      </c>
      <c r="AZ230" s="136">
        <f t="shared" si="30"/>
        <v>0</v>
      </c>
      <c r="BA230" s="136">
        <f t="shared" si="30"/>
        <v>0</v>
      </c>
      <c r="BB230" s="136">
        <f t="shared" si="30"/>
        <v>0</v>
      </c>
      <c r="BC230" s="136">
        <f t="shared" si="30"/>
        <v>0</v>
      </c>
      <c r="BD230" s="136">
        <f t="shared" si="30"/>
        <v>0</v>
      </c>
      <c r="BE230" s="136">
        <f t="shared" si="30"/>
        <v>0</v>
      </c>
      <c r="BF230" s="136">
        <f t="shared" si="30"/>
        <v>0</v>
      </c>
      <c r="BG230" s="136">
        <f t="shared" si="30"/>
        <v>0</v>
      </c>
      <c r="BH230" s="136">
        <f t="shared" si="30"/>
        <v>0</v>
      </c>
      <c r="BI230" s="136">
        <f t="shared" si="30"/>
        <v>0</v>
      </c>
      <c r="BJ230" s="136">
        <f t="shared" si="30"/>
        <v>0</v>
      </c>
      <c r="BK230" s="136">
        <f t="shared" si="30"/>
        <v>0</v>
      </c>
      <c r="BL230" s="136">
        <f t="shared" si="30"/>
        <v>0</v>
      </c>
      <c r="BM230" s="136">
        <f t="shared" si="30"/>
        <v>0</v>
      </c>
      <c r="BN230" s="136">
        <f t="shared" si="30"/>
        <v>0</v>
      </c>
      <c r="BO230" s="136">
        <f t="shared" si="30"/>
        <v>0</v>
      </c>
      <c r="BU230" s="136" t="e">
        <f>#REF!-#REF!</f>
        <v>#REF!</v>
      </c>
      <c r="BV230" s="136" t="e">
        <f>#REF!-#REF!</f>
        <v>#REF!</v>
      </c>
      <c r="BW230" s="136" t="e">
        <f>#REF!-#REF!</f>
        <v>#REF!</v>
      </c>
      <c r="BX230" s="136" t="e">
        <f>#REF!-#REF!</f>
        <v>#REF!</v>
      </c>
      <c r="BZ230" s="136" t="e">
        <f>#REF!-#REF!</f>
        <v>#REF!</v>
      </c>
      <c r="CA230" s="136" t="e">
        <f>#REF!-#REF!</f>
        <v>#REF!</v>
      </c>
    </row>
    <row r="231" spans="12:79" hidden="1" x14ac:dyDescent="0.3">
      <c r="L231" s="136">
        <f t="shared" si="29"/>
        <v>0</v>
      </c>
      <c r="M231" s="136">
        <f t="shared" si="29"/>
        <v>0</v>
      </c>
      <c r="N231" s="136">
        <f t="shared" si="29"/>
        <v>0</v>
      </c>
      <c r="O231" s="136">
        <f t="shared" si="29"/>
        <v>0</v>
      </c>
      <c r="P231" s="136">
        <f t="shared" si="29"/>
        <v>0</v>
      </c>
      <c r="Q231" s="136">
        <f t="shared" si="29"/>
        <v>0</v>
      </c>
      <c r="R231" s="136">
        <f t="shared" si="29"/>
        <v>0</v>
      </c>
      <c r="S231" s="136">
        <f t="shared" si="28"/>
        <v>0</v>
      </c>
      <c r="T231" s="136">
        <f t="shared" si="28"/>
        <v>0</v>
      </c>
      <c r="U231" s="136">
        <f t="shared" si="28"/>
        <v>0</v>
      </c>
      <c r="V231" s="136">
        <f t="shared" si="28"/>
        <v>0</v>
      </c>
      <c r="W231" s="136">
        <f t="shared" si="28"/>
        <v>0</v>
      </c>
      <c r="X231" s="136">
        <f t="shared" si="28"/>
        <v>0</v>
      </c>
      <c r="Y231" s="136">
        <f t="shared" si="28"/>
        <v>0</v>
      </c>
      <c r="Z231" s="136">
        <f t="shared" si="28"/>
        <v>0</v>
      </c>
      <c r="AA231" s="136">
        <f t="shared" si="28"/>
        <v>0</v>
      </c>
      <c r="AB231" s="136">
        <f t="shared" si="28"/>
        <v>0</v>
      </c>
      <c r="AC231" s="136">
        <f t="shared" si="28"/>
        <v>0</v>
      </c>
      <c r="AD231" s="136">
        <f t="shared" si="28"/>
        <v>0</v>
      </c>
      <c r="AE231" s="136">
        <f t="shared" si="28"/>
        <v>0</v>
      </c>
      <c r="AF231" s="136">
        <f t="shared" si="28"/>
        <v>0</v>
      </c>
      <c r="AG231" s="136">
        <f t="shared" si="28"/>
        <v>0</v>
      </c>
      <c r="AH231" s="136">
        <f t="shared" si="28"/>
        <v>0</v>
      </c>
      <c r="AI231" s="136">
        <f t="shared" si="28"/>
        <v>0</v>
      </c>
      <c r="AJ231" s="136">
        <f t="shared" si="28"/>
        <v>0</v>
      </c>
      <c r="AK231" s="136">
        <f t="shared" si="28"/>
        <v>0</v>
      </c>
      <c r="AL231" s="136">
        <f t="shared" si="28"/>
        <v>0</v>
      </c>
      <c r="AM231" s="136">
        <f t="shared" si="28"/>
        <v>0</v>
      </c>
      <c r="AN231" s="136">
        <f t="shared" si="28"/>
        <v>0</v>
      </c>
      <c r="AO231" s="136">
        <f t="shared" si="28"/>
        <v>0</v>
      </c>
      <c r="AP231" s="136">
        <f t="shared" si="28"/>
        <v>0</v>
      </c>
      <c r="AQ231" s="136">
        <f t="shared" si="31"/>
        <v>0</v>
      </c>
      <c r="AR231" s="136">
        <f t="shared" si="31"/>
        <v>0</v>
      </c>
      <c r="AS231" s="136">
        <f t="shared" si="31"/>
        <v>0</v>
      </c>
      <c r="AT231" s="136">
        <f t="shared" si="31"/>
        <v>0</v>
      </c>
      <c r="AU231" s="136">
        <f t="shared" si="31"/>
        <v>0</v>
      </c>
      <c r="AV231" s="136">
        <f t="shared" si="30"/>
        <v>0</v>
      </c>
      <c r="AW231" s="136">
        <f t="shared" si="30"/>
        <v>0</v>
      </c>
      <c r="AX231" s="136">
        <f t="shared" si="30"/>
        <v>0</v>
      </c>
      <c r="AY231" s="136">
        <f t="shared" si="30"/>
        <v>0</v>
      </c>
      <c r="AZ231" s="136">
        <f t="shared" si="30"/>
        <v>0</v>
      </c>
      <c r="BA231" s="136">
        <f t="shared" si="30"/>
        <v>0</v>
      </c>
      <c r="BB231" s="136">
        <f t="shared" si="30"/>
        <v>0</v>
      </c>
      <c r="BC231" s="136">
        <f t="shared" si="30"/>
        <v>0</v>
      </c>
      <c r="BD231" s="136">
        <f t="shared" si="30"/>
        <v>0</v>
      </c>
      <c r="BE231" s="136">
        <f t="shared" si="30"/>
        <v>0</v>
      </c>
      <c r="BF231" s="136">
        <f t="shared" si="30"/>
        <v>0</v>
      </c>
      <c r="BG231" s="136">
        <f t="shared" si="30"/>
        <v>0</v>
      </c>
      <c r="BH231" s="136">
        <f t="shared" si="30"/>
        <v>0</v>
      </c>
      <c r="BI231" s="136">
        <f t="shared" si="30"/>
        <v>0</v>
      </c>
      <c r="BJ231" s="136">
        <f t="shared" si="30"/>
        <v>0</v>
      </c>
      <c r="BK231" s="136">
        <f t="shared" si="30"/>
        <v>0</v>
      </c>
      <c r="BL231" s="136">
        <f t="shared" si="30"/>
        <v>0</v>
      </c>
      <c r="BM231" s="136">
        <f t="shared" si="30"/>
        <v>0</v>
      </c>
      <c r="BN231" s="136">
        <f t="shared" si="30"/>
        <v>0</v>
      </c>
      <c r="BO231" s="136">
        <f t="shared" si="30"/>
        <v>0</v>
      </c>
      <c r="BU231" s="136" t="e">
        <f>#REF!-#REF!</f>
        <v>#REF!</v>
      </c>
      <c r="BV231" s="136" t="e">
        <f>#REF!-#REF!</f>
        <v>#REF!</v>
      </c>
      <c r="BW231" s="136" t="e">
        <f>#REF!-#REF!</f>
        <v>#REF!</v>
      </c>
      <c r="BX231" s="136" t="e">
        <f>#REF!-#REF!</f>
        <v>#REF!</v>
      </c>
      <c r="BZ231" s="136" t="e">
        <f>#REF!-#REF!</f>
        <v>#REF!</v>
      </c>
      <c r="CA231" s="136" t="e">
        <f>#REF!-#REF!</f>
        <v>#REF!</v>
      </c>
    </row>
    <row r="232" spans="12:79" hidden="1" x14ac:dyDescent="0.3">
      <c r="L232" s="136">
        <f t="shared" si="29"/>
        <v>0</v>
      </c>
      <c r="M232" s="136">
        <f t="shared" si="29"/>
        <v>0</v>
      </c>
      <c r="N232" s="136">
        <f t="shared" si="29"/>
        <v>0</v>
      </c>
      <c r="O232" s="136">
        <f t="shared" si="29"/>
        <v>0</v>
      </c>
      <c r="P232" s="136">
        <f t="shared" si="29"/>
        <v>0</v>
      </c>
      <c r="Q232" s="136">
        <f t="shared" si="29"/>
        <v>0</v>
      </c>
      <c r="R232" s="136">
        <f t="shared" si="29"/>
        <v>0</v>
      </c>
      <c r="S232" s="136">
        <f t="shared" si="28"/>
        <v>0</v>
      </c>
      <c r="T232" s="136">
        <f t="shared" si="28"/>
        <v>0</v>
      </c>
      <c r="U232" s="136">
        <f t="shared" si="28"/>
        <v>0</v>
      </c>
      <c r="V232" s="136">
        <f t="shared" si="28"/>
        <v>0</v>
      </c>
      <c r="W232" s="136">
        <f t="shared" si="28"/>
        <v>0</v>
      </c>
      <c r="X232" s="136">
        <f t="shared" si="28"/>
        <v>0</v>
      </c>
      <c r="Y232" s="136">
        <f t="shared" si="28"/>
        <v>0</v>
      </c>
      <c r="Z232" s="136">
        <f t="shared" si="28"/>
        <v>0</v>
      </c>
      <c r="AA232" s="136">
        <f t="shared" si="28"/>
        <v>0</v>
      </c>
      <c r="AB232" s="136">
        <f t="shared" si="28"/>
        <v>0</v>
      </c>
      <c r="AC232" s="136">
        <f t="shared" si="28"/>
        <v>0</v>
      </c>
      <c r="AD232" s="136">
        <f t="shared" si="28"/>
        <v>0</v>
      </c>
      <c r="AE232" s="136">
        <f t="shared" si="28"/>
        <v>0</v>
      </c>
      <c r="AF232" s="136">
        <f t="shared" si="28"/>
        <v>0</v>
      </c>
      <c r="AG232" s="136">
        <f t="shared" si="28"/>
        <v>0</v>
      </c>
      <c r="AH232" s="136">
        <f t="shared" si="28"/>
        <v>0</v>
      </c>
      <c r="AI232" s="136">
        <f t="shared" si="28"/>
        <v>0</v>
      </c>
      <c r="AJ232" s="136">
        <f t="shared" si="28"/>
        <v>0</v>
      </c>
      <c r="AK232" s="136">
        <f t="shared" si="28"/>
        <v>0</v>
      </c>
      <c r="AL232" s="136">
        <f t="shared" si="28"/>
        <v>0</v>
      </c>
      <c r="AM232" s="136">
        <f t="shared" si="28"/>
        <v>0</v>
      </c>
      <c r="AN232" s="136">
        <f t="shared" si="28"/>
        <v>0</v>
      </c>
      <c r="AO232" s="136">
        <f t="shared" si="28"/>
        <v>0</v>
      </c>
      <c r="AP232" s="136">
        <f t="shared" si="28"/>
        <v>0</v>
      </c>
      <c r="AQ232" s="136">
        <f t="shared" si="31"/>
        <v>0</v>
      </c>
      <c r="AR232" s="136">
        <f t="shared" si="31"/>
        <v>0</v>
      </c>
      <c r="AS232" s="136">
        <f t="shared" si="31"/>
        <v>0</v>
      </c>
      <c r="AT232" s="136">
        <f t="shared" si="31"/>
        <v>0</v>
      </c>
      <c r="AU232" s="136">
        <f t="shared" si="31"/>
        <v>0</v>
      </c>
      <c r="AV232" s="136">
        <f t="shared" si="30"/>
        <v>0</v>
      </c>
      <c r="AW232" s="136">
        <f t="shared" si="30"/>
        <v>0</v>
      </c>
      <c r="AX232" s="136">
        <f t="shared" si="30"/>
        <v>0</v>
      </c>
      <c r="AY232" s="136">
        <f t="shared" si="30"/>
        <v>0</v>
      </c>
      <c r="AZ232" s="136">
        <f t="shared" si="30"/>
        <v>0</v>
      </c>
      <c r="BA232" s="136">
        <f t="shared" si="30"/>
        <v>0</v>
      </c>
      <c r="BB232" s="136">
        <f t="shared" si="30"/>
        <v>0</v>
      </c>
      <c r="BC232" s="136">
        <f t="shared" si="30"/>
        <v>0</v>
      </c>
      <c r="BD232" s="136">
        <f t="shared" si="30"/>
        <v>0</v>
      </c>
      <c r="BE232" s="136">
        <f t="shared" si="30"/>
        <v>0</v>
      </c>
      <c r="BF232" s="136">
        <f t="shared" si="30"/>
        <v>0</v>
      </c>
      <c r="BG232" s="136">
        <f t="shared" si="30"/>
        <v>0</v>
      </c>
      <c r="BH232" s="136">
        <f t="shared" si="30"/>
        <v>0</v>
      </c>
      <c r="BI232" s="136">
        <f t="shared" si="30"/>
        <v>0</v>
      </c>
      <c r="BJ232" s="136">
        <f t="shared" si="30"/>
        <v>0</v>
      </c>
      <c r="BK232" s="136">
        <f t="shared" si="30"/>
        <v>0</v>
      </c>
      <c r="BL232" s="136">
        <f t="shared" si="30"/>
        <v>0</v>
      </c>
      <c r="BM232" s="136">
        <f t="shared" si="30"/>
        <v>0</v>
      </c>
      <c r="BN232" s="136">
        <f t="shared" si="30"/>
        <v>0</v>
      </c>
      <c r="BO232" s="136">
        <f t="shared" si="30"/>
        <v>0</v>
      </c>
      <c r="BU232" s="136" t="e">
        <f>#REF!-#REF!</f>
        <v>#REF!</v>
      </c>
      <c r="BV232" s="136" t="e">
        <f>#REF!-#REF!</f>
        <v>#REF!</v>
      </c>
      <c r="BW232" s="136" t="e">
        <f>#REF!-#REF!</f>
        <v>#REF!</v>
      </c>
      <c r="BX232" s="136" t="e">
        <f>#REF!-#REF!</f>
        <v>#REF!</v>
      </c>
      <c r="BZ232" s="136" t="e">
        <f>#REF!-#REF!</f>
        <v>#REF!</v>
      </c>
      <c r="CA232" s="136" t="e">
        <f>#REF!-#REF!</f>
        <v>#REF!</v>
      </c>
    </row>
    <row r="233" spans="12:79" hidden="1" x14ac:dyDescent="0.3">
      <c r="L233" s="136">
        <f t="shared" si="29"/>
        <v>0</v>
      </c>
      <c r="M233" s="136">
        <f t="shared" si="29"/>
        <v>0</v>
      </c>
      <c r="N233" s="136">
        <f t="shared" si="29"/>
        <v>0</v>
      </c>
      <c r="O233" s="136">
        <f t="shared" si="29"/>
        <v>0</v>
      </c>
      <c r="P233" s="136">
        <f t="shared" si="29"/>
        <v>0</v>
      </c>
      <c r="Q233" s="136">
        <f t="shared" si="29"/>
        <v>0</v>
      </c>
      <c r="R233" s="136">
        <f t="shared" si="29"/>
        <v>0</v>
      </c>
      <c r="S233" s="136">
        <f t="shared" si="28"/>
        <v>0</v>
      </c>
      <c r="T233" s="136">
        <f t="shared" si="28"/>
        <v>0</v>
      </c>
      <c r="U233" s="136">
        <f t="shared" si="28"/>
        <v>0</v>
      </c>
      <c r="V233" s="136">
        <f t="shared" si="28"/>
        <v>0</v>
      </c>
      <c r="W233" s="136">
        <f t="shared" si="28"/>
        <v>0</v>
      </c>
      <c r="X233" s="136">
        <f t="shared" si="28"/>
        <v>0</v>
      </c>
      <c r="Y233" s="136">
        <f t="shared" si="28"/>
        <v>0</v>
      </c>
      <c r="Z233" s="136">
        <f t="shared" si="28"/>
        <v>0</v>
      </c>
      <c r="AA233" s="136">
        <f t="shared" si="28"/>
        <v>0</v>
      </c>
      <c r="AB233" s="136">
        <f t="shared" si="28"/>
        <v>0</v>
      </c>
      <c r="AC233" s="136">
        <f t="shared" si="28"/>
        <v>0</v>
      </c>
      <c r="AD233" s="136">
        <f t="shared" si="28"/>
        <v>0</v>
      </c>
      <c r="AE233" s="136">
        <f t="shared" si="28"/>
        <v>0</v>
      </c>
      <c r="AF233" s="136">
        <f t="shared" si="28"/>
        <v>0</v>
      </c>
      <c r="AG233" s="136">
        <f t="shared" si="28"/>
        <v>0</v>
      </c>
      <c r="AH233" s="136">
        <f t="shared" si="28"/>
        <v>0</v>
      </c>
      <c r="AI233" s="136">
        <f t="shared" si="28"/>
        <v>0</v>
      </c>
      <c r="AJ233" s="136">
        <f t="shared" si="28"/>
        <v>0</v>
      </c>
      <c r="AK233" s="136">
        <f t="shared" si="28"/>
        <v>0</v>
      </c>
      <c r="AL233" s="136">
        <f t="shared" si="28"/>
        <v>0</v>
      </c>
      <c r="AM233" s="136">
        <f t="shared" si="28"/>
        <v>0</v>
      </c>
      <c r="AN233" s="136">
        <f t="shared" si="28"/>
        <v>0</v>
      </c>
      <c r="AO233" s="136">
        <f t="shared" si="28"/>
        <v>0</v>
      </c>
      <c r="AP233" s="136">
        <f t="shared" si="28"/>
        <v>0</v>
      </c>
      <c r="AQ233" s="136">
        <f t="shared" si="31"/>
        <v>0</v>
      </c>
      <c r="AR233" s="136">
        <f t="shared" si="31"/>
        <v>0</v>
      </c>
      <c r="AS233" s="136">
        <f t="shared" si="31"/>
        <v>0</v>
      </c>
      <c r="AT233" s="136">
        <f t="shared" si="31"/>
        <v>0</v>
      </c>
      <c r="AU233" s="136">
        <f t="shared" si="31"/>
        <v>0</v>
      </c>
      <c r="AV233" s="136">
        <f t="shared" si="30"/>
        <v>0</v>
      </c>
      <c r="AW233" s="136">
        <f t="shared" si="30"/>
        <v>0</v>
      </c>
      <c r="AX233" s="136">
        <f t="shared" si="30"/>
        <v>0</v>
      </c>
      <c r="AY233" s="136">
        <f t="shared" si="30"/>
        <v>0</v>
      </c>
      <c r="AZ233" s="136">
        <f t="shared" si="30"/>
        <v>0</v>
      </c>
      <c r="BA233" s="136">
        <f t="shared" si="30"/>
        <v>0</v>
      </c>
      <c r="BB233" s="136">
        <f t="shared" si="30"/>
        <v>0</v>
      </c>
      <c r="BC233" s="136">
        <f t="shared" si="30"/>
        <v>0</v>
      </c>
      <c r="BD233" s="136">
        <f t="shared" si="30"/>
        <v>0</v>
      </c>
      <c r="BE233" s="136">
        <f t="shared" si="30"/>
        <v>0</v>
      </c>
      <c r="BF233" s="136">
        <f t="shared" si="30"/>
        <v>0</v>
      </c>
      <c r="BG233" s="136">
        <f t="shared" si="30"/>
        <v>0</v>
      </c>
      <c r="BH233" s="136">
        <f t="shared" si="30"/>
        <v>0</v>
      </c>
      <c r="BI233" s="136">
        <f t="shared" si="30"/>
        <v>0</v>
      </c>
      <c r="BJ233" s="136">
        <f t="shared" si="30"/>
        <v>0</v>
      </c>
      <c r="BK233" s="136">
        <f t="shared" si="30"/>
        <v>0</v>
      </c>
      <c r="BL233" s="136">
        <f t="shared" si="30"/>
        <v>0</v>
      </c>
      <c r="BM233" s="136">
        <f t="shared" si="30"/>
        <v>0</v>
      </c>
      <c r="BN233" s="136">
        <f t="shared" si="30"/>
        <v>0</v>
      </c>
      <c r="BO233" s="136">
        <f t="shared" si="30"/>
        <v>0</v>
      </c>
      <c r="BU233" s="136" t="e">
        <f>#REF!-#REF!</f>
        <v>#REF!</v>
      </c>
      <c r="BV233" s="136" t="e">
        <f>#REF!-#REF!</f>
        <v>#REF!</v>
      </c>
      <c r="BW233" s="136" t="e">
        <f>#REF!-#REF!</f>
        <v>#REF!</v>
      </c>
      <c r="BX233" s="136" t="e">
        <f>#REF!-#REF!</f>
        <v>#REF!</v>
      </c>
      <c r="BZ233" s="136" t="e">
        <f>#REF!-#REF!</f>
        <v>#REF!</v>
      </c>
      <c r="CA233" s="136" t="e">
        <f>#REF!-#REF!</f>
        <v>#REF!</v>
      </c>
    </row>
    <row r="234" spans="12:79" hidden="1" x14ac:dyDescent="0.3">
      <c r="L234" s="136">
        <f t="shared" si="29"/>
        <v>0</v>
      </c>
      <c r="M234" s="136">
        <f t="shared" si="29"/>
        <v>0</v>
      </c>
      <c r="N234" s="136">
        <f t="shared" si="29"/>
        <v>0</v>
      </c>
      <c r="O234" s="136">
        <f t="shared" si="29"/>
        <v>0</v>
      </c>
      <c r="P234" s="136">
        <f t="shared" si="29"/>
        <v>0</v>
      </c>
      <c r="Q234" s="136">
        <f t="shared" si="29"/>
        <v>0</v>
      </c>
      <c r="R234" s="136">
        <f t="shared" si="29"/>
        <v>0</v>
      </c>
      <c r="S234" s="136">
        <f t="shared" si="28"/>
        <v>0</v>
      </c>
      <c r="T234" s="136">
        <f t="shared" si="28"/>
        <v>0</v>
      </c>
      <c r="U234" s="136">
        <f t="shared" si="28"/>
        <v>0</v>
      </c>
      <c r="V234" s="136">
        <f t="shared" si="28"/>
        <v>0</v>
      </c>
      <c r="W234" s="136">
        <f t="shared" si="28"/>
        <v>0</v>
      </c>
      <c r="X234" s="136">
        <f t="shared" si="28"/>
        <v>0</v>
      </c>
      <c r="Y234" s="136">
        <f t="shared" si="28"/>
        <v>0</v>
      </c>
      <c r="Z234" s="136">
        <f t="shared" si="28"/>
        <v>0</v>
      </c>
      <c r="AA234" s="136">
        <f t="shared" si="28"/>
        <v>0</v>
      </c>
      <c r="AB234" s="136">
        <f t="shared" si="28"/>
        <v>0</v>
      </c>
      <c r="AC234" s="136">
        <f t="shared" si="28"/>
        <v>0</v>
      </c>
      <c r="AD234" s="136">
        <f t="shared" si="28"/>
        <v>0</v>
      </c>
      <c r="AE234" s="136">
        <f t="shared" si="28"/>
        <v>0</v>
      </c>
      <c r="AF234" s="136">
        <f t="shared" si="28"/>
        <v>0</v>
      </c>
      <c r="AG234" s="136">
        <f t="shared" si="28"/>
        <v>0</v>
      </c>
      <c r="AH234" s="136">
        <f t="shared" si="28"/>
        <v>0</v>
      </c>
      <c r="AI234" s="136">
        <f t="shared" si="28"/>
        <v>0</v>
      </c>
      <c r="AJ234" s="136">
        <f t="shared" si="28"/>
        <v>0</v>
      </c>
      <c r="AK234" s="136">
        <f t="shared" si="28"/>
        <v>6790681</v>
      </c>
      <c r="AL234" s="136">
        <f t="shared" si="28"/>
        <v>0</v>
      </c>
      <c r="AM234" s="136">
        <f t="shared" si="28"/>
        <v>0</v>
      </c>
      <c r="AN234" s="136">
        <f t="shared" si="28"/>
        <v>0</v>
      </c>
      <c r="AO234" s="136">
        <f t="shared" si="28"/>
        <v>0</v>
      </c>
      <c r="AP234" s="136">
        <f t="shared" si="28"/>
        <v>0</v>
      </c>
      <c r="AQ234" s="136">
        <f t="shared" si="31"/>
        <v>0</v>
      </c>
      <c r="AR234" s="136">
        <f t="shared" si="31"/>
        <v>0</v>
      </c>
      <c r="AS234" s="136">
        <f t="shared" si="31"/>
        <v>0</v>
      </c>
      <c r="AT234" s="136">
        <f t="shared" si="31"/>
        <v>0</v>
      </c>
      <c r="AU234" s="136">
        <f t="shared" si="31"/>
        <v>0</v>
      </c>
      <c r="AV234" s="136">
        <f t="shared" si="30"/>
        <v>0</v>
      </c>
      <c r="AW234" s="136">
        <f t="shared" si="30"/>
        <v>0</v>
      </c>
      <c r="AX234" s="136">
        <f t="shared" si="30"/>
        <v>0</v>
      </c>
      <c r="AY234" s="136">
        <f t="shared" si="30"/>
        <v>0</v>
      </c>
      <c r="AZ234" s="136">
        <f t="shared" si="30"/>
        <v>0</v>
      </c>
      <c r="BA234" s="136">
        <f t="shared" si="30"/>
        <v>0</v>
      </c>
      <c r="BB234" s="136">
        <f t="shared" si="30"/>
        <v>0</v>
      </c>
      <c r="BC234" s="136">
        <f t="shared" si="30"/>
        <v>0</v>
      </c>
      <c r="BD234" s="136">
        <f t="shared" si="30"/>
        <v>0</v>
      </c>
      <c r="BE234" s="136">
        <f t="shared" si="30"/>
        <v>0</v>
      </c>
      <c r="BF234" s="136">
        <f t="shared" si="30"/>
        <v>0</v>
      </c>
      <c r="BG234" s="136">
        <f t="shared" si="30"/>
        <v>0</v>
      </c>
      <c r="BH234" s="136">
        <f t="shared" si="30"/>
        <v>0</v>
      </c>
      <c r="BI234" s="136">
        <f t="shared" si="30"/>
        <v>0</v>
      </c>
      <c r="BJ234" s="136">
        <f t="shared" si="30"/>
        <v>0</v>
      </c>
      <c r="BK234" s="136">
        <f t="shared" si="30"/>
        <v>0</v>
      </c>
      <c r="BL234" s="136">
        <f t="shared" si="30"/>
        <v>0</v>
      </c>
      <c r="BM234" s="136">
        <f t="shared" si="30"/>
        <v>0</v>
      </c>
      <c r="BN234" s="136">
        <f t="shared" si="30"/>
        <v>0</v>
      </c>
      <c r="BO234" s="136">
        <f t="shared" si="30"/>
        <v>0</v>
      </c>
      <c r="BU234" s="136" t="e">
        <f>#REF!-#REF!</f>
        <v>#REF!</v>
      </c>
      <c r="BV234" s="136" t="e">
        <f>#REF!-#REF!</f>
        <v>#REF!</v>
      </c>
      <c r="BW234" s="136" t="e">
        <f>#REF!-#REF!</f>
        <v>#REF!</v>
      </c>
      <c r="BX234" s="136" t="e">
        <f>#REF!-#REF!</f>
        <v>#REF!</v>
      </c>
      <c r="BZ234" s="136" t="e">
        <f>#REF!-#REF!</f>
        <v>#REF!</v>
      </c>
      <c r="CA234" s="136" t="e">
        <f>#REF!-#REF!</f>
        <v>#REF!</v>
      </c>
    </row>
    <row r="235" spans="12:79" hidden="1" x14ac:dyDescent="0.3">
      <c r="L235" s="136">
        <f t="shared" si="29"/>
        <v>0</v>
      </c>
      <c r="M235" s="136">
        <f t="shared" si="29"/>
        <v>0</v>
      </c>
      <c r="N235" s="136">
        <f t="shared" si="29"/>
        <v>0</v>
      </c>
      <c r="O235" s="136">
        <f t="shared" si="29"/>
        <v>0</v>
      </c>
      <c r="P235" s="136">
        <f t="shared" si="29"/>
        <v>0</v>
      </c>
      <c r="Q235" s="136">
        <f t="shared" si="29"/>
        <v>0</v>
      </c>
      <c r="R235" s="136">
        <f t="shared" si="29"/>
        <v>0</v>
      </c>
      <c r="S235" s="136">
        <f t="shared" si="28"/>
        <v>0</v>
      </c>
      <c r="T235" s="136">
        <f t="shared" si="28"/>
        <v>0</v>
      </c>
      <c r="U235" s="136">
        <f t="shared" si="28"/>
        <v>0</v>
      </c>
      <c r="V235" s="136">
        <f t="shared" si="28"/>
        <v>0</v>
      </c>
      <c r="W235" s="136">
        <f t="shared" si="28"/>
        <v>0</v>
      </c>
      <c r="X235" s="136">
        <f t="shared" si="28"/>
        <v>0</v>
      </c>
      <c r="Y235" s="136">
        <f t="shared" si="28"/>
        <v>0</v>
      </c>
      <c r="Z235" s="136">
        <f t="shared" si="28"/>
        <v>0</v>
      </c>
      <c r="AA235" s="136">
        <f t="shared" si="28"/>
        <v>0</v>
      </c>
      <c r="AB235" s="136">
        <f t="shared" si="28"/>
        <v>0</v>
      </c>
      <c r="AC235" s="136">
        <f t="shared" si="28"/>
        <v>0</v>
      </c>
      <c r="AD235" s="136">
        <f t="shared" si="28"/>
        <v>0</v>
      </c>
      <c r="AE235" s="136">
        <f t="shared" si="28"/>
        <v>0</v>
      </c>
      <c r="AF235" s="136">
        <f t="shared" si="28"/>
        <v>0</v>
      </c>
      <c r="AG235" s="136">
        <f t="shared" si="28"/>
        <v>0</v>
      </c>
      <c r="AH235" s="136">
        <f t="shared" si="28"/>
        <v>0</v>
      </c>
      <c r="AI235" s="136">
        <f t="shared" si="28"/>
        <v>0</v>
      </c>
      <c r="AJ235" s="136">
        <f t="shared" si="28"/>
        <v>0</v>
      </c>
      <c r="AK235" s="136">
        <f t="shared" si="28"/>
        <v>6790681</v>
      </c>
      <c r="AL235" s="136">
        <f t="shared" si="28"/>
        <v>0</v>
      </c>
      <c r="AM235" s="136">
        <f t="shared" si="28"/>
        <v>0</v>
      </c>
      <c r="AN235" s="136">
        <f t="shared" si="28"/>
        <v>0</v>
      </c>
      <c r="AO235" s="136">
        <f t="shared" si="28"/>
        <v>0</v>
      </c>
      <c r="AP235" s="136">
        <f t="shared" si="28"/>
        <v>0</v>
      </c>
      <c r="AQ235" s="136">
        <f t="shared" si="31"/>
        <v>0</v>
      </c>
      <c r="AR235" s="136">
        <f t="shared" si="31"/>
        <v>0</v>
      </c>
      <c r="AS235" s="136">
        <f t="shared" si="31"/>
        <v>0</v>
      </c>
      <c r="AT235" s="136">
        <f t="shared" si="31"/>
        <v>0</v>
      </c>
      <c r="AU235" s="136">
        <f t="shared" si="31"/>
        <v>0</v>
      </c>
      <c r="AV235" s="136">
        <f t="shared" si="30"/>
        <v>0</v>
      </c>
      <c r="AW235" s="136">
        <f t="shared" si="30"/>
        <v>0</v>
      </c>
      <c r="AX235" s="136">
        <f t="shared" si="30"/>
        <v>0</v>
      </c>
      <c r="AY235" s="136">
        <f t="shared" si="30"/>
        <v>0</v>
      </c>
      <c r="AZ235" s="136">
        <f t="shared" si="30"/>
        <v>0</v>
      </c>
      <c r="BA235" s="136">
        <f t="shared" si="30"/>
        <v>0</v>
      </c>
      <c r="BB235" s="136">
        <f t="shared" si="30"/>
        <v>0</v>
      </c>
      <c r="BC235" s="136">
        <f t="shared" si="30"/>
        <v>0</v>
      </c>
      <c r="BD235" s="136">
        <f t="shared" si="30"/>
        <v>0</v>
      </c>
      <c r="BE235" s="136">
        <f t="shared" si="30"/>
        <v>0</v>
      </c>
      <c r="BF235" s="136">
        <f t="shared" si="30"/>
        <v>0</v>
      </c>
      <c r="BG235" s="136">
        <f t="shared" si="30"/>
        <v>0</v>
      </c>
      <c r="BH235" s="136">
        <f t="shared" si="30"/>
        <v>0</v>
      </c>
      <c r="BI235" s="136">
        <f t="shared" si="30"/>
        <v>0</v>
      </c>
      <c r="BJ235" s="136">
        <f t="shared" si="30"/>
        <v>0</v>
      </c>
      <c r="BK235" s="136">
        <f t="shared" si="30"/>
        <v>0</v>
      </c>
      <c r="BL235" s="136">
        <f t="shared" si="30"/>
        <v>0</v>
      </c>
      <c r="BM235" s="136">
        <f t="shared" si="30"/>
        <v>0</v>
      </c>
      <c r="BN235" s="136">
        <f t="shared" si="30"/>
        <v>0</v>
      </c>
      <c r="BO235" s="136">
        <f t="shared" si="30"/>
        <v>0</v>
      </c>
      <c r="BU235" s="136" t="e">
        <f>#REF!-#REF!</f>
        <v>#REF!</v>
      </c>
      <c r="BV235" s="136" t="e">
        <f>#REF!-#REF!</f>
        <v>#REF!</v>
      </c>
      <c r="BW235" s="136" t="e">
        <f>#REF!-#REF!</f>
        <v>#REF!</v>
      </c>
      <c r="BX235" s="136" t="e">
        <f>#REF!-#REF!</f>
        <v>#REF!</v>
      </c>
      <c r="BZ235" s="136" t="e">
        <f>#REF!-#REF!</f>
        <v>#REF!</v>
      </c>
      <c r="CA235" s="136" t="e">
        <f>#REF!-#REF!</f>
        <v>#REF!</v>
      </c>
    </row>
    <row r="236" spans="12:79" hidden="1" x14ac:dyDescent="0.3">
      <c r="L236" s="136">
        <f t="shared" si="29"/>
        <v>0</v>
      </c>
      <c r="M236" s="136">
        <f t="shared" si="29"/>
        <v>0</v>
      </c>
      <c r="N236" s="136">
        <f t="shared" si="29"/>
        <v>0</v>
      </c>
      <c r="O236" s="136">
        <f t="shared" si="29"/>
        <v>0</v>
      </c>
      <c r="P236" s="136">
        <f t="shared" si="29"/>
        <v>0</v>
      </c>
      <c r="Q236" s="136">
        <f t="shared" si="29"/>
        <v>0</v>
      </c>
      <c r="R236" s="136">
        <f t="shared" si="29"/>
        <v>0</v>
      </c>
      <c r="S236" s="136">
        <f t="shared" si="28"/>
        <v>0</v>
      </c>
      <c r="T236" s="136">
        <f t="shared" si="28"/>
        <v>0</v>
      </c>
      <c r="U236" s="136">
        <f t="shared" si="28"/>
        <v>0</v>
      </c>
      <c r="V236" s="136">
        <f t="shared" si="28"/>
        <v>0</v>
      </c>
      <c r="W236" s="136">
        <f t="shared" si="28"/>
        <v>0</v>
      </c>
      <c r="X236" s="136">
        <f t="shared" si="28"/>
        <v>0</v>
      </c>
      <c r="Y236" s="136">
        <f t="shared" si="28"/>
        <v>0</v>
      </c>
      <c r="Z236" s="136">
        <f t="shared" si="28"/>
        <v>0</v>
      </c>
      <c r="AA236" s="136">
        <f t="shared" si="28"/>
        <v>0</v>
      </c>
      <c r="AB236" s="136">
        <f t="shared" si="28"/>
        <v>0</v>
      </c>
      <c r="AC236" s="136">
        <f t="shared" si="28"/>
        <v>0</v>
      </c>
      <c r="AD236" s="136">
        <f t="shared" si="28"/>
        <v>0</v>
      </c>
      <c r="AE236" s="136">
        <f t="shared" si="28"/>
        <v>0</v>
      </c>
      <c r="AF236" s="136">
        <f t="shared" si="28"/>
        <v>0</v>
      </c>
      <c r="AG236" s="136">
        <f t="shared" si="28"/>
        <v>0</v>
      </c>
      <c r="AH236" s="136">
        <f t="shared" si="28"/>
        <v>0</v>
      </c>
      <c r="AI236" s="136">
        <f t="shared" si="28"/>
        <v>0</v>
      </c>
      <c r="AJ236" s="136">
        <f t="shared" si="28"/>
        <v>0</v>
      </c>
      <c r="AK236" s="136">
        <f t="shared" si="28"/>
        <v>0</v>
      </c>
      <c r="AL236" s="136">
        <f t="shared" si="28"/>
        <v>0</v>
      </c>
      <c r="AM236" s="136">
        <f t="shared" si="28"/>
        <v>0</v>
      </c>
      <c r="AN236" s="136">
        <f t="shared" si="28"/>
        <v>0</v>
      </c>
      <c r="AO236" s="136">
        <f t="shared" si="28"/>
        <v>0</v>
      </c>
      <c r="AP236" s="136">
        <f t="shared" si="28"/>
        <v>0</v>
      </c>
      <c r="AQ236" s="136">
        <f t="shared" si="31"/>
        <v>0</v>
      </c>
      <c r="AR236" s="136">
        <f t="shared" si="31"/>
        <v>0</v>
      </c>
      <c r="AS236" s="136">
        <f t="shared" si="31"/>
        <v>0</v>
      </c>
      <c r="AT236" s="136">
        <f t="shared" si="31"/>
        <v>0</v>
      </c>
      <c r="AU236" s="136">
        <f t="shared" si="31"/>
        <v>0</v>
      </c>
      <c r="AV236" s="136">
        <f t="shared" si="30"/>
        <v>0</v>
      </c>
      <c r="AW236" s="136">
        <f t="shared" si="30"/>
        <v>0</v>
      </c>
      <c r="AX236" s="136">
        <f t="shared" si="30"/>
        <v>0</v>
      </c>
      <c r="AY236" s="136">
        <f t="shared" si="30"/>
        <v>0</v>
      </c>
      <c r="AZ236" s="136">
        <f t="shared" si="30"/>
        <v>0</v>
      </c>
      <c r="BA236" s="136">
        <f t="shared" si="30"/>
        <v>0</v>
      </c>
      <c r="BB236" s="136">
        <f t="shared" si="30"/>
        <v>0</v>
      </c>
      <c r="BC236" s="136">
        <f t="shared" si="30"/>
        <v>0</v>
      </c>
      <c r="BD236" s="136">
        <f t="shared" si="30"/>
        <v>0</v>
      </c>
      <c r="BE236" s="136">
        <f t="shared" si="30"/>
        <v>0</v>
      </c>
      <c r="BF236" s="136">
        <f t="shared" si="30"/>
        <v>0</v>
      </c>
      <c r="BG236" s="136">
        <f t="shared" si="30"/>
        <v>0</v>
      </c>
      <c r="BH236" s="136">
        <f t="shared" si="30"/>
        <v>0</v>
      </c>
      <c r="BI236" s="136">
        <f t="shared" si="30"/>
        <v>0</v>
      </c>
      <c r="BJ236" s="136">
        <f t="shared" si="30"/>
        <v>0</v>
      </c>
      <c r="BK236" s="136">
        <f t="shared" si="30"/>
        <v>0</v>
      </c>
      <c r="BL236" s="136">
        <f t="shared" si="30"/>
        <v>0</v>
      </c>
      <c r="BM236" s="136">
        <f t="shared" si="30"/>
        <v>0</v>
      </c>
      <c r="BN236" s="136">
        <f t="shared" si="30"/>
        <v>0</v>
      </c>
      <c r="BO236" s="136">
        <f t="shared" si="30"/>
        <v>0</v>
      </c>
      <c r="BU236" s="136" t="e">
        <f>#REF!-#REF!</f>
        <v>#REF!</v>
      </c>
      <c r="BV236" s="136" t="e">
        <f>#REF!-#REF!</f>
        <v>#REF!</v>
      </c>
      <c r="BW236" s="136" t="e">
        <f>#REF!-#REF!</f>
        <v>#REF!</v>
      </c>
      <c r="BX236" s="136" t="e">
        <f>#REF!-#REF!</f>
        <v>#REF!</v>
      </c>
      <c r="BZ236" s="136" t="e">
        <f>#REF!-#REF!</f>
        <v>#REF!</v>
      </c>
      <c r="CA236" s="136" t="e">
        <f>#REF!-#REF!</f>
        <v>#REF!</v>
      </c>
    </row>
    <row r="237" spans="12:79" hidden="1" x14ac:dyDescent="0.3">
      <c r="L237" s="136">
        <f t="shared" si="29"/>
        <v>0</v>
      </c>
      <c r="M237" s="136">
        <f t="shared" si="29"/>
        <v>0</v>
      </c>
      <c r="N237" s="136">
        <f t="shared" si="29"/>
        <v>0</v>
      </c>
      <c r="O237" s="136">
        <f t="shared" si="29"/>
        <v>0</v>
      </c>
      <c r="P237" s="136">
        <f t="shared" si="29"/>
        <v>0</v>
      </c>
      <c r="Q237" s="136">
        <f t="shared" si="29"/>
        <v>0</v>
      </c>
      <c r="R237" s="136">
        <f t="shared" si="29"/>
        <v>0</v>
      </c>
      <c r="S237" s="136">
        <f t="shared" si="28"/>
        <v>0</v>
      </c>
      <c r="T237" s="136">
        <f t="shared" si="28"/>
        <v>0</v>
      </c>
      <c r="U237" s="136">
        <f t="shared" si="28"/>
        <v>0</v>
      </c>
      <c r="V237" s="136">
        <f t="shared" si="28"/>
        <v>0</v>
      </c>
      <c r="W237" s="136">
        <f t="shared" si="28"/>
        <v>0</v>
      </c>
      <c r="X237" s="136">
        <f t="shared" si="28"/>
        <v>0</v>
      </c>
      <c r="Y237" s="136">
        <f t="shared" si="28"/>
        <v>0</v>
      </c>
      <c r="Z237" s="136">
        <f t="shared" si="28"/>
        <v>0</v>
      </c>
      <c r="AA237" s="136">
        <f t="shared" si="28"/>
        <v>0</v>
      </c>
      <c r="AB237" s="136">
        <f t="shared" si="28"/>
        <v>0</v>
      </c>
      <c r="AC237" s="136">
        <f t="shared" si="28"/>
        <v>0</v>
      </c>
      <c r="AD237" s="136">
        <f t="shared" si="28"/>
        <v>0</v>
      </c>
      <c r="AE237" s="136">
        <f t="shared" si="28"/>
        <v>0</v>
      </c>
      <c r="AF237" s="136">
        <f t="shared" si="28"/>
        <v>0</v>
      </c>
      <c r="AG237" s="136">
        <f t="shared" si="28"/>
        <v>0</v>
      </c>
      <c r="AH237" s="136">
        <f t="shared" ref="AH237:AP237" si="32">AH55-CZ55</f>
        <v>0</v>
      </c>
      <c r="AI237" s="136">
        <f t="shared" si="32"/>
        <v>0</v>
      </c>
      <c r="AJ237" s="136">
        <f t="shared" si="32"/>
        <v>0</v>
      </c>
      <c r="AK237" s="136">
        <f t="shared" si="32"/>
        <v>0</v>
      </c>
      <c r="AL237" s="136">
        <f t="shared" si="32"/>
        <v>0</v>
      </c>
      <c r="AM237" s="136">
        <f t="shared" si="32"/>
        <v>0</v>
      </c>
      <c r="AN237" s="136">
        <f t="shared" si="32"/>
        <v>0</v>
      </c>
      <c r="AO237" s="136">
        <f t="shared" si="32"/>
        <v>0</v>
      </c>
      <c r="AP237" s="136">
        <f t="shared" si="32"/>
        <v>0</v>
      </c>
      <c r="AQ237" s="136">
        <f t="shared" si="31"/>
        <v>0</v>
      </c>
      <c r="AR237" s="136">
        <f t="shared" si="31"/>
        <v>0</v>
      </c>
      <c r="AS237" s="136">
        <f t="shared" si="31"/>
        <v>0</v>
      </c>
      <c r="AT237" s="136">
        <f t="shared" si="31"/>
        <v>0</v>
      </c>
      <c r="AU237" s="136">
        <f t="shared" si="31"/>
        <v>0</v>
      </c>
      <c r="AV237" s="136">
        <f t="shared" si="30"/>
        <v>0</v>
      </c>
      <c r="AW237" s="136">
        <f t="shared" si="30"/>
        <v>0</v>
      </c>
      <c r="AX237" s="136">
        <f t="shared" si="30"/>
        <v>0</v>
      </c>
      <c r="AY237" s="136">
        <f t="shared" si="30"/>
        <v>0</v>
      </c>
      <c r="AZ237" s="136">
        <f t="shared" si="30"/>
        <v>0</v>
      </c>
      <c r="BA237" s="136">
        <f t="shared" si="30"/>
        <v>0</v>
      </c>
      <c r="BB237" s="136">
        <f t="shared" si="30"/>
        <v>0</v>
      </c>
      <c r="BC237" s="136">
        <f t="shared" si="30"/>
        <v>0</v>
      </c>
      <c r="BD237" s="136">
        <f t="shared" si="30"/>
        <v>0</v>
      </c>
      <c r="BE237" s="136">
        <f t="shared" si="30"/>
        <v>0</v>
      </c>
      <c r="BF237" s="136">
        <f t="shared" si="30"/>
        <v>0</v>
      </c>
      <c r="BG237" s="136">
        <f t="shared" si="30"/>
        <v>0</v>
      </c>
      <c r="BH237" s="136">
        <f t="shared" si="30"/>
        <v>0</v>
      </c>
      <c r="BI237" s="136">
        <f t="shared" si="30"/>
        <v>0</v>
      </c>
      <c r="BJ237" s="136">
        <f t="shared" si="30"/>
        <v>0</v>
      </c>
      <c r="BK237" s="136">
        <f t="shared" si="30"/>
        <v>0</v>
      </c>
      <c r="BL237" s="136">
        <f t="shared" si="30"/>
        <v>0</v>
      </c>
      <c r="BM237" s="136">
        <f t="shared" si="30"/>
        <v>0</v>
      </c>
      <c r="BN237" s="136">
        <f t="shared" si="30"/>
        <v>0</v>
      </c>
      <c r="BO237" s="136">
        <f t="shared" si="30"/>
        <v>0</v>
      </c>
      <c r="BU237" s="136">
        <f t="shared" ref="BU237:BX252" si="33">BU72-EM72</f>
        <v>0</v>
      </c>
      <c r="BV237" s="136">
        <f t="shared" si="33"/>
        <v>0</v>
      </c>
      <c r="BW237" s="136">
        <f t="shared" si="33"/>
        <v>0</v>
      </c>
      <c r="BX237" s="136">
        <f t="shared" si="33"/>
        <v>0</v>
      </c>
      <c r="BZ237" s="136">
        <f t="shared" ref="BZ237:CA252" si="34">BZ72-ER72</f>
        <v>0</v>
      </c>
      <c r="CA237" s="136">
        <f t="shared" si="34"/>
        <v>0</v>
      </c>
    </row>
    <row r="238" spans="12:79" hidden="1" x14ac:dyDescent="0.3">
      <c r="L238" s="136" t="e">
        <f>#REF!-#REF!</f>
        <v>#REF!</v>
      </c>
      <c r="M238" s="136" t="e">
        <f>#REF!-#REF!</f>
        <v>#REF!</v>
      </c>
      <c r="N238" s="136" t="e">
        <f>#REF!-#REF!</f>
        <v>#REF!</v>
      </c>
      <c r="O238" s="136" t="e">
        <f>#REF!-#REF!</f>
        <v>#REF!</v>
      </c>
      <c r="P238" s="136" t="e">
        <f>#REF!-#REF!</f>
        <v>#REF!</v>
      </c>
      <c r="Q238" s="136" t="e">
        <f>#REF!-#REF!</f>
        <v>#REF!</v>
      </c>
      <c r="R238" s="136" t="e">
        <f>#REF!-#REF!</f>
        <v>#REF!</v>
      </c>
      <c r="S238" s="136" t="e">
        <f>#REF!-#REF!</f>
        <v>#REF!</v>
      </c>
      <c r="T238" s="136" t="e">
        <f>#REF!-#REF!</f>
        <v>#REF!</v>
      </c>
      <c r="U238" s="136" t="e">
        <f>#REF!-#REF!</f>
        <v>#REF!</v>
      </c>
      <c r="V238" s="136" t="e">
        <f>#REF!-#REF!</f>
        <v>#REF!</v>
      </c>
      <c r="W238" s="136" t="e">
        <f>#REF!-#REF!</f>
        <v>#REF!</v>
      </c>
      <c r="X238" s="136" t="e">
        <f>#REF!-#REF!</f>
        <v>#REF!</v>
      </c>
      <c r="Y238" s="136" t="e">
        <f>#REF!-#REF!</f>
        <v>#REF!</v>
      </c>
      <c r="Z238" s="136" t="e">
        <f>#REF!-#REF!</f>
        <v>#REF!</v>
      </c>
      <c r="AA238" s="136" t="e">
        <f>#REF!-#REF!</f>
        <v>#REF!</v>
      </c>
      <c r="AB238" s="136" t="e">
        <f>#REF!-#REF!</f>
        <v>#REF!</v>
      </c>
      <c r="AC238" s="136" t="e">
        <f>#REF!-#REF!</f>
        <v>#REF!</v>
      </c>
      <c r="AD238" s="136" t="e">
        <f>#REF!-#REF!</f>
        <v>#REF!</v>
      </c>
      <c r="AE238" s="136" t="e">
        <f>#REF!-#REF!</f>
        <v>#REF!</v>
      </c>
      <c r="AF238" s="136" t="e">
        <f>#REF!-#REF!</f>
        <v>#REF!</v>
      </c>
      <c r="AG238" s="136" t="e">
        <f>#REF!-#REF!</f>
        <v>#REF!</v>
      </c>
      <c r="AH238" s="136" t="e">
        <f>#REF!-#REF!</f>
        <v>#REF!</v>
      </c>
      <c r="AI238" s="136" t="e">
        <f>#REF!-#REF!</f>
        <v>#REF!</v>
      </c>
      <c r="AJ238" s="136" t="e">
        <f>#REF!-#REF!</f>
        <v>#REF!</v>
      </c>
      <c r="AK238" s="136" t="e">
        <f>#REF!-#REF!</f>
        <v>#REF!</v>
      </c>
      <c r="AL238" s="136" t="e">
        <f>#REF!-#REF!</f>
        <v>#REF!</v>
      </c>
      <c r="AM238" s="136" t="e">
        <f>#REF!-#REF!</f>
        <v>#REF!</v>
      </c>
      <c r="AN238" s="136" t="e">
        <f>#REF!-#REF!</f>
        <v>#REF!</v>
      </c>
      <c r="AO238" s="136" t="e">
        <f>#REF!-#REF!</f>
        <v>#REF!</v>
      </c>
      <c r="AP238" s="136" t="e">
        <f>#REF!-#REF!</f>
        <v>#REF!</v>
      </c>
      <c r="AQ238" s="136" t="e">
        <f>#REF!-#REF!</f>
        <v>#REF!</v>
      </c>
      <c r="AR238" s="136" t="e">
        <f>#REF!-#REF!</f>
        <v>#REF!</v>
      </c>
      <c r="AS238" s="136" t="e">
        <f>#REF!-#REF!</f>
        <v>#REF!</v>
      </c>
      <c r="AT238" s="136" t="e">
        <f>#REF!-#REF!</f>
        <v>#REF!</v>
      </c>
      <c r="AU238" s="136" t="e">
        <f>#REF!-#REF!</f>
        <v>#REF!</v>
      </c>
      <c r="AV238" s="136" t="e">
        <f>#REF!-#REF!</f>
        <v>#REF!</v>
      </c>
      <c r="AW238" s="136" t="e">
        <f>#REF!-#REF!</f>
        <v>#REF!</v>
      </c>
      <c r="AX238" s="136" t="e">
        <f>#REF!-#REF!</f>
        <v>#REF!</v>
      </c>
      <c r="AY238" s="136" t="e">
        <f>#REF!-#REF!</f>
        <v>#REF!</v>
      </c>
      <c r="AZ238" s="136" t="e">
        <f>#REF!-#REF!</f>
        <v>#REF!</v>
      </c>
      <c r="BA238" s="136" t="e">
        <f>#REF!-#REF!</f>
        <v>#REF!</v>
      </c>
      <c r="BB238" s="136" t="e">
        <f>#REF!-#REF!</f>
        <v>#REF!</v>
      </c>
      <c r="BC238" s="136" t="e">
        <f>#REF!-#REF!</f>
        <v>#REF!</v>
      </c>
      <c r="BD238" s="136" t="e">
        <f>#REF!-#REF!</f>
        <v>#REF!</v>
      </c>
      <c r="BE238" s="136" t="e">
        <f>#REF!-#REF!</f>
        <v>#REF!</v>
      </c>
      <c r="BF238" s="136" t="e">
        <f>#REF!-#REF!</f>
        <v>#REF!</v>
      </c>
      <c r="BG238" s="136" t="e">
        <f>#REF!-#REF!</f>
        <v>#REF!</v>
      </c>
      <c r="BH238" s="136" t="e">
        <f>#REF!-#REF!</f>
        <v>#REF!</v>
      </c>
      <c r="BI238" s="136" t="e">
        <f>#REF!-#REF!</f>
        <v>#REF!</v>
      </c>
      <c r="BJ238" s="136" t="e">
        <f>#REF!-#REF!</f>
        <v>#REF!</v>
      </c>
      <c r="BK238" s="136" t="e">
        <f>#REF!-#REF!</f>
        <v>#REF!</v>
      </c>
      <c r="BL238" s="136" t="e">
        <f>#REF!-#REF!</f>
        <v>#REF!</v>
      </c>
      <c r="BM238" s="136" t="e">
        <f>#REF!-#REF!</f>
        <v>#REF!</v>
      </c>
      <c r="BN238" s="136" t="e">
        <f>#REF!-#REF!</f>
        <v>#REF!</v>
      </c>
      <c r="BO238" s="136" t="e">
        <f>#REF!-#REF!</f>
        <v>#REF!</v>
      </c>
      <c r="BU238" s="136">
        <f t="shared" si="33"/>
        <v>0</v>
      </c>
      <c r="BV238" s="136">
        <f t="shared" si="33"/>
        <v>0</v>
      </c>
      <c r="BW238" s="136">
        <f t="shared" si="33"/>
        <v>0</v>
      </c>
      <c r="BX238" s="136">
        <f t="shared" si="33"/>
        <v>0</v>
      </c>
      <c r="BZ238" s="136">
        <f t="shared" si="34"/>
        <v>0</v>
      </c>
      <c r="CA238" s="136">
        <f t="shared" si="34"/>
        <v>0</v>
      </c>
    </row>
    <row r="239" spans="12:79" hidden="1" x14ac:dyDescent="0.3">
      <c r="L239" s="136" t="e">
        <f>#REF!-#REF!</f>
        <v>#REF!</v>
      </c>
      <c r="M239" s="136" t="e">
        <f>#REF!-#REF!</f>
        <v>#REF!</v>
      </c>
      <c r="N239" s="136" t="e">
        <f>#REF!-#REF!</f>
        <v>#REF!</v>
      </c>
      <c r="O239" s="136" t="e">
        <f>#REF!-#REF!</f>
        <v>#REF!</v>
      </c>
      <c r="P239" s="136" t="e">
        <f>#REF!-#REF!</f>
        <v>#REF!</v>
      </c>
      <c r="Q239" s="136" t="e">
        <f>#REF!-#REF!</f>
        <v>#REF!</v>
      </c>
      <c r="R239" s="136" t="e">
        <f>#REF!-#REF!</f>
        <v>#REF!</v>
      </c>
      <c r="S239" s="136" t="e">
        <f>#REF!-#REF!</f>
        <v>#REF!</v>
      </c>
      <c r="T239" s="136" t="e">
        <f>#REF!-#REF!</f>
        <v>#REF!</v>
      </c>
      <c r="U239" s="136" t="e">
        <f>#REF!-#REF!</f>
        <v>#REF!</v>
      </c>
      <c r="V239" s="136" t="e">
        <f>#REF!-#REF!</f>
        <v>#REF!</v>
      </c>
      <c r="W239" s="136" t="e">
        <f>#REF!-#REF!</f>
        <v>#REF!</v>
      </c>
      <c r="X239" s="136" t="e">
        <f>#REF!-#REF!</f>
        <v>#REF!</v>
      </c>
      <c r="Y239" s="136" t="e">
        <f>#REF!-#REF!</f>
        <v>#REF!</v>
      </c>
      <c r="Z239" s="136" t="e">
        <f>#REF!-#REF!</f>
        <v>#REF!</v>
      </c>
      <c r="AA239" s="136" t="e">
        <f>#REF!-#REF!</f>
        <v>#REF!</v>
      </c>
      <c r="AB239" s="136" t="e">
        <f>#REF!-#REF!</f>
        <v>#REF!</v>
      </c>
      <c r="AC239" s="136" t="e">
        <f>#REF!-#REF!</f>
        <v>#REF!</v>
      </c>
      <c r="AD239" s="136" t="e">
        <f>#REF!-#REF!</f>
        <v>#REF!</v>
      </c>
      <c r="AE239" s="136" t="e">
        <f>#REF!-#REF!</f>
        <v>#REF!</v>
      </c>
      <c r="AF239" s="136" t="e">
        <f>#REF!-#REF!</f>
        <v>#REF!</v>
      </c>
      <c r="AG239" s="136" t="e">
        <f>#REF!-#REF!</f>
        <v>#REF!</v>
      </c>
      <c r="AH239" s="136" t="e">
        <f>#REF!-#REF!</f>
        <v>#REF!</v>
      </c>
      <c r="AI239" s="136" t="e">
        <f>#REF!-#REF!</f>
        <v>#REF!</v>
      </c>
      <c r="AJ239" s="136" t="e">
        <f>#REF!-#REF!</f>
        <v>#REF!</v>
      </c>
      <c r="AK239" s="136" t="e">
        <f>#REF!-#REF!</f>
        <v>#REF!</v>
      </c>
      <c r="AL239" s="136" t="e">
        <f>#REF!-#REF!</f>
        <v>#REF!</v>
      </c>
      <c r="AM239" s="136" t="e">
        <f>#REF!-#REF!</f>
        <v>#REF!</v>
      </c>
      <c r="AN239" s="136" t="e">
        <f>#REF!-#REF!</f>
        <v>#REF!</v>
      </c>
      <c r="AO239" s="136" t="e">
        <f>#REF!-#REF!</f>
        <v>#REF!</v>
      </c>
      <c r="AP239" s="136" t="e">
        <f>#REF!-#REF!</f>
        <v>#REF!</v>
      </c>
      <c r="AQ239" s="136" t="e">
        <f>#REF!-#REF!</f>
        <v>#REF!</v>
      </c>
      <c r="AR239" s="136" t="e">
        <f>#REF!-#REF!</f>
        <v>#REF!</v>
      </c>
      <c r="AS239" s="136" t="e">
        <f>#REF!-#REF!</f>
        <v>#REF!</v>
      </c>
      <c r="AT239" s="136" t="e">
        <f>#REF!-#REF!</f>
        <v>#REF!</v>
      </c>
      <c r="AU239" s="136" t="e">
        <f>#REF!-#REF!</f>
        <v>#REF!</v>
      </c>
      <c r="AV239" s="136" t="e">
        <f>#REF!-#REF!</f>
        <v>#REF!</v>
      </c>
      <c r="AW239" s="136" t="e">
        <f>#REF!-#REF!</f>
        <v>#REF!</v>
      </c>
      <c r="AX239" s="136" t="e">
        <f>#REF!-#REF!</f>
        <v>#REF!</v>
      </c>
      <c r="AY239" s="136" t="e">
        <f>#REF!-#REF!</f>
        <v>#REF!</v>
      </c>
      <c r="AZ239" s="136" t="e">
        <f>#REF!-#REF!</f>
        <v>#REF!</v>
      </c>
      <c r="BA239" s="136" t="e">
        <f>#REF!-#REF!</f>
        <v>#REF!</v>
      </c>
      <c r="BB239" s="136" t="e">
        <f>#REF!-#REF!</f>
        <v>#REF!</v>
      </c>
      <c r="BC239" s="136" t="e">
        <f>#REF!-#REF!</f>
        <v>#REF!</v>
      </c>
      <c r="BD239" s="136" t="e">
        <f>#REF!-#REF!</f>
        <v>#REF!</v>
      </c>
      <c r="BE239" s="136" t="e">
        <f>#REF!-#REF!</f>
        <v>#REF!</v>
      </c>
      <c r="BF239" s="136" t="e">
        <f>#REF!-#REF!</f>
        <v>#REF!</v>
      </c>
      <c r="BG239" s="136" t="e">
        <f>#REF!-#REF!</f>
        <v>#REF!</v>
      </c>
      <c r="BH239" s="136" t="e">
        <f>#REF!-#REF!</f>
        <v>#REF!</v>
      </c>
      <c r="BI239" s="136" t="e">
        <f>#REF!-#REF!</f>
        <v>#REF!</v>
      </c>
      <c r="BJ239" s="136" t="e">
        <f>#REF!-#REF!</f>
        <v>#REF!</v>
      </c>
      <c r="BK239" s="136" t="e">
        <f>#REF!-#REF!</f>
        <v>#REF!</v>
      </c>
      <c r="BL239" s="136" t="e">
        <f>#REF!-#REF!</f>
        <v>#REF!</v>
      </c>
      <c r="BM239" s="136" t="e">
        <f>#REF!-#REF!</f>
        <v>#REF!</v>
      </c>
      <c r="BN239" s="136" t="e">
        <f>#REF!-#REF!</f>
        <v>#REF!</v>
      </c>
      <c r="BO239" s="136" t="e">
        <f>#REF!-#REF!</f>
        <v>#REF!</v>
      </c>
      <c r="BU239" s="136">
        <f t="shared" si="33"/>
        <v>0</v>
      </c>
      <c r="BV239" s="136">
        <f t="shared" si="33"/>
        <v>0</v>
      </c>
      <c r="BW239" s="136">
        <f t="shared" si="33"/>
        <v>0</v>
      </c>
      <c r="BX239" s="136">
        <f t="shared" si="33"/>
        <v>0</v>
      </c>
      <c r="BZ239" s="136">
        <f t="shared" si="34"/>
        <v>0</v>
      </c>
      <c r="CA239" s="136">
        <f t="shared" si="34"/>
        <v>0</v>
      </c>
    </row>
    <row r="240" spans="12:79" hidden="1" x14ac:dyDescent="0.3">
      <c r="L240" s="136" t="e">
        <f>#REF!-#REF!</f>
        <v>#REF!</v>
      </c>
      <c r="M240" s="136" t="e">
        <f>#REF!-#REF!</f>
        <v>#REF!</v>
      </c>
      <c r="N240" s="136" t="e">
        <f>#REF!-#REF!</f>
        <v>#REF!</v>
      </c>
      <c r="O240" s="136" t="e">
        <f>#REF!-#REF!</f>
        <v>#REF!</v>
      </c>
      <c r="P240" s="136" t="e">
        <f>#REF!-#REF!</f>
        <v>#REF!</v>
      </c>
      <c r="Q240" s="136" t="e">
        <f>#REF!-#REF!</f>
        <v>#REF!</v>
      </c>
      <c r="R240" s="136" t="e">
        <f>#REF!-#REF!</f>
        <v>#REF!</v>
      </c>
      <c r="S240" s="136" t="e">
        <f>#REF!-#REF!</f>
        <v>#REF!</v>
      </c>
      <c r="T240" s="136" t="e">
        <f>#REF!-#REF!</f>
        <v>#REF!</v>
      </c>
      <c r="U240" s="136" t="e">
        <f>#REF!-#REF!</f>
        <v>#REF!</v>
      </c>
      <c r="V240" s="136" t="e">
        <f>#REF!-#REF!</f>
        <v>#REF!</v>
      </c>
      <c r="W240" s="136" t="e">
        <f>#REF!-#REF!</f>
        <v>#REF!</v>
      </c>
      <c r="X240" s="136" t="e">
        <f>#REF!-#REF!</f>
        <v>#REF!</v>
      </c>
      <c r="Y240" s="136" t="e">
        <f>#REF!-#REF!</f>
        <v>#REF!</v>
      </c>
      <c r="Z240" s="136" t="e">
        <f>#REF!-#REF!</f>
        <v>#REF!</v>
      </c>
      <c r="AA240" s="136" t="e">
        <f>#REF!-#REF!</f>
        <v>#REF!</v>
      </c>
      <c r="AB240" s="136" t="e">
        <f>#REF!-#REF!</f>
        <v>#REF!</v>
      </c>
      <c r="AC240" s="136" t="e">
        <f>#REF!-#REF!</f>
        <v>#REF!</v>
      </c>
      <c r="AD240" s="136" t="e">
        <f>#REF!-#REF!</f>
        <v>#REF!</v>
      </c>
      <c r="AE240" s="136" t="e">
        <f>#REF!-#REF!</f>
        <v>#REF!</v>
      </c>
      <c r="AF240" s="136" t="e">
        <f>#REF!-#REF!</f>
        <v>#REF!</v>
      </c>
      <c r="AG240" s="136" t="e">
        <f>#REF!-#REF!</f>
        <v>#REF!</v>
      </c>
      <c r="AH240" s="136" t="e">
        <f>#REF!-#REF!</f>
        <v>#REF!</v>
      </c>
      <c r="AI240" s="136" t="e">
        <f>#REF!-#REF!</f>
        <v>#REF!</v>
      </c>
      <c r="AJ240" s="136" t="e">
        <f>#REF!-#REF!</f>
        <v>#REF!</v>
      </c>
      <c r="AK240" s="136" t="e">
        <f>#REF!-#REF!</f>
        <v>#REF!</v>
      </c>
      <c r="AL240" s="136" t="e">
        <f>#REF!-#REF!</f>
        <v>#REF!</v>
      </c>
      <c r="AM240" s="136" t="e">
        <f>#REF!-#REF!</f>
        <v>#REF!</v>
      </c>
      <c r="AN240" s="136" t="e">
        <f>#REF!-#REF!</f>
        <v>#REF!</v>
      </c>
      <c r="AO240" s="136" t="e">
        <f>#REF!-#REF!</f>
        <v>#REF!</v>
      </c>
      <c r="AP240" s="136" t="e">
        <f>#REF!-#REF!</f>
        <v>#REF!</v>
      </c>
      <c r="AQ240" s="136" t="e">
        <f>#REF!-#REF!</f>
        <v>#REF!</v>
      </c>
      <c r="AR240" s="136" t="e">
        <f>#REF!-#REF!</f>
        <v>#REF!</v>
      </c>
      <c r="AS240" s="136" t="e">
        <f>#REF!-#REF!</f>
        <v>#REF!</v>
      </c>
      <c r="AT240" s="136" t="e">
        <f>#REF!-#REF!</f>
        <v>#REF!</v>
      </c>
      <c r="AU240" s="136" t="e">
        <f>#REF!-#REF!</f>
        <v>#REF!</v>
      </c>
      <c r="AV240" s="136" t="e">
        <f>#REF!-#REF!</f>
        <v>#REF!</v>
      </c>
      <c r="AW240" s="136" t="e">
        <f>#REF!-#REF!</f>
        <v>#REF!</v>
      </c>
      <c r="AX240" s="136" t="e">
        <f>#REF!-#REF!</f>
        <v>#REF!</v>
      </c>
      <c r="AY240" s="136" t="e">
        <f>#REF!-#REF!</f>
        <v>#REF!</v>
      </c>
      <c r="AZ240" s="136" t="e">
        <f>#REF!-#REF!</f>
        <v>#REF!</v>
      </c>
      <c r="BA240" s="136" t="e">
        <f>#REF!-#REF!</f>
        <v>#REF!</v>
      </c>
      <c r="BB240" s="136" t="e">
        <f>#REF!-#REF!</f>
        <v>#REF!</v>
      </c>
      <c r="BC240" s="136" t="e">
        <f>#REF!-#REF!</f>
        <v>#REF!</v>
      </c>
      <c r="BD240" s="136" t="e">
        <f>#REF!-#REF!</f>
        <v>#REF!</v>
      </c>
      <c r="BE240" s="136" t="e">
        <f>#REF!-#REF!</f>
        <v>#REF!</v>
      </c>
      <c r="BF240" s="136" t="e">
        <f>#REF!-#REF!</f>
        <v>#REF!</v>
      </c>
      <c r="BG240" s="136" t="e">
        <f>#REF!-#REF!</f>
        <v>#REF!</v>
      </c>
      <c r="BH240" s="136" t="e">
        <f>#REF!-#REF!</f>
        <v>#REF!</v>
      </c>
      <c r="BI240" s="136" t="e">
        <f>#REF!-#REF!</f>
        <v>#REF!</v>
      </c>
      <c r="BJ240" s="136" t="e">
        <f>#REF!-#REF!</f>
        <v>#REF!</v>
      </c>
      <c r="BK240" s="136" t="e">
        <f>#REF!-#REF!</f>
        <v>#REF!</v>
      </c>
      <c r="BL240" s="136" t="e">
        <f>#REF!-#REF!</f>
        <v>#REF!</v>
      </c>
      <c r="BM240" s="136" t="e">
        <f>#REF!-#REF!</f>
        <v>#REF!</v>
      </c>
      <c r="BN240" s="136" t="e">
        <f>#REF!-#REF!</f>
        <v>#REF!</v>
      </c>
      <c r="BO240" s="136" t="e">
        <f>#REF!-#REF!</f>
        <v>#REF!</v>
      </c>
      <c r="BU240" s="136">
        <f t="shared" si="33"/>
        <v>0</v>
      </c>
      <c r="BV240" s="136">
        <f t="shared" si="33"/>
        <v>0</v>
      </c>
      <c r="BW240" s="136">
        <f t="shared" si="33"/>
        <v>0</v>
      </c>
      <c r="BX240" s="136">
        <f t="shared" si="33"/>
        <v>0</v>
      </c>
      <c r="BZ240" s="136">
        <f t="shared" si="34"/>
        <v>0</v>
      </c>
      <c r="CA240" s="136">
        <f t="shared" si="34"/>
        <v>0</v>
      </c>
    </row>
    <row r="241" spans="12:79" hidden="1" x14ac:dyDescent="0.3">
      <c r="L241" s="136" t="e">
        <f>#REF!-#REF!</f>
        <v>#REF!</v>
      </c>
      <c r="M241" s="136" t="e">
        <f>#REF!-#REF!</f>
        <v>#REF!</v>
      </c>
      <c r="N241" s="136" t="e">
        <f>#REF!-#REF!</f>
        <v>#REF!</v>
      </c>
      <c r="O241" s="136" t="e">
        <f>#REF!-#REF!</f>
        <v>#REF!</v>
      </c>
      <c r="P241" s="136" t="e">
        <f>#REF!-#REF!</f>
        <v>#REF!</v>
      </c>
      <c r="Q241" s="136" t="e">
        <f>#REF!-#REF!</f>
        <v>#REF!</v>
      </c>
      <c r="R241" s="136" t="e">
        <f>#REF!-#REF!</f>
        <v>#REF!</v>
      </c>
      <c r="S241" s="136" t="e">
        <f>#REF!-#REF!</f>
        <v>#REF!</v>
      </c>
      <c r="T241" s="136" t="e">
        <f>#REF!-#REF!</f>
        <v>#REF!</v>
      </c>
      <c r="U241" s="136" t="e">
        <f>#REF!-#REF!</f>
        <v>#REF!</v>
      </c>
      <c r="V241" s="136" t="e">
        <f>#REF!-#REF!</f>
        <v>#REF!</v>
      </c>
      <c r="W241" s="136" t="e">
        <f>#REF!-#REF!</f>
        <v>#REF!</v>
      </c>
      <c r="X241" s="136" t="e">
        <f>#REF!-#REF!</f>
        <v>#REF!</v>
      </c>
      <c r="Y241" s="136" t="e">
        <f>#REF!-#REF!</f>
        <v>#REF!</v>
      </c>
      <c r="Z241" s="136" t="e">
        <f>#REF!-#REF!</f>
        <v>#REF!</v>
      </c>
      <c r="AA241" s="136" t="e">
        <f>#REF!-#REF!</f>
        <v>#REF!</v>
      </c>
      <c r="AB241" s="136" t="e">
        <f>#REF!-#REF!</f>
        <v>#REF!</v>
      </c>
      <c r="AC241" s="136" t="e">
        <f>#REF!-#REF!</f>
        <v>#REF!</v>
      </c>
      <c r="AD241" s="136" t="e">
        <f>#REF!-#REF!</f>
        <v>#REF!</v>
      </c>
      <c r="AE241" s="136" t="e">
        <f>#REF!-#REF!</f>
        <v>#REF!</v>
      </c>
      <c r="AF241" s="136" t="e">
        <f>#REF!-#REF!</f>
        <v>#REF!</v>
      </c>
      <c r="AG241" s="136" t="e">
        <f>#REF!-#REF!</f>
        <v>#REF!</v>
      </c>
      <c r="AH241" s="136" t="e">
        <f>#REF!-#REF!</f>
        <v>#REF!</v>
      </c>
      <c r="AI241" s="136" t="e">
        <f>#REF!-#REF!</f>
        <v>#REF!</v>
      </c>
      <c r="AJ241" s="136" t="e">
        <f>#REF!-#REF!</f>
        <v>#REF!</v>
      </c>
      <c r="AK241" s="136" t="e">
        <f>#REF!-#REF!</f>
        <v>#REF!</v>
      </c>
      <c r="AL241" s="136" t="e">
        <f>#REF!-#REF!</f>
        <v>#REF!</v>
      </c>
      <c r="AM241" s="136" t="e">
        <f>#REF!-#REF!</f>
        <v>#REF!</v>
      </c>
      <c r="AN241" s="136" t="e">
        <f>#REF!-#REF!</f>
        <v>#REF!</v>
      </c>
      <c r="AO241" s="136" t="e">
        <f>#REF!-#REF!</f>
        <v>#REF!</v>
      </c>
      <c r="AP241" s="136" t="e">
        <f>#REF!-#REF!</f>
        <v>#REF!</v>
      </c>
      <c r="AQ241" s="136" t="e">
        <f>#REF!-#REF!</f>
        <v>#REF!</v>
      </c>
      <c r="AR241" s="136" t="e">
        <f>#REF!-#REF!</f>
        <v>#REF!</v>
      </c>
      <c r="AS241" s="136" t="e">
        <f>#REF!-#REF!</f>
        <v>#REF!</v>
      </c>
      <c r="AT241" s="136" t="e">
        <f>#REF!-#REF!</f>
        <v>#REF!</v>
      </c>
      <c r="AU241" s="136" t="e">
        <f>#REF!-#REF!</f>
        <v>#REF!</v>
      </c>
      <c r="AV241" s="136" t="e">
        <f>#REF!-#REF!</f>
        <v>#REF!</v>
      </c>
      <c r="AW241" s="136" t="e">
        <f>#REF!-#REF!</f>
        <v>#REF!</v>
      </c>
      <c r="AX241" s="136" t="e">
        <f>#REF!-#REF!</f>
        <v>#REF!</v>
      </c>
      <c r="AY241" s="136" t="e">
        <f>#REF!-#REF!</f>
        <v>#REF!</v>
      </c>
      <c r="AZ241" s="136" t="e">
        <f>#REF!-#REF!</f>
        <v>#REF!</v>
      </c>
      <c r="BA241" s="136" t="e">
        <f>#REF!-#REF!</f>
        <v>#REF!</v>
      </c>
      <c r="BB241" s="136" t="e">
        <f>#REF!-#REF!</f>
        <v>#REF!</v>
      </c>
      <c r="BC241" s="136" t="e">
        <f>#REF!-#REF!</f>
        <v>#REF!</v>
      </c>
      <c r="BD241" s="136" t="e">
        <f>#REF!-#REF!</f>
        <v>#REF!</v>
      </c>
      <c r="BE241" s="136" t="e">
        <f>#REF!-#REF!</f>
        <v>#REF!</v>
      </c>
      <c r="BF241" s="136" t="e">
        <f>#REF!-#REF!</f>
        <v>#REF!</v>
      </c>
      <c r="BG241" s="136" t="e">
        <f>#REF!-#REF!</f>
        <v>#REF!</v>
      </c>
      <c r="BH241" s="136" t="e">
        <f>#REF!-#REF!</f>
        <v>#REF!</v>
      </c>
      <c r="BI241" s="136" t="e">
        <f>#REF!-#REF!</f>
        <v>#REF!</v>
      </c>
      <c r="BJ241" s="136" t="e">
        <f>#REF!-#REF!</f>
        <v>#REF!</v>
      </c>
      <c r="BK241" s="136" t="e">
        <f>#REF!-#REF!</f>
        <v>#REF!</v>
      </c>
      <c r="BL241" s="136" t="e">
        <f>#REF!-#REF!</f>
        <v>#REF!</v>
      </c>
      <c r="BM241" s="136" t="e">
        <f>#REF!-#REF!</f>
        <v>#REF!</v>
      </c>
      <c r="BN241" s="136" t="e">
        <f>#REF!-#REF!</f>
        <v>#REF!</v>
      </c>
      <c r="BO241" s="136" t="e">
        <f>#REF!-#REF!</f>
        <v>#REF!</v>
      </c>
      <c r="BU241" s="136">
        <f t="shared" si="33"/>
        <v>0</v>
      </c>
      <c r="BV241" s="136">
        <f t="shared" si="33"/>
        <v>0</v>
      </c>
      <c r="BW241" s="136">
        <f t="shared" si="33"/>
        <v>0</v>
      </c>
      <c r="BX241" s="136">
        <f t="shared" si="33"/>
        <v>0</v>
      </c>
      <c r="BZ241" s="136">
        <f t="shared" si="34"/>
        <v>0</v>
      </c>
      <c r="CA241" s="136">
        <f t="shared" si="34"/>
        <v>0</v>
      </c>
    </row>
    <row r="242" spans="12:79" hidden="1" x14ac:dyDescent="0.3">
      <c r="L242" s="136" t="e">
        <f>#REF!-#REF!</f>
        <v>#REF!</v>
      </c>
      <c r="M242" s="136" t="e">
        <f>#REF!-#REF!</f>
        <v>#REF!</v>
      </c>
      <c r="N242" s="136" t="e">
        <f>#REF!-#REF!</f>
        <v>#REF!</v>
      </c>
      <c r="O242" s="136" t="e">
        <f>#REF!-#REF!</f>
        <v>#REF!</v>
      </c>
      <c r="P242" s="136" t="e">
        <f>#REF!-#REF!</f>
        <v>#REF!</v>
      </c>
      <c r="Q242" s="136" t="e">
        <f>#REF!-#REF!</f>
        <v>#REF!</v>
      </c>
      <c r="R242" s="136" t="e">
        <f>#REF!-#REF!</f>
        <v>#REF!</v>
      </c>
      <c r="S242" s="136" t="e">
        <f>#REF!-#REF!</f>
        <v>#REF!</v>
      </c>
      <c r="T242" s="136" t="e">
        <f>#REF!-#REF!</f>
        <v>#REF!</v>
      </c>
      <c r="U242" s="136" t="e">
        <f>#REF!-#REF!</f>
        <v>#REF!</v>
      </c>
      <c r="V242" s="136" t="e">
        <f>#REF!-#REF!</f>
        <v>#REF!</v>
      </c>
      <c r="W242" s="136" t="e">
        <f>#REF!-#REF!</f>
        <v>#REF!</v>
      </c>
      <c r="X242" s="136" t="e">
        <f>#REF!-#REF!</f>
        <v>#REF!</v>
      </c>
      <c r="Y242" s="136" t="e">
        <f>#REF!-#REF!</f>
        <v>#REF!</v>
      </c>
      <c r="Z242" s="136" t="e">
        <f>#REF!-#REF!</f>
        <v>#REF!</v>
      </c>
      <c r="AA242" s="136" t="e">
        <f>#REF!-#REF!</f>
        <v>#REF!</v>
      </c>
      <c r="AB242" s="136" t="e">
        <f>#REF!-#REF!</f>
        <v>#REF!</v>
      </c>
      <c r="AC242" s="136" t="e">
        <f>#REF!-#REF!</f>
        <v>#REF!</v>
      </c>
      <c r="AD242" s="136" t="e">
        <f>#REF!-#REF!</f>
        <v>#REF!</v>
      </c>
      <c r="AE242" s="136" t="e">
        <f>#REF!-#REF!</f>
        <v>#REF!</v>
      </c>
      <c r="AF242" s="136" t="e">
        <f>#REF!-#REF!</f>
        <v>#REF!</v>
      </c>
      <c r="AG242" s="136" t="e">
        <f>#REF!-#REF!</f>
        <v>#REF!</v>
      </c>
      <c r="AH242" s="136" t="e">
        <f>#REF!-#REF!</f>
        <v>#REF!</v>
      </c>
      <c r="AI242" s="136" t="e">
        <f>#REF!-#REF!</f>
        <v>#REF!</v>
      </c>
      <c r="AJ242" s="136" t="e">
        <f>#REF!-#REF!</f>
        <v>#REF!</v>
      </c>
      <c r="AK242" s="136" t="e">
        <f>#REF!-#REF!</f>
        <v>#REF!</v>
      </c>
      <c r="AL242" s="136" t="e">
        <f>#REF!-#REF!</f>
        <v>#REF!</v>
      </c>
      <c r="AM242" s="136" t="e">
        <f>#REF!-#REF!</f>
        <v>#REF!</v>
      </c>
      <c r="AN242" s="136" t="e">
        <f>#REF!-#REF!</f>
        <v>#REF!</v>
      </c>
      <c r="AO242" s="136" t="e">
        <f>#REF!-#REF!</f>
        <v>#REF!</v>
      </c>
      <c r="AP242" s="136" t="e">
        <f>#REF!-#REF!</f>
        <v>#REF!</v>
      </c>
      <c r="AQ242" s="136" t="e">
        <f>#REF!-#REF!</f>
        <v>#REF!</v>
      </c>
      <c r="AR242" s="136" t="e">
        <f>#REF!-#REF!</f>
        <v>#REF!</v>
      </c>
      <c r="AS242" s="136" t="e">
        <f>#REF!-#REF!</f>
        <v>#REF!</v>
      </c>
      <c r="AT242" s="136" t="e">
        <f>#REF!-#REF!</f>
        <v>#REF!</v>
      </c>
      <c r="AU242" s="136" t="e">
        <f>#REF!-#REF!</f>
        <v>#REF!</v>
      </c>
      <c r="AV242" s="136" t="e">
        <f>#REF!-#REF!</f>
        <v>#REF!</v>
      </c>
      <c r="AW242" s="136" t="e">
        <f>#REF!-#REF!</f>
        <v>#REF!</v>
      </c>
      <c r="AX242" s="136" t="e">
        <f>#REF!-#REF!</f>
        <v>#REF!</v>
      </c>
      <c r="AY242" s="136" t="e">
        <f>#REF!-#REF!</f>
        <v>#REF!</v>
      </c>
      <c r="AZ242" s="136" t="e">
        <f>#REF!-#REF!</f>
        <v>#REF!</v>
      </c>
      <c r="BA242" s="136" t="e">
        <f>#REF!-#REF!</f>
        <v>#REF!</v>
      </c>
      <c r="BB242" s="136" t="e">
        <f>#REF!-#REF!</f>
        <v>#REF!</v>
      </c>
      <c r="BC242" s="136" t="e">
        <f>#REF!-#REF!</f>
        <v>#REF!</v>
      </c>
      <c r="BD242" s="136" t="e">
        <f>#REF!-#REF!</f>
        <v>#REF!</v>
      </c>
      <c r="BE242" s="136" t="e">
        <f>#REF!-#REF!</f>
        <v>#REF!</v>
      </c>
      <c r="BF242" s="136" t="e">
        <f>#REF!-#REF!</f>
        <v>#REF!</v>
      </c>
      <c r="BG242" s="136" t="e">
        <f>#REF!-#REF!</f>
        <v>#REF!</v>
      </c>
      <c r="BH242" s="136" t="e">
        <f>#REF!-#REF!</f>
        <v>#REF!</v>
      </c>
      <c r="BI242" s="136" t="e">
        <f>#REF!-#REF!</f>
        <v>#REF!</v>
      </c>
      <c r="BJ242" s="136" t="e">
        <f>#REF!-#REF!</f>
        <v>#REF!</v>
      </c>
      <c r="BK242" s="136" t="e">
        <f>#REF!-#REF!</f>
        <v>#REF!</v>
      </c>
      <c r="BL242" s="136" t="e">
        <f>#REF!-#REF!</f>
        <v>#REF!</v>
      </c>
      <c r="BM242" s="136" t="e">
        <f>#REF!-#REF!</f>
        <v>#REF!</v>
      </c>
      <c r="BN242" s="136" t="e">
        <f>#REF!-#REF!</f>
        <v>#REF!</v>
      </c>
      <c r="BO242" s="136" t="e">
        <f>#REF!-#REF!</f>
        <v>#REF!</v>
      </c>
      <c r="BU242" s="136">
        <f t="shared" si="33"/>
        <v>0</v>
      </c>
      <c r="BV242" s="136">
        <f t="shared" si="33"/>
        <v>0</v>
      </c>
      <c r="BW242" s="136">
        <f t="shared" si="33"/>
        <v>0</v>
      </c>
      <c r="BX242" s="136">
        <f t="shared" si="33"/>
        <v>0</v>
      </c>
      <c r="BZ242" s="136">
        <f t="shared" si="34"/>
        <v>0</v>
      </c>
      <c r="CA242" s="136">
        <f t="shared" si="34"/>
        <v>0</v>
      </c>
    </row>
    <row r="243" spans="12:79" hidden="1" x14ac:dyDescent="0.3">
      <c r="L243" s="136" t="e">
        <f>#REF!-#REF!</f>
        <v>#REF!</v>
      </c>
      <c r="M243" s="136" t="e">
        <f>#REF!-#REF!</f>
        <v>#REF!</v>
      </c>
      <c r="N243" s="136" t="e">
        <f>#REF!-#REF!</f>
        <v>#REF!</v>
      </c>
      <c r="O243" s="136" t="e">
        <f>#REF!-#REF!</f>
        <v>#REF!</v>
      </c>
      <c r="P243" s="136" t="e">
        <f>#REF!-#REF!</f>
        <v>#REF!</v>
      </c>
      <c r="Q243" s="136" t="e">
        <f>#REF!-#REF!</f>
        <v>#REF!</v>
      </c>
      <c r="R243" s="136" t="e">
        <f>#REF!-#REF!</f>
        <v>#REF!</v>
      </c>
      <c r="S243" s="136" t="e">
        <f>#REF!-#REF!</f>
        <v>#REF!</v>
      </c>
      <c r="T243" s="136" t="e">
        <f>#REF!-#REF!</f>
        <v>#REF!</v>
      </c>
      <c r="U243" s="136" t="e">
        <f>#REF!-#REF!</f>
        <v>#REF!</v>
      </c>
      <c r="V243" s="136" t="e">
        <f>#REF!-#REF!</f>
        <v>#REF!</v>
      </c>
      <c r="W243" s="136" t="e">
        <f>#REF!-#REF!</f>
        <v>#REF!</v>
      </c>
      <c r="X243" s="136" t="e">
        <f>#REF!-#REF!</f>
        <v>#REF!</v>
      </c>
      <c r="Y243" s="136" t="e">
        <f>#REF!-#REF!</f>
        <v>#REF!</v>
      </c>
      <c r="Z243" s="136" t="e">
        <f>#REF!-#REF!</f>
        <v>#REF!</v>
      </c>
      <c r="AA243" s="136" t="e">
        <f>#REF!-#REF!</f>
        <v>#REF!</v>
      </c>
      <c r="AB243" s="136" t="e">
        <f>#REF!-#REF!</f>
        <v>#REF!</v>
      </c>
      <c r="AC243" s="136" t="e">
        <f>#REF!-#REF!</f>
        <v>#REF!</v>
      </c>
      <c r="AD243" s="136" t="e">
        <f>#REF!-#REF!</f>
        <v>#REF!</v>
      </c>
      <c r="AE243" s="136" t="e">
        <f>#REF!-#REF!</f>
        <v>#REF!</v>
      </c>
      <c r="AF243" s="136" t="e">
        <f>#REF!-#REF!</f>
        <v>#REF!</v>
      </c>
      <c r="AG243" s="136" t="e">
        <f>#REF!-#REF!</f>
        <v>#REF!</v>
      </c>
      <c r="AH243" s="136" t="e">
        <f>#REF!-#REF!</f>
        <v>#REF!</v>
      </c>
      <c r="AI243" s="136" t="e">
        <f>#REF!-#REF!</f>
        <v>#REF!</v>
      </c>
      <c r="AJ243" s="136" t="e">
        <f>#REF!-#REF!</f>
        <v>#REF!</v>
      </c>
      <c r="AK243" s="136" t="e">
        <f>#REF!-#REF!</f>
        <v>#REF!</v>
      </c>
      <c r="AL243" s="136" t="e">
        <f>#REF!-#REF!</f>
        <v>#REF!</v>
      </c>
      <c r="AM243" s="136" t="e">
        <f>#REF!-#REF!</f>
        <v>#REF!</v>
      </c>
      <c r="AN243" s="136" t="e">
        <f>#REF!-#REF!</f>
        <v>#REF!</v>
      </c>
      <c r="AO243" s="136" t="e">
        <f>#REF!-#REF!</f>
        <v>#REF!</v>
      </c>
      <c r="AP243" s="136" t="e">
        <f>#REF!-#REF!</f>
        <v>#REF!</v>
      </c>
      <c r="AQ243" s="136" t="e">
        <f>#REF!-#REF!</f>
        <v>#REF!</v>
      </c>
      <c r="AR243" s="136" t="e">
        <f>#REF!-#REF!</f>
        <v>#REF!</v>
      </c>
      <c r="AS243" s="136" t="e">
        <f>#REF!-#REF!</f>
        <v>#REF!</v>
      </c>
      <c r="AT243" s="136" t="e">
        <f>#REF!-#REF!</f>
        <v>#REF!</v>
      </c>
      <c r="AU243" s="136" t="e">
        <f>#REF!-#REF!</f>
        <v>#REF!</v>
      </c>
      <c r="AV243" s="136" t="e">
        <f>#REF!-#REF!</f>
        <v>#REF!</v>
      </c>
      <c r="AW243" s="136" t="e">
        <f>#REF!-#REF!</f>
        <v>#REF!</v>
      </c>
      <c r="AX243" s="136" t="e">
        <f>#REF!-#REF!</f>
        <v>#REF!</v>
      </c>
      <c r="AY243" s="136" t="e">
        <f>#REF!-#REF!</f>
        <v>#REF!</v>
      </c>
      <c r="AZ243" s="136" t="e">
        <f>#REF!-#REF!</f>
        <v>#REF!</v>
      </c>
      <c r="BA243" s="136" t="e">
        <f>#REF!-#REF!</f>
        <v>#REF!</v>
      </c>
      <c r="BB243" s="136" t="e">
        <f>#REF!-#REF!</f>
        <v>#REF!</v>
      </c>
      <c r="BC243" s="136" t="e">
        <f>#REF!-#REF!</f>
        <v>#REF!</v>
      </c>
      <c r="BD243" s="136" t="e">
        <f>#REF!-#REF!</f>
        <v>#REF!</v>
      </c>
      <c r="BE243" s="136" t="e">
        <f>#REF!-#REF!</f>
        <v>#REF!</v>
      </c>
      <c r="BF243" s="136" t="e">
        <f>#REF!-#REF!</f>
        <v>#REF!</v>
      </c>
      <c r="BG243" s="136" t="e">
        <f>#REF!-#REF!</f>
        <v>#REF!</v>
      </c>
      <c r="BH243" s="136" t="e">
        <f>#REF!-#REF!</f>
        <v>#REF!</v>
      </c>
      <c r="BI243" s="136" t="e">
        <f>#REF!-#REF!</f>
        <v>#REF!</v>
      </c>
      <c r="BJ243" s="136" t="e">
        <f>#REF!-#REF!</f>
        <v>#REF!</v>
      </c>
      <c r="BK243" s="136" t="e">
        <f>#REF!-#REF!</f>
        <v>#REF!</v>
      </c>
      <c r="BL243" s="136" t="e">
        <f>#REF!-#REF!</f>
        <v>#REF!</v>
      </c>
      <c r="BM243" s="136" t="e">
        <f>#REF!-#REF!</f>
        <v>#REF!</v>
      </c>
      <c r="BN243" s="136" t="e">
        <f>#REF!-#REF!</f>
        <v>#REF!</v>
      </c>
      <c r="BO243" s="136" t="e">
        <f>#REF!-#REF!</f>
        <v>#REF!</v>
      </c>
      <c r="BU243" s="136">
        <f t="shared" si="33"/>
        <v>0</v>
      </c>
      <c r="BV243" s="136">
        <f t="shared" si="33"/>
        <v>0</v>
      </c>
      <c r="BW243" s="136">
        <f t="shared" si="33"/>
        <v>0</v>
      </c>
      <c r="BX243" s="136">
        <f t="shared" si="33"/>
        <v>0</v>
      </c>
      <c r="BZ243" s="136">
        <f t="shared" si="34"/>
        <v>0</v>
      </c>
      <c r="CA243" s="136">
        <f t="shared" si="34"/>
        <v>0</v>
      </c>
    </row>
    <row r="244" spans="12:79" hidden="1" x14ac:dyDescent="0.3">
      <c r="L244" s="136" t="e">
        <f>#REF!-#REF!</f>
        <v>#REF!</v>
      </c>
      <c r="M244" s="136" t="e">
        <f>#REF!-#REF!</f>
        <v>#REF!</v>
      </c>
      <c r="N244" s="136" t="e">
        <f>#REF!-#REF!</f>
        <v>#REF!</v>
      </c>
      <c r="O244" s="136" t="e">
        <f>#REF!-#REF!</f>
        <v>#REF!</v>
      </c>
      <c r="P244" s="136" t="e">
        <f>#REF!-#REF!</f>
        <v>#REF!</v>
      </c>
      <c r="Q244" s="136" t="e">
        <f>#REF!-#REF!</f>
        <v>#REF!</v>
      </c>
      <c r="R244" s="136" t="e">
        <f>#REF!-#REF!</f>
        <v>#REF!</v>
      </c>
      <c r="S244" s="136" t="e">
        <f>#REF!-#REF!</f>
        <v>#REF!</v>
      </c>
      <c r="T244" s="136" t="e">
        <f>#REF!-#REF!</f>
        <v>#REF!</v>
      </c>
      <c r="U244" s="136" t="e">
        <f>#REF!-#REF!</f>
        <v>#REF!</v>
      </c>
      <c r="V244" s="136" t="e">
        <f>#REF!-#REF!</f>
        <v>#REF!</v>
      </c>
      <c r="W244" s="136" t="e">
        <f>#REF!-#REF!</f>
        <v>#REF!</v>
      </c>
      <c r="X244" s="136" t="e">
        <f>#REF!-#REF!</f>
        <v>#REF!</v>
      </c>
      <c r="Y244" s="136" t="e">
        <f>#REF!-#REF!</f>
        <v>#REF!</v>
      </c>
      <c r="Z244" s="136" t="e">
        <f>#REF!-#REF!</f>
        <v>#REF!</v>
      </c>
      <c r="AA244" s="136" t="e">
        <f>#REF!-#REF!</f>
        <v>#REF!</v>
      </c>
      <c r="AB244" s="136" t="e">
        <f>#REF!-#REF!</f>
        <v>#REF!</v>
      </c>
      <c r="AC244" s="136" t="e">
        <f>#REF!-#REF!</f>
        <v>#REF!</v>
      </c>
      <c r="AD244" s="136" t="e">
        <f>#REF!-#REF!</f>
        <v>#REF!</v>
      </c>
      <c r="AE244" s="136" t="e">
        <f>#REF!-#REF!</f>
        <v>#REF!</v>
      </c>
      <c r="AF244" s="136" t="e">
        <f>#REF!-#REF!</f>
        <v>#REF!</v>
      </c>
      <c r="AG244" s="136" t="e">
        <f>#REF!-#REF!</f>
        <v>#REF!</v>
      </c>
      <c r="AH244" s="136" t="e">
        <f>#REF!-#REF!</f>
        <v>#REF!</v>
      </c>
      <c r="AI244" s="136" t="e">
        <f>#REF!-#REF!</f>
        <v>#REF!</v>
      </c>
      <c r="AJ244" s="136" t="e">
        <f>#REF!-#REF!</f>
        <v>#REF!</v>
      </c>
      <c r="AK244" s="136" t="e">
        <f>#REF!-#REF!</f>
        <v>#REF!</v>
      </c>
      <c r="AL244" s="136" t="e">
        <f>#REF!-#REF!</f>
        <v>#REF!</v>
      </c>
      <c r="AM244" s="136" t="e">
        <f>#REF!-#REF!</f>
        <v>#REF!</v>
      </c>
      <c r="AN244" s="136" t="e">
        <f>#REF!-#REF!</f>
        <v>#REF!</v>
      </c>
      <c r="AO244" s="136" t="e">
        <f>#REF!-#REF!</f>
        <v>#REF!</v>
      </c>
      <c r="AP244" s="136" t="e">
        <f>#REF!-#REF!</f>
        <v>#REF!</v>
      </c>
      <c r="AQ244" s="136" t="e">
        <f>#REF!-#REF!</f>
        <v>#REF!</v>
      </c>
      <c r="AR244" s="136" t="e">
        <f>#REF!-#REF!</f>
        <v>#REF!</v>
      </c>
      <c r="AS244" s="136" t="e">
        <f>#REF!-#REF!</f>
        <v>#REF!</v>
      </c>
      <c r="AT244" s="136" t="e">
        <f>#REF!-#REF!</f>
        <v>#REF!</v>
      </c>
      <c r="AU244" s="136" t="e">
        <f>#REF!-#REF!</f>
        <v>#REF!</v>
      </c>
      <c r="AV244" s="136" t="e">
        <f>#REF!-#REF!</f>
        <v>#REF!</v>
      </c>
      <c r="AW244" s="136" t="e">
        <f>#REF!-#REF!</f>
        <v>#REF!</v>
      </c>
      <c r="AX244" s="136" t="e">
        <f>#REF!-#REF!</f>
        <v>#REF!</v>
      </c>
      <c r="AY244" s="136" t="e">
        <f>#REF!-#REF!</f>
        <v>#REF!</v>
      </c>
      <c r="AZ244" s="136" t="e">
        <f>#REF!-#REF!</f>
        <v>#REF!</v>
      </c>
      <c r="BA244" s="136" t="e">
        <f>#REF!-#REF!</f>
        <v>#REF!</v>
      </c>
      <c r="BB244" s="136" t="e">
        <f>#REF!-#REF!</f>
        <v>#REF!</v>
      </c>
      <c r="BC244" s="136" t="e">
        <f>#REF!-#REF!</f>
        <v>#REF!</v>
      </c>
      <c r="BD244" s="136" t="e">
        <f>#REF!-#REF!</f>
        <v>#REF!</v>
      </c>
      <c r="BE244" s="136" t="e">
        <f>#REF!-#REF!</f>
        <v>#REF!</v>
      </c>
      <c r="BF244" s="136" t="e">
        <f>#REF!-#REF!</f>
        <v>#REF!</v>
      </c>
      <c r="BG244" s="136" t="e">
        <f>#REF!-#REF!</f>
        <v>#REF!</v>
      </c>
      <c r="BH244" s="136" t="e">
        <f>#REF!-#REF!</f>
        <v>#REF!</v>
      </c>
      <c r="BI244" s="136" t="e">
        <f>#REF!-#REF!</f>
        <v>#REF!</v>
      </c>
      <c r="BJ244" s="136" t="e">
        <f>#REF!-#REF!</f>
        <v>#REF!</v>
      </c>
      <c r="BK244" s="136" t="e">
        <f>#REF!-#REF!</f>
        <v>#REF!</v>
      </c>
      <c r="BL244" s="136" t="e">
        <f>#REF!-#REF!</f>
        <v>#REF!</v>
      </c>
      <c r="BM244" s="136" t="e">
        <f>#REF!-#REF!</f>
        <v>#REF!</v>
      </c>
      <c r="BN244" s="136" t="e">
        <f>#REF!-#REF!</f>
        <v>#REF!</v>
      </c>
      <c r="BO244" s="136" t="e">
        <f>#REF!-#REF!</f>
        <v>#REF!</v>
      </c>
      <c r="BU244" s="136">
        <f t="shared" si="33"/>
        <v>0</v>
      </c>
      <c r="BV244" s="136">
        <f t="shared" si="33"/>
        <v>0</v>
      </c>
      <c r="BW244" s="136">
        <f t="shared" si="33"/>
        <v>0</v>
      </c>
      <c r="BX244" s="136">
        <f t="shared" si="33"/>
        <v>0</v>
      </c>
      <c r="BZ244" s="136">
        <f t="shared" si="34"/>
        <v>0</v>
      </c>
      <c r="CA244" s="136">
        <f t="shared" si="34"/>
        <v>0</v>
      </c>
    </row>
    <row r="245" spans="12:79" hidden="1" x14ac:dyDescent="0.3">
      <c r="L245" s="136">
        <f t="shared" ref="L245:BO249" si="35">L72-CD72</f>
        <v>0</v>
      </c>
      <c r="M245" s="136">
        <f t="shared" si="35"/>
        <v>0</v>
      </c>
      <c r="N245" s="136">
        <f t="shared" si="35"/>
        <v>0</v>
      </c>
      <c r="O245" s="136">
        <f t="shared" si="35"/>
        <v>0</v>
      </c>
      <c r="P245" s="136">
        <f t="shared" si="35"/>
        <v>0</v>
      </c>
      <c r="Q245" s="136">
        <f t="shared" si="35"/>
        <v>0</v>
      </c>
      <c r="R245" s="136">
        <f t="shared" si="35"/>
        <v>0</v>
      </c>
      <c r="S245" s="136">
        <f t="shared" si="35"/>
        <v>0</v>
      </c>
      <c r="T245" s="136">
        <f t="shared" si="35"/>
        <v>0</v>
      </c>
      <c r="U245" s="136">
        <f t="shared" si="35"/>
        <v>0</v>
      </c>
      <c r="V245" s="136">
        <f t="shared" si="35"/>
        <v>0</v>
      </c>
      <c r="W245" s="136">
        <f t="shared" si="35"/>
        <v>0</v>
      </c>
      <c r="X245" s="136">
        <f t="shared" si="35"/>
        <v>0</v>
      </c>
      <c r="Y245" s="136">
        <f t="shared" si="35"/>
        <v>0</v>
      </c>
      <c r="Z245" s="136">
        <f t="shared" si="35"/>
        <v>0</v>
      </c>
      <c r="AA245" s="136">
        <f t="shared" si="35"/>
        <v>0</v>
      </c>
      <c r="AB245" s="136">
        <f t="shared" si="35"/>
        <v>0</v>
      </c>
      <c r="AC245" s="136">
        <f t="shared" si="35"/>
        <v>0</v>
      </c>
      <c r="AD245" s="136">
        <f t="shared" si="35"/>
        <v>0</v>
      </c>
      <c r="AE245" s="136">
        <f t="shared" si="35"/>
        <v>0</v>
      </c>
      <c r="AF245" s="136">
        <f t="shared" si="35"/>
        <v>0</v>
      </c>
      <c r="AG245" s="136">
        <f t="shared" si="35"/>
        <v>0</v>
      </c>
      <c r="AH245" s="136">
        <f t="shared" si="35"/>
        <v>0</v>
      </c>
      <c r="AI245" s="136">
        <f t="shared" si="35"/>
        <v>0</v>
      </c>
      <c r="AJ245" s="136">
        <f t="shared" si="35"/>
        <v>0</v>
      </c>
      <c r="AK245" s="136">
        <f t="shared" si="35"/>
        <v>0</v>
      </c>
      <c r="AL245" s="136">
        <f t="shared" si="35"/>
        <v>0</v>
      </c>
      <c r="AM245" s="136">
        <f t="shared" si="35"/>
        <v>0</v>
      </c>
      <c r="AN245" s="136">
        <f t="shared" si="35"/>
        <v>0</v>
      </c>
      <c r="AO245" s="136">
        <f t="shared" si="35"/>
        <v>0</v>
      </c>
      <c r="AP245" s="136">
        <f t="shared" si="35"/>
        <v>0</v>
      </c>
      <c r="AQ245" s="136">
        <f t="shared" si="35"/>
        <v>0</v>
      </c>
      <c r="AR245" s="136">
        <f t="shared" si="35"/>
        <v>0</v>
      </c>
      <c r="AS245" s="136">
        <f t="shared" si="35"/>
        <v>0</v>
      </c>
      <c r="AT245" s="136">
        <f t="shared" si="35"/>
        <v>0</v>
      </c>
      <c r="AU245" s="136">
        <f t="shared" si="35"/>
        <v>0</v>
      </c>
      <c r="AV245" s="136">
        <f t="shared" si="35"/>
        <v>0</v>
      </c>
      <c r="AW245" s="136">
        <f t="shared" si="35"/>
        <v>0</v>
      </c>
      <c r="AX245" s="136">
        <f t="shared" si="35"/>
        <v>0</v>
      </c>
      <c r="AY245" s="136">
        <f t="shared" si="35"/>
        <v>0</v>
      </c>
      <c r="AZ245" s="136">
        <f t="shared" si="35"/>
        <v>0</v>
      </c>
      <c r="BA245" s="136">
        <f t="shared" si="35"/>
        <v>0</v>
      </c>
      <c r="BB245" s="136">
        <f t="shared" si="35"/>
        <v>0</v>
      </c>
      <c r="BC245" s="136">
        <f t="shared" si="35"/>
        <v>0</v>
      </c>
      <c r="BD245" s="136">
        <f t="shared" si="35"/>
        <v>0</v>
      </c>
      <c r="BE245" s="136">
        <f t="shared" si="35"/>
        <v>0</v>
      </c>
      <c r="BF245" s="136">
        <f t="shared" si="35"/>
        <v>0</v>
      </c>
      <c r="BG245" s="136">
        <f t="shared" si="35"/>
        <v>0</v>
      </c>
      <c r="BH245" s="136">
        <f t="shared" si="35"/>
        <v>0</v>
      </c>
      <c r="BI245" s="136">
        <f t="shared" si="35"/>
        <v>0</v>
      </c>
      <c r="BJ245" s="136">
        <f t="shared" si="35"/>
        <v>0</v>
      </c>
      <c r="BK245" s="136">
        <f t="shared" si="35"/>
        <v>0</v>
      </c>
      <c r="BL245" s="136">
        <f t="shared" si="35"/>
        <v>0</v>
      </c>
      <c r="BM245" s="136">
        <f t="shared" si="35"/>
        <v>0</v>
      </c>
      <c r="BN245" s="136">
        <f t="shared" si="35"/>
        <v>0</v>
      </c>
      <c r="BO245" s="136">
        <f t="shared" si="35"/>
        <v>0</v>
      </c>
      <c r="BU245" s="136">
        <f t="shared" si="33"/>
        <v>0</v>
      </c>
      <c r="BV245" s="136">
        <f t="shared" si="33"/>
        <v>0</v>
      </c>
      <c r="BW245" s="136">
        <f t="shared" si="33"/>
        <v>0</v>
      </c>
      <c r="BX245" s="136">
        <f t="shared" si="33"/>
        <v>0</v>
      </c>
      <c r="BZ245" s="136">
        <f t="shared" si="34"/>
        <v>0</v>
      </c>
      <c r="CA245" s="136">
        <f t="shared" si="34"/>
        <v>0</v>
      </c>
    </row>
    <row r="246" spans="12:79" hidden="1" x14ac:dyDescent="0.3">
      <c r="L246" s="136">
        <f t="shared" si="35"/>
        <v>0</v>
      </c>
      <c r="M246" s="136">
        <f t="shared" si="35"/>
        <v>0</v>
      </c>
      <c r="N246" s="136">
        <f t="shared" si="35"/>
        <v>0</v>
      </c>
      <c r="O246" s="136">
        <f t="shared" si="35"/>
        <v>0</v>
      </c>
      <c r="P246" s="136">
        <f t="shared" si="35"/>
        <v>0</v>
      </c>
      <c r="Q246" s="136">
        <f t="shared" si="35"/>
        <v>0</v>
      </c>
      <c r="R246" s="136">
        <f t="shared" si="35"/>
        <v>0</v>
      </c>
      <c r="S246" s="136">
        <f t="shared" si="35"/>
        <v>0</v>
      </c>
      <c r="T246" s="136">
        <f t="shared" si="35"/>
        <v>0</v>
      </c>
      <c r="U246" s="136">
        <f t="shared" si="35"/>
        <v>0</v>
      </c>
      <c r="V246" s="136">
        <f t="shared" si="35"/>
        <v>0</v>
      </c>
      <c r="W246" s="136">
        <f t="shared" si="35"/>
        <v>0</v>
      </c>
      <c r="X246" s="136">
        <f t="shared" si="35"/>
        <v>0</v>
      </c>
      <c r="Y246" s="136">
        <f t="shared" si="35"/>
        <v>0</v>
      </c>
      <c r="Z246" s="136">
        <f t="shared" si="35"/>
        <v>0</v>
      </c>
      <c r="AA246" s="136">
        <f t="shared" si="35"/>
        <v>0</v>
      </c>
      <c r="AB246" s="136">
        <f t="shared" si="35"/>
        <v>0</v>
      </c>
      <c r="AC246" s="136">
        <f t="shared" si="35"/>
        <v>0</v>
      </c>
      <c r="AD246" s="136">
        <f t="shared" si="35"/>
        <v>0</v>
      </c>
      <c r="AE246" s="136">
        <f t="shared" si="35"/>
        <v>0</v>
      </c>
      <c r="AF246" s="136">
        <f t="shared" si="35"/>
        <v>0</v>
      </c>
      <c r="AG246" s="136">
        <f t="shared" si="35"/>
        <v>0</v>
      </c>
      <c r="AH246" s="136">
        <f t="shared" si="35"/>
        <v>0</v>
      </c>
      <c r="AI246" s="136">
        <f t="shared" si="35"/>
        <v>0</v>
      </c>
      <c r="AJ246" s="136">
        <f t="shared" si="35"/>
        <v>0</v>
      </c>
      <c r="AK246" s="136">
        <f t="shared" si="35"/>
        <v>0</v>
      </c>
      <c r="AL246" s="136">
        <f t="shared" si="35"/>
        <v>0</v>
      </c>
      <c r="AM246" s="136">
        <f t="shared" si="35"/>
        <v>0</v>
      </c>
      <c r="AN246" s="136">
        <f t="shared" si="35"/>
        <v>0</v>
      </c>
      <c r="AO246" s="136">
        <f t="shared" si="35"/>
        <v>0</v>
      </c>
      <c r="AP246" s="136">
        <f t="shared" si="35"/>
        <v>0</v>
      </c>
      <c r="AQ246" s="136">
        <f t="shared" si="35"/>
        <v>0</v>
      </c>
      <c r="AR246" s="136">
        <f t="shared" si="35"/>
        <v>0</v>
      </c>
      <c r="AS246" s="136">
        <f t="shared" si="35"/>
        <v>0</v>
      </c>
      <c r="AT246" s="136">
        <f t="shared" si="35"/>
        <v>0</v>
      </c>
      <c r="AU246" s="136">
        <f t="shared" si="35"/>
        <v>0</v>
      </c>
      <c r="AV246" s="136">
        <f t="shared" si="35"/>
        <v>0</v>
      </c>
      <c r="AW246" s="136">
        <f t="shared" si="35"/>
        <v>0</v>
      </c>
      <c r="AX246" s="136">
        <f t="shared" si="35"/>
        <v>0</v>
      </c>
      <c r="AY246" s="136">
        <f t="shared" si="35"/>
        <v>0</v>
      </c>
      <c r="AZ246" s="136">
        <f t="shared" si="35"/>
        <v>0</v>
      </c>
      <c r="BA246" s="136">
        <f t="shared" si="35"/>
        <v>0</v>
      </c>
      <c r="BB246" s="136">
        <f t="shared" si="35"/>
        <v>0</v>
      </c>
      <c r="BC246" s="136">
        <f t="shared" si="35"/>
        <v>0</v>
      </c>
      <c r="BD246" s="136">
        <f t="shared" si="35"/>
        <v>0</v>
      </c>
      <c r="BE246" s="136">
        <f t="shared" si="35"/>
        <v>0</v>
      </c>
      <c r="BF246" s="136">
        <f t="shared" si="35"/>
        <v>0</v>
      </c>
      <c r="BG246" s="136">
        <f t="shared" si="35"/>
        <v>0</v>
      </c>
      <c r="BH246" s="136">
        <f t="shared" si="35"/>
        <v>0</v>
      </c>
      <c r="BI246" s="136">
        <f t="shared" si="35"/>
        <v>0</v>
      </c>
      <c r="BJ246" s="136">
        <f t="shared" si="35"/>
        <v>0</v>
      </c>
      <c r="BK246" s="136">
        <f t="shared" si="35"/>
        <v>0</v>
      </c>
      <c r="BL246" s="136">
        <f t="shared" si="35"/>
        <v>0</v>
      </c>
      <c r="BM246" s="136">
        <f t="shared" si="35"/>
        <v>0</v>
      </c>
      <c r="BN246" s="136">
        <f t="shared" si="35"/>
        <v>0</v>
      </c>
      <c r="BO246" s="136">
        <f t="shared" si="35"/>
        <v>0</v>
      </c>
      <c r="BU246" s="136">
        <f t="shared" si="33"/>
        <v>0</v>
      </c>
      <c r="BV246" s="136">
        <f t="shared" si="33"/>
        <v>0</v>
      </c>
      <c r="BW246" s="136">
        <f t="shared" si="33"/>
        <v>0</v>
      </c>
      <c r="BX246" s="136">
        <f t="shared" si="33"/>
        <v>0</v>
      </c>
      <c r="BZ246" s="136">
        <f t="shared" si="34"/>
        <v>0</v>
      </c>
      <c r="CA246" s="136">
        <f t="shared" si="34"/>
        <v>0</v>
      </c>
    </row>
    <row r="247" spans="12:79" hidden="1" x14ac:dyDescent="0.3">
      <c r="L247" s="136">
        <f t="shared" si="35"/>
        <v>0</v>
      </c>
      <c r="M247" s="136">
        <f t="shared" si="35"/>
        <v>0</v>
      </c>
      <c r="N247" s="136">
        <f t="shared" si="35"/>
        <v>0</v>
      </c>
      <c r="O247" s="136">
        <f t="shared" si="35"/>
        <v>0</v>
      </c>
      <c r="P247" s="136">
        <f t="shared" si="35"/>
        <v>0</v>
      </c>
      <c r="Q247" s="136">
        <f t="shared" si="35"/>
        <v>0</v>
      </c>
      <c r="R247" s="136">
        <f t="shared" si="35"/>
        <v>0</v>
      </c>
      <c r="S247" s="136">
        <f t="shared" si="35"/>
        <v>0</v>
      </c>
      <c r="T247" s="136">
        <f t="shared" si="35"/>
        <v>0</v>
      </c>
      <c r="U247" s="136">
        <f t="shared" si="35"/>
        <v>0</v>
      </c>
      <c r="V247" s="136">
        <f t="shared" si="35"/>
        <v>0</v>
      </c>
      <c r="W247" s="136">
        <f t="shared" si="35"/>
        <v>0</v>
      </c>
      <c r="X247" s="136">
        <f t="shared" si="35"/>
        <v>0</v>
      </c>
      <c r="Y247" s="136">
        <f t="shared" si="35"/>
        <v>0</v>
      </c>
      <c r="Z247" s="136">
        <f t="shared" si="35"/>
        <v>0</v>
      </c>
      <c r="AA247" s="136">
        <f t="shared" si="35"/>
        <v>0</v>
      </c>
      <c r="AB247" s="136">
        <f t="shared" si="35"/>
        <v>0</v>
      </c>
      <c r="AC247" s="136">
        <f t="shared" si="35"/>
        <v>0</v>
      </c>
      <c r="AD247" s="136">
        <f t="shared" si="35"/>
        <v>0</v>
      </c>
      <c r="AE247" s="136">
        <f t="shared" si="35"/>
        <v>0</v>
      </c>
      <c r="AF247" s="136">
        <f t="shared" si="35"/>
        <v>0</v>
      </c>
      <c r="AG247" s="136">
        <f t="shared" si="35"/>
        <v>0</v>
      </c>
      <c r="AH247" s="136">
        <f t="shared" si="35"/>
        <v>0</v>
      </c>
      <c r="AI247" s="136">
        <f t="shared" si="35"/>
        <v>0</v>
      </c>
      <c r="AJ247" s="136">
        <f t="shared" si="35"/>
        <v>0</v>
      </c>
      <c r="AK247" s="136">
        <f t="shared" si="35"/>
        <v>0</v>
      </c>
      <c r="AL247" s="136">
        <f t="shared" si="35"/>
        <v>0</v>
      </c>
      <c r="AM247" s="136">
        <f t="shared" si="35"/>
        <v>0</v>
      </c>
      <c r="AN247" s="136">
        <f t="shared" si="35"/>
        <v>0</v>
      </c>
      <c r="AO247" s="136">
        <f t="shared" si="35"/>
        <v>0</v>
      </c>
      <c r="AP247" s="136">
        <f t="shared" si="35"/>
        <v>0</v>
      </c>
      <c r="AQ247" s="136">
        <f t="shared" si="35"/>
        <v>0</v>
      </c>
      <c r="AR247" s="136">
        <f t="shared" si="35"/>
        <v>0</v>
      </c>
      <c r="AS247" s="136">
        <f t="shared" si="35"/>
        <v>0</v>
      </c>
      <c r="AT247" s="136">
        <f t="shared" si="35"/>
        <v>0</v>
      </c>
      <c r="AU247" s="136">
        <f t="shared" si="35"/>
        <v>0</v>
      </c>
      <c r="AV247" s="136">
        <f t="shared" si="35"/>
        <v>0</v>
      </c>
      <c r="AW247" s="136">
        <f t="shared" si="35"/>
        <v>0</v>
      </c>
      <c r="AX247" s="136">
        <f t="shared" si="35"/>
        <v>0</v>
      </c>
      <c r="AY247" s="136">
        <f t="shared" si="35"/>
        <v>0</v>
      </c>
      <c r="AZ247" s="136">
        <f t="shared" si="35"/>
        <v>0</v>
      </c>
      <c r="BA247" s="136">
        <f t="shared" si="35"/>
        <v>0</v>
      </c>
      <c r="BB247" s="136">
        <f t="shared" si="35"/>
        <v>0</v>
      </c>
      <c r="BC247" s="136">
        <f t="shared" si="35"/>
        <v>0</v>
      </c>
      <c r="BD247" s="136">
        <f t="shared" si="35"/>
        <v>0</v>
      </c>
      <c r="BE247" s="136">
        <f t="shared" si="35"/>
        <v>0</v>
      </c>
      <c r="BF247" s="136">
        <f t="shared" si="35"/>
        <v>0</v>
      </c>
      <c r="BG247" s="136">
        <f t="shared" si="35"/>
        <v>0</v>
      </c>
      <c r="BH247" s="136">
        <f t="shared" si="35"/>
        <v>0</v>
      </c>
      <c r="BI247" s="136">
        <f t="shared" si="35"/>
        <v>0</v>
      </c>
      <c r="BJ247" s="136">
        <f t="shared" si="35"/>
        <v>0</v>
      </c>
      <c r="BK247" s="136">
        <f t="shared" si="35"/>
        <v>0</v>
      </c>
      <c r="BL247" s="136">
        <f t="shared" si="35"/>
        <v>0</v>
      </c>
      <c r="BM247" s="136">
        <f t="shared" si="35"/>
        <v>0</v>
      </c>
      <c r="BN247" s="136">
        <f t="shared" si="35"/>
        <v>0</v>
      </c>
      <c r="BO247" s="136">
        <f t="shared" si="35"/>
        <v>0</v>
      </c>
      <c r="BU247" s="136">
        <f t="shared" si="33"/>
        <v>0</v>
      </c>
      <c r="BV247" s="136">
        <f t="shared" si="33"/>
        <v>0</v>
      </c>
      <c r="BW247" s="136">
        <f t="shared" si="33"/>
        <v>0</v>
      </c>
      <c r="BX247" s="136">
        <f t="shared" si="33"/>
        <v>0</v>
      </c>
      <c r="BZ247" s="136">
        <f t="shared" si="34"/>
        <v>0</v>
      </c>
      <c r="CA247" s="136">
        <f t="shared" si="34"/>
        <v>0</v>
      </c>
    </row>
    <row r="248" spans="12:79" hidden="1" x14ac:dyDescent="0.3">
      <c r="L248" s="136">
        <f t="shared" si="35"/>
        <v>0</v>
      </c>
      <c r="M248" s="136">
        <f t="shared" si="35"/>
        <v>0</v>
      </c>
      <c r="N248" s="136">
        <f t="shared" si="35"/>
        <v>0</v>
      </c>
      <c r="O248" s="136">
        <f t="shared" si="35"/>
        <v>0</v>
      </c>
      <c r="P248" s="136">
        <f t="shared" si="35"/>
        <v>0</v>
      </c>
      <c r="Q248" s="136">
        <f t="shared" si="35"/>
        <v>0</v>
      </c>
      <c r="R248" s="136">
        <f t="shared" si="35"/>
        <v>0</v>
      </c>
      <c r="S248" s="136">
        <f t="shared" si="35"/>
        <v>0</v>
      </c>
      <c r="T248" s="136">
        <f t="shared" si="35"/>
        <v>0</v>
      </c>
      <c r="U248" s="136">
        <f t="shared" si="35"/>
        <v>0</v>
      </c>
      <c r="V248" s="136">
        <f t="shared" si="35"/>
        <v>0</v>
      </c>
      <c r="W248" s="136">
        <f t="shared" si="35"/>
        <v>0</v>
      </c>
      <c r="X248" s="136">
        <f t="shared" si="35"/>
        <v>0</v>
      </c>
      <c r="Y248" s="136">
        <f t="shared" si="35"/>
        <v>0</v>
      </c>
      <c r="Z248" s="136">
        <f t="shared" si="35"/>
        <v>0</v>
      </c>
      <c r="AA248" s="136">
        <f t="shared" si="35"/>
        <v>0</v>
      </c>
      <c r="AB248" s="136">
        <f t="shared" si="35"/>
        <v>0</v>
      </c>
      <c r="AC248" s="136">
        <f t="shared" si="35"/>
        <v>0</v>
      </c>
      <c r="AD248" s="136">
        <f t="shared" si="35"/>
        <v>0</v>
      </c>
      <c r="AE248" s="136">
        <f t="shared" si="35"/>
        <v>0</v>
      </c>
      <c r="AF248" s="136">
        <f t="shared" si="35"/>
        <v>0</v>
      </c>
      <c r="AG248" s="136">
        <f t="shared" si="35"/>
        <v>0</v>
      </c>
      <c r="AH248" s="136">
        <f t="shared" si="35"/>
        <v>0</v>
      </c>
      <c r="AI248" s="136">
        <f t="shared" si="35"/>
        <v>0</v>
      </c>
      <c r="AJ248" s="136">
        <f t="shared" si="35"/>
        <v>0</v>
      </c>
      <c r="AK248" s="136">
        <f t="shared" si="35"/>
        <v>0</v>
      </c>
      <c r="AL248" s="136">
        <f t="shared" si="35"/>
        <v>0</v>
      </c>
      <c r="AM248" s="136">
        <f t="shared" si="35"/>
        <v>0</v>
      </c>
      <c r="AN248" s="136">
        <f t="shared" si="35"/>
        <v>0</v>
      </c>
      <c r="AO248" s="136">
        <f t="shared" si="35"/>
        <v>0</v>
      </c>
      <c r="AP248" s="136">
        <f t="shared" si="35"/>
        <v>0</v>
      </c>
      <c r="AQ248" s="136">
        <f t="shared" si="35"/>
        <v>0</v>
      </c>
      <c r="AR248" s="136">
        <f t="shared" si="35"/>
        <v>0</v>
      </c>
      <c r="AS248" s="136">
        <f t="shared" si="35"/>
        <v>0</v>
      </c>
      <c r="AT248" s="136">
        <f t="shared" si="35"/>
        <v>0</v>
      </c>
      <c r="AU248" s="136">
        <f t="shared" si="35"/>
        <v>0</v>
      </c>
      <c r="AV248" s="136">
        <f t="shared" si="35"/>
        <v>0</v>
      </c>
      <c r="AW248" s="136">
        <f t="shared" si="35"/>
        <v>0</v>
      </c>
      <c r="AX248" s="136">
        <f t="shared" si="35"/>
        <v>0</v>
      </c>
      <c r="AY248" s="136">
        <f t="shared" si="35"/>
        <v>0</v>
      </c>
      <c r="AZ248" s="136">
        <f t="shared" si="35"/>
        <v>0</v>
      </c>
      <c r="BA248" s="136">
        <f t="shared" si="35"/>
        <v>0</v>
      </c>
      <c r="BB248" s="136">
        <f t="shared" si="35"/>
        <v>0</v>
      </c>
      <c r="BC248" s="136">
        <f t="shared" si="35"/>
        <v>0</v>
      </c>
      <c r="BD248" s="136">
        <f t="shared" si="35"/>
        <v>0</v>
      </c>
      <c r="BE248" s="136">
        <f t="shared" si="35"/>
        <v>0</v>
      </c>
      <c r="BF248" s="136">
        <f t="shared" si="35"/>
        <v>0</v>
      </c>
      <c r="BG248" s="136">
        <f t="shared" si="35"/>
        <v>0</v>
      </c>
      <c r="BH248" s="136">
        <f t="shared" si="35"/>
        <v>0</v>
      </c>
      <c r="BI248" s="136">
        <f t="shared" si="35"/>
        <v>0</v>
      </c>
      <c r="BJ248" s="136">
        <f t="shared" si="35"/>
        <v>0</v>
      </c>
      <c r="BK248" s="136">
        <f t="shared" si="35"/>
        <v>0</v>
      </c>
      <c r="BL248" s="136">
        <f t="shared" si="35"/>
        <v>0</v>
      </c>
      <c r="BM248" s="136">
        <f t="shared" si="35"/>
        <v>0</v>
      </c>
      <c r="BN248" s="136">
        <f t="shared" si="35"/>
        <v>0</v>
      </c>
      <c r="BO248" s="136">
        <f t="shared" si="35"/>
        <v>0</v>
      </c>
      <c r="BU248" s="136">
        <f t="shared" si="33"/>
        <v>0</v>
      </c>
      <c r="BV248" s="136">
        <f t="shared" si="33"/>
        <v>0</v>
      </c>
      <c r="BW248" s="136">
        <f t="shared" si="33"/>
        <v>0</v>
      </c>
      <c r="BX248" s="136">
        <f t="shared" si="33"/>
        <v>0</v>
      </c>
      <c r="BZ248" s="136">
        <f t="shared" si="34"/>
        <v>0</v>
      </c>
      <c r="CA248" s="136">
        <f t="shared" si="34"/>
        <v>0</v>
      </c>
    </row>
    <row r="249" spans="12:79" hidden="1" x14ac:dyDescent="0.3">
      <c r="L249" s="136">
        <f t="shared" si="35"/>
        <v>0</v>
      </c>
      <c r="M249" s="136">
        <f t="shared" si="35"/>
        <v>0</v>
      </c>
      <c r="N249" s="136">
        <f t="shared" si="35"/>
        <v>0</v>
      </c>
      <c r="O249" s="136">
        <f t="shared" si="35"/>
        <v>0</v>
      </c>
      <c r="P249" s="136">
        <f t="shared" si="35"/>
        <v>0</v>
      </c>
      <c r="Q249" s="136">
        <f t="shared" si="35"/>
        <v>0</v>
      </c>
      <c r="R249" s="136">
        <f t="shared" si="35"/>
        <v>0</v>
      </c>
      <c r="S249" s="136">
        <f t="shared" si="35"/>
        <v>0</v>
      </c>
      <c r="T249" s="136">
        <f t="shared" si="35"/>
        <v>0</v>
      </c>
      <c r="U249" s="136">
        <f t="shared" si="35"/>
        <v>0</v>
      </c>
      <c r="V249" s="136">
        <f t="shared" si="35"/>
        <v>0</v>
      </c>
      <c r="W249" s="136">
        <f t="shared" si="35"/>
        <v>0</v>
      </c>
      <c r="X249" s="136">
        <f t="shared" si="35"/>
        <v>0</v>
      </c>
      <c r="Y249" s="136">
        <f t="shared" si="35"/>
        <v>0</v>
      </c>
      <c r="Z249" s="136">
        <f t="shared" si="35"/>
        <v>0</v>
      </c>
      <c r="AA249" s="136">
        <f t="shared" si="35"/>
        <v>0</v>
      </c>
      <c r="AB249" s="136">
        <f t="shared" si="35"/>
        <v>0</v>
      </c>
      <c r="AC249" s="136">
        <f t="shared" si="35"/>
        <v>0</v>
      </c>
      <c r="AD249" s="136">
        <f t="shared" si="35"/>
        <v>0</v>
      </c>
      <c r="AE249" s="136">
        <f t="shared" si="35"/>
        <v>0</v>
      </c>
      <c r="AF249" s="136">
        <f t="shared" si="35"/>
        <v>0</v>
      </c>
      <c r="AG249" s="136">
        <f t="shared" si="35"/>
        <v>0</v>
      </c>
      <c r="AH249" s="136">
        <f t="shared" si="35"/>
        <v>0</v>
      </c>
      <c r="AI249" s="136">
        <f t="shared" si="35"/>
        <v>0</v>
      </c>
      <c r="AJ249" s="136">
        <f t="shared" si="35"/>
        <v>0</v>
      </c>
      <c r="AK249" s="136">
        <f t="shared" si="35"/>
        <v>0</v>
      </c>
      <c r="AL249" s="136">
        <f t="shared" si="35"/>
        <v>0</v>
      </c>
      <c r="AM249" s="136">
        <f t="shared" si="35"/>
        <v>0</v>
      </c>
      <c r="AN249" s="136">
        <f t="shared" si="35"/>
        <v>0</v>
      </c>
      <c r="AO249" s="136">
        <f t="shared" si="35"/>
        <v>0</v>
      </c>
      <c r="AP249" s="136">
        <f t="shared" si="35"/>
        <v>0</v>
      </c>
      <c r="AQ249" s="136">
        <f t="shared" ref="AQ249:BO259" si="36">AQ76-DI76</f>
        <v>0</v>
      </c>
      <c r="AR249" s="136">
        <f t="shared" si="36"/>
        <v>0</v>
      </c>
      <c r="AS249" s="136">
        <f t="shared" si="36"/>
        <v>0</v>
      </c>
      <c r="AT249" s="136">
        <f t="shared" si="36"/>
        <v>0</v>
      </c>
      <c r="AU249" s="136">
        <f t="shared" si="36"/>
        <v>0</v>
      </c>
      <c r="AV249" s="136">
        <f t="shared" si="36"/>
        <v>0</v>
      </c>
      <c r="AW249" s="136">
        <f t="shared" si="36"/>
        <v>0</v>
      </c>
      <c r="AX249" s="136">
        <f t="shared" si="36"/>
        <v>0</v>
      </c>
      <c r="AY249" s="136">
        <f t="shared" si="36"/>
        <v>0</v>
      </c>
      <c r="AZ249" s="136">
        <f t="shared" si="36"/>
        <v>0</v>
      </c>
      <c r="BA249" s="136">
        <f t="shared" si="36"/>
        <v>0</v>
      </c>
      <c r="BB249" s="136">
        <f t="shared" si="36"/>
        <v>0</v>
      </c>
      <c r="BC249" s="136">
        <f t="shared" si="36"/>
        <v>0</v>
      </c>
      <c r="BD249" s="136">
        <f t="shared" si="36"/>
        <v>0</v>
      </c>
      <c r="BE249" s="136">
        <f t="shared" si="36"/>
        <v>0</v>
      </c>
      <c r="BF249" s="136">
        <f t="shared" si="36"/>
        <v>0</v>
      </c>
      <c r="BG249" s="136">
        <f t="shared" si="36"/>
        <v>0</v>
      </c>
      <c r="BH249" s="136">
        <f t="shared" si="36"/>
        <v>0</v>
      </c>
      <c r="BI249" s="136">
        <f t="shared" si="36"/>
        <v>0</v>
      </c>
      <c r="BJ249" s="136">
        <f t="shared" si="36"/>
        <v>0</v>
      </c>
      <c r="BK249" s="136">
        <f t="shared" si="36"/>
        <v>0</v>
      </c>
      <c r="BL249" s="136">
        <f t="shared" si="36"/>
        <v>0</v>
      </c>
      <c r="BM249" s="136">
        <f t="shared" si="36"/>
        <v>0</v>
      </c>
      <c r="BN249" s="136">
        <f t="shared" si="36"/>
        <v>0</v>
      </c>
      <c r="BO249" s="136">
        <f t="shared" si="36"/>
        <v>0</v>
      </c>
      <c r="BU249" s="136">
        <f t="shared" si="33"/>
        <v>0</v>
      </c>
      <c r="BV249" s="136">
        <f t="shared" si="33"/>
        <v>0</v>
      </c>
      <c r="BW249" s="136">
        <f t="shared" si="33"/>
        <v>0</v>
      </c>
      <c r="BX249" s="136">
        <f t="shared" si="33"/>
        <v>0</v>
      </c>
      <c r="BZ249" s="136">
        <f t="shared" si="34"/>
        <v>0</v>
      </c>
      <c r="CA249" s="136">
        <f t="shared" si="34"/>
        <v>0</v>
      </c>
    </row>
    <row r="250" spans="12:79" hidden="1" x14ac:dyDescent="0.3">
      <c r="L250" s="136">
        <f t="shared" ref="L250:AP258" si="37">L77-CD77</f>
        <v>0</v>
      </c>
      <c r="M250" s="136">
        <f t="shared" si="37"/>
        <v>0</v>
      </c>
      <c r="N250" s="136">
        <f t="shared" si="37"/>
        <v>0</v>
      </c>
      <c r="O250" s="136">
        <f t="shared" si="37"/>
        <v>0</v>
      </c>
      <c r="P250" s="136">
        <f t="shared" si="37"/>
        <v>0</v>
      </c>
      <c r="Q250" s="136">
        <f t="shared" si="37"/>
        <v>0</v>
      </c>
      <c r="R250" s="136">
        <f t="shared" si="37"/>
        <v>0</v>
      </c>
      <c r="S250" s="136">
        <f t="shared" si="37"/>
        <v>0</v>
      </c>
      <c r="T250" s="136">
        <f t="shared" si="37"/>
        <v>0</v>
      </c>
      <c r="U250" s="136">
        <f t="shared" si="37"/>
        <v>0</v>
      </c>
      <c r="V250" s="136">
        <f t="shared" si="37"/>
        <v>0</v>
      </c>
      <c r="W250" s="136">
        <f t="shared" si="37"/>
        <v>0</v>
      </c>
      <c r="X250" s="136">
        <f t="shared" si="37"/>
        <v>0</v>
      </c>
      <c r="Y250" s="136">
        <f t="shared" si="37"/>
        <v>0</v>
      </c>
      <c r="Z250" s="136">
        <f t="shared" si="37"/>
        <v>0</v>
      </c>
      <c r="AA250" s="136">
        <f t="shared" si="37"/>
        <v>0</v>
      </c>
      <c r="AB250" s="136">
        <f t="shared" si="37"/>
        <v>0</v>
      </c>
      <c r="AC250" s="136">
        <f t="shared" si="37"/>
        <v>0</v>
      </c>
      <c r="AD250" s="136">
        <f t="shared" si="37"/>
        <v>0</v>
      </c>
      <c r="AE250" s="136">
        <f t="shared" si="37"/>
        <v>0</v>
      </c>
      <c r="AF250" s="136">
        <f t="shared" si="37"/>
        <v>0</v>
      </c>
      <c r="AG250" s="136">
        <f t="shared" si="37"/>
        <v>0</v>
      </c>
      <c r="AH250" s="136">
        <f t="shared" si="37"/>
        <v>0</v>
      </c>
      <c r="AI250" s="136">
        <f t="shared" si="37"/>
        <v>0</v>
      </c>
      <c r="AJ250" s="136">
        <f t="shared" si="37"/>
        <v>0</v>
      </c>
      <c r="AK250" s="136">
        <f t="shared" si="37"/>
        <v>0</v>
      </c>
      <c r="AL250" s="136">
        <f t="shared" si="37"/>
        <v>0</v>
      </c>
      <c r="AM250" s="136">
        <f t="shared" si="37"/>
        <v>0</v>
      </c>
      <c r="AN250" s="136">
        <f t="shared" si="37"/>
        <v>0</v>
      </c>
      <c r="AO250" s="136">
        <f t="shared" si="37"/>
        <v>0</v>
      </c>
      <c r="AP250" s="136">
        <f t="shared" si="37"/>
        <v>0</v>
      </c>
      <c r="AQ250" s="136">
        <f t="shared" si="36"/>
        <v>0</v>
      </c>
      <c r="AR250" s="136">
        <f t="shared" si="36"/>
        <v>0</v>
      </c>
      <c r="AS250" s="136">
        <f t="shared" si="36"/>
        <v>0</v>
      </c>
      <c r="AT250" s="136">
        <f t="shared" si="36"/>
        <v>0</v>
      </c>
      <c r="AU250" s="136">
        <f t="shared" si="36"/>
        <v>0</v>
      </c>
      <c r="AV250" s="136">
        <f t="shared" si="36"/>
        <v>0</v>
      </c>
      <c r="AW250" s="136">
        <f t="shared" si="36"/>
        <v>0</v>
      </c>
      <c r="AX250" s="136">
        <f t="shared" si="36"/>
        <v>0</v>
      </c>
      <c r="AY250" s="136">
        <f t="shared" si="36"/>
        <v>0</v>
      </c>
      <c r="AZ250" s="136">
        <f t="shared" si="36"/>
        <v>0</v>
      </c>
      <c r="BA250" s="136">
        <f t="shared" si="36"/>
        <v>0</v>
      </c>
      <c r="BB250" s="136">
        <f t="shared" si="36"/>
        <v>0</v>
      </c>
      <c r="BC250" s="136">
        <f t="shared" si="36"/>
        <v>0</v>
      </c>
      <c r="BD250" s="136">
        <f t="shared" si="36"/>
        <v>0</v>
      </c>
      <c r="BE250" s="136">
        <f t="shared" si="36"/>
        <v>0</v>
      </c>
      <c r="BF250" s="136">
        <f t="shared" si="36"/>
        <v>0</v>
      </c>
      <c r="BG250" s="136">
        <f t="shared" si="36"/>
        <v>0</v>
      </c>
      <c r="BH250" s="136">
        <f t="shared" si="36"/>
        <v>0</v>
      </c>
      <c r="BI250" s="136">
        <f t="shared" si="36"/>
        <v>0</v>
      </c>
      <c r="BJ250" s="136">
        <f t="shared" si="36"/>
        <v>0</v>
      </c>
      <c r="BK250" s="136">
        <f t="shared" si="36"/>
        <v>0</v>
      </c>
      <c r="BL250" s="136">
        <f t="shared" si="36"/>
        <v>0</v>
      </c>
      <c r="BM250" s="136">
        <f t="shared" si="36"/>
        <v>0</v>
      </c>
      <c r="BN250" s="136">
        <f t="shared" si="36"/>
        <v>0</v>
      </c>
      <c r="BO250" s="136">
        <f t="shared" si="36"/>
        <v>0</v>
      </c>
      <c r="BU250" s="136">
        <f t="shared" si="33"/>
        <v>0</v>
      </c>
      <c r="BV250" s="136">
        <f t="shared" si="33"/>
        <v>0</v>
      </c>
      <c r="BW250" s="136">
        <f t="shared" si="33"/>
        <v>0</v>
      </c>
      <c r="BX250" s="136">
        <f t="shared" si="33"/>
        <v>0</v>
      </c>
      <c r="BZ250" s="136">
        <f t="shared" si="34"/>
        <v>0</v>
      </c>
      <c r="CA250" s="136">
        <f t="shared" si="34"/>
        <v>0</v>
      </c>
    </row>
    <row r="251" spans="12:79" hidden="1" x14ac:dyDescent="0.3">
      <c r="L251" s="136">
        <f t="shared" si="37"/>
        <v>0</v>
      </c>
      <c r="M251" s="136">
        <f t="shared" si="37"/>
        <v>0</v>
      </c>
      <c r="N251" s="136">
        <f t="shared" si="37"/>
        <v>0</v>
      </c>
      <c r="O251" s="136">
        <f t="shared" si="37"/>
        <v>0</v>
      </c>
      <c r="P251" s="136">
        <f t="shared" si="37"/>
        <v>0</v>
      </c>
      <c r="Q251" s="136">
        <f t="shared" si="37"/>
        <v>0</v>
      </c>
      <c r="R251" s="136">
        <f t="shared" si="37"/>
        <v>0</v>
      </c>
      <c r="S251" s="136">
        <f t="shared" si="37"/>
        <v>0</v>
      </c>
      <c r="T251" s="136">
        <f t="shared" si="37"/>
        <v>0</v>
      </c>
      <c r="U251" s="136">
        <f t="shared" si="37"/>
        <v>0</v>
      </c>
      <c r="V251" s="136">
        <f t="shared" si="37"/>
        <v>0</v>
      </c>
      <c r="W251" s="136">
        <f t="shared" si="37"/>
        <v>0</v>
      </c>
      <c r="X251" s="136">
        <f t="shared" si="37"/>
        <v>0</v>
      </c>
      <c r="Y251" s="136">
        <f t="shared" si="37"/>
        <v>0</v>
      </c>
      <c r="Z251" s="136">
        <f t="shared" si="37"/>
        <v>0</v>
      </c>
      <c r="AA251" s="136">
        <f t="shared" si="37"/>
        <v>0</v>
      </c>
      <c r="AB251" s="136">
        <f t="shared" si="37"/>
        <v>0</v>
      </c>
      <c r="AC251" s="136">
        <f t="shared" si="37"/>
        <v>0</v>
      </c>
      <c r="AD251" s="136">
        <f t="shared" si="37"/>
        <v>0</v>
      </c>
      <c r="AE251" s="136">
        <f t="shared" si="37"/>
        <v>0</v>
      </c>
      <c r="AF251" s="136">
        <f t="shared" si="37"/>
        <v>0</v>
      </c>
      <c r="AG251" s="136">
        <f t="shared" si="37"/>
        <v>0</v>
      </c>
      <c r="AH251" s="136">
        <f t="shared" si="37"/>
        <v>0</v>
      </c>
      <c r="AI251" s="136">
        <f t="shared" si="37"/>
        <v>0</v>
      </c>
      <c r="AJ251" s="136">
        <f t="shared" si="37"/>
        <v>0</v>
      </c>
      <c r="AK251" s="136">
        <f t="shared" si="37"/>
        <v>0</v>
      </c>
      <c r="AL251" s="136">
        <f t="shared" si="37"/>
        <v>0</v>
      </c>
      <c r="AM251" s="136">
        <f t="shared" si="37"/>
        <v>0</v>
      </c>
      <c r="AN251" s="136">
        <f t="shared" si="37"/>
        <v>0</v>
      </c>
      <c r="AO251" s="136">
        <f t="shared" si="37"/>
        <v>0</v>
      </c>
      <c r="AP251" s="136">
        <f t="shared" si="37"/>
        <v>0</v>
      </c>
      <c r="AQ251" s="136">
        <f t="shared" si="36"/>
        <v>0</v>
      </c>
      <c r="AR251" s="136">
        <f t="shared" si="36"/>
        <v>0</v>
      </c>
      <c r="AS251" s="136">
        <f t="shared" si="36"/>
        <v>0</v>
      </c>
      <c r="AT251" s="136">
        <f t="shared" si="36"/>
        <v>0</v>
      </c>
      <c r="AU251" s="136">
        <f t="shared" si="36"/>
        <v>0</v>
      </c>
      <c r="AV251" s="136">
        <f t="shared" si="36"/>
        <v>0</v>
      </c>
      <c r="AW251" s="136">
        <f t="shared" si="36"/>
        <v>0</v>
      </c>
      <c r="AX251" s="136">
        <f t="shared" si="36"/>
        <v>0</v>
      </c>
      <c r="AY251" s="136">
        <f t="shared" si="36"/>
        <v>0</v>
      </c>
      <c r="AZ251" s="136">
        <f t="shared" si="36"/>
        <v>0</v>
      </c>
      <c r="BA251" s="136">
        <f t="shared" si="36"/>
        <v>0</v>
      </c>
      <c r="BB251" s="136">
        <f t="shared" si="36"/>
        <v>0</v>
      </c>
      <c r="BC251" s="136">
        <f t="shared" si="36"/>
        <v>0</v>
      </c>
      <c r="BD251" s="136">
        <f t="shared" si="36"/>
        <v>0</v>
      </c>
      <c r="BE251" s="136">
        <f t="shared" si="36"/>
        <v>0</v>
      </c>
      <c r="BF251" s="136">
        <f t="shared" si="36"/>
        <v>0</v>
      </c>
      <c r="BG251" s="136">
        <f t="shared" si="36"/>
        <v>0</v>
      </c>
      <c r="BH251" s="136">
        <f t="shared" si="36"/>
        <v>0</v>
      </c>
      <c r="BI251" s="136">
        <f t="shared" si="36"/>
        <v>0</v>
      </c>
      <c r="BJ251" s="136">
        <f t="shared" si="36"/>
        <v>0</v>
      </c>
      <c r="BK251" s="136">
        <f t="shared" si="36"/>
        <v>0</v>
      </c>
      <c r="BL251" s="136">
        <f t="shared" si="36"/>
        <v>0</v>
      </c>
      <c r="BM251" s="136">
        <f t="shared" si="36"/>
        <v>0</v>
      </c>
      <c r="BN251" s="136">
        <f t="shared" si="36"/>
        <v>0</v>
      </c>
      <c r="BO251" s="136">
        <f t="shared" si="36"/>
        <v>0</v>
      </c>
      <c r="BU251" s="136">
        <f t="shared" si="33"/>
        <v>0</v>
      </c>
      <c r="BV251" s="136">
        <f t="shared" si="33"/>
        <v>0</v>
      </c>
      <c r="BW251" s="136">
        <f t="shared" si="33"/>
        <v>0</v>
      </c>
      <c r="BX251" s="136">
        <f t="shared" si="33"/>
        <v>0</v>
      </c>
      <c r="BZ251" s="136">
        <f t="shared" si="34"/>
        <v>0</v>
      </c>
      <c r="CA251" s="136">
        <f t="shared" si="34"/>
        <v>0</v>
      </c>
    </row>
    <row r="252" spans="12:79" hidden="1" x14ac:dyDescent="0.3">
      <c r="L252" s="136">
        <f t="shared" si="37"/>
        <v>0</v>
      </c>
      <c r="M252" s="136">
        <f t="shared" si="37"/>
        <v>0</v>
      </c>
      <c r="N252" s="136">
        <f t="shared" si="37"/>
        <v>0</v>
      </c>
      <c r="O252" s="136">
        <f t="shared" si="37"/>
        <v>0</v>
      </c>
      <c r="P252" s="136">
        <f t="shared" si="37"/>
        <v>0</v>
      </c>
      <c r="Q252" s="136">
        <f t="shared" si="37"/>
        <v>0</v>
      </c>
      <c r="R252" s="136">
        <f t="shared" si="37"/>
        <v>0</v>
      </c>
      <c r="S252" s="136">
        <f t="shared" si="37"/>
        <v>0</v>
      </c>
      <c r="T252" s="136">
        <f t="shared" si="37"/>
        <v>0</v>
      </c>
      <c r="U252" s="136">
        <f t="shared" si="37"/>
        <v>0</v>
      </c>
      <c r="V252" s="136">
        <f t="shared" si="37"/>
        <v>0</v>
      </c>
      <c r="W252" s="136">
        <f t="shared" si="37"/>
        <v>0</v>
      </c>
      <c r="X252" s="136">
        <f t="shared" si="37"/>
        <v>0</v>
      </c>
      <c r="Y252" s="136">
        <f t="shared" si="37"/>
        <v>0</v>
      </c>
      <c r="Z252" s="136">
        <f t="shared" si="37"/>
        <v>0</v>
      </c>
      <c r="AA252" s="136">
        <f t="shared" si="37"/>
        <v>0</v>
      </c>
      <c r="AB252" s="136">
        <f t="shared" si="37"/>
        <v>0</v>
      </c>
      <c r="AC252" s="136">
        <f t="shared" si="37"/>
        <v>0</v>
      </c>
      <c r="AD252" s="136">
        <f t="shared" si="37"/>
        <v>0</v>
      </c>
      <c r="AE252" s="136">
        <f t="shared" si="37"/>
        <v>0</v>
      </c>
      <c r="AF252" s="136">
        <f t="shared" si="37"/>
        <v>0</v>
      </c>
      <c r="AG252" s="136">
        <f t="shared" si="37"/>
        <v>0</v>
      </c>
      <c r="AH252" s="136">
        <f t="shared" si="37"/>
        <v>0</v>
      </c>
      <c r="AI252" s="136">
        <f t="shared" si="37"/>
        <v>0</v>
      </c>
      <c r="AJ252" s="136">
        <f t="shared" si="37"/>
        <v>0</v>
      </c>
      <c r="AK252" s="136">
        <f t="shared" si="37"/>
        <v>0</v>
      </c>
      <c r="AL252" s="136">
        <f t="shared" si="37"/>
        <v>0</v>
      </c>
      <c r="AM252" s="136">
        <f t="shared" si="37"/>
        <v>0</v>
      </c>
      <c r="AN252" s="136">
        <f t="shared" si="37"/>
        <v>0</v>
      </c>
      <c r="AO252" s="136">
        <f t="shared" si="37"/>
        <v>0</v>
      </c>
      <c r="AP252" s="136">
        <f t="shared" si="37"/>
        <v>0</v>
      </c>
      <c r="AQ252" s="136">
        <f t="shared" si="36"/>
        <v>0</v>
      </c>
      <c r="AR252" s="136">
        <f t="shared" si="36"/>
        <v>0</v>
      </c>
      <c r="AS252" s="136">
        <f t="shared" si="36"/>
        <v>0</v>
      </c>
      <c r="AT252" s="136">
        <f t="shared" si="36"/>
        <v>0</v>
      </c>
      <c r="AU252" s="136">
        <f t="shared" si="36"/>
        <v>0</v>
      </c>
      <c r="AV252" s="136">
        <f t="shared" si="36"/>
        <v>0</v>
      </c>
      <c r="AW252" s="136">
        <f t="shared" si="36"/>
        <v>0</v>
      </c>
      <c r="AX252" s="136">
        <f t="shared" si="36"/>
        <v>0</v>
      </c>
      <c r="AY252" s="136">
        <f t="shared" si="36"/>
        <v>0</v>
      </c>
      <c r="AZ252" s="136">
        <f t="shared" si="36"/>
        <v>0</v>
      </c>
      <c r="BA252" s="136">
        <f t="shared" si="36"/>
        <v>0</v>
      </c>
      <c r="BB252" s="136">
        <f t="shared" si="36"/>
        <v>0</v>
      </c>
      <c r="BC252" s="136">
        <f t="shared" si="36"/>
        <v>0</v>
      </c>
      <c r="BD252" s="136">
        <f t="shared" si="36"/>
        <v>0</v>
      </c>
      <c r="BE252" s="136">
        <f t="shared" si="36"/>
        <v>0</v>
      </c>
      <c r="BF252" s="136">
        <f t="shared" si="36"/>
        <v>0</v>
      </c>
      <c r="BG252" s="136">
        <f t="shared" si="36"/>
        <v>0</v>
      </c>
      <c r="BH252" s="136">
        <f t="shared" si="36"/>
        <v>0</v>
      </c>
      <c r="BI252" s="136">
        <f t="shared" si="36"/>
        <v>0</v>
      </c>
      <c r="BJ252" s="136">
        <f t="shared" si="36"/>
        <v>0</v>
      </c>
      <c r="BK252" s="136">
        <f t="shared" si="36"/>
        <v>0</v>
      </c>
      <c r="BL252" s="136">
        <f t="shared" si="36"/>
        <v>0</v>
      </c>
      <c r="BM252" s="136">
        <f t="shared" si="36"/>
        <v>0</v>
      </c>
      <c r="BN252" s="136">
        <f t="shared" si="36"/>
        <v>0</v>
      </c>
      <c r="BO252" s="136">
        <f t="shared" si="36"/>
        <v>0</v>
      </c>
      <c r="BU252" s="136">
        <f t="shared" si="33"/>
        <v>0</v>
      </c>
      <c r="BV252" s="136">
        <f t="shared" si="33"/>
        <v>0</v>
      </c>
      <c r="BW252" s="136">
        <f t="shared" si="33"/>
        <v>0</v>
      </c>
      <c r="BX252" s="136">
        <f t="shared" si="33"/>
        <v>0</v>
      </c>
      <c r="BZ252" s="136">
        <f t="shared" si="34"/>
        <v>0</v>
      </c>
      <c r="CA252" s="136">
        <f t="shared" si="34"/>
        <v>0</v>
      </c>
    </row>
    <row r="253" spans="12:79" hidden="1" x14ac:dyDescent="0.3">
      <c r="L253" s="136">
        <f t="shared" si="37"/>
        <v>0</v>
      </c>
      <c r="M253" s="136">
        <f t="shared" si="37"/>
        <v>0</v>
      </c>
      <c r="N253" s="136">
        <f t="shared" si="37"/>
        <v>0</v>
      </c>
      <c r="O253" s="136">
        <f t="shared" si="37"/>
        <v>0</v>
      </c>
      <c r="P253" s="136">
        <f t="shared" si="37"/>
        <v>0</v>
      </c>
      <c r="Q253" s="136">
        <f t="shared" si="37"/>
        <v>0</v>
      </c>
      <c r="R253" s="136">
        <f t="shared" si="37"/>
        <v>0</v>
      </c>
      <c r="S253" s="136">
        <f t="shared" si="37"/>
        <v>0</v>
      </c>
      <c r="T253" s="136">
        <f t="shared" si="37"/>
        <v>0</v>
      </c>
      <c r="U253" s="136">
        <f t="shared" si="37"/>
        <v>0</v>
      </c>
      <c r="V253" s="136">
        <f t="shared" si="37"/>
        <v>0</v>
      </c>
      <c r="W253" s="136">
        <f t="shared" si="37"/>
        <v>0</v>
      </c>
      <c r="X253" s="136">
        <f t="shared" si="37"/>
        <v>0</v>
      </c>
      <c r="Y253" s="136">
        <f t="shared" si="37"/>
        <v>0</v>
      </c>
      <c r="Z253" s="136">
        <f t="shared" si="37"/>
        <v>0</v>
      </c>
      <c r="AA253" s="136">
        <f t="shared" si="37"/>
        <v>0</v>
      </c>
      <c r="AB253" s="136">
        <f t="shared" si="37"/>
        <v>0</v>
      </c>
      <c r="AC253" s="136">
        <f t="shared" si="37"/>
        <v>0</v>
      </c>
      <c r="AD253" s="136">
        <f t="shared" si="37"/>
        <v>0</v>
      </c>
      <c r="AE253" s="136">
        <f t="shared" si="37"/>
        <v>0</v>
      </c>
      <c r="AF253" s="136">
        <f t="shared" si="37"/>
        <v>0</v>
      </c>
      <c r="AG253" s="136">
        <f t="shared" si="37"/>
        <v>0</v>
      </c>
      <c r="AH253" s="136">
        <f t="shared" si="37"/>
        <v>0</v>
      </c>
      <c r="AI253" s="136">
        <f t="shared" si="37"/>
        <v>0</v>
      </c>
      <c r="AJ253" s="136">
        <f t="shared" si="37"/>
        <v>0</v>
      </c>
      <c r="AK253" s="136">
        <f t="shared" si="37"/>
        <v>0</v>
      </c>
      <c r="AL253" s="136">
        <f t="shared" si="37"/>
        <v>0</v>
      </c>
      <c r="AM253" s="136">
        <f t="shared" si="37"/>
        <v>0</v>
      </c>
      <c r="AN253" s="136">
        <f t="shared" si="37"/>
        <v>0</v>
      </c>
      <c r="AO253" s="136">
        <f t="shared" si="37"/>
        <v>0</v>
      </c>
      <c r="AP253" s="136">
        <f t="shared" si="37"/>
        <v>0</v>
      </c>
      <c r="AQ253" s="136">
        <f t="shared" si="36"/>
        <v>0</v>
      </c>
      <c r="AR253" s="136">
        <f t="shared" si="36"/>
        <v>0</v>
      </c>
      <c r="AS253" s="136">
        <f t="shared" si="36"/>
        <v>0</v>
      </c>
      <c r="AT253" s="136">
        <f t="shared" si="36"/>
        <v>0</v>
      </c>
      <c r="AU253" s="136">
        <f t="shared" si="36"/>
        <v>0</v>
      </c>
      <c r="AV253" s="136">
        <f t="shared" si="36"/>
        <v>0</v>
      </c>
      <c r="AW253" s="136">
        <f t="shared" si="36"/>
        <v>0</v>
      </c>
      <c r="AX253" s="136">
        <f t="shared" si="36"/>
        <v>0</v>
      </c>
      <c r="AY253" s="136">
        <f t="shared" si="36"/>
        <v>0</v>
      </c>
      <c r="AZ253" s="136">
        <f t="shared" si="36"/>
        <v>0</v>
      </c>
      <c r="BA253" s="136">
        <f t="shared" si="36"/>
        <v>0</v>
      </c>
      <c r="BB253" s="136">
        <f t="shared" si="36"/>
        <v>0</v>
      </c>
      <c r="BC253" s="136">
        <f t="shared" si="36"/>
        <v>0</v>
      </c>
      <c r="BD253" s="136">
        <f t="shared" si="36"/>
        <v>0</v>
      </c>
      <c r="BE253" s="136">
        <f t="shared" si="36"/>
        <v>0</v>
      </c>
      <c r="BF253" s="136">
        <f t="shared" si="36"/>
        <v>0</v>
      </c>
      <c r="BG253" s="136">
        <f t="shared" si="36"/>
        <v>0</v>
      </c>
      <c r="BH253" s="136">
        <f t="shared" si="36"/>
        <v>0</v>
      </c>
      <c r="BI253" s="136">
        <f t="shared" si="36"/>
        <v>0</v>
      </c>
      <c r="BJ253" s="136">
        <f t="shared" si="36"/>
        <v>0</v>
      </c>
      <c r="BK253" s="136">
        <f t="shared" si="36"/>
        <v>0</v>
      </c>
      <c r="BL253" s="136">
        <f t="shared" si="36"/>
        <v>0</v>
      </c>
      <c r="BM253" s="136">
        <f t="shared" si="36"/>
        <v>0</v>
      </c>
      <c r="BN253" s="136">
        <f t="shared" si="36"/>
        <v>0</v>
      </c>
      <c r="BO253" s="136">
        <f t="shared" si="36"/>
        <v>0</v>
      </c>
      <c r="BU253" s="136">
        <f t="shared" ref="BU253:BX268" si="38">BU88-EM88</f>
        <v>0</v>
      </c>
      <c r="BV253" s="136">
        <f t="shared" si="38"/>
        <v>0</v>
      </c>
      <c r="BW253" s="136">
        <f t="shared" si="38"/>
        <v>0</v>
      </c>
      <c r="BX253" s="136">
        <f t="shared" si="38"/>
        <v>0</v>
      </c>
      <c r="BZ253" s="136">
        <f t="shared" ref="BZ253:CA268" si="39">BZ88-ER88</f>
        <v>0</v>
      </c>
      <c r="CA253" s="136">
        <f t="shared" si="39"/>
        <v>0</v>
      </c>
    </row>
    <row r="254" spans="12:79" hidden="1" x14ac:dyDescent="0.3">
      <c r="L254" s="136">
        <f t="shared" si="37"/>
        <v>0</v>
      </c>
      <c r="M254" s="136">
        <f t="shared" si="37"/>
        <v>0</v>
      </c>
      <c r="N254" s="136">
        <f t="shared" si="37"/>
        <v>0</v>
      </c>
      <c r="O254" s="136">
        <f t="shared" si="37"/>
        <v>0</v>
      </c>
      <c r="P254" s="136">
        <f t="shared" si="37"/>
        <v>0</v>
      </c>
      <c r="Q254" s="136">
        <f t="shared" si="37"/>
        <v>0</v>
      </c>
      <c r="R254" s="136">
        <f t="shared" si="37"/>
        <v>0</v>
      </c>
      <c r="S254" s="136">
        <f t="shared" si="37"/>
        <v>0</v>
      </c>
      <c r="T254" s="136">
        <f t="shared" si="37"/>
        <v>0</v>
      </c>
      <c r="U254" s="136">
        <f t="shared" si="37"/>
        <v>0</v>
      </c>
      <c r="V254" s="136">
        <f t="shared" si="37"/>
        <v>0</v>
      </c>
      <c r="W254" s="136">
        <f t="shared" si="37"/>
        <v>0</v>
      </c>
      <c r="X254" s="136">
        <f t="shared" si="37"/>
        <v>0</v>
      </c>
      <c r="Y254" s="136">
        <f t="shared" si="37"/>
        <v>0</v>
      </c>
      <c r="Z254" s="136">
        <f t="shared" si="37"/>
        <v>0</v>
      </c>
      <c r="AA254" s="136">
        <f t="shared" si="37"/>
        <v>0</v>
      </c>
      <c r="AB254" s="136">
        <f t="shared" si="37"/>
        <v>0</v>
      </c>
      <c r="AC254" s="136">
        <f t="shared" si="37"/>
        <v>0</v>
      </c>
      <c r="AD254" s="136">
        <f t="shared" si="37"/>
        <v>0</v>
      </c>
      <c r="AE254" s="136">
        <f t="shared" si="37"/>
        <v>0</v>
      </c>
      <c r="AF254" s="136">
        <f t="shared" si="37"/>
        <v>0</v>
      </c>
      <c r="AG254" s="136">
        <f t="shared" si="37"/>
        <v>0</v>
      </c>
      <c r="AH254" s="136">
        <f t="shared" si="37"/>
        <v>0</v>
      </c>
      <c r="AI254" s="136">
        <f t="shared" si="37"/>
        <v>0</v>
      </c>
      <c r="AJ254" s="136">
        <f t="shared" si="37"/>
        <v>0</v>
      </c>
      <c r="AK254" s="136">
        <f t="shared" si="37"/>
        <v>0</v>
      </c>
      <c r="AL254" s="136">
        <f t="shared" si="37"/>
        <v>0</v>
      </c>
      <c r="AM254" s="136">
        <f t="shared" si="37"/>
        <v>0</v>
      </c>
      <c r="AN254" s="136">
        <f t="shared" si="37"/>
        <v>0</v>
      </c>
      <c r="AO254" s="136">
        <f t="shared" si="37"/>
        <v>0</v>
      </c>
      <c r="AP254" s="136">
        <f t="shared" si="37"/>
        <v>0</v>
      </c>
      <c r="AQ254" s="136">
        <f t="shared" si="36"/>
        <v>0</v>
      </c>
      <c r="AR254" s="136">
        <f t="shared" si="36"/>
        <v>0</v>
      </c>
      <c r="AS254" s="136">
        <f t="shared" si="36"/>
        <v>0</v>
      </c>
      <c r="AT254" s="136">
        <f t="shared" si="36"/>
        <v>0</v>
      </c>
      <c r="AU254" s="136">
        <f t="shared" si="36"/>
        <v>0</v>
      </c>
      <c r="AV254" s="136">
        <f t="shared" si="36"/>
        <v>0</v>
      </c>
      <c r="AW254" s="136">
        <f t="shared" si="36"/>
        <v>0</v>
      </c>
      <c r="AX254" s="136">
        <f t="shared" si="36"/>
        <v>0</v>
      </c>
      <c r="AY254" s="136">
        <f t="shared" si="36"/>
        <v>0</v>
      </c>
      <c r="AZ254" s="136">
        <f t="shared" si="36"/>
        <v>0</v>
      </c>
      <c r="BA254" s="136">
        <f t="shared" si="36"/>
        <v>0</v>
      </c>
      <c r="BB254" s="136">
        <f t="shared" si="36"/>
        <v>0</v>
      </c>
      <c r="BC254" s="136">
        <f t="shared" si="36"/>
        <v>0</v>
      </c>
      <c r="BD254" s="136">
        <f t="shared" si="36"/>
        <v>0</v>
      </c>
      <c r="BE254" s="136">
        <f t="shared" si="36"/>
        <v>0</v>
      </c>
      <c r="BF254" s="136">
        <f t="shared" si="36"/>
        <v>0</v>
      </c>
      <c r="BG254" s="136">
        <f t="shared" si="36"/>
        <v>0</v>
      </c>
      <c r="BH254" s="136">
        <f t="shared" si="36"/>
        <v>0</v>
      </c>
      <c r="BI254" s="136">
        <f t="shared" si="36"/>
        <v>0</v>
      </c>
      <c r="BJ254" s="136">
        <f t="shared" si="36"/>
        <v>0</v>
      </c>
      <c r="BK254" s="136">
        <f t="shared" si="36"/>
        <v>0</v>
      </c>
      <c r="BL254" s="136">
        <f t="shared" si="36"/>
        <v>0</v>
      </c>
      <c r="BM254" s="136">
        <f t="shared" si="36"/>
        <v>0</v>
      </c>
      <c r="BN254" s="136">
        <f t="shared" si="36"/>
        <v>0</v>
      </c>
      <c r="BO254" s="136">
        <f t="shared" si="36"/>
        <v>0</v>
      </c>
      <c r="BU254" s="136">
        <f t="shared" si="38"/>
        <v>0</v>
      </c>
      <c r="BV254" s="136">
        <f t="shared" si="38"/>
        <v>0</v>
      </c>
      <c r="BW254" s="136">
        <f t="shared" si="38"/>
        <v>0</v>
      </c>
      <c r="BX254" s="136">
        <f t="shared" si="38"/>
        <v>0</v>
      </c>
      <c r="BZ254" s="136">
        <f t="shared" si="39"/>
        <v>0</v>
      </c>
      <c r="CA254" s="136">
        <f t="shared" si="39"/>
        <v>0</v>
      </c>
    </row>
    <row r="255" spans="12:79" hidden="1" x14ac:dyDescent="0.3">
      <c r="L255" s="136">
        <f t="shared" si="37"/>
        <v>0</v>
      </c>
      <c r="M255" s="136">
        <f t="shared" si="37"/>
        <v>0</v>
      </c>
      <c r="N255" s="136">
        <f t="shared" si="37"/>
        <v>0</v>
      </c>
      <c r="O255" s="136">
        <f t="shared" si="37"/>
        <v>0</v>
      </c>
      <c r="P255" s="136">
        <f t="shared" si="37"/>
        <v>0</v>
      </c>
      <c r="Q255" s="136">
        <f t="shared" si="37"/>
        <v>0</v>
      </c>
      <c r="R255" s="136">
        <f t="shared" si="37"/>
        <v>0</v>
      </c>
      <c r="S255" s="136">
        <f t="shared" si="37"/>
        <v>0</v>
      </c>
      <c r="T255" s="136">
        <f t="shared" si="37"/>
        <v>0</v>
      </c>
      <c r="U255" s="136">
        <f t="shared" si="37"/>
        <v>0</v>
      </c>
      <c r="V255" s="136">
        <f t="shared" si="37"/>
        <v>0</v>
      </c>
      <c r="W255" s="136">
        <f t="shared" si="37"/>
        <v>0</v>
      </c>
      <c r="X255" s="136">
        <f t="shared" si="37"/>
        <v>0</v>
      </c>
      <c r="Y255" s="136">
        <f t="shared" si="37"/>
        <v>0</v>
      </c>
      <c r="Z255" s="136">
        <f t="shared" si="37"/>
        <v>0</v>
      </c>
      <c r="AA255" s="136">
        <f t="shared" si="37"/>
        <v>0</v>
      </c>
      <c r="AB255" s="136">
        <f t="shared" si="37"/>
        <v>0</v>
      </c>
      <c r="AC255" s="136">
        <f t="shared" si="37"/>
        <v>0</v>
      </c>
      <c r="AD255" s="136">
        <f t="shared" si="37"/>
        <v>0</v>
      </c>
      <c r="AE255" s="136">
        <f t="shared" si="37"/>
        <v>0</v>
      </c>
      <c r="AF255" s="136">
        <f t="shared" si="37"/>
        <v>0</v>
      </c>
      <c r="AG255" s="136">
        <f t="shared" si="37"/>
        <v>0</v>
      </c>
      <c r="AH255" s="136">
        <f t="shared" si="37"/>
        <v>0</v>
      </c>
      <c r="AI255" s="136">
        <f t="shared" si="37"/>
        <v>0</v>
      </c>
      <c r="AJ255" s="136">
        <f t="shared" si="37"/>
        <v>0</v>
      </c>
      <c r="AK255" s="136">
        <f t="shared" si="37"/>
        <v>0</v>
      </c>
      <c r="AL255" s="136">
        <f t="shared" si="37"/>
        <v>0</v>
      </c>
      <c r="AM255" s="136">
        <f t="shared" si="37"/>
        <v>0</v>
      </c>
      <c r="AN255" s="136">
        <f t="shared" si="37"/>
        <v>0</v>
      </c>
      <c r="AO255" s="136">
        <f t="shared" si="37"/>
        <v>0</v>
      </c>
      <c r="AP255" s="136">
        <f t="shared" si="37"/>
        <v>0</v>
      </c>
      <c r="AQ255" s="136">
        <f t="shared" si="36"/>
        <v>0</v>
      </c>
      <c r="AR255" s="136">
        <f t="shared" si="36"/>
        <v>0</v>
      </c>
      <c r="AS255" s="136">
        <f t="shared" si="36"/>
        <v>0</v>
      </c>
      <c r="AT255" s="136">
        <f t="shared" si="36"/>
        <v>0</v>
      </c>
      <c r="AU255" s="136">
        <f t="shared" si="36"/>
        <v>0</v>
      </c>
      <c r="AV255" s="136">
        <f t="shared" si="36"/>
        <v>0</v>
      </c>
      <c r="AW255" s="136">
        <f t="shared" si="36"/>
        <v>0</v>
      </c>
      <c r="AX255" s="136">
        <f t="shared" si="36"/>
        <v>0</v>
      </c>
      <c r="AY255" s="136">
        <f t="shared" si="36"/>
        <v>0</v>
      </c>
      <c r="AZ255" s="136">
        <f t="shared" si="36"/>
        <v>0</v>
      </c>
      <c r="BA255" s="136">
        <f t="shared" si="36"/>
        <v>0</v>
      </c>
      <c r="BB255" s="136">
        <f t="shared" si="36"/>
        <v>0</v>
      </c>
      <c r="BC255" s="136">
        <f t="shared" si="36"/>
        <v>0</v>
      </c>
      <c r="BD255" s="136">
        <f t="shared" si="36"/>
        <v>0</v>
      </c>
      <c r="BE255" s="136">
        <f t="shared" si="36"/>
        <v>0</v>
      </c>
      <c r="BF255" s="136">
        <f t="shared" si="36"/>
        <v>0</v>
      </c>
      <c r="BG255" s="136">
        <f t="shared" si="36"/>
        <v>0</v>
      </c>
      <c r="BH255" s="136">
        <f t="shared" si="36"/>
        <v>0</v>
      </c>
      <c r="BI255" s="136">
        <f t="shared" si="36"/>
        <v>0</v>
      </c>
      <c r="BJ255" s="136">
        <f t="shared" si="36"/>
        <v>0</v>
      </c>
      <c r="BK255" s="136">
        <f t="shared" si="36"/>
        <v>0</v>
      </c>
      <c r="BL255" s="136">
        <f t="shared" si="36"/>
        <v>0</v>
      </c>
      <c r="BM255" s="136">
        <f t="shared" si="36"/>
        <v>0</v>
      </c>
      <c r="BN255" s="136">
        <f t="shared" si="36"/>
        <v>0</v>
      </c>
      <c r="BO255" s="136">
        <f t="shared" si="36"/>
        <v>0</v>
      </c>
      <c r="BU255" s="136">
        <f t="shared" si="38"/>
        <v>0</v>
      </c>
      <c r="BV255" s="136">
        <f t="shared" si="38"/>
        <v>0</v>
      </c>
      <c r="BW255" s="136">
        <f t="shared" si="38"/>
        <v>0</v>
      </c>
      <c r="BX255" s="136">
        <f t="shared" si="38"/>
        <v>0</v>
      </c>
      <c r="BZ255" s="136">
        <f t="shared" si="39"/>
        <v>0</v>
      </c>
      <c r="CA255" s="136">
        <f t="shared" si="39"/>
        <v>0</v>
      </c>
    </row>
    <row r="256" spans="12:79" hidden="1" x14ac:dyDescent="0.3">
      <c r="L256" s="136">
        <f t="shared" si="37"/>
        <v>0</v>
      </c>
      <c r="M256" s="136">
        <f t="shared" si="37"/>
        <v>0</v>
      </c>
      <c r="N256" s="136">
        <f t="shared" si="37"/>
        <v>0</v>
      </c>
      <c r="O256" s="136">
        <f t="shared" si="37"/>
        <v>0</v>
      </c>
      <c r="P256" s="136">
        <f t="shared" si="37"/>
        <v>0</v>
      </c>
      <c r="Q256" s="136">
        <f t="shared" si="37"/>
        <v>0</v>
      </c>
      <c r="R256" s="136">
        <f t="shared" si="37"/>
        <v>0</v>
      </c>
      <c r="S256" s="136">
        <f t="shared" si="37"/>
        <v>0</v>
      </c>
      <c r="T256" s="136">
        <f t="shared" si="37"/>
        <v>0</v>
      </c>
      <c r="U256" s="136">
        <f t="shared" si="37"/>
        <v>0</v>
      </c>
      <c r="V256" s="136">
        <f t="shared" si="37"/>
        <v>0</v>
      </c>
      <c r="W256" s="136">
        <f t="shared" si="37"/>
        <v>0</v>
      </c>
      <c r="X256" s="136">
        <f t="shared" si="37"/>
        <v>0</v>
      </c>
      <c r="Y256" s="136">
        <f t="shared" si="37"/>
        <v>0</v>
      </c>
      <c r="Z256" s="136">
        <f t="shared" si="37"/>
        <v>0</v>
      </c>
      <c r="AA256" s="136">
        <f t="shared" si="37"/>
        <v>0</v>
      </c>
      <c r="AB256" s="136">
        <f t="shared" si="37"/>
        <v>0</v>
      </c>
      <c r="AC256" s="136">
        <f t="shared" si="37"/>
        <v>0</v>
      </c>
      <c r="AD256" s="136">
        <f t="shared" si="37"/>
        <v>0</v>
      </c>
      <c r="AE256" s="136">
        <f t="shared" si="37"/>
        <v>0</v>
      </c>
      <c r="AF256" s="136">
        <f t="shared" si="37"/>
        <v>0</v>
      </c>
      <c r="AG256" s="136">
        <f t="shared" si="37"/>
        <v>0</v>
      </c>
      <c r="AH256" s="136">
        <f t="shared" si="37"/>
        <v>0</v>
      </c>
      <c r="AI256" s="136">
        <f t="shared" si="37"/>
        <v>0</v>
      </c>
      <c r="AJ256" s="136">
        <f t="shared" si="37"/>
        <v>0</v>
      </c>
      <c r="AK256" s="136">
        <f t="shared" si="37"/>
        <v>0</v>
      </c>
      <c r="AL256" s="136">
        <f t="shared" si="37"/>
        <v>0</v>
      </c>
      <c r="AM256" s="136">
        <f t="shared" si="37"/>
        <v>0</v>
      </c>
      <c r="AN256" s="136">
        <f t="shared" si="37"/>
        <v>0</v>
      </c>
      <c r="AO256" s="136">
        <f t="shared" si="37"/>
        <v>0</v>
      </c>
      <c r="AP256" s="136">
        <f t="shared" si="37"/>
        <v>0</v>
      </c>
      <c r="AQ256" s="136">
        <f t="shared" si="36"/>
        <v>0</v>
      </c>
      <c r="AR256" s="136">
        <f t="shared" si="36"/>
        <v>0</v>
      </c>
      <c r="AS256" s="136">
        <f t="shared" si="36"/>
        <v>0</v>
      </c>
      <c r="AT256" s="136">
        <f t="shared" si="36"/>
        <v>0</v>
      </c>
      <c r="AU256" s="136">
        <f t="shared" si="36"/>
        <v>0</v>
      </c>
      <c r="AV256" s="136">
        <f t="shared" si="36"/>
        <v>0</v>
      </c>
      <c r="AW256" s="136">
        <f t="shared" si="36"/>
        <v>0</v>
      </c>
      <c r="AX256" s="136">
        <f t="shared" si="36"/>
        <v>0</v>
      </c>
      <c r="AY256" s="136">
        <f t="shared" si="36"/>
        <v>0</v>
      </c>
      <c r="AZ256" s="136">
        <f t="shared" si="36"/>
        <v>0</v>
      </c>
      <c r="BA256" s="136">
        <f t="shared" si="36"/>
        <v>0</v>
      </c>
      <c r="BB256" s="136">
        <f t="shared" si="36"/>
        <v>0</v>
      </c>
      <c r="BC256" s="136">
        <f t="shared" si="36"/>
        <v>0</v>
      </c>
      <c r="BD256" s="136">
        <f t="shared" si="36"/>
        <v>0</v>
      </c>
      <c r="BE256" s="136">
        <f t="shared" si="36"/>
        <v>0</v>
      </c>
      <c r="BF256" s="136">
        <f t="shared" si="36"/>
        <v>0</v>
      </c>
      <c r="BG256" s="136">
        <f t="shared" si="36"/>
        <v>0</v>
      </c>
      <c r="BH256" s="136">
        <f t="shared" si="36"/>
        <v>0</v>
      </c>
      <c r="BI256" s="136">
        <f t="shared" si="36"/>
        <v>0</v>
      </c>
      <c r="BJ256" s="136">
        <f t="shared" si="36"/>
        <v>0</v>
      </c>
      <c r="BK256" s="136">
        <f t="shared" si="36"/>
        <v>0</v>
      </c>
      <c r="BL256" s="136">
        <f t="shared" si="36"/>
        <v>0</v>
      </c>
      <c r="BM256" s="136">
        <f t="shared" si="36"/>
        <v>0</v>
      </c>
      <c r="BN256" s="136">
        <f t="shared" si="36"/>
        <v>0</v>
      </c>
      <c r="BO256" s="136">
        <f t="shared" si="36"/>
        <v>0</v>
      </c>
      <c r="BU256" s="136">
        <f t="shared" si="38"/>
        <v>0</v>
      </c>
      <c r="BV256" s="136">
        <f t="shared" si="38"/>
        <v>0</v>
      </c>
      <c r="BW256" s="136">
        <f t="shared" si="38"/>
        <v>0</v>
      </c>
      <c r="BX256" s="136">
        <f t="shared" si="38"/>
        <v>0</v>
      </c>
      <c r="BZ256" s="136">
        <f t="shared" si="39"/>
        <v>0</v>
      </c>
      <c r="CA256" s="136">
        <f t="shared" si="39"/>
        <v>0</v>
      </c>
    </row>
    <row r="257" spans="12:79" hidden="1" x14ac:dyDescent="0.3">
      <c r="L257" s="136">
        <f t="shared" si="37"/>
        <v>0</v>
      </c>
      <c r="M257" s="136">
        <f t="shared" si="37"/>
        <v>0</v>
      </c>
      <c r="N257" s="136">
        <f t="shared" si="37"/>
        <v>0</v>
      </c>
      <c r="O257" s="136">
        <f t="shared" si="37"/>
        <v>0</v>
      </c>
      <c r="P257" s="136">
        <f t="shared" si="37"/>
        <v>0</v>
      </c>
      <c r="Q257" s="136">
        <f t="shared" si="37"/>
        <v>0</v>
      </c>
      <c r="R257" s="136">
        <f t="shared" si="37"/>
        <v>0</v>
      </c>
      <c r="S257" s="136">
        <f t="shared" si="37"/>
        <v>0</v>
      </c>
      <c r="T257" s="136">
        <f t="shared" si="37"/>
        <v>0</v>
      </c>
      <c r="U257" s="136">
        <f t="shared" si="37"/>
        <v>0</v>
      </c>
      <c r="V257" s="136">
        <f t="shared" si="37"/>
        <v>0</v>
      </c>
      <c r="W257" s="136">
        <f t="shared" si="37"/>
        <v>0</v>
      </c>
      <c r="X257" s="136">
        <f t="shared" si="37"/>
        <v>0</v>
      </c>
      <c r="Y257" s="136">
        <f t="shared" si="37"/>
        <v>0</v>
      </c>
      <c r="Z257" s="136">
        <f t="shared" si="37"/>
        <v>0</v>
      </c>
      <c r="AA257" s="136">
        <f t="shared" si="37"/>
        <v>0</v>
      </c>
      <c r="AB257" s="136">
        <f t="shared" si="37"/>
        <v>0</v>
      </c>
      <c r="AC257" s="136">
        <f t="shared" si="37"/>
        <v>0</v>
      </c>
      <c r="AD257" s="136">
        <f t="shared" si="37"/>
        <v>0</v>
      </c>
      <c r="AE257" s="136">
        <f t="shared" si="37"/>
        <v>0</v>
      </c>
      <c r="AF257" s="136">
        <f t="shared" si="37"/>
        <v>0</v>
      </c>
      <c r="AG257" s="136">
        <f t="shared" si="37"/>
        <v>0</v>
      </c>
      <c r="AH257" s="136">
        <f t="shared" si="37"/>
        <v>0</v>
      </c>
      <c r="AI257" s="136">
        <f t="shared" si="37"/>
        <v>0</v>
      </c>
      <c r="AJ257" s="136">
        <f t="shared" si="37"/>
        <v>0</v>
      </c>
      <c r="AK257" s="136">
        <f t="shared" si="37"/>
        <v>0</v>
      </c>
      <c r="AL257" s="136">
        <f t="shared" si="37"/>
        <v>0</v>
      </c>
      <c r="AM257" s="136">
        <f t="shared" si="37"/>
        <v>0</v>
      </c>
      <c r="AN257" s="136">
        <f t="shared" si="37"/>
        <v>0</v>
      </c>
      <c r="AO257" s="136">
        <f t="shared" si="37"/>
        <v>0</v>
      </c>
      <c r="AP257" s="136">
        <f t="shared" si="37"/>
        <v>0</v>
      </c>
      <c r="AQ257" s="136">
        <f t="shared" si="36"/>
        <v>0</v>
      </c>
      <c r="AR257" s="136">
        <f t="shared" si="36"/>
        <v>0</v>
      </c>
      <c r="AS257" s="136">
        <f t="shared" si="36"/>
        <v>0</v>
      </c>
      <c r="AT257" s="136">
        <f t="shared" si="36"/>
        <v>0</v>
      </c>
      <c r="AU257" s="136">
        <f t="shared" si="36"/>
        <v>0</v>
      </c>
      <c r="AV257" s="136">
        <f t="shared" si="36"/>
        <v>0</v>
      </c>
      <c r="AW257" s="136">
        <f t="shared" si="36"/>
        <v>0</v>
      </c>
      <c r="AX257" s="136">
        <f t="shared" si="36"/>
        <v>0</v>
      </c>
      <c r="AY257" s="136">
        <f t="shared" si="36"/>
        <v>0</v>
      </c>
      <c r="AZ257" s="136">
        <f t="shared" si="36"/>
        <v>0</v>
      </c>
      <c r="BA257" s="136">
        <f t="shared" si="36"/>
        <v>0</v>
      </c>
      <c r="BB257" s="136">
        <f t="shared" si="36"/>
        <v>0</v>
      </c>
      <c r="BC257" s="136">
        <f t="shared" si="36"/>
        <v>0</v>
      </c>
      <c r="BD257" s="136">
        <f t="shared" si="36"/>
        <v>0</v>
      </c>
      <c r="BE257" s="136">
        <f t="shared" si="36"/>
        <v>0</v>
      </c>
      <c r="BF257" s="136">
        <f t="shared" si="36"/>
        <v>0</v>
      </c>
      <c r="BG257" s="136">
        <f t="shared" si="36"/>
        <v>0</v>
      </c>
      <c r="BH257" s="136">
        <f t="shared" si="36"/>
        <v>0</v>
      </c>
      <c r="BI257" s="136">
        <f t="shared" si="36"/>
        <v>0</v>
      </c>
      <c r="BJ257" s="136">
        <f t="shared" si="36"/>
        <v>0</v>
      </c>
      <c r="BK257" s="136">
        <f t="shared" si="36"/>
        <v>0</v>
      </c>
      <c r="BL257" s="136">
        <f t="shared" si="36"/>
        <v>0</v>
      </c>
      <c r="BM257" s="136">
        <f t="shared" si="36"/>
        <v>0</v>
      </c>
      <c r="BN257" s="136">
        <f t="shared" si="36"/>
        <v>0</v>
      </c>
      <c r="BO257" s="136">
        <f t="shared" si="36"/>
        <v>0</v>
      </c>
      <c r="BU257" s="136">
        <f t="shared" si="38"/>
        <v>0</v>
      </c>
      <c r="BV257" s="136">
        <f t="shared" si="38"/>
        <v>0</v>
      </c>
      <c r="BW257" s="136">
        <f t="shared" si="38"/>
        <v>0</v>
      </c>
      <c r="BX257" s="136">
        <f t="shared" si="38"/>
        <v>0</v>
      </c>
      <c r="BZ257" s="136">
        <f t="shared" si="39"/>
        <v>0</v>
      </c>
      <c r="CA257" s="136">
        <f t="shared" si="39"/>
        <v>0</v>
      </c>
    </row>
    <row r="258" spans="12:79" hidden="1" x14ac:dyDescent="0.3">
      <c r="L258" s="136">
        <f t="shared" si="37"/>
        <v>0</v>
      </c>
      <c r="M258" s="136">
        <f t="shared" si="37"/>
        <v>0</v>
      </c>
      <c r="N258" s="136">
        <f t="shared" si="37"/>
        <v>0</v>
      </c>
      <c r="O258" s="136">
        <f t="shared" si="37"/>
        <v>0</v>
      </c>
      <c r="P258" s="136">
        <f t="shared" si="37"/>
        <v>0</v>
      </c>
      <c r="Q258" s="136">
        <f t="shared" si="37"/>
        <v>0</v>
      </c>
      <c r="R258" s="136">
        <f t="shared" si="37"/>
        <v>0</v>
      </c>
      <c r="S258" s="136">
        <f t="shared" ref="S258:AP268" si="40">S85-CK85</f>
        <v>0</v>
      </c>
      <c r="T258" s="136">
        <f t="shared" si="40"/>
        <v>0</v>
      </c>
      <c r="U258" s="136">
        <f t="shared" si="40"/>
        <v>0</v>
      </c>
      <c r="V258" s="136">
        <f t="shared" si="40"/>
        <v>0</v>
      </c>
      <c r="W258" s="136">
        <f t="shared" si="40"/>
        <v>0</v>
      </c>
      <c r="X258" s="136">
        <f t="shared" si="40"/>
        <v>0</v>
      </c>
      <c r="Y258" s="136">
        <f t="shared" si="40"/>
        <v>0</v>
      </c>
      <c r="Z258" s="136">
        <f t="shared" si="40"/>
        <v>0</v>
      </c>
      <c r="AA258" s="136">
        <f t="shared" si="40"/>
        <v>0</v>
      </c>
      <c r="AB258" s="136">
        <f t="shared" si="40"/>
        <v>0</v>
      </c>
      <c r="AC258" s="136">
        <f t="shared" si="40"/>
        <v>0</v>
      </c>
      <c r="AD258" s="136">
        <f t="shared" si="40"/>
        <v>0</v>
      </c>
      <c r="AE258" s="136">
        <f t="shared" si="40"/>
        <v>0</v>
      </c>
      <c r="AF258" s="136">
        <f t="shared" si="40"/>
        <v>0</v>
      </c>
      <c r="AG258" s="136">
        <f t="shared" si="40"/>
        <v>0</v>
      </c>
      <c r="AH258" s="136">
        <f t="shared" si="40"/>
        <v>0</v>
      </c>
      <c r="AI258" s="136">
        <f t="shared" si="40"/>
        <v>0</v>
      </c>
      <c r="AJ258" s="136">
        <f t="shared" si="40"/>
        <v>0</v>
      </c>
      <c r="AK258" s="136">
        <f t="shared" si="40"/>
        <v>0</v>
      </c>
      <c r="AL258" s="136">
        <f t="shared" si="40"/>
        <v>0</v>
      </c>
      <c r="AM258" s="136">
        <f t="shared" si="40"/>
        <v>0</v>
      </c>
      <c r="AN258" s="136">
        <f t="shared" si="40"/>
        <v>0</v>
      </c>
      <c r="AO258" s="136">
        <f t="shared" si="40"/>
        <v>0</v>
      </c>
      <c r="AP258" s="136">
        <f t="shared" si="40"/>
        <v>0</v>
      </c>
      <c r="AQ258" s="136">
        <f t="shared" si="36"/>
        <v>0</v>
      </c>
      <c r="AR258" s="136">
        <f t="shared" si="36"/>
        <v>0</v>
      </c>
      <c r="AS258" s="136">
        <f t="shared" si="36"/>
        <v>0</v>
      </c>
      <c r="AT258" s="136">
        <f t="shared" si="36"/>
        <v>0</v>
      </c>
      <c r="AU258" s="136">
        <f t="shared" si="36"/>
        <v>0</v>
      </c>
      <c r="AV258" s="136">
        <f t="shared" si="36"/>
        <v>0</v>
      </c>
      <c r="AW258" s="136">
        <f t="shared" si="36"/>
        <v>0</v>
      </c>
      <c r="AX258" s="136">
        <f t="shared" si="36"/>
        <v>0</v>
      </c>
      <c r="AY258" s="136">
        <f t="shared" si="36"/>
        <v>0</v>
      </c>
      <c r="AZ258" s="136">
        <f t="shared" si="36"/>
        <v>0</v>
      </c>
      <c r="BA258" s="136">
        <f t="shared" si="36"/>
        <v>0</v>
      </c>
      <c r="BB258" s="136">
        <f t="shared" si="36"/>
        <v>0</v>
      </c>
      <c r="BC258" s="136">
        <f t="shared" si="36"/>
        <v>0</v>
      </c>
      <c r="BD258" s="136">
        <f t="shared" si="36"/>
        <v>0</v>
      </c>
      <c r="BE258" s="136">
        <f t="shared" si="36"/>
        <v>0</v>
      </c>
      <c r="BF258" s="136">
        <f t="shared" si="36"/>
        <v>0</v>
      </c>
      <c r="BG258" s="136">
        <f t="shared" si="36"/>
        <v>0</v>
      </c>
      <c r="BH258" s="136">
        <f t="shared" si="36"/>
        <v>0</v>
      </c>
      <c r="BI258" s="136">
        <f t="shared" si="36"/>
        <v>0</v>
      </c>
      <c r="BJ258" s="136">
        <f t="shared" si="36"/>
        <v>0</v>
      </c>
      <c r="BK258" s="136">
        <f t="shared" si="36"/>
        <v>0</v>
      </c>
      <c r="BL258" s="136">
        <f t="shared" si="36"/>
        <v>0</v>
      </c>
      <c r="BM258" s="136">
        <f t="shared" si="36"/>
        <v>0</v>
      </c>
      <c r="BN258" s="136">
        <f t="shared" si="36"/>
        <v>0</v>
      </c>
      <c r="BO258" s="136">
        <f t="shared" si="36"/>
        <v>0</v>
      </c>
      <c r="BU258" s="136">
        <f t="shared" si="38"/>
        <v>0</v>
      </c>
      <c r="BV258" s="136">
        <f t="shared" si="38"/>
        <v>0</v>
      </c>
      <c r="BW258" s="136">
        <f t="shared" si="38"/>
        <v>0</v>
      </c>
      <c r="BX258" s="136">
        <f t="shared" si="38"/>
        <v>0</v>
      </c>
      <c r="BZ258" s="136">
        <f t="shared" si="39"/>
        <v>0</v>
      </c>
      <c r="CA258" s="136">
        <f t="shared" si="39"/>
        <v>0</v>
      </c>
    </row>
    <row r="259" spans="12:79" hidden="1" x14ac:dyDescent="0.3">
      <c r="L259" s="136">
        <f t="shared" ref="L259:AA274" si="41">L86-CD86</f>
        <v>0</v>
      </c>
      <c r="M259" s="136">
        <f t="shared" si="41"/>
        <v>0</v>
      </c>
      <c r="N259" s="136">
        <f t="shared" si="41"/>
        <v>0</v>
      </c>
      <c r="O259" s="136">
        <f t="shared" si="41"/>
        <v>0</v>
      </c>
      <c r="P259" s="136">
        <f t="shared" si="41"/>
        <v>0</v>
      </c>
      <c r="Q259" s="136">
        <f t="shared" si="41"/>
        <v>0</v>
      </c>
      <c r="R259" s="136">
        <f t="shared" si="41"/>
        <v>0</v>
      </c>
      <c r="S259" s="136">
        <f t="shared" si="40"/>
        <v>0</v>
      </c>
      <c r="T259" s="136">
        <f t="shared" si="40"/>
        <v>0</v>
      </c>
      <c r="U259" s="136">
        <f t="shared" si="40"/>
        <v>0</v>
      </c>
      <c r="V259" s="136">
        <f t="shared" si="40"/>
        <v>0</v>
      </c>
      <c r="W259" s="136">
        <f t="shared" si="40"/>
        <v>0</v>
      </c>
      <c r="X259" s="136">
        <f t="shared" si="40"/>
        <v>0</v>
      </c>
      <c r="Y259" s="136">
        <f t="shared" si="40"/>
        <v>0</v>
      </c>
      <c r="Z259" s="136">
        <f t="shared" si="40"/>
        <v>0</v>
      </c>
      <c r="AA259" s="136">
        <f t="shared" si="40"/>
        <v>0</v>
      </c>
      <c r="AB259" s="136">
        <f t="shared" si="40"/>
        <v>0</v>
      </c>
      <c r="AC259" s="136">
        <f t="shared" si="40"/>
        <v>0</v>
      </c>
      <c r="AD259" s="136">
        <f t="shared" si="40"/>
        <v>0</v>
      </c>
      <c r="AE259" s="136">
        <f t="shared" si="40"/>
        <v>0</v>
      </c>
      <c r="AF259" s="136">
        <f t="shared" si="40"/>
        <v>0</v>
      </c>
      <c r="AG259" s="136">
        <f t="shared" si="40"/>
        <v>0</v>
      </c>
      <c r="AH259" s="136">
        <f t="shared" si="40"/>
        <v>0</v>
      </c>
      <c r="AI259" s="136">
        <f t="shared" si="40"/>
        <v>0</v>
      </c>
      <c r="AJ259" s="136">
        <f t="shared" si="40"/>
        <v>0</v>
      </c>
      <c r="AK259" s="136">
        <f t="shared" si="40"/>
        <v>0</v>
      </c>
      <c r="AL259" s="136">
        <f t="shared" si="40"/>
        <v>0</v>
      </c>
      <c r="AM259" s="136">
        <f t="shared" si="40"/>
        <v>0</v>
      </c>
      <c r="AN259" s="136">
        <f t="shared" si="40"/>
        <v>0</v>
      </c>
      <c r="AO259" s="136">
        <f t="shared" si="40"/>
        <v>0</v>
      </c>
      <c r="AP259" s="136">
        <f t="shared" si="40"/>
        <v>0</v>
      </c>
      <c r="AQ259" s="136">
        <f t="shared" si="36"/>
        <v>0</v>
      </c>
      <c r="AR259" s="136">
        <f t="shared" si="36"/>
        <v>0</v>
      </c>
      <c r="AS259" s="136">
        <f t="shared" si="36"/>
        <v>0</v>
      </c>
      <c r="AT259" s="136">
        <f t="shared" si="36"/>
        <v>0</v>
      </c>
      <c r="AU259" s="136">
        <f t="shared" si="36"/>
        <v>0</v>
      </c>
      <c r="AV259" s="136">
        <f t="shared" ref="AV259:BO271" si="42">AV86-DN86</f>
        <v>0</v>
      </c>
      <c r="AW259" s="136">
        <f t="shared" si="42"/>
        <v>0</v>
      </c>
      <c r="AX259" s="136">
        <f t="shared" si="42"/>
        <v>0</v>
      </c>
      <c r="AY259" s="136">
        <f t="shared" si="42"/>
        <v>0</v>
      </c>
      <c r="AZ259" s="136">
        <f t="shared" si="42"/>
        <v>0</v>
      </c>
      <c r="BA259" s="136">
        <f t="shared" si="42"/>
        <v>0</v>
      </c>
      <c r="BB259" s="136">
        <f t="shared" si="42"/>
        <v>0</v>
      </c>
      <c r="BC259" s="136">
        <f t="shared" si="42"/>
        <v>0</v>
      </c>
      <c r="BD259" s="136">
        <f t="shared" si="42"/>
        <v>0</v>
      </c>
      <c r="BE259" s="136">
        <f t="shared" si="42"/>
        <v>0</v>
      </c>
      <c r="BF259" s="136">
        <f t="shared" si="42"/>
        <v>0</v>
      </c>
      <c r="BG259" s="136">
        <f t="shared" si="42"/>
        <v>0</v>
      </c>
      <c r="BH259" s="136">
        <f t="shared" si="42"/>
        <v>0</v>
      </c>
      <c r="BI259" s="136">
        <f t="shared" si="42"/>
        <v>0</v>
      </c>
      <c r="BJ259" s="136">
        <f t="shared" si="42"/>
        <v>0</v>
      </c>
      <c r="BK259" s="136">
        <f t="shared" si="42"/>
        <v>0</v>
      </c>
      <c r="BL259" s="136">
        <f t="shared" si="42"/>
        <v>0</v>
      </c>
      <c r="BM259" s="136">
        <f t="shared" si="42"/>
        <v>0</v>
      </c>
      <c r="BN259" s="136">
        <f t="shared" si="42"/>
        <v>0</v>
      </c>
      <c r="BO259" s="136">
        <f t="shared" si="42"/>
        <v>0</v>
      </c>
      <c r="BU259" s="136">
        <f t="shared" si="38"/>
        <v>0</v>
      </c>
      <c r="BV259" s="136">
        <f t="shared" si="38"/>
        <v>0</v>
      </c>
      <c r="BW259" s="136">
        <f t="shared" si="38"/>
        <v>0</v>
      </c>
      <c r="BX259" s="136">
        <f t="shared" si="38"/>
        <v>0</v>
      </c>
      <c r="BZ259" s="136">
        <f t="shared" si="39"/>
        <v>0</v>
      </c>
      <c r="CA259" s="136">
        <f t="shared" si="39"/>
        <v>0</v>
      </c>
    </row>
    <row r="260" spans="12:79" hidden="1" x14ac:dyDescent="0.3">
      <c r="L260" s="136">
        <f t="shared" si="41"/>
        <v>0</v>
      </c>
      <c r="M260" s="136">
        <f t="shared" si="41"/>
        <v>0</v>
      </c>
      <c r="N260" s="136">
        <f t="shared" si="41"/>
        <v>0</v>
      </c>
      <c r="O260" s="136">
        <f t="shared" si="41"/>
        <v>0</v>
      </c>
      <c r="P260" s="136">
        <f t="shared" si="41"/>
        <v>0</v>
      </c>
      <c r="Q260" s="136">
        <f t="shared" si="41"/>
        <v>0</v>
      </c>
      <c r="R260" s="136">
        <f t="shared" si="41"/>
        <v>0</v>
      </c>
      <c r="S260" s="136">
        <f t="shared" si="40"/>
        <v>0</v>
      </c>
      <c r="T260" s="136">
        <f t="shared" si="40"/>
        <v>0</v>
      </c>
      <c r="U260" s="136">
        <f t="shared" si="40"/>
        <v>0</v>
      </c>
      <c r="V260" s="136">
        <f t="shared" si="40"/>
        <v>0</v>
      </c>
      <c r="W260" s="136">
        <f t="shared" si="40"/>
        <v>0</v>
      </c>
      <c r="X260" s="136">
        <f t="shared" si="40"/>
        <v>0</v>
      </c>
      <c r="Y260" s="136">
        <f t="shared" si="40"/>
        <v>0</v>
      </c>
      <c r="Z260" s="136">
        <f t="shared" si="40"/>
        <v>0</v>
      </c>
      <c r="AA260" s="136">
        <f t="shared" si="40"/>
        <v>0</v>
      </c>
      <c r="AB260" s="136">
        <f t="shared" si="40"/>
        <v>0</v>
      </c>
      <c r="AC260" s="136">
        <f t="shared" si="40"/>
        <v>0</v>
      </c>
      <c r="AD260" s="136">
        <f t="shared" si="40"/>
        <v>0</v>
      </c>
      <c r="AE260" s="136">
        <f t="shared" si="40"/>
        <v>0</v>
      </c>
      <c r="AF260" s="136">
        <f t="shared" si="40"/>
        <v>0</v>
      </c>
      <c r="AG260" s="136">
        <f t="shared" si="40"/>
        <v>0</v>
      </c>
      <c r="AH260" s="136">
        <f t="shared" si="40"/>
        <v>0</v>
      </c>
      <c r="AI260" s="136">
        <f t="shared" si="40"/>
        <v>0</v>
      </c>
      <c r="AJ260" s="136">
        <f t="shared" si="40"/>
        <v>0</v>
      </c>
      <c r="AK260" s="136">
        <f t="shared" si="40"/>
        <v>0</v>
      </c>
      <c r="AL260" s="136">
        <f t="shared" si="40"/>
        <v>0</v>
      </c>
      <c r="AM260" s="136">
        <f t="shared" si="40"/>
        <v>0</v>
      </c>
      <c r="AN260" s="136">
        <f t="shared" si="40"/>
        <v>0</v>
      </c>
      <c r="AO260" s="136">
        <f t="shared" si="40"/>
        <v>0</v>
      </c>
      <c r="AP260" s="136">
        <f t="shared" si="40"/>
        <v>0</v>
      </c>
      <c r="AQ260" s="136">
        <f t="shared" ref="AQ260:BF275" si="43">AQ87-DI87</f>
        <v>0</v>
      </c>
      <c r="AR260" s="136">
        <f t="shared" si="43"/>
        <v>0</v>
      </c>
      <c r="AS260" s="136">
        <f t="shared" si="43"/>
        <v>0</v>
      </c>
      <c r="AT260" s="136">
        <f t="shared" si="43"/>
        <v>0</v>
      </c>
      <c r="AU260" s="136">
        <f t="shared" si="43"/>
        <v>0</v>
      </c>
      <c r="AV260" s="136">
        <f t="shared" si="42"/>
        <v>0</v>
      </c>
      <c r="AW260" s="136">
        <f t="shared" si="42"/>
        <v>0</v>
      </c>
      <c r="AX260" s="136">
        <f t="shared" si="42"/>
        <v>0</v>
      </c>
      <c r="AY260" s="136">
        <f t="shared" si="42"/>
        <v>0</v>
      </c>
      <c r="AZ260" s="136">
        <f t="shared" si="42"/>
        <v>0</v>
      </c>
      <c r="BA260" s="136">
        <f t="shared" si="42"/>
        <v>0</v>
      </c>
      <c r="BB260" s="136">
        <f t="shared" si="42"/>
        <v>0</v>
      </c>
      <c r="BC260" s="136">
        <f t="shared" si="42"/>
        <v>0</v>
      </c>
      <c r="BD260" s="136">
        <f t="shared" si="42"/>
        <v>0</v>
      </c>
      <c r="BE260" s="136">
        <f t="shared" si="42"/>
        <v>0</v>
      </c>
      <c r="BF260" s="136">
        <f t="shared" si="42"/>
        <v>0</v>
      </c>
      <c r="BG260" s="136">
        <f t="shared" si="42"/>
        <v>0</v>
      </c>
      <c r="BH260" s="136">
        <f t="shared" si="42"/>
        <v>0</v>
      </c>
      <c r="BI260" s="136">
        <f t="shared" si="42"/>
        <v>0</v>
      </c>
      <c r="BJ260" s="136">
        <f t="shared" si="42"/>
        <v>0</v>
      </c>
      <c r="BK260" s="136">
        <f t="shared" si="42"/>
        <v>0</v>
      </c>
      <c r="BL260" s="136">
        <f t="shared" si="42"/>
        <v>0</v>
      </c>
      <c r="BM260" s="136">
        <f t="shared" si="42"/>
        <v>0</v>
      </c>
      <c r="BN260" s="136">
        <f t="shared" si="42"/>
        <v>0</v>
      </c>
      <c r="BO260" s="136">
        <f t="shared" si="42"/>
        <v>0</v>
      </c>
      <c r="BU260" s="136">
        <f t="shared" si="38"/>
        <v>0</v>
      </c>
      <c r="BV260" s="136">
        <f t="shared" si="38"/>
        <v>0</v>
      </c>
      <c r="BW260" s="136">
        <f t="shared" si="38"/>
        <v>0</v>
      </c>
      <c r="BX260" s="136">
        <f t="shared" si="38"/>
        <v>0</v>
      </c>
      <c r="BZ260" s="136">
        <f t="shared" si="39"/>
        <v>0</v>
      </c>
      <c r="CA260" s="136">
        <f t="shared" si="39"/>
        <v>0</v>
      </c>
    </row>
    <row r="261" spans="12:79" hidden="1" x14ac:dyDescent="0.3">
      <c r="L261" s="136">
        <f t="shared" si="41"/>
        <v>0</v>
      </c>
      <c r="M261" s="136">
        <f t="shared" si="41"/>
        <v>0</v>
      </c>
      <c r="N261" s="136">
        <f t="shared" si="41"/>
        <v>0</v>
      </c>
      <c r="O261" s="136">
        <f t="shared" si="41"/>
        <v>0</v>
      </c>
      <c r="P261" s="136">
        <f t="shared" si="41"/>
        <v>0</v>
      </c>
      <c r="Q261" s="136">
        <f t="shared" si="41"/>
        <v>0</v>
      </c>
      <c r="R261" s="136">
        <f t="shared" si="41"/>
        <v>0</v>
      </c>
      <c r="S261" s="136">
        <f t="shared" si="40"/>
        <v>0</v>
      </c>
      <c r="T261" s="136">
        <f t="shared" si="40"/>
        <v>0</v>
      </c>
      <c r="U261" s="136">
        <f t="shared" si="40"/>
        <v>0</v>
      </c>
      <c r="V261" s="136">
        <f t="shared" si="40"/>
        <v>0</v>
      </c>
      <c r="W261" s="136">
        <f t="shared" si="40"/>
        <v>0</v>
      </c>
      <c r="X261" s="136">
        <f t="shared" si="40"/>
        <v>0</v>
      </c>
      <c r="Y261" s="136">
        <f t="shared" si="40"/>
        <v>0</v>
      </c>
      <c r="Z261" s="136">
        <f t="shared" si="40"/>
        <v>0</v>
      </c>
      <c r="AA261" s="136">
        <f t="shared" si="40"/>
        <v>0</v>
      </c>
      <c r="AB261" s="136">
        <f t="shared" si="40"/>
        <v>0</v>
      </c>
      <c r="AC261" s="136">
        <f t="shared" si="40"/>
        <v>0</v>
      </c>
      <c r="AD261" s="136">
        <f t="shared" si="40"/>
        <v>0</v>
      </c>
      <c r="AE261" s="136">
        <f t="shared" si="40"/>
        <v>0</v>
      </c>
      <c r="AF261" s="136">
        <f t="shared" si="40"/>
        <v>0</v>
      </c>
      <c r="AG261" s="136">
        <f t="shared" si="40"/>
        <v>0</v>
      </c>
      <c r="AH261" s="136">
        <f t="shared" si="40"/>
        <v>0</v>
      </c>
      <c r="AI261" s="136">
        <f t="shared" si="40"/>
        <v>0</v>
      </c>
      <c r="AJ261" s="136">
        <f t="shared" si="40"/>
        <v>0</v>
      </c>
      <c r="AK261" s="136">
        <f t="shared" si="40"/>
        <v>0</v>
      </c>
      <c r="AL261" s="136">
        <f t="shared" si="40"/>
        <v>0</v>
      </c>
      <c r="AM261" s="136">
        <f t="shared" si="40"/>
        <v>0</v>
      </c>
      <c r="AN261" s="136">
        <f t="shared" si="40"/>
        <v>0</v>
      </c>
      <c r="AO261" s="136">
        <f t="shared" si="40"/>
        <v>0</v>
      </c>
      <c r="AP261" s="136">
        <f t="shared" si="40"/>
        <v>0</v>
      </c>
      <c r="AQ261" s="136">
        <f t="shared" si="43"/>
        <v>0</v>
      </c>
      <c r="AR261" s="136">
        <f t="shared" si="43"/>
        <v>0</v>
      </c>
      <c r="AS261" s="136">
        <f t="shared" si="43"/>
        <v>0</v>
      </c>
      <c r="AT261" s="136">
        <f t="shared" si="43"/>
        <v>0</v>
      </c>
      <c r="AU261" s="136">
        <f t="shared" si="43"/>
        <v>0</v>
      </c>
      <c r="AV261" s="136">
        <f t="shared" si="42"/>
        <v>0</v>
      </c>
      <c r="AW261" s="136">
        <f t="shared" si="42"/>
        <v>0</v>
      </c>
      <c r="AX261" s="136">
        <f t="shared" si="42"/>
        <v>0</v>
      </c>
      <c r="AY261" s="136">
        <f t="shared" si="42"/>
        <v>0</v>
      </c>
      <c r="AZ261" s="136">
        <f t="shared" si="42"/>
        <v>0</v>
      </c>
      <c r="BA261" s="136">
        <f t="shared" si="42"/>
        <v>0</v>
      </c>
      <c r="BB261" s="136">
        <f t="shared" si="42"/>
        <v>0</v>
      </c>
      <c r="BC261" s="136">
        <f t="shared" si="42"/>
        <v>0</v>
      </c>
      <c r="BD261" s="136">
        <f t="shared" si="42"/>
        <v>0</v>
      </c>
      <c r="BE261" s="136">
        <f t="shared" si="42"/>
        <v>0</v>
      </c>
      <c r="BF261" s="136">
        <f t="shared" si="42"/>
        <v>0</v>
      </c>
      <c r="BG261" s="136">
        <f t="shared" si="42"/>
        <v>0</v>
      </c>
      <c r="BH261" s="136">
        <f t="shared" si="42"/>
        <v>0</v>
      </c>
      <c r="BI261" s="136">
        <f t="shared" si="42"/>
        <v>0</v>
      </c>
      <c r="BJ261" s="136">
        <f t="shared" si="42"/>
        <v>0</v>
      </c>
      <c r="BK261" s="136">
        <f t="shared" si="42"/>
        <v>0</v>
      </c>
      <c r="BL261" s="136">
        <f t="shared" si="42"/>
        <v>0</v>
      </c>
      <c r="BM261" s="136">
        <f t="shared" si="42"/>
        <v>0</v>
      </c>
      <c r="BN261" s="136">
        <f t="shared" si="42"/>
        <v>0</v>
      </c>
      <c r="BO261" s="136">
        <f t="shared" si="42"/>
        <v>0</v>
      </c>
      <c r="BU261" s="136">
        <f t="shared" si="38"/>
        <v>0</v>
      </c>
      <c r="BV261" s="136">
        <f t="shared" si="38"/>
        <v>0</v>
      </c>
      <c r="BW261" s="136">
        <f t="shared" si="38"/>
        <v>0</v>
      </c>
      <c r="BX261" s="136">
        <f t="shared" si="38"/>
        <v>0</v>
      </c>
      <c r="BZ261" s="136">
        <f t="shared" si="39"/>
        <v>0</v>
      </c>
      <c r="CA261" s="136">
        <f t="shared" si="39"/>
        <v>0</v>
      </c>
    </row>
    <row r="262" spans="12:79" hidden="1" x14ac:dyDescent="0.3">
      <c r="L262" s="136">
        <f t="shared" si="41"/>
        <v>0</v>
      </c>
      <c r="M262" s="136">
        <f t="shared" si="41"/>
        <v>0</v>
      </c>
      <c r="N262" s="136">
        <f t="shared" si="41"/>
        <v>0</v>
      </c>
      <c r="O262" s="136">
        <f t="shared" si="41"/>
        <v>0</v>
      </c>
      <c r="P262" s="136">
        <f t="shared" si="41"/>
        <v>0</v>
      </c>
      <c r="Q262" s="136">
        <f t="shared" si="41"/>
        <v>0</v>
      </c>
      <c r="R262" s="136">
        <f t="shared" si="41"/>
        <v>0</v>
      </c>
      <c r="S262" s="136">
        <f t="shared" si="40"/>
        <v>0</v>
      </c>
      <c r="T262" s="136">
        <f t="shared" si="40"/>
        <v>0</v>
      </c>
      <c r="U262" s="136">
        <f t="shared" si="40"/>
        <v>0</v>
      </c>
      <c r="V262" s="136">
        <f t="shared" si="40"/>
        <v>0</v>
      </c>
      <c r="W262" s="136">
        <f t="shared" si="40"/>
        <v>0</v>
      </c>
      <c r="X262" s="136">
        <f t="shared" si="40"/>
        <v>0</v>
      </c>
      <c r="Y262" s="136">
        <f t="shared" si="40"/>
        <v>0</v>
      </c>
      <c r="Z262" s="136">
        <f t="shared" si="40"/>
        <v>0</v>
      </c>
      <c r="AA262" s="136">
        <f t="shared" si="40"/>
        <v>0</v>
      </c>
      <c r="AB262" s="136">
        <f t="shared" si="40"/>
        <v>0</v>
      </c>
      <c r="AC262" s="136">
        <f t="shared" si="40"/>
        <v>0</v>
      </c>
      <c r="AD262" s="136">
        <f t="shared" si="40"/>
        <v>0</v>
      </c>
      <c r="AE262" s="136">
        <f t="shared" si="40"/>
        <v>0</v>
      </c>
      <c r="AF262" s="136">
        <f t="shared" si="40"/>
        <v>0</v>
      </c>
      <c r="AG262" s="136">
        <f t="shared" si="40"/>
        <v>0</v>
      </c>
      <c r="AH262" s="136">
        <f t="shared" si="40"/>
        <v>0</v>
      </c>
      <c r="AI262" s="136">
        <f t="shared" si="40"/>
        <v>0</v>
      </c>
      <c r="AJ262" s="136">
        <f t="shared" si="40"/>
        <v>0</v>
      </c>
      <c r="AK262" s="136">
        <f t="shared" si="40"/>
        <v>0</v>
      </c>
      <c r="AL262" s="136">
        <f t="shared" si="40"/>
        <v>0</v>
      </c>
      <c r="AM262" s="136">
        <f t="shared" si="40"/>
        <v>0</v>
      </c>
      <c r="AN262" s="136">
        <f t="shared" si="40"/>
        <v>0</v>
      </c>
      <c r="AO262" s="136">
        <f t="shared" si="40"/>
        <v>0</v>
      </c>
      <c r="AP262" s="136">
        <f t="shared" si="40"/>
        <v>0</v>
      </c>
      <c r="AQ262" s="136">
        <f t="shared" si="43"/>
        <v>0</v>
      </c>
      <c r="AR262" s="136">
        <f t="shared" si="43"/>
        <v>0</v>
      </c>
      <c r="AS262" s="136">
        <f t="shared" si="43"/>
        <v>0</v>
      </c>
      <c r="AT262" s="136">
        <f t="shared" si="43"/>
        <v>0</v>
      </c>
      <c r="AU262" s="136">
        <f t="shared" si="43"/>
        <v>0</v>
      </c>
      <c r="AV262" s="136">
        <f t="shared" si="42"/>
        <v>0</v>
      </c>
      <c r="AW262" s="136">
        <f t="shared" si="42"/>
        <v>0</v>
      </c>
      <c r="AX262" s="136">
        <f t="shared" si="42"/>
        <v>0</v>
      </c>
      <c r="AY262" s="136">
        <f t="shared" si="42"/>
        <v>0</v>
      </c>
      <c r="AZ262" s="136">
        <f t="shared" si="42"/>
        <v>0</v>
      </c>
      <c r="BA262" s="136">
        <f t="shared" si="42"/>
        <v>0</v>
      </c>
      <c r="BB262" s="136">
        <f t="shared" si="42"/>
        <v>0</v>
      </c>
      <c r="BC262" s="136">
        <f t="shared" si="42"/>
        <v>0</v>
      </c>
      <c r="BD262" s="136">
        <f t="shared" si="42"/>
        <v>0</v>
      </c>
      <c r="BE262" s="136">
        <f t="shared" si="42"/>
        <v>0</v>
      </c>
      <c r="BF262" s="136">
        <f t="shared" si="42"/>
        <v>0</v>
      </c>
      <c r="BG262" s="136">
        <f t="shared" si="42"/>
        <v>0</v>
      </c>
      <c r="BH262" s="136">
        <f t="shared" si="42"/>
        <v>0</v>
      </c>
      <c r="BI262" s="136">
        <f t="shared" si="42"/>
        <v>0</v>
      </c>
      <c r="BJ262" s="136">
        <f t="shared" si="42"/>
        <v>0</v>
      </c>
      <c r="BK262" s="136">
        <f t="shared" si="42"/>
        <v>0</v>
      </c>
      <c r="BL262" s="136">
        <f t="shared" si="42"/>
        <v>0</v>
      </c>
      <c r="BM262" s="136">
        <f t="shared" si="42"/>
        <v>0</v>
      </c>
      <c r="BN262" s="136">
        <f t="shared" si="42"/>
        <v>0</v>
      </c>
      <c r="BO262" s="136">
        <f t="shared" si="42"/>
        <v>0</v>
      </c>
      <c r="BU262" s="136">
        <f t="shared" si="38"/>
        <v>0</v>
      </c>
      <c r="BV262" s="136">
        <f t="shared" si="38"/>
        <v>0</v>
      </c>
      <c r="BW262" s="136">
        <f t="shared" si="38"/>
        <v>0</v>
      </c>
      <c r="BX262" s="136">
        <f t="shared" si="38"/>
        <v>0</v>
      </c>
      <c r="BZ262" s="136">
        <f t="shared" si="39"/>
        <v>0</v>
      </c>
      <c r="CA262" s="136">
        <f t="shared" si="39"/>
        <v>0</v>
      </c>
    </row>
    <row r="263" spans="12:79" hidden="1" x14ac:dyDescent="0.3">
      <c r="L263" s="136">
        <f t="shared" si="41"/>
        <v>0</v>
      </c>
      <c r="M263" s="136">
        <f t="shared" si="41"/>
        <v>0</v>
      </c>
      <c r="N263" s="136">
        <f t="shared" si="41"/>
        <v>0</v>
      </c>
      <c r="O263" s="136">
        <f t="shared" si="41"/>
        <v>0</v>
      </c>
      <c r="P263" s="136">
        <f t="shared" si="41"/>
        <v>0</v>
      </c>
      <c r="Q263" s="136">
        <f t="shared" si="41"/>
        <v>0</v>
      </c>
      <c r="R263" s="136">
        <f t="shared" si="41"/>
        <v>0</v>
      </c>
      <c r="S263" s="136">
        <f t="shared" si="40"/>
        <v>0</v>
      </c>
      <c r="T263" s="136">
        <f t="shared" si="40"/>
        <v>0</v>
      </c>
      <c r="U263" s="136">
        <f t="shared" si="40"/>
        <v>0</v>
      </c>
      <c r="V263" s="136">
        <f t="shared" si="40"/>
        <v>0</v>
      </c>
      <c r="W263" s="136">
        <f t="shared" si="40"/>
        <v>0</v>
      </c>
      <c r="X263" s="136">
        <f t="shared" si="40"/>
        <v>0</v>
      </c>
      <c r="Y263" s="136">
        <f t="shared" si="40"/>
        <v>0</v>
      </c>
      <c r="Z263" s="136">
        <f t="shared" si="40"/>
        <v>0</v>
      </c>
      <c r="AA263" s="136">
        <f t="shared" si="40"/>
        <v>0</v>
      </c>
      <c r="AB263" s="136">
        <f t="shared" si="40"/>
        <v>0</v>
      </c>
      <c r="AC263" s="136">
        <f t="shared" si="40"/>
        <v>0</v>
      </c>
      <c r="AD263" s="136">
        <f t="shared" si="40"/>
        <v>0</v>
      </c>
      <c r="AE263" s="136">
        <f t="shared" si="40"/>
        <v>0</v>
      </c>
      <c r="AF263" s="136">
        <f t="shared" si="40"/>
        <v>0</v>
      </c>
      <c r="AG263" s="136">
        <f t="shared" si="40"/>
        <v>0</v>
      </c>
      <c r="AH263" s="136">
        <f t="shared" si="40"/>
        <v>0</v>
      </c>
      <c r="AI263" s="136">
        <f t="shared" si="40"/>
        <v>0</v>
      </c>
      <c r="AJ263" s="136">
        <f t="shared" si="40"/>
        <v>0</v>
      </c>
      <c r="AK263" s="136">
        <f t="shared" si="40"/>
        <v>0</v>
      </c>
      <c r="AL263" s="136">
        <f t="shared" si="40"/>
        <v>0</v>
      </c>
      <c r="AM263" s="136">
        <f t="shared" si="40"/>
        <v>0</v>
      </c>
      <c r="AN263" s="136">
        <f t="shared" si="40"/>
        <v>0</v>
      </c>
      <c r="AO263" s="136">
        <f t="shared" si="40"/>
        <v>0</v>
      </c>
      <c r="AP263" s="136">
        <f t="shared" si="40"/>
        <v>0</v>
      </c>
      <c r="AQ263" s="136">
        <f t="shared" si="43"/>
        <v>0</v>
      </c>
      <c r="AR263" s="136">
        <f t="shared" si="43"/>
        <v>0</v>
      </c>
      <c r="AS263" s="136">
        <f t="shared" si="43"/>
        <v>0</v>
      </c>
      <c r="AT263" s="136">
        <f t="shared" si="43"/>
        <v>0</v>
      </c>
      <c r="AU263" s="136">
        <f t="shared" si="43"/>
        <v>0</v>
      </c>
      <c r="AV263" s="136">
        <f t="shared" si="42"/>
        <v>0</v>
      </c>
      <c r="AW263" s="136">
        <f t="shared" si="42"/>
        <v>0</v>
      </c>
      <c r="AX263" s="136">
        <f t="shared" si="42"/>
        <v>0</v>
      </c>
      <c r="AY263" s="136">
        <f t="shared" si="42"/>
        <v>0</v>
      </c>
      <c r="AZ263" s="136">
        <f t="shared" si="42"/>
        <v>0</v>
      </c>
      <c r="BA263" s="136">
        <f t="shared" si="42"/>
        <v>0</v>
      </c>
      <c r="BB263" s="136">
        <f t="shared" si="42"/>
        <v>0</v>
      </c>
      <c r="BC263" s="136">
        <f t="shared" si="42"/>
        <v>0</v>
      </c>
      <c r="BD263" s="136">
        <f t="shared" si="42"/>
        <v>0</v>
      </c>
      <c r="BE263" s="136">
        <f t="shared" si="42"/>
        <v>0</v>
      </c>
      <c r="BF263" s="136">
        <f t="shared" si="42"/>
        <v>0</v>
      </c>
      <c r="BG263" s="136">
        <f t="shared" si="42"/>
        <v>0</v>
      </c>
      <c r="BH263" s="136">
        <f t="shared" si="42"/>
        <v>0</v>
      </c>
      <c r="BI263" s="136">
        <f t="shared" si="42"/>
        <v>0</v>
      </c>
      <c r="BJ263" s="136">
        <f t="shared" si="42"/>
        <v>0</v>
      </c>
      <c r="BK263" s="136">
        <f t="shared" si="42"/>
        <v>0</v>
      </c>
      <c r="BL263" s="136">
        <f t="shared" si="42"/>
        <v>0</v>
      </c>
      <c r="BM263" s="136">
        <f t="shared" si="42"/>
        <v>0</v>
      </c>
      <c r="BN263" s="136">
        <f t="shared" si="42"/>
        <v>0</v>
      </c>
      <c r="BO263" s="136">
        <f t="shared" si="42"/>
        <v>0</v>
      </c>
      <c r="BU263" s="136">
        <f t="shared" si="38"/>
        <v>0</v>
      </c>
      <c r="BV263" s="136">
        <f t="shared" si="38"/>
        <v>0</v>
      </c>
      <c r="BW263" s="136">
        <f t="shared" si="38"/>
        <v>0</v>
      </c>
      <c r="BX263" s="136">
        <f t="shared" si="38"/>
        <v>0</v>
      </c>
      <c r="BZ263" s="136">
        <f t="shared" si="39"/>
        <v>0</v>
      </c>
      <c r="CA263" s="136">
        <f t="shared" si="39"/>
        <v>0</v>
      </c>
    </row>
    <row r="264" spans="12:79" hidden="1" x14ac:dyDescent="0.3">
      <c r="L264" s="136">
        <f t="shared" si="41"/>
        <v>0</v>
      </c>
      <c r="M264" s="136">
        <f t="shared" si="41"/>
        <v>0</v>
      </c>
      <c r="N264" s="136">
        <f t="shared" si="41"/>
        <v>0</v>
      </c>
      <c r="O264" s="136">
        <f t="shared" si="41"/>
        <v>0</v>
      </c>
      <c r="P264" s="136">
        <f t="shared" si="41"/>
        <v>0</v>
      </c>
      <c r="Q264" s="136">
        <f t="shared" si="41"/>
        <v>0</v>
      </c>
      <c r="R264" s="136">
        <f t="shared" si="41"/>
        <v>0</v>
      </c>
      <c r="S264" s="136">
        <f t="shared" si="40"/>
        <v>0</v>
      </c>
      <c r="T264" s="136">
        <f t="shared" si="40"/>
        <v>0</v>
      </c>
      <c r="U264" s="136">
        <f t="shared" si="40"/>
        <v>0</v>
      </c>
      <c r="V264" s="136">
        <f t="shared" si="40"/>
        <v>0</v>
      </c>
      <c r="W264" s="136">
        <f t="shared" si="40"/>
        <v>0</v>
      </c>
      <c r="X264" s="136">
        <f t="shared" si="40"/>
        <v>0</v>
      </c>
      <c r="Y264" s="136">
        <f t="shared" si="40"/>
        <v>0</v>
      </c>
      <c r="Z264" s="136">
        <f t="shared" si="40"/>
        <v>0</v>
      </c>
      <c r="AA264" s="136">
        <f t="shared" si="40"/>
        <v>0</v>
      </c>
      <c r="AB264" s="136">
        <f t="shared" si="40"/>
        <v>0</v>
      </c>
      <c r="AC264" s="136">
        <f t="shared" si="40"/>
        <v>0</v>
      </c>
      <c r="AD264" s="136">
        <f t="shared" si="40"/>
        <v>0</v>
      </c>
      <c r="AE264" s="136">
        <f t="shared" si="40"/>
        <v>0</v>
      </c>
      <c r="AF264" s="136">
        <f t="shared" si="40"/>
        <v>0</v>
      </c>
      <c r="AG264" s="136">
        <f t="shared" si="40"/>
        <v>0</v>
      </c>
      <c r="AH264" s="136">
        <f t="shared" si="40"/>
        <v>0</v>
      </c>
      <c r="AI264" s="136">
        <f t="shared" si="40"/>
        <v>0</v>
      </c>
      <c r="AJ264" s="136">
        <f t="shared" si="40"/>
        <v>0</v>
      </c>
      <c r="AK264" s="136">
        <f t="shared" si="40"/>
        <v>0</v>
      </c>
      <c r="AL264" s="136">
        <f t="shared" si="40"/>
        <v>0</v>
      </c>
      <c r="AM264" s="136">
        <f t="shared" si="40"/>
        <v>0</v>
      </c>
      <c r="AN264" s="136">
        <f t="shared" si="40"/>
        <v>0</v>
      </c>
      <c r="AO264" s="136">
        <f t="shared" si="40"/>
        <v>0</v>
      </c>
      <c r="AP264" s="136">
        <f t="shared" si="40"/>
        <v>0</v>
      </c>
      <c r="AQ264" s="136">
        <f t="shared" si="43"/>
        <v>0</v>
      </c>
      <c r="AR264" s="136">
        <f t="shared" si="43"/>
        <v>0</v>
      </c>
      <c r="AS264" s="136">
        <f t="shared" si="43"/>
        <v>0</v>
      </c>
      <c r="AT264" s="136">
        <f t="shared" si="43"/>
        <v>0</v>
      </c>
      <c r="AU264" s="136">
        <f t="shared" si="43"/>
        <v>0</v>
      </c>
      <c r="AV264" s="136">
        <f t="shared" si="42"/>
        <v>0</v>
      </c>
      <c r="AW264" s="136">
        <f t="shared" si="42"/>
        <v>0</v>
      </c>
      <c r="AX264" s="136">
        <f t="shared" si="42"/>
        <v>0</v>
      </c>
      <c r="AY264" s="136">
        <f t="shared" si="42"/>
        <v>0</v>
      </c>
      <c r="AZ264" s="136">
        <f t="shared" si="42"/>
        <v>0</v>
      </c>
      <c r="BA264" s="136">
        <f t="shared" si="42"/>
        <v>0</v>
      </c>
      <c r="BB264" s="136">
        <f t="shared" si="42"/>
        <v>0</v>
      </c>
      <c r="BC264" s="136">
        <f t="shared" si="42"/>
        <v>0</v>
      </c>
      <c r="BD264" s="136">
        <f t="shared" si="42"/>
        <v>0</v>
      </c>
      <c r="BE264" s="136">
        <f t="shared" si="42"/>
        <v>0</v>
      </c>
      <c r="BF264" s="136">
        <f t="shared" si="42"/>
        <v>0</v>
      </c>
      <c r="BG264" s="136">
        <f t="shared" si="42"/>
        <v>0</v>
      </c>
      <c r="BH264" s="136">
        <f t="shared" si="42"/>
        <v>0</v>
      </c>
      <c r="BI264" s="136">
        <f t="shared" si="42"/>
        <v>0</v>
      </c>
      <c r="BJ264" s="136">
        <f t="shared" si="42"/>
        <v>0</v>
      </c>
      <c r="BK264" s="136">
        <f t="shared" si="42"/>
        <v>0</v>
      </c>
      <c r="BL264" s="136">
        <f t="shared" si="42"/>
        <v>0</v>
      </c>
      <c r="BM264" s="136">
        <f t="shared" si="42"/>
        <v>0</v>
      </c>
      <c r="BN264" s="136">
        <f t="shared" si="42"/>
        <v>0</v>
      </c>
      <c r="BO264" s="136">
        <f t="shared" si="42"/>
        <v>0</v>
      </c>
      <c r="BU264" s="136">
        <f t="shared" si="38"/>
        <v>0</v>
      </c>
      <c r="BV264" s="136">
        <f t="shared" si="38"/>
        <v>0</v>
      </c>
      <c r="BW264" s="136">
        <f t="shared" si="38"/>
        <v>0</v>
      </c>
      <c r="BX264" s="136">
        <f t="shared" si="38"/>
        <v>0</v>
      </c>
      <c r="BZ264" s="136">
        <f t="shared" si="39"/>
        <v>0</v>
      </c>
      <c r="CA264" s="136">
        <f t="shared" si="39"/>
        <v>0</v>
      </c>
    </row>
    <row r="265" spans="12:79" hidden="1" x14ac:dyDescent="0.3">
      <c r="L265" s="136">
        <f t="shared" si="41"/>
        <v>0</v>
      </c>
      <c r="M265" s="136">
        <f t="shared" si="41"/>
        <v>0</v>
      </c>
      <c r="N265" s="136">
        <f t="shared" si="41"/>
        <v>0</v>
      </c>
      <c r="O265" s="136">
        <f t="shared" si="41"/>
        <v>0</v>
      </c>
      <c r="P265" s="136">
        <f t="shared" si="41"/>
        <v>0</v>
      </c>
      <c r="Q265" s="136">
        <f t="shared" si="41"/>
        <v>0</v>
      </c>
      <c r="R265" s="136">
        <f t="shared" si="41"/>
        <v>0</v>
      </c>
      <c r="S265" s="136">
        <f t="shared" si="40"/>
        <v>0</v>
      </c>
      <c r="T265" s="136">
        <f t="shared" si="40"/>
        <v>0</v>
      </c>
      <c r="U265" s="136">
        <f t="shared" si="40"/>
        <v>0</v>
      </c>
      <c r="V265" s="136">
        <f t="shared" si="40"/>
        <v>0</v>
      </c>
      <c r="W265" s="136">
        <f t="shared" si="40"/>
        <v>0</v>
      </c>
      <c r="X265" s="136">
        <f t="shared" si="40"/>
        <v>0</v>
      </c>
      <c r="Y265" s="136">
        <f t="shared" si="40"/>
        <v>0</v>
      </c>
      <c r="Z265" s="136">
        <f t="shared" si="40"/>
        <v>0</v>
      </c>
      <c r="AA265" s="136">
        <f t="shared" si="40"/>
        <v>0</v>
      </c>
      <c r="AB265" s="136">
        <f t="shared" si="40"/>
        <v>0</v>
      </c>
      <c r="AC265" s="136">
        <f t="shared" si="40"/>
        <v>0</v>
      </c>
      <c r="AD265" s="136">
        <f t="shared" si="40"/>
        <v>0</v>
      </c>
      <c r="AE265" s="136">
        <f t="shared" si="40"/>
        <v>0</v>
      </c>
      <c r="AF265" s="136">
        <f t="shared" si="40"/>
        <v>0</v>
      </c>
      <c r="AG265" s="136">
        <f t="shared" si="40"/>
        <v>0</v>
      </c>
      <c r="AH265" s="136">
        <f t="shared" si="40"/>
        <v>0</v>
      </c>
      <c r="AI265" s="136">
        <f t="shared" si="40"/>
        <v>0</v>
      </c>
      <c r="AJ265" s="136">
        <f t="shared" si="40"/>
        <v>0</v>
      </c>
      <c r="AK265" s="136">
        <f t="shared" si="40"/>
        <v>0</v>
      </c>
      <c r="AL265" s="136">
        <f t="shared" si="40"/>
        <v>0</v>
      </c>
      <c r="AM265" s="136">
        <f t="shared" si="40"/>
        <v>0</v>
      </c>
      <c r="AN265" s="136">
        <f t="shared" si="40"/>
        <v>0</v>
      </c>
      <c r="AO265" s="136">
        <f t="shared" si="40"/>
        <v>0</v>
      </c>
      <c r="AP265" s="136">
        <f t="shared" si="40"/>
        <v>0</v>
      </c>
      <c r="AQ265" s="136">
        <f t="shared" si="43"/>
        <v>0</v>
      </c>
      <c r="AR265" s="136">
        <f t="shared" si="43"/>
        <v>0</v>
      </c>
      <c r="AS265" s="136">
        <f t="shared" si="43"/>
        <v>0</v>
      </c>
      <c r="AT265" s="136">
        <f t="shared" si="43"/>
        <v>0</v>
      </c>
      <c r="AU265" s="136">
        <f t="shared" si="43"/>
        <v>0</v>
      </c>
      <c r="AV265" s="136">
        <f t="shared" si="42"/>
        <v>0</v>
      </c>
      <c r="AW265" s="136">
        <f t="shared" si="42"/>
        <v>0</v>
      </c>
      <c r="AX265" s="136">
        <f t="shared" si="42"/>
        <v>0</v>
      </c>
      <c r="AY265" s="136">
        <f t="shared" si="42"/>
        <v>0</v>
      </c>
      <c r="AZ265" s="136">
        <f t="shared" si="42"/>
        <v>0</v>
      </c>
      <c r="BA265" s="136">
        <f t="shared" si="42"/>
        <v>0</v>
      </c>
      <c r="BB265" s="136">
        <f t="shared" si="42"/>
        <v>0</v>
      </c>
      <c r="BC265" s="136">
        <f t="shared" si="42"/>
        <v>0</v>
      </c>
      <c r="BD265" s="136">
        <f t="shared" si="42"/>
        <v>0</v>
      </c>
      <c r="BE265" s="136">
        <f t="shared" si="42"/>
        <v>0</v>
      </c>
      <c r="BF265" s="136">
        <f t="shared" si="42"/>
        <v>0</v>
      </c>
      <c r="BG265" s="136">
        <f t="shared" si="42"/>
        <v>0</v>
      </c>
      <c r="BH265" s="136">
        <f t="shared" si="42"/>
        <v>0</v>
      </c>
      <c r="BI265" s="136">
        <f t="shared" si="42"/>
        <v>0</v>
      </c>
      <c r="BJ265" s="136">
        <f t="shared" si="42"/>
        <v>0</v>
      </c>
      <c r="BK265" s="136">
        <f t="shared" si="42"/>
        <v>0</v>
      </c>
      <c r="BL265" s="136">
        <f t="shared" si="42"/>
        <v>0</v>
      </c>
      <c r="BM265" s="136">
        <f t="shared" si="42"/>
        <v>0</v>
      </c>
      <c r="BN265" s="136">
        <f t="shared" si="42"/>
        <v>0</v>
      </c>
      <c r="BO265" s="136">
        <f t="shared" si="42"/>
        <v>0</v>
      </c>
      <c r="BU265" s="136">
        <f t="shared" si="38"/>
        <v>0</v>
      </c>
      <c r="BV265" s="136">
        <f t="shared" si="38"/>
        <v>0</v>
      </c>
      <c r="BW265" s="136">
        <f t="shared" si="38"/>
        <v>0</v>
      </c>
      <c r="BX265" s="136">
        <f t="shared" si="38"/>
        <v>0</v>
      </c>
      <c r="BZ265" s="136">
        <f t="shared" si="39"/>
        <v>0</v>
      </c>
      <c r="CA265" s="136">
        <f t="shared" si="39"/>
        <v>0</v>
      </c>
    </row>
    <row r="266" spans="12:79" hidden="1" x14ac:dyDescent="0.3">
      <c r="L266" s="136">
        <f t="shared" si="41"/>
        <v>0</v>
      </c>
      <c r="M266" s="136">
        <f t="shared" si="41"/>
        <v>0</v>
      </c>
      <c r="N266" s="136">
        <f t="shared" si="41"/>
        <v>0</v>
      </c>
      <c r="O266" s="136">
        <f t="shared" si="41"/>
        <v>0</v>
      </c>
      <c r="P266" s="136">
        <f t="shared" si="41"/>
        <v>0</v>
      </c>
      <c r="Q266" s="136">
        <f t="shared" si="41"/>
        <v>0</v>
      </c>
      <c r="R266" s="136">
        <f t="shared" si="41"/>
        <v>0</v>
      </c>
      <c r="S266" s="136">
        <f t="shared" si="40"/>
        <v>0</v>
      </c>
      <c r="T266" s="136">
        <f t="shared" si="40"/>
        <v>0</v>
      </c>
      <c r="U266" s="136">
        <f t="shared" si="40"/>
        <v>0</v>
      </c>
      <c r="V266" s="136">
        <f t="shared" si="40"/>
        <v>0</v>
      </c>
      <c r="W266" s="136">
        <f t="shared" si="40"/>
        <v>0</v>
      </c>
      <c r="X266" s="136">
        <f t="shared" si="40"/>
        <v>0</v>
      </c>
      <c r="Y266" s="136">
        <f t="shared" si="40"/>
        <v>0</v>
      </c>
      <c r="Z266" s="136">
        <f t="shared" si="40"/>
        <v>0</v>
      </c>
      <c r="AA266" s="136">
        <f t="shared" si="40"/>
        <v>0</v>
      </c>
      <c r="AB266" s="136">
        <f t="shared" si="40"/>
        <v>0</v>
      </c>
      <c r="AC266" s="136">
        <f t="shared" si="40"/>
        <v>0</v>
      </c>
      <c r="AD266" s="136">
        <f t="shared" si="40"/>
        <v>0</v>
      </c>
      <c r="AE266" s="136">
        <f t="shared" si="40"/>
        <v>0</v>
      </c>
      <c r="AF266" s="136">
        <f t="shared" si="40"/>
        <v>0</v>
      </c>
      <c r="AG266" s="136">
        <f t="shared" si="40"/>
        <v>0</v>
      </c>
      <c r="AH266" s="136">
        <f t="shared" si="40"/>
        <v>0</v>
      </c>
      <c r="AI266" s="136">
        <f t="shared" si="40"/>
        <v>0</v>
      </c>
      <c r="AJ266" s="136">
        <f t="shared" si="40"/>
        <v>0</v>
      </c>
      <c r="AK266" s="136">
        <f t="shared" si="40"/>
        <v>0</v>
      </c>
      <c r="AL266" s="136">
        <f t="shared" si="40"/>
        <v>0</v>
      </c>
      <c r="AM266" s="136">
        <f t="shared" si="40"/>
        <v>0</v>
      </c>
      <c r="AN266" s="136">
        <f t="shared" si="40"/>
        <v>0</v>
      </c>
      <c r="AO266" s="136">
        <f t="shared" si="40"/>
        <v>0</v>
      </c>
      <c r="AP266" s="136">
        <f t="shared" si="40"/>
        <v>0</v>
      </c>
      <c r="AQ266" s="136">
        <f t="shared" si="43"/>
        <v>0</v>
      </c>
      <c r="AR266" s="136">
        <f t="shared" si="43"/>
        <v>0</v>
      </c>
      <c r="AS266" s="136">
        <f t="shared" si="43"/>
        <v>0</v>
      </c>
      <c r="AT266" s="136">
        <f t="shared" si="43"/>
        <v>0</v>
      </c>
      <c r="AU266" s="136">
        <f t="shared" si="43"/>
        <v>0</v>
      </c>
      <c r="AV266" s="136">
        <f t="shared" si="42"/>
        <v>0</v>
      </c>
      <c r="AW266" s="136">
        <f t="shared" si="42"/>
        <v>0</v>
      </c>
      <c r="AX266" s="136">
        <f t="shared" si="42"/>
        <v>0</v>
      </c>
      <c r="AY266" s="136">
        <f t="shared" si="42"/>
        <v>0</v>
      </c>
      <c r="AZ266" s="136">
        <f t="shared" si="42"/>
        <v>0</v>
      </c>
      <c r="BA266" s="136">
        <f t="shared" si="42"/>
        <v>0</v>
      </c>
      <c r="BB266" s="136">
        <f t="shared" si="42"/>
        <v>0</v>
      </c>
      <c r="BC266" s="136">
        <f t="shared" si="42"/>
        <v>0</v>
      </c>
      <c r="BD266" s="136">
        <f t="shared" si="42"/>
        <v>0</v>
      </c>
      <c r="BE266" s="136">
        <f t="shared" si="42"/>
        <v>0</v>
      </c>
      <c r="BF266" s="136">
        <f t="shared" si="42"/>
        <v>0</v>
      </c>
      <c r="BG266" s="136">
        <f t="shared" si="42"/>
        <v>0</v>
      </c>
      <c r="BH266" s="136">
        <f t="shared" si="42"/>
        <v>0</v>
      </c>
      <c r="BI266" s="136">
        <f t="shared" si="42"/>
        <v>0</v>
      </c>
      <c r="BJ266" s="136">
        <f t="shared" si="42"/>
        <v>0</v>
      </c>
      <c r="BK266" s="136">
        <f t="shared" si="42"/>
        <v>0</v>
      </c>
      <c r="BL266" s="136">
        <f t="shared" si="42"/>
        <v>0</v>
      </c>
      <c r="BM266" s="136">
        <f t="shared" si="42"/>
        <v>0</v>
      </c>
      <c r="BN266" s="136">
        <f t="shared" si="42"/>
        <v>0</v>
      </c>
      <c r="BO266" s="136">
        <f t="shared" si="42"/>
        <v>0</v>
      </c>
      <c r="BU266" s="136">
        <f t="shared" si="38"/>
        <v>0</v>
      </c>
      <c r="BV266" s="136">
        <f t="shared" si="38"/>
        <v>0</v>
      </c>
      <c r="BW266" s="136">
        <f t="shared" si="38"/>
        <v>0</v>
      </c>
      <c r="BX266" s="136">
        <f t="shared" si="38"/>
        <v>0</v>
      </c>
      <c r="BZ266" s="136">
        <f t="shared" si="39"/>
        <v>0</v>
      </c>
      <c r="CA266" s="136">
        <f t="shared" si="39"/>
        <v>0</v>
      </c>
    </row>
    <row r="267" spans="12:79" hidden="1" x14ac:dyDescent="0.3">
      <c r="L267" s="136">
        <f t="shared" si="41"/>
        <v>0</v>
      </c>
      <c r="M267" s="136">
        <f t="shared" si="41"/>
        <v>0</v>
      </c>
      <c r="N267" s="136">
        <f t="shared" si="41"/>
        <v>0</v>
      </c>
      <c r="O267" s="136">
        <f t="shared" si="41"/>
        <v>0</v>
      </c>
      <c r="P267" s="136">
        <f t="shared" si="41"/>
        <v>0</v>
      </c>
      <c r="Q267" s="136">
        <f t="shared" si="41"/>
        <v>0</v>
      </c>
      <c r="R267" s="136">
        <f t="shared" si="41"/>
        <v>0</v>
      </c>
      <c r="S267" s="136">
        <f t="shared" si="40"/>
        <v>0</v>
      </c>
      <c r="T267" s="136">
        <f t="shared" si="40"/>
        <v>0</v>
      </c>
      <c r="U267" s="136">
        <f t="shared" si="40"/>
        <v>0</v>
      </c>
      <c r="V267" s="136">
        <f t="shared" si="40"/>
        <v>0</v>
      </c>
      <c r="W267" s="136">
        <f t="shared" si="40"/>
        <v>0</v>
      </c>
      <c r="X267" s="136">
        <f t="shared" si="40"/>
        <v>0</v>
      </c>
      <c r="Y267" s="136">
        <f t="shared" si="40"/>
        <v>0</v>
      </c>
      <c r="Z267" s="136">
        <f t="shared" si="40"/>
        <v>0</v>
      </c>
      <c r="AA267" s="136">
        <f t="shared" si="40"/>
        <v>0</v>
      </c>
      <c r="AB267" s="136">
        <f t="shared" si="40"/>
        <v>0</v>
      </c>
      <c r="AC267" s="136">
        <f t="shared" si="40"/>
        <v>0</v>
      </c>
      <c r="AD267" s="136">
        <f t="shared" si="40"/>
        <v>0</v>
      </c>
      <c r="AE267" s="136">
        <f t="shared" si="40"/>
        <v>0</v>
      </c>
      <c r="AF267" s="136">
        <f t="shared" si="40"/>
        <v>0</v>
      </c>
      <c r="AG267" s="136">
        <f t="shared" si="40"/>
        <v>0</v>
      </c>
      <c r="AH267" s="136">
        <f t="shared" si="40"/>
        <v>0</v>
      </c>
      <c r="AI267" s="136">
        <f t="shared" si="40"/>
        <v>0</v>
      </c>
      <c r="AJ267" s="136">
        <f t="shared" si="40"/>
        <v>0</v>
      </c>
      <c r="AK267" s="136">
        <f t="shared" si="40"/>
        <v>0</v>
      </c>
      <c r="AL267" s="136">
        <f t="shared" si="40"/>
        <v>0</v>
      </c>
      <c r="AM267" s="136">
        <f t="shared" si="40"/>
        <v>0</v>
      </c>
      <c r="AN267" s="136">
        <f t="shared" si="40"/>
        <v>0</v>
      </c>
      <c r="AO267" s="136">
        <f t="shared" si="40"/>
        <v>0</v>
      </c>
      <c r="AP267" s="136">
        <f t="shared" si="40"/>
        <v>0</v>
      </c>
      <c r="AQ267" s="136">
        <f t="shared" si="43"/>
        <v>0</v>
      </c>
      <c r="AR267" s="136">
        <f t="shared" si="43"/>
        <v>0</v>
      </c>
      <c r="AS267" s="136">
        <f t="shared" si="43"/>
        <v>0</v>
      </c>
      <c r="AT267" s="136">
        <f t="shared" si="43"/>
        <v>0</v>
      </c>
      <c r="AU267" s="136">
        <f t="shared" si="43"/>
        <v>0</v>
      </c>
      <c r="AV267" s="136">
        <f t="shared" si="42"/>
        <v>0</v>
      </c>
      <c r="AW267" s="136">
        <f t="shared" si="42"/>
        <v>0</v>
      </c>
      <c r="AX267" s="136">
        <f t="shared" si="42"/>
        <v>0</v>
      </c>
      <c r="AY267" s="136">
        <f t="shared" si="42"/>
        <v>0</v>
      </c>
      <c r="AZ267" s="136">
        <f t="shared" si="42"/>
        <v>0</v>
      </c>
      <c r="BA267" s="136">
        <f t="shared" si="42"/>
        <v>0</v>
      </c>
      <c r="BB267" s="136">
        <f t="shared" si="42"/>
        <v>0</v>
      </c>
      <c r="BC267" s="136">
        <f t="shared" si="42"/>
        <v>0</v>
      </c>
      <c r="BD267" s="136">
        <f t="shared" si="42"/>
        <v>0</v>
      </c>
      <c r="BE267" s="136">
        <f t="shared" si="42"/>
        <v>0</v>
      </c>
      <c r="BF267" s="136">
        <f t="shared" si="42"/>
        <v>0</v>
      </c>
      <c r="BG267" s="136">
        <f t="shared" si="42"/>
        <v>0</v>
      </c>
      <c r="BH267" s="136">
        <f t="shared" si="42"/>
        <v>0</v>
      </c>
      <c r="BI267" s="136">
        <f t="shared" si="42"/>
        <v>0</v>
      </c>
      <c r="BJ267" s="136">
        <f t="shared" si="42"/>
        <v>0</v>
      </c>
      <c r="BK267" s="136">
        <f t="shared" si="42"/>
        <v>0</v>
      </c>
      <c r="BL267" s="136">
        <f t="shared" si="42"/>
        <v>0</v>
      </c>
      <c r="BM267" s="136">
        <f t="shared" si="42"/>
        <v>0</v>
      </c>
      <c r="BN267" s="136">
        <f t="shared" si="42"/>
        <v>0</v>
      </c>
      <c r="BO267" s="136">
        <f t="shared" si="42"/>
        <v>0</v>
      </c>
      <c r="BU267" s="136">
        <f t="shared" si="38"/>
        <v>0</v>
      </c>
      <c r="BV267" s="136">
        <f t="shared" si="38"/>
        <v>0</v>
      </c>
      <c r="BW267" s="136">
        <f t="shared" si="38"/>
        <v>0</v>
      </c>
      <c r="BX267" s="136">
        <f t="shared" si="38"/>
        <v>0</v>
      </c>
      <c r="BZ267" s="136">
        <f t="shared" si="39"/>
        <v>0</v>
      </c>
      <c r="CA267" s="136">
        <f t="shared" si="39"/>
        <v>0</v>
      </c>
    </row>
    <row r="268" spans="12:79" hidden="1" x14ac:dyDescent="0.3">
      <c r="L268" s="136">
        <f t="shared" si="41"/>
        <v>0</v>
      </c>
      <c r="M268" s="136">
        <f t="shared" si="41"/>
        <v>0</v>
      </c>
      <c r="N268" s="136">
        <f t="shared" si="41"/>
        <v>0</v>
      </c>
      <c r="O268" s="136">
        <f t="shared" si="41"/>
        <v>0</v>
      </c>
      <c r="P268" s="136">
        <f t="shared" si="41"/>
        <v>0</v>
      </c>
      <c r="Q268" s="136">
        <f t="shared" si="41"/>
        <v>0</v>
      </c>
      <c r="R268" s="136">
        <f t="shared" si="41"/>
        <v>0</v>
      </c>
      <c r="S268" s="136">
        <f t="shared" si="40"/>
        <v>0</v>
      </c>
      <c r="T268" s="136">
        <f t="shared" si="40"/>
        <v>0</v>
      </c>
      <c r="U268" s="136">
        <f t="shared" si="40"/>
        <v>0</v>
      </c>
      <c r="V268" s="136">
        <f t="shared" si="40"/>
        <v>0</v>
      </c>
      <c r="W268" s="136">
        <f t="shared" si="40"/>
        <v>0</v>
      </c>
      <c r="X268" s="136">
        <f t="shared" si="40"/>
        <v>0</v>
      </c>
      <c r="Y268" s="136">
        <f t="shared" si="40"/>
        <v>0</v>
      </c>
      <c r="Z268" s="136">
        <f t="shared" si="40"/>
        <v>0</v>
      </c>
      <c r="AA268" s="136">
        <f t="shared" si="40"/>
        <v>0</v>
      </c>
      <c r="AB268" s="136">
        <f t="shared" si="40"/>
        <v>0</v>
      </c>
      <c r="AC268" s="136">
        <f t="shared" si="40"/>
        <v>0</v>
      </c>
      <c r="AD268" s="136">
        <f t="shared" si="40"/>
        <v>0</v>
      </c>
      <c r="AE268" s="136">
        <f t="shared" si="40"/>
        <v>0</v>
      </c>
      <c r="AF268" s="136">
        <f t="shared" si="40"/>
        <v>0</v>
      </c>
      <c r="AG268" s="136">
        <f t="shared" si="40"/>
        <v>0</v>
      </c>
      <c r="AH268" s="136">
        <f t="shared" ref="AH268:AW283" si="44">AH95-CZ95</f>
        <v>0</v>
      </c>
      <c r="AI268" s="136">
        <f t="shared" si="44"/>
        <v>0</v>
      </c>
      <c r="AJ268" s="136">
        <f t="shared" si="44"/>
        <v>0</v>
      </c>
      <c r="AK268" s="136">
        <f t="shared" si="44"/>
        <v>0</v>
      </c>
      <c r="AL268" s="136">
        <f t="shared" si="44"/>
        <v>0</v>
      </c>
      <c r="AM268" s="136">
        <f t="shared" si="44"/>
        <v>0</v>
      </c>
      <c r="AN268" s="136">
        <f t="shared" si="44"/>
        <v>0</v>
      </c>
      <c r="AO268" s="136">
        <f t="shared" si="44"/>
        <v>0</v>
      </c>
      <c r="AP268" s="136">
        <f t="shared" si="44"/>
        <v>0</v>
      </c>
      <c r="AQ268" s="136">
        <f t="shared" si="43"/>
        <v>0</v>
      </c>
      <c r="AR268" s="136">
        <f t="shared" si="43"/>
        <v>0</v>
      </c>
      <c r="AS268" s="136">
        <f t="shared" si="43"/>
        <v>0</v>
      </c>
      <c r="AT268" s="136">
        <f t="shared" si="43"/>
        <v>0</v>
      </c>
      <c r="AU268" s="136">
        <f t="shared" si="43"/>
        <v>0</v>
      </c>
      <c r="AV268" s="136">
        <f t="shared" si="42"/>
        <v>0</v>
      </c>
      <c r="AW268" s="136">
        <f t="shared" si="42"/>
        <v>0</v>
      </c>
      <c r="AX268" s="136">
        <f t="shared" si="42"/>
        <v>0</v>
      </c>
      <c r="AY268" s="136">
        <f t="shared" si="42"/>
        <v>0</v>
      </c>
      <c r="AZ268" s="136">
        <f t="shared" si="42"/>
        <v>0</v>
      </c>
      <c r="BA268" s="136">
        <f t="shared" si="42"/>
        <v>0</v>
      </c>
      <c r="BB268" s="136">
        <f t="shared" si="42"/>
        <v>0</v>
      </c>
      <c r="BC268" s="136">
        <f t="shared" si="42"/>
        <v>0</v>
      </c>
      <c r="BD268" s="136">
        <f t="shared" si="42"/>
        <v>0</v>
      </c>
      <c r="BE268" s="136">
        <f t="shared" si="42"/>
        <v>0</v>
      </c>
      <c r="BF268" s="136">
        <f t="shared" si="42"/>
        <v>0</v>
      </c>
      <c r="BG268" s="136">
        <f t="shared" si="42"/>
        <v>0</v>
      </c>
      <c r="BH268" s="136">
        <f t="shared" si="42"/>
        <v>0</v>
      </c>
      <c r="BI268" s="136">
        <f t="shared" si="42"/>
        <v>0</v>
      </c>
      <c r="BJ268" s="136">
        <f t="shared" si="42"/>
        <v>0</v>
      </c>
      <c r="BK268" s="136">
        <f t="shared" si="42"/>
        <v>0</v>
      </c>
      <c r="BL268" s="136">
        <f t="shared" si="42"/>
        <v>0</v>
      </c>
      <c r="BM268" s="136">
        <f t="shared" si="42"/>
        <v>0</v>
      </c>
      <c r="BN268" s="136">
        <f t="shared" si="42"/>
        <v>0</v>
      </c>
      <c r="BO268" s="136">
        <f t="shared" si="42"/>
        <v>0</v>
      </c>
      <c r="BU268" s="136">
        <f t="shared" si="38"/>
        <v>0</v>
      </c>
      <c r="BV268" s="136">
        <f t="shared" si="38"/>
        <v>0</v>
      </c>
      <c r="BW268" s="136">
        <f t="shared" si="38"/>
        <v>0</v>
      </c>
      <c r="BX268" s="136">
        <f t="shared" si="38"/>
        <v>0</v>
      </c>
      <c r="BZ268" s="136">
        <f t="shared" si="39"/>
        <v>0</v>
      </c>
      <c r="CA268" s="136">
        <f t="shared" si="39"/>
        <v>0</v>
      </c>
    </row>
    <row r="269" spans="12:79" hidden="1" x14ac:dyDescent="0.3">
      <c r="L269" s="136">
        <f t="shared" si="41"/>
        <v>0</v>
      </c>
      <c r="M269" s="136">
        <f t="shared" si="41"/>
        <v>0</v>
      </c>
      <c r="N269" s="136">
        <f t="shared" si="41"/>
        <v>0</v>
      </c>
      <c r="O269" s="136">
        <f t="shared" si="41"/>
        <v>0</v>
      </c>
      <c r="P269" s="136">
        <f t="shared" si="41"/>
        <v>0</v>
      </c>
      <c r="Q269" s="136">
        <f t="shared" si="41"/>
        <v>0</v>
      </c>
      <c r="R269" s="136">
        <f t="shared" si="41"/>
        <v>0</v>
      </c>
      <c r="S269" s="136">
        <f t="shared" si="41"/>
        <v>0</v>
      </c>
      <c r="T269" s="136">
        <f t="shared" si="41"/>
        <v>0</v>
      </c>
      <c r="U269" s="136">
        <f t="shared" si="41"/>
        <v>0</v>
      </c>
      <c r="V269" s="136">
        <f t="shared" si="41"/>
        <v>0</v>
      </c>
      <c r="W269" s="136">
        <f t="shared" si="41"/>
        <v>0</v>
      </c>
      <c r="X269" s="136">
        <f t="shared" si="41"/>
        <v>0</v>
      </c>
      <c r="Y269" s="136">
        <f t="shared" si="41"/>
        <v>0</v>
      </c>
      <c r="Z269" s="136">
        <f t="shared" si="41"/>
        <v>0</v>
      </c>
      <c r="AA269" s="136">
        <f t="shared" si="41"/>
        <v>0</v>
      </c>
      <c r="AB269" s="136">
        <f t="shared" ref="AB269:AQ284" si="45">AB96-CT96</f>
        <v>0</v>
      </c>
      <c r="AC269" s="136">
        <f t="shared" si="45"/>
        <v>0</v>
      </c>
      <c r="AD269" s="136">
        <f t="shared" si="45"/>
        <v>0</v>
      </c>
      <c r="AE269" s="136">
        <f t="shared" si="45"/>
        <v>0</v>
      </c>
      <c r="AF269" s="136">
        <f t="shared" si="45"/>
        <v>0</v>
      </c>
      <c r="AG269" s="136">
        <f t="shared" si="45"/>
        <v>0</v>
      </c>
      <c r="AH269" s="136">
        <f t="shared" si="44"/>
        <v>0</v>
      </c>
      <c r="AI269" s="136">
        <f t="shared" si="44"/>
        <v>0</v>
      </c>
      <c r="AJ269" s="136">
        <f t="shared" si="44"/>
        <v>0</v>
      </c>
      <c r="AK269" s="136">
        <f t="shared" si="44"/>
        <v>0</v>
      </c>
      <c r="AL269" s="136">
        <f t="shared" si="44"/>
        <v>0</v>
      </c>
      <c r="AM269" s="136">
        <f t="shared" si="44"/>
        <v>0</v>
      </c>
      <c r="AN269" s="136">
        <f t="shared" si="44"/>
        <v>0</v>
      </c>
      <c r="AO269" s="136">
        <f t="shared" si="44"/>
        <v>0</v>
      </c>
      <c r="AP269" s="136">
        <f t="shared" si="44"/>
        <v>0</v>
      </c>
      <c r="AQ269" s="136">
        <f t="shared" si="43"/>
        <v>0</v>
      </c>
      <c r="AR269" s="136">
        <f t="shared" si="43"/>
        <v>0</v>
      </c>
      <c r="AS269" s="136">
        <f t="shared" si="43"/>
        <v>0</v>
      </c>
      <c r="AT269" s="136">
        <f t="shared" si="43"/>
        <v>0</v>
      </c>
      <c r="AU269" s="136">
        <f t="shared" si="43"/>
        <v>0</v>
      </c>
      <c r="AV269" s="136">
        <f t="shared" si="42"/>
        <v>0</v>
      </c>
      <c r="AW269" s="136">
        <f t="shared" si="42"/>
        <v>0</v>
      </c>
      <c r="AX269" s="136">
        <f t="shared" si="42"/>
        <v>0</v>
      </c>
      <c r="AY269" s="136">
        <f t="shared" si="42"/>
        <v>0</v>
      </c>
      <c r="AZ269" s="136">
        <f t="shared" si="42"/>
        <v>0</v>
      </c>
      <c r="BA269" s="136">
        <f t="shared" si="42"/>
        <v>0</v>
      </c>
      <c r="BB269" s="136">
        <f t="shared" si="42"/>
        <v>0</v>
      </c>
      <c r="BC269" s="136">
        <f t="shared" si="42"/>
        <v>0</v>
      </c>
      <c r="BD269" s="136">
        <f t="shared" si="42"/>
        <v>0</v>
      </c>
      <c r="BE269" s="136">
        <f t="shared" si="42"/>
        <v>0</v>
      </c>
      <c r="BF269" s="136">
        <f t="shared" si="42"/>
        <v>0</v>
      </c>
      <c r="BG269" s="136">
        <f t="shared" si="42"/>
        <v>0</v>
      </c>
      <c r="BH269" s="136">
        <f t="shared" si="42"/>
        <v>0</v>
      </c>
      <c r="BI269" s="136">
        <f t="shared" si="42"/>
        <v>0</v>
      </c>
      <c r="BJ269" s="136">
        <f t="shared" si="42"/>
        <v>0</v>
      </c>
      <c r="BK269" s="136">
        <f t="shared" si="42"/>
        <v>0</v>
      </c>
      <c r="BL269" s="136">
        <f t="shared" si="42"/>
        <v>0</v>
      </c>
      <c r="BM269" s="136">
        <f t="shared" si="42"/>
        <v>0</v>
      </c>
      <c r="BN269" s="136">
        <f t="shared" si="42"/>
        <v>0</v>
      </c>
      <c r="BO269" s="136">
        <f t="shared" si="42"/>
        <v>0</v>
      </c>
      <c r="BU269" s="136">
        <f t="shared" ref="BU269:BX284" si="46">BU104-EM104</f>
        <v>0</v>
      </c>
      <c r="BV269" s="136">
        <f t="shared" si="46"/>
        <v>0</v>
      </c>
      <c r="BW269" s="136">
        <f t="shared" si="46"/>
        <v>0</v>
      </c>
      <c r="BX269" s="136">
        <f t="shared" si="46"/>
        <v>0</v>
      </c>
      <c r="BZ269" s="136">
        <f t="shared" ref="BZ269:CA284" si="47">BZ104-ER104</f>
        <v>0</v>
      </c>
      <c r="CA269" s="136">
        <f t="shared" si="47"/>
        <v>0</v>
      </c>
    </row>
    <row r="270" spans="12:79" hidden="1" x14ac:dyDescent="0.3">
      <c r="L270" s="136">
        <f t="shared" si="41"/>
        <v>0</v>
      </c>
      <c r="M270" s="136">
        <f t="shared" si="41"/>
        <v>0</v>
      </c>
      <c r="N270" s="136">
        <f t="shared" si="41"/>
        <v>0</v>
      </c>
      <c r="O270" s="136">
        <f t="shared" si="41"/>
        <v>0</v>
      </c>
      <c r="P270" s="136">
        <f t="shared" si="41"/>
        <v>0</v>
      </c>
      <c r="Q270" s="136">
        <f t="shared" si="41"/>
        <v>0</v>
      </c>
      <c r="R270" s="136">
        <f t="shared" si="41"/>
        <v>0</v>
      </c>
      <c r="S270" s="136">
        <f t="shared" si="41"/>
        <v>0</v>
      </c>
      <c r="T270" s="136">
        <f t="shared" si="41"/>
        <v>0</v>
      </c>
      <c r="U270" s="136">
        <f t="shared" si="41"/>
        <v>0</v>
      </c>
      <c r="V270" s="136">
        <f t="shared" si="41"/>
        <v>0</v>
      </c>
      <c r="W270" s="136">
        <f t="shared" si="41"/>
        <v>0</v>
      </c>
      <c r="X270" s="136">
        <f t="shared" si="41"/>
        <v>0</v>
      </c>
      <c r="Y270" s="136">
        <f t="shared" si="41"/>
        <v>0</v>
      </c>
      <c r="Z270" s="136">
        <f t="shared" si="41"/>
        <v>0</v>
      </c>
      <c r="AA270" s="136">
        <f t="shared" si="41"/>
        <v>0</v>
      </c>
      <c r="AB270" s="136">
        <f t="shared" si="45"/>
        <v>0</v>
      </c>
      <c r="AC270" s="136">
        <f t="shared" si="45"/>
        <v>0</v>
      </c>
      <c r="AD270" s="136">
        <f t="shared" si="45"/>
        <v>0</v>
      </c>
      <c r="AE270" s="136">
        <f t="shared" si="45"/>
        <v>0</v>
      </c>
      <c r="AF270" s="136">
        <f t="shared" si="45"/>
        <v>0</v>
      </c>
      <c r="AG270" s="136">
        <f t="shared" si="45"/>
        <v>0</v>
      </c>
      <c r="AH270" s="136">
        <f t="shared" si="44"/>
        <v>0</v>
      </c>
      <c r="AI270" s="136">
        <f t="shared" si="44"/>
        <v>0</v>
      </c>
      <c r="AJ270" s="136">
        <f t="shared" si="44"/>
        <v>0</v>
      </c>
      <c r="AK270" s="136">
        <f t="shared" si="44"/>
        <v>0</v>
      </c>
      <c r="AL270" s="136">
        <f t="shared" si="44"/>
        <v>0</v>
      </c>
      <c r="AM270" s="136">
        <f t="shared" si="44"/>
        <v>0</v>
      </c>
      <c r="AN270" s="136">
        <f t="shared" si="44"/>
        <v>0</v>
      </c>
      <c r="AO270" s="136">
        <f t="shared" si="44"/>
        <v>0</v>
      </c>
      <c r="AP270" s="136">
        <f t="shared" si="44"/>
        <v>0</v>
      </c>
      <c r="AQ270" s="136">
        <f t="shared" si="43"/>
        <v>0</v>
      </c>
      <c r="AR270" s="136">
        <f t="shared" si="43"/>
        <v>0</v>
      </c>
      <c r="AS270" s="136">
        <f t="shared" si="43"/>
        <v>0</v>
      </c>
      <c r="AT270" s="136">
        <f t="shared" si="43"/>
        <v>0</v>
      </c>
      <c r="AU270" s="136">
        <f t="shared" si="43"/>
        <v>0</v>
      </c>
      <c r="AV270" s="136">
        <f t="shared" si="42"/>
        <v>0</v>
      </c>
      <c r="AW270" s="136">
        <f t="shared" si="42"/>
        <v>0</v>
      </c>
      <c r="AX270" s="136">
        <f t="shared" si="42"/>
        <v>0</v>
      </c>
      <c r="AY270" s="136">
        <f t="shared" si="42"/>
        <v>0</v>
      </c>
      <c r="AZ270" s="136">
        <f t="shared" si="42"/>
        <v>0</v>
      </c>
      <c r="BA270" s="136">
        <f t="shared" si="42"/>
        <v>0</v>
      </c>
      <c r="BB270" s="136">
        <f t="shared" si="42"/>
        <v>0</v>
      </c>
      <c r="BC270" s="136">
        <f t="shared" si="42"/>
        <v>0</v>
      </c>
      <c r="BD270" s="136">
        <f t="shared" si="42"/>
        <v>0</v>
      </c>
      <c r="BE270" s="136">
        <f t="shared" si="42"/>
        <v>0</v>
      </c>
      <c r="BF270" s="136">
        <f t="shared" si="42"/>
        <v>0</v>
      </c>
      <c r="BG270" s="136">
        <f t="shared" si="42"/>
        <v>0</v>
      </c>
      <c r="BH270" s="136">
        <f t="shared" si="42"/>
        <v>0</v>
      </c>
      <c r="BI270" s="136">
        <f t="shared" si="42"/>
        <v>0</v>
      </c>
      <c r="BJ270" s="136">
        <f t="shared" si="42"/>
        <v>0</v>
      </c>
      <c r="BK270" s="136">
        <f t="shared" si="42"/>
        <v>0</v>
      </c>
      <c r="BL270" s="136">
        <f t="shared" si="42"/>
        <v>0</v>
      </c>
      <c r="BM270" s="136">
        <f t="shared" si="42"/>
        <v>0</v>
      </c>
      <c r="BN270" s="136">
        <f t="shared" si="42"/>
        <v>0</v>
      </c>
      <c r="BO270" s="136">
        <f t="shared" si="42"/>
        <v>0</v>
      </c>
      <c r="BU270" s="136">
        <f t="shared" si="46"/>
        <v>0</v>
      </c>
      <c r="BV270" s="136">
        <f t="shared" si="46"/>
        <v>0</v>
      </c>
      <c r="BW270" s="136">
        <f t="shared" si="46"/>
        <v>0</v>
      </c>
      <c r="BX270" s="136">
        <f t="shared" si="46"/>
        <v>0</v>
      </c>
      <c r="BZ270" s="136">
        <f t="shared" si="47"/>
        <v>0</v>
      </c>
      <c r="CA270" s="136">
        <f t="shared" si="47"/>
        <v>0</v>
      </c>
    </row>
    <row r="271" spans="12:79" hidden="1" x14ac:dyDescent="0.3">
      <c r="L271" s="136">
        <f t="shared" si="41"/>
        <v>0</v>
      </c>
      <c r="M271" s="136">
        <f t="shared" si="41"/>
        <v>0</v>
      </c>
      <c r="N271" s="136">
        <f t="shared" si="41"/>
        <v>0</v>
      </c>
      <c r="O271" s="136">
        <f t="shared" si="41"/>
        <v>0</v>
      </c>
      <c r="P271" s="136">
        <f t="shared" si="41"/>
        <v>0</v>
      </c>
      <c r="Q271" s="136">
        <f t="shared" si="41"/>
        <v>0</v>
      </c>
      <c r="R271" s="136">
        <f t="shared" si="41"/>
        <v>0</v>
      </c>
      <c r="S271" s="136">
        <f t="shared" si="41"/>
        <v>0</v>
      </c>
      <c r="T271" s="136">
        <f t="shared" si="41"/>
        <v>0</v>
      </c>
      <c r="U271" s="136">
        <f t="shared" si="41"/>
        <v>0</v>
      </c>
      <c r="V271" s="136">
        <f t="shared" si="41"/>
        <v>0</v>
      </c>
      <c r="W271" s="136">
        <f t="shared" si="41"/>
        <v>0</v>
      </c>
      <c r="X271" s="136">
        <f t="shared" si="41"/>
        <v>0</v>
      </c>
      <c r="Y271" s="136">
        <f t="shared" si="41"/>
        <v>0</v>
      </c>
      <c r="Z271" s="136">
        <f t="shared" si="41"/>
        <v>0</v>
      </c>
      <c r="AA271" s="136">
        <f t="shared" si="41"/>
        <v>0</v>
      </c>
      <c r="AB271" s="136">
        <f t="shared" si="45"/>
        <v>0</v>
      </c>
      <c r="AC271" s="136">
        <f t="shared" si="45"/>
        <v>0</v>
      </c>
      <c r="AD271" s="136">
        <f t="shared" si="45"/>
        <v>0</v>
      </c>
      <c r="AE271" s="136">
        <f t="shared" si="45"/>
        <v>0</v>
      </c>
      <c r="AF271" s="136">
        <f t="shared" si="45"/>
        <v>0</v>
      </c>
      <c r="AG271" s="136">
        <f t="shared" si="45"/>
        <v>0</v>
      </c>
      <c r="AH271" s="136">
        <f t="shared" si="44"/>
        <v>0</v>
      </c>
      <c r="AI271" s="136">
        <f t="shared" si="44"/>
        <v>0</v>
      </c>
      <c r="AJ271" s="136">
        <f t="shared" si="44"/>
        <v>0</v>
      </c>
      <c r="AK271" s="136">
        <f t="shared" si="44"/>
        <v>0</v>
      </c>
      <c r="AL271" s="136">
        <f t="shared" si="44"/>
        <v>0</v>
      </c>
      <c r="AM271" s="136">
        <f t="shared" si="44"/>
        <v>0</v>
      </c>
      <c r="AN271" s="136">
        <f t="shared" si="44"/>
        <v>0</v>
      </c>
      <c r="AO271" s="136">
        <f t="shared" si="44"/>
        <v>0</v>
      </c>
      <c r="AP271" s="136">
        <f t="shared" si="44"/>
        <v>0</v>
      </c>
      <c r="AQ271" s="136">
        <f t="shared" si="43"/>
        <v>0</v>
      </c>
      <c r="AR271" s="136">
        <f t="shared" si="43"/>
        <v>0</v>
      </c>
      <c r="AS271" s="136">
        <f t="shared" si="43"/>
        <v>0</v>
      </c>
      <c r="AT271" s="136">
        <f t="shared" si="43"/>
        <v>0</v>
      </c>
      <c r="AU271" s="136">
        <f t="shared" si="43"/>
        <v>0</v>
      </c>
      <c r="AV271" s="136">
        <f t="shared" si="42"/>
        <v>0</v>
      </c>
      <c r="AW271" s="136">
        <f t="shared" si="42"/>
        <v>0</v>
      </c>
      <c r="AX271" s="136">
        <f t="shared" si="42"/>
        <v>0</v>
      </c>
      <c r="AY271" s="136">
        <f t="shared" si="42"/>
        <v>0</v>
      </c>
      <c r="AZ271" s="136">
        <f t="shared" si="42"/>
        <v>0</v>
      </c>
      <c r="BA271" s="136">
        <f t="shared" si="42"/>
        <v>0</v>
      </c>
      <c r="BB271" s="136">
        <f t="shared" si="42"/>
        <v>0</v>
      </c>
      <c r="BC271" s="136">
        <f t="shared" si="42"/>
        <v>0</v>
      </c>
      <c r="BD271" s="136">
        <f t="shared" si="42"/>
        <v>0</v>
      </c>
      <c r="BE271" s="136">
        <f t="shared" si="42"/>
        <v>0</v>
      </c>
      <c r="BF271" s="136">
        <f t="shared" si="42"/>
        <v>0</v>
      </c>
      <c r="BG271" s="136">
        <f t="shared" si="42"/>
        <v>0</v>
      </c>
      <c r="BH271" s="136">
        <f t="shared" si="42"/>
        <v>0</v>
      </c>
      <c r="BI271" s="136">
        <f t="shared" si="42"/>
        <v>0</v>
      </c>
      <c r="BJ271" s="136">
        <f t="shared" si="42"/>
        <v>0</v>
      </c>
      <c r="BK271" s="136">
        <f t="shared" ref="BK271:BO286" si="48">BK98-EC98</f>
        <v>0</v>
      </c>
      <c r="BL271" s="136">
        <f t="shared" si="48"/>
        <v>0</v>
      </c>
      <c r="BM271" s="136">
        <f t="shared" si="48"/>
        <v>0</v>
      </c>
      <c r="BN271" s="136">
        <f t="shared" si="48"/>
        <v>0</v>
      </c>
      <c r="BO271" s="136">
        <f t="shared" si="48"/>
        <v>0</v>
      </c>
      <c r="BU271" s="136">
        <f t="shared" si="46"/>
        <v>0</v>
      </c>
      <c r="BV271" s="136">
        <f t="shared" si="46"/>
        <v>0</v>
      </c>
      <c r="BW271" s="136">
        <f t="shared" si="46"/>
        <v>0</v>
      </c>
      <c r="BX271" s="136">
        <f t="shared" si="46"/>
        <v>0</v>
      </c>
      <c r="BZ271" s="136">
        <f t="shared" si="47"/>
        <v>0</v>
      </c>
      <c r="CA271" s="136">
        <f t="shared" si="47"/>
        <v>0</v>
      </c>
    </row>
    <row r="272" spans="12:79" hidden="1" x14ac:dyDescent="0.3">
      <c r="L272" s="136">
        <f t="shared" si="41"/>
        <v>0</v>
      </c>
      <c r="M272" s="136">
        <f t="shared" si="41"/>
        <v>0</v>
      </c>
      <c r="N272" s="136">
        <f t="shared" si="41"/>
        <v>0</v>
      </c>
      <c r="O272" s="136">
        <f t="shared" si="41"/>
        <v>0</v>
      </c>
      <c r="P272" s="136">
        <f t="shared" si="41"/>
        <v>0</v>
      </c>
      <c r="Q272" s="136">
        <f t="shared" si="41"/>
        <v>0</v>
      </c>
      <c r="R272" s="136">
        <f t="shared" si="41"/>
        <v>0</v>
      </c>
      <c r="S272" s="136">
        <f t="shared" si="41"/>
        <v>0</v>
      </c>
      <c r="T272" s="136">
        <f t="shared" si="41"/>
        <v>0</v>
      </c>
      <c r="U272" s="136">
        <f t="shared" si="41"/>
        <v>0</v>
      </c>
      <c r="V272" s="136">
        <f t="shared" si="41"/>
        <v>0</v>
      </c>
      <c r="W272" s="136">
        <f t="shared" si="41"/>
        <v>0</v>
      </c>
      <c r="X272" s="136">
        <f t="shared" si="41"/>
        <v>0</v>
      </c>
      <c r="Y272" s="136">
        <f t="shared" si="41"/>
        <v>0</v>
      </c>
      <c r="Z272" s="136">
        <f t="shared" si="41"/>
        <v>0</v>
      </c>
      <c r="AA272" s="136">
        <f t="shared" si="41"/>
        <v>0</v>
      </c>
      <c r="AB272" s="136">
        <f t="shared" si="45"/>
        <v>0</v>
      </c>
      <c r="AC272" s="136">
        <f t="shared" si="45"/>
        <v>0</v>
      </c>
      <c r="AD272" s="136">
        <f t="shared" si="45"/>
        <v>0</v>
      </c>
      <c r="AE272" s="136">
        <f t="shared" si="45"/>
        <v>0</v>
      </c>
      <c r="AF272" s="136">
        <f t="shared" si="45"/>
        <v>0</v>
      </c>
      <c r="AG272" s="136">
        <f t="shared" si="45"/>
        <v>0</v>
      </c>
      <c r="AH272" s="136">
        <f t="shared" si="44"/>
        <v>0</v>
      </c>
      <c r="AI272" s="136">
        <f t="shared" si="44"/>
        <v>0</v>
      </c>
      <c r="AJ272" s="136">
        <f t="shared" si="44"/>
        <v>0</v>
      </c>
      <c r="AK272" s="136">
        <f t="shared" si="44"/>
        <v>0</v>
      </c>
      <c r="AL272" s="136">
        <f t="shared" si="44"/>
        <v>0</v>
      </c>
      <c r="AM272" s="136">
        <f t="shared" si="44"/>
        <v>0</v>
      </c>
      <c r="AN272" s="136">
        <f t="shared" si="44"/>
        <v>0</v>
      </c>
      <c r="AO272" s="136">
        <f t="shared" si="44"/>
        <v>0</v>
      </c>
      <c r="AP272" s="136">
        <f t="shared" si="44"/>
        <v>0</v>
      </c>
      <c r="AQ272" s="136">
        <f t="shared" si="43"/>
        <v>0</v>
      </c>
      <c r="AR272" s="136">
        <f t="shared" si="43"/>
        <v>0</v>
      </c>
      <c r="AS272" s="136">
        <f t="shared" si="43"/>
        <v>0</v>
      </c>
      <c r="AT272" s="136">
        <f t="shared" si="43"/>
        <v>0</v>
      </c>
      <c r="AU272" s="136">
        <f t="shared" si="43"/>
        <v>0</v>
      </c>
      <c r="AV272" s="136">
        <f t="shared" si="43"/>
        <v>0</v>
      </c>
      <c r="AW272" s="136">
        <f t="shared" si="43"/>
        <v>0</v>
      </c>
      <c r="AX272" s="136">
        <f t="shared" si="43"/>
        <v>0</v>
      </c>
      <c r="AY272" s="136">
        <f t="shared" si="43"/>
        <v>0</v>
      </c>
      <c r="AZ272" s="136">
        <f t="shared" si="43"/>
        <v>0</v>
      </c>
      <c r="BA272" s="136">
        <f t="shared" si="43"/>
        <v>0</v>
      </c>
      <c r="BB272" s="136">
        <f t="shared" si="43"/>
        <v>0</v>
      </c>
      <c r="BC272" s="136">
        <f t="shared" si="43"/>
        <v>0</v>
      </c>
      <c r="BD272" s="136">
        <f t="shared" si="43"/>
        <v>0</v>
      </c>
      <c r="BE272" s="136">
        <f t="shared" si="43"/>
        <v>0</v>
      </c>
      <c r="BF272" s="136">
        <f t="shared" si="43"/>
        <v>0</v>
      </c>
      <c r="BG272" s="136">
        <f t="shared" ref="BG272:BO287" si="49">BG99-DY99</f>
        <v>0</v>
      </c>
      <c r="BH272" s="136">
        <f t="shared" si="49"/>
        <v>0</v>
      </c>
      <c r="BI272" s="136">
        <f t="shared" si="49"/>
        <v>0</v>
      </c>
      <c r="BJ272" s="136">
        <f t="shared" si="49"/>
        <v>0</v>
      </c>
      <c r="BK272" s="136">
        <f t="shared" si="48"/>
        <v>0</v>
      </c>
      <c r="BL272" s="136">
        <f t="shared" si="48"/>
        <v>0</v>
      </c>
      <c r="BM272" s="136">
        <f t="shared" si="48"/>
        <v>0</v>
      </c>
      <c r="BN272" s="136">
        <f t="shared" si="48"/>
        <v>0</v>
      </c>
      <c r="BO272" s="136">
        <f t="shared" si="48"/>
        <v>0</v>
      </c>
      <c r="BU272" s="136">
        <f t="shared" si="46"/>
        <v>0</v>
      </c>
      <c r="BV272" s="136">
        <f t="shared" si="46"/>
        <v>0</v>
      </c>
      <c r="BW272" s="136">
        <f t="shared" si="46"/>
        <v>0</v>
      </c>
      <c r="BX272" s="136">
        <f t="shared" si="46"/>
        <v>0</v>
      </c>
      <c r="BZ272" s="136">
        <f t="shared" si="47"/>
        <v>0</v>
      </c>
      <c r="CA272" s="136">
        <f t="shared" si="47"/>
        <v>0</v>
      </c>
    </row>
    <row r="273" spans="12:79" hidden="1" x14ac:dyDescent="0.3">
      <c r="L273" s="136">
        <f t="shared" si="41"/>
        <v>0</v>
      </c>
      <c r="M273" s="136">
        <f t="shared" si="41"/>
        <v>0</v>
      </c>
      <c r="N273" s="136">
        <f t="shared" si="41"/>
        <v>0</v>
      </c>
      <c r="O273" s="136">
        <f t="shared" si="41"/>
        <v>0</v>
      </c>
      <c r="P273" s="136">
        <f t="shared" si="41"/>
        <v>0</v>
      </c>
      <c r="Q273" s="136">
        <f t="shared" si="41"/>
        <v>0</v>
      </c>
      <c r="R273" s="136">
        <f t="shared" si="41"/>
        <v>0</v>
      </c>
      <c r="S273" s="136">
        <f t="shared" si="41"/>
        <v>0</v>
      </c>
      <c r="T273" s="136">
        <f t="shared" si="41"/>
        <v>0</v>
      </c>
      <c r="U273" s="136">
        <f t="shared" si="41"/>
        <v>0</v>
      </c>
      <c r="V273" s="136">
        <f t="shared" si="41"/>
        <v>0</v>
      </c>
      <c r="W273" s="136">
        <f t="shared" si="41"/>
        <v>0</v>
      </c>
      <c r="X273" s="136">
        <f t="shared" si="41"/>
        <v>0</v>
      </c>
      <c r="Y273" s="136">
        <f t="shared" si="41"/>
        <v>0</v>
      </c>
      <c r="Z273" s="136">
        <f t="shared" si="41"/>
        <v>0</v>
      </c>
      <c r="AA273" s="136">
        <f t="shared" si="41"/>
        <v>0</v>
      </c>
      <c r="AB273" s="136">
        <f t="shared" si="45"/>
        <v>0</v>
      </c>
      <c r="AC273" s="136">
        <f t="shared" si="45"/>
        <v>0</v>
      </c>
      <c r="AD273" s="136">
        <f t="shared" si="45"/>
        <v>0</v>
      </c>
      <c r="AE273" s="136">
        <f t="shared" si="45"/>
        <v>0</v>
      </c>
      <c r="AF273" s="136">
        <f t="shared" si="45"/>
        <v>0</v>
      </c>
      <c r="AG273" s="136">
        <f t="shared" si="45"/>
        <v>0</v>
      </c>
      <c r="AH273" s="136">
        <f t="shared" si="44"/>
        <v>0</v>
      </c>
      <c r="AI273" s="136">
        <f t="shared" si="44"/>
        <v>0</v>
      </c>
      <c r="AJ273" s="136">
        <f t="shared" si="44"/>
        <v>0</v>
      </c>
      <c r="AK273" s="136">
        <f t="shared" si="44"/>
        <v>0</v>
      </c>
      <c r="AL273" s="136">
        <f t="shared" si="44"/>
        <v>0</v>
      </c>
      <c r="AM273" s="136">
        <f t="shared" si="44"/>
        <v>0</v>
      </c>
      <c r="AN273" s="136">
        <f t="shared" si="44"/>
        <v>0</v>
      </c>
      <c r="AO273" s="136">
        <f t="shared" si="44"/>
        <v>0</v>
      </c>
      <c r="AP273" s="136">
        <f t="shared" si="44"/>
        <v>0</v>
      </c>
      <c r="AQ273" s="136">
        <f t="shared" si="43"/>
        <v>0</v>
      </c>
      <c r="AR273" s="136">
        <f t="shared" si="43"/>
        <v>0</v>
      </c>
      <c r="AS273" s="136">
        <f t="shared" si="43"/>
        <v>0</v>
      </c>
      <c r="AT273" s="136">
        <f t="shared" si="43"/>
        <v>0</v>
      </c>
      <c r="AU273" s="136">
        <f t="shared" si="43"/>
        <v>0</v>
      </c>
      <c r="AV273" s="136">
        <f t="shared" si="43"/>
        <v>0</v>
      </c>
      <c r="AW273" s="136">
        <f t="shared" si="43"/>
        <v>0</v>
      </c>
      <c r="AX273" s="136">
        <f t="shared" si="43"/>
        <v>0</v>
      </c>
      <c r="AY273" s="136">
        <f t="shared" si="43"/>
        <v>0</v>
      </c>
      <c r="AZ273" s="136">
        <f t="shared" si="43"/>
        <v>0</v>
      </c>
      <c r="BA273" s="136">
        <f t="shared" si="43"/>
        <v>0</v>
      </c>
      <c r="BB273" s="136">
        <f t="shared" si="43"/>
        <v>0</v>
      </c>
      <c r="BC273" s="136">
        <f t="shared" si="43"/>
        <v>0</v>
      </c>
      <c r="BD273" s="136">
        <f t="shared" si="43"/>
        <v>0</v>
      </c>
      <c r="BE273" s="136">
        <f t="shared" si="43"/>
        <v>0</v>
      </c>
      <c r="BF273" s="136">
        <f t="shared" si="43"/>
        <v>0</v>
      </c>
      <c r="BG273" s="136">
        <f t="shared" si="49"/>
        <v>0</v>
      </c>
      <c r="BH273" s="136">
        <f t="shared" si="49"/>
        <v>0</v>
      </c>
      <c r="BI273" s="136">
        <f t="shared" si="49"/>
        <v>0</v>
      </c>
      <c r="BJ273" s="136">
        <f t="shared" si="49"/>
        <v>0</v>
      </c>
      <c r="BK273" s="136">
        <f t="shared" si="48"/>
        <v>0</v>
      </c>
      <c r="BL273" s="136">
        <f t="shared" si="48"/>
        <v>0</v>
      </c>
      <c r="BM273" s="136">
        <f t="shared" si="48"/>
        <v>0</v>
      </c>
      <c r="BN273" s="136">
        <f t="shared" si="48"/>
        <v>0</v>
      </c>
      <c r="BO273" s="136">
        <f t="shared" si="48"/>
        <v>0</v>
      </c>
      <c r="BU273" s="136">
        <f t="shared" si="46"/>
        <v>0</v>
      </c>
      <c r="BV273" s="136">
        <f t="shared" si="46"/>
        <v>0</v>
      </c>
      <c r="BW273" s="136">
        <f t="shared" si="46"/>
        <v>0</v>
      </c>
      <c r="BX273" s="136">
        <f t="shared" si="46"/>
        <v>0</v>
      </c>
      <c r="BZ273" s="136">
        <f t="shared" si="47"/>
        <v>0</v>
      </c>
      <c r="CA273" s="136">
        <f t="shared" si="47"/>
        <v>0</v>
      </c>
    </row>
    <row r="274" spans="12:79" hidden="1" x14ac:dyDescent="0.3">
      <c r="L274" s="136">
        <f t="shared" si="41"/>
        <v>0</v>
      </c>
      <c r="M274" s="136">
        <f t="shared" si="41"/>
        <v>0</v>
      </c>
      <c r="N274" s="136">
        <f t="shared" si="41"/>
        <v>0</v>
      </c>
      <c r="O274" s="136">
        <f t="shared" si="41"/>
        <v>0</v>
      </c>
      <c r="P274" s="136">
        <f t="shared" si="41"/>
        <v>0</v>
      </c>
      <c r="Q274" s="136">
        <f t="shared" si="41"/>
        <v>0</v>
      </c>
      <c r="R274" s="136">
        <f t="shared" si="41"/>
        <v>0</v>
      </c>
      <c r="S274" s="136">
        <f t="shared" si="41"/>
        <v>0</v>
      </c>
      <c r="T274" s="136">
        <f t="shared" si="41"/>
        <v>0</v>
      </c>
      <c r="U274" s="136">
        <f t="shared" si="41"/>
        <v>0</v>
      </c>
      <c r="V274" s="136">
        <f t="shared" si="41"/>
        <v>0</v>
      </c>
      <c r="W274" s="136">
        <f t="shared" si="41"/>
        <v>0</v>
      </c>
      <c r="X274" s="136">
        <f t="shared" si="41"/>
        <v>0</v>
      </c>
      <c r="Y274" s="136">
        <f t="shared" si="41"/>
        <v>0</v>
      </c>
      <c r="Z274" s="136">
        <f t="shared" si="41"/>
        <v>0</v>
      </c>
      <c r="AA274" s="136">
        <f t="shared" si="41"/>
        <v>0</v>
      </c>
      <c r="AB274" s="136">
        <f t="shared" si="45"/>
        <v>0</v>
      </c>
      <c r="AC274" s="136">
        <f t="shared" si="45"/>
        <v>0</v>
      </c>
      <c r="AD274" s="136">
        <f t="shared" si="45"/>
        <v>0</v>
      </c>
      <c r="AE274" s="136">
        <f t="shared" si="45"/>
        <v>0</v>
      </c>
      <c r="AF274" s="136">
        <f t="shared" si="45"/>
        <v>0</v>
      </c>
      <c r="AG274" s="136">
        <f t="shared" si="45"/>
        <v>0</v>
      </c>
      <c r="AH274" s="136">
        <f t="shared" si="44"/>
        <v>0</v>
      </c>
      <c r="AI274" s="136">
        <f t="shared" si="44"/>
        <v>0</v>
      </c>
      <c r="AJ274" s="136">
        <f t="shared" si="44"/>
        <v>0</v>
      </c>
      <c r="AK274" s="136">
        <f t="shared" si="44"/>
        <v>0</v>
      </c>
      <c r="AL274" s="136">
        <f t="shared" si="44"/>
        <v>0</v>
      </c>
      <c r="AM274" s="136">
        <f t="shared" si="44"/>
        <v>0</v>
      </c>
      <c r="AN274" s="136">
        <f t="shared" si="44"/>
        <v>0</v>
      </c>
      <c r="AO274" s="136">
        <f t="shared" si="44"/>
        <v>0</v>
      </c>
      <c r="AP274" s="136">
        <f t="shared" si="44"/>
        <v>0</v>
      </c>
      <c r="AQ274" s="136">
        <f t="shared" si="43"/>
        <v>0</v>
      </c>
      <c r="AR274" s="136">
        <f t="shared" si="43"/>
        <v>0</v>
      </c>
      <c r="AS274" s="136">
        <f t="shared" si="43"/>
        <v>0</v>
      </c>
      <c r="AT274" s="136">
        <f t="shared" si="43"/>
        <v>0</v>
      </c>
      <c r="AU274" s="136">
        <f t="shared" si="43"/>
        <v>0</v>
      </c>
      <c r="AV274" s="136">
        <f t="shared" si="43"/>
        <v>0</v>
      </c>
      <c r="AW274" s="136">
        <f t="shared" si="43"/>
        <v>0</v>
      </c>
      <c r="AX274" s="136">
        <f t="shared" si="43"/>
        <v>0</v>
      </c>
      <c r="AY274" s="136">
        <f t="shared" si="43"/>
        <v>0</v>
      </c>
      <c r="AZ274" s="136">
        <f t="shared" si="43"/>
        <v>0</v>
      </c>
      <c r="BA274" s="136">
        <f t="shared" si="43"/>
        <v>0</v>
      </c>
      <c r="BB274" s="136">
        <f t="shared" si="43"/>
        <v>0</v>
      </c>
      <c r="BC274" s="136">
        <f t="shared" si="43"/>
        <v>0</v>
      </c>
      <c r="BD274" s="136">
        <f t="shared" si="43"/>
        <v>0</v>
      </c>
      <c r="BE274" s="136">
        <f t="shared" si="43"/>
        <v>0</v>
      </c>
      <c r="BF274" s="136">
        <f t="shared" si="43"/>
        <v>0</v>
      </c>
      <c r="BG274" s="136">
        <f t="shared" si="49"/>
        <v>0</v>
      </c>
      <c r="BH274" s="136">
        <f t="shared" si="49"/>
        <v>0</v>
      </c>
      <c r="BI274" s="136">
        <f t="shared" si="49"/>
        <v>0</v>
      </c>
      <c r="BJ274" s="136">
        <f t="shared" si="49"/>
        <v>0</v>
      </c>
      <c r="BK274" s="136">
        <f t="shared" si="48"/>
        <v>0</v>
      </c>
      <c r="BL274" s="136">
        <f t="shared" si="48"/>
        <v>0</v>
      </c>
      <c r="BM274" s="136">
        <f t="shared" si="48"/>
        <v>0</v>
      </c>
      <c r="BN274" s="136">
        <f t="shared" si="48"/>
        <v>0</v>
      </c>
      <c r="BO274" s="136">
        <f t="shared" si="48"/>
        <v>0</v>
      </c>
      <c r="BU274" s="136">
        <f t="shared" si="46"/>
        <v>0</v>
      </c>
      <c r="BV274" s="136">
        <f t="shared" si="46"/>
        <v>0</v>
      </c>
      <c r="BW274" s="136">
        <f t="shared" si="46"/>
        <v>0</v>
      </c>
      <c r="BX274" s="136">
        <f t="shared" si="46"/>
        <v>0</v>
      </c>
      <c r="BZ274" s="136">
        <f t="shared" si="47"/>
        <v>0</v>
      </c>
      <c r="CA274" s="136">
        <f t="shared" si="47"/>
        <v>0</v>
      </c>
    </row>
    <row r="275" spans="12:79" hidden="1" x14ac:dyDescent="0.3">
      <c r="L275" s="136">
        <f t="shared" ref="L275:AA290" si="50">L102-CD102</f>
        <v>0</v>
      </c>
      <c r="M275" s="136">
        <f t="shared" si="50"/>
        <v>0</v>
      </c>
      <c r="N275" s="136">
        <f t="shared" si="50"/>
        <v>0</v>
      </c>
      <c r="O275" s="136">
        <f t="shared" si="50"/>
        <v>0</v>
      </c>
      <c r="P275" s="136">
        <f t="shared" si="50"/>
        <v>0</v>
      </c>
      <c r="Q275" s="136">
        <f t="shared" si="50"/>
        <v>0</v>
      </c>
      <c r="R275" s="136">
        <f t="shared" si="50"/>
        <v>0</v>
      </c>
      <c r="S275" s="136">
        <f t="shared" si="50"/>
        <v>0</v>
      </c>
      <c r="T275" s="136">
        <f t="shared" si="50"/>
        <v>0</v>
      </c>
      <c r="U275" s="136">
        <f t="shared" si="50"/>
        <v>0</v>
      </c>
      <c r="V275" s="136">
        <f t="shared" si="50"/>
        <v>0</v>
      </c>
      <c r="W275" s="136">
        <f t="shared" si="50"/>
        <v>0</v>
      </c>
      <c r="X275" s="136">
        <f t="shared" si="50"/>
        <v>0</v>
      </c>
      <c r="Y275" s="136">
        <f t="shared" si="50"/>
        <v>0</v>
      </c>
      <c r="Z275" s="136">
        <f t="shared" si="50"/>
        <v>0</v>
      </c>
      <c r="AA275" s="136">
        <f t="shared" si="50"/>
        <v>0</v>
      </c>
      <c r="AB275" s="136">
        <f t="shared" si="45"/>
        <v>0</v>
      </c>
      <c r="AC275" s="136">
        <f t="shared" si="45"/>
        <v>0</v>
      </c>
      <c r="AD275" s="136">
        <f t="shared" si="45"/>
        <v>0</v>
      </c>
      <c r="AE275" s="136">
        <f t="shared" si="45"/>
        <v>0</v>
      </c>
      <c r="AF275" s="136">
        <f t="shared" si="45"/>
        <v>0</v>
      </c>
      <c r="AG275" s="136">
        <f t="shared" si="45"/>
        <v>0</v>
      </c>
      <c r="AH275" s="136">
        <f t="shared" si="44"/>
        <v>0</v>
      </c>
      <c r="AI275" s="136">
        <f t="shared" si="44"/>
        <v>0</v>
      </c>
      <c r="AJ275" s="136">
        <f t="shared" si="44"/>
        <v>0</v>
      </c>
      <c r="AK275" s="136">
        <f t="shared" si="44"/>
        <v>0</v>
      </c>
      <c r="AL275" s="136">
        <f t="shared" si="44"/>
        <v>0</v>
      </c>
      <c r="AM275" s="136">
        <f t="shared" si="44"/>
        <v>0</v>
      </c>
      <c r="AN275" s="136">
        <f t="shared" si="44"/>
        <v>0</v>
      </c>
      <c r="AO275" s="136">
        <f t="shared" si="44"/>
        <v>0</v>
      </c>
      <c r="AP275" s="136">
        <f t="shared" si="44"/>
        <v>0</v>
      </c>
      <c r="AQ275" s="136">
        <f t="shared" si="43"/>
        <v>0</v>
      </c>
      <c r="AR275" s="136">
        <f t="shared" si="43"/>
        <v>0</v>
      </c>
      <c r="AS275" s="136">
        <f t="shared" si="43"/>
        <v>0</v>
      </c>
      <c r="AT275" s="136">
        <f t="shared" si="43"/>
        <v>0</v>
      </c>
      <c r="AU275" s="136">
        <f t="shared" si="43"/>
        <v>0</v>
      </c>
      <c r="AV275" s="136">
        <f t="shared" si="43"/>
        <v>0</v>
      </c>
      <c r="AW275" s="136">
        <f t="shared" si="43"/>
        <v>0</v>
      </c>
      <c r="AX275" s="136">
        <f t="shared" si="43"/>
        <v>0</v>
      </c>
      <c r="AY275" s="136">
        <f t="shared" si="43"/>
        <v>0</v>
      </c>
      <c r="AZ275" s="136">
        <f t="shared" si="43"/>
        <v>0</v>
      </c>
      <c r="BA275" s="136">
        <f t="shared" si="43"/>
        <v>0</v>
      </c>
      <c r="BB275" s="136">
        <f t="shared" si="43"/>
        <v>0</v>
      </c>
      <c r="BC275" s="136">
        <f t="shared" si="43"/>
        <v>0</v>
      </c>
      <c r="BD275" s="136">
        <f t="shared" si="43"/>
        <v>0</v>
      </c>
      <c r="BE275" s="136">
        <f t="shared" si="43"/>
        <v>0</v>
      </c>
      <c r="BF275" s="136">
        <f t="shared" si="43"/>
        <v>0</v>
      </c>
      <c r="BG275" s="136">
        <f t="shared" si="49"/>
        <v>0</v>
      </c>
      <c r="BH275" s="136">
        <f t="shared" si="49"/>
        <v>0</v>
      </c>
      <c r="BI275" s="136">
        <f t="shared" si="49"/>
        <v>0</v>
      </c>
      <c r="BJ275" s="136">
        <f t="shared" si="49"/>
        <v>0</v>
      </c>
      <c r="BK275" s="136">
        <f t="shared" si="48"/>
        <v>0</v>
      </c>
      <c r="BL275" s="136">
        <f t="shared" si="48"/>
        <v>0</v>
      </c>
      <c r="BM275" s="136">
        <f t="shared" si="48"/>
        <v>0</v>
      </c>
      <c r="BN275" s="136">
        <f t="shared" si="48"/>
        <v>0</v>
      </c>
      <c r="BO275" s="136">
        <f t="shared" si="48"/>
        <v>0</v>
      </c>
      <c r="BU275" s="136">
        <f t="shared" si="46"/>
        <v>0</v>
      </c>
      <c r="BV275" s="136">
        <f t="shared" si="46"/>
        <v>0</v>
      </c>
      <c r="BW275" s="136">
        <f t="shared" si="46"/>
        <v>0</v>
      </c>
      <c r="BX275" s="136">
        <f t="shared" si="46"/>
        <v>0</v>
      </c>
      <c r="BZ275" s="136">
        <f t="shared" si="47"/>
        <v>0</v>
      </c>
      <c r="CA275" s="136">
        <f t="shared" si="47"/>
        <v>0</v>
      </c>
    </row>
    <row r="276" spans="12:79" hidden="1" x14ac:dyDescent="0.3">
      <c r="L276" s="136">
        <f t="shared" si="50"/>
        <v>0</v>
      </c>
      <c r="M276" s="136">
        <f t="shared" si="50"/>
        <v>0</v>
      </c>
      <c r="N276" s="136">
        <f t="shared" si="50"/>
        <v>0</v>
      </c>
      <c r="O276" s="136">
        <f t="shared" si="50"/>
        <v>0</v>
      </c>
      <c r="P276" s="136">
        <f t="shared" si="50"/>
        <v>0</v>
      </c>
      <c r="Q276" s="136">
        <f t="shared" si="50"/>
        <v>0</v>
      </c>
      <c r="R276" s="136">
        <f t="shared" si="50"/>
        <v>0</v>
      </c>
      <c r="S276" s="136">
        <f t="shared" si="50"/>
        <v>0</v>
      </c>
      <c r="T276" s="136">
        <f t="shared" si="50"/>
        <v>0</v>
      </c>
      <c r="U276" s="136">
        <f t="shared" si="50"/>
        <v>0</v>
      </c>
      <c r="V276" s="136">
        <f t="shared" si="50"/>
        <v>0</v>
      </c>
      <c r="W276" s="136">
        <f t="shared" si="50"/>
        <v>0</v>
      </c>
      <c r="X276" s="136">
        <f t="shared" si="50"/>
        <v>0</v>
      </c>
      <c r="Y276" s="136">
        <f t="shared" si="50"/>
        <v>0</v>
      </c>
      <c r="Z276" s="136">
        <f t="shared" si="50"/>
        <v>0</v>
      </c>
      <c r="AA276" s="136">
        <f t="shared" si="50"/>
        <v>0</v>
      </c>
      <c r="AB276" s="136">
        <f t="shared" si="45"/>
        <v>0</v>
      </c>
      <c r="AC276" s="136">
        <f t="shared" si="45"/>
        <v>0</v>
      </c>
      <c r="AD276" s="136">
        <f t="shared" si="45"/>
        <v>0</v>
      </c>
      <c r="AE276" s="136">
        <f t="shared" si="45"/>
        <v>0</v>
      </c>
      <c r="AF276" s="136">
        <f t="shared" si="45"/>
        <v>0</v>
      </c>
      <c r="AG276" s="136">
        <f t="shared" si="45"/>
        <v>0</v>
      </c>
      <c r="AH276" s="136">
        <f t="shared" si="44"/>
        <v>0</v>
      </c>
      <c r="AI276" s="136">
        <f t="shared" si="44"/>
        <v>0</v>
      </c>
      <c r="AJ276" s="136">
        <f t="shared" si="44"/>
        <v>0</v>
      </c>
      <c r="AK276" s="136">
        <f t="shared" si="44"/>
        <v>0</v>
      </c>
      <c r="AL276" s="136">
        <f t="shared" si="44"/>
        <v>0</v>
      </c>
      <c r="AM276" s="136">
        <f t="shared" si="44"/>
        <v>0</v>
      </c>
      <c r="AN276" s="136">
        <f t="shared" si="44"/>
        <v>0</v>
      </c>
      <c r="AO276" s="136">
        <f t="shared" si="44"/>
        <v>0</v>
      </c>
      <c r="AP276" s="136">
        <f t="shared" si="44"/>
        <v>0</v>
      </c>
      <c r="AQ276" s="136">
        <f t="shared" si="44"/>
        <v>0</v>
      </c>
      <c r="AR276" s="136">
        <f t="shared" si="44"/>
        <v>0</v>
      </c>
      <c r="AS276" s="136">
        <f t="shared" si="44"/>
        <v>0</v>
      </c>
      <c r="AT276" s="136">
        <f t="shared" si="44"/>
        <v>0</v>
      </c>
      <c r="AU276" s="136">
        <f t="shared" si="44"/>
        <v>0</v>
      </c>
      <c r="AV276" s="136">
        <f t="shared" si="44"/>
        <v>0</v>
      </c>
      <c r="AW276" s="136">
        <f t="shared" si="44"/>
        <v>0</v>
      </c>
      <c r="AX276" s="136">
        <f t="shared" ref="AX276:BM291" si="51">AX103-DP103</f>
        <v>0</v>
      </c>
      <c r="AY276" s="136">
        <f t="shared" si="51"/>
        <v>0</v>
      </c>
      <c r="AZ276" s="136">
        <f t="shared" si="51"/>
        <v>0</v>
      </c>
      <c r="BA276" s="136">
        <f t="shared" si="51"/>
        <v>0</v>
      </c>
      <c r="BB276" s="136">
        <f t="shared" si="51"/>
        <v>0</v>
      </c>
      <c r="BC276" s="136">
        <f t="shared" si="51"/>
        <v>0</v>
      </c>
      <c r="BD276" s="136">
        <f t="shared" si="51"/>
        <v>0</v>
      </c>
      <c r="BE276" s="136">
        <f t="shared" si="51"/>
        <v>0</v>
      </c>
      <c r="BF276" s="136">
        <f t="shared" si="51"/>
        <v>0</v>
      </c>
      <c r="BG276" s="136">
        <f t="shared" si="49"/>
        <v>0</v>
      </c>
      <c r="BH276" s="136">
        <f t="shared" si="49"/>
        <v>0</v>
      </c>
      <c r="BI276" s="136">
        <f t="shared" si="49"/>
        <v>0</v>
      </c>
      <c r="BJ276" s="136">
        <f t="shared" si="49"/>
        <v>0</v>
      </c>
      <c r="BK276" s="136">
        <f t="shared" si="48"/>
        <v>0</v>
      </c>
      <c r="BL276" s="136">
        <f t="shared" si="48"/>
        <v>0</v>
      </c>
      <c r="BM276" s="136">
        <f t="shared" si="48"/>
        <v>0</v>
      </c>
      <c r="BN276" s="136">
        <f t="shared" si="48"/>
        <v>0</v>
      </c>
      <c r="BO276" s="136">
        <f t="shared" si="48"/>
        <v>0</v>
      </c>
      <c r="BU276" s="136">
        <f t="shared" si="46"/>
        <v>0</v>
      </c>
      <c r="BV276" s="136">
        <f t="shared" si="46"/>
        <v>0</v>
      </c>
      <c r="BW276" s="136">
        <f t="shared" si="46"/>
        <v>0</v>
      </c>
      <c r="BX276" s="136">
        <f t="shared" si="46"/>
        <v>0</v>
      </c>
      <c r="BZ276" s="136">
        <f t="shared" si="47"/>
        <v>0</v>
      </c>
      <c r="CA276" s="136">
        <f t="shared" si="47"/>
        <v>0</v>
      </c>
    </row>
    <row r="277" spans="12:79" hidden="1" x14ac:dyDescent="0.3">
      <c r="L277" s="136">
        <f t="shared" si="50"/>
        <v>0</v>
      </c>
      <c r="M277" s="136">
        <f t="shared" si="50"/>
        <v>0</v>
      </c>
      <c r="N277" s="136">
        <f t="shared" si="50"/>
        <v>0</v>
      </c>
      <c r="O277" s="136">
        <f t="shared" si="50"/>
        <v>0</v>
      </c>
      <c r="P277" s="136">
        <f t="shared" si="50"/>
        <v>0</v>
      </c>
      <c r="Q277" s="136">
        <f t="shared" si="50"/>
        <v>0</v>
      </c>
      <c r="R277" s="136">
        <f t="shared" si="50"/>
        <v>0</v>
      </c>
      <c r="S277" s="136">
        <f t="shared" si="50"/>
        <v>0</v>
      </c>
      <c r="T277" s="136">
        <f t="shared" si="50"/>
        <v>0</v>
      </c>
      <c r="U277" s="136">
        <f t="shared" si="50"/>
        <v>0</v>
      </c>
      <c r="V277" s="136">
        <f t="shared" si="50"/>
        <v>0</v>
      </c>
      <c r="W277" s="136">
        <f t="shared" si="50"/>
        <v>0</v>
      </c>
      <c r="X277" s="136">
        <f t="shared" si="50"/>
        <v>0</v>
      </c>
      <c r="Y277" s="136">
        <f t="shared" si="50"/>
        <v>0</v>
      </c>
      <c r="Z277" s="136">
        <f t="shared" si="50"/>
        <v>0</v>
      </c>
      <c r="AA277" s="136">
        <f t="shared" si="50"/>
        <v>0</v>
      </c>
      <c r="AB277" s="136">
        <f t="shared" si="45"/>
        <v>0</v>
      </c>
      <c r="AC277" s="136">
        <f t="shared" si="45"/>
        <v>0</v>
      </c>
      <c r="AD277" s="136">
        <f t="shared" si="45"/>
        <v>0</v>
      </c>
      <c r="AE277" s="136">
        <f t="shared" si="45"/>
        <v>0</v>
      </c>
      <c r="AF277" s="136">
        <f t="shared" si="45"/>
        <v>0</v>
      </c>
      <c r="AG277" s="136">
        <f t="shared" si="45"/>
        <v>0</v>
      </c>
      <c r="AH277" s="136">
        <f t="shared" si="44"/>
        <v>0</v>
      </c>
      <c r="AI277" s="136">
        <f t="shared" si="44"/>
        <v>0</v>
      </c>
      <c r="AJ277" s="136">
        <f t="shared" si="44"/>
        <v>0</v>
      </c>
      <c r="AK277" s="136">
        <f t="shared" si="44"/>
        <v>0</v>
      </c>
      <c r="AL277" s="136">
        <f t="shared" si="44"/>
        <v>0</v>
      </c>
      <c r="AM277" s="136">
        <f t="shared" si="44"/>
        <v>0</v>
      </c>
      <c r="AN277" s="136">
        <f t="shared" si="44"/>
        <v>0</v>
      </c>
      <c r="AO277" s="136">
        <f t="shared" si="44"/>
        <v>0</v>
      </c>
      <c r="AP277" s="136">
        <f t="shared" si="44"/>
        <v>0</v>
      </c>
      <c r="AQ277" s="136">
        <f t="shared" si="44"/>
        <v>0</v>
      </c>
      <c r="AR277" s="136">
        <f t="shared" si="44"/>
        <v>0</v>
      </c>
      <c r="AS277" s="136">
        <f t="shared" si="44"/>
        <v>0</v>
      </c>
      <c r="AT277" s="136">
        <f t="shared" si="44"/>
        <v>0</v>
      </c>
      <c r="AU277" s="136">
        <f t="shared" si="44"/>
        <v>0</v>
      </c>
      <c r="AV277" s="136">
        <f t="shared" si="44"/>
        <v>0</v>
      </c>
      <c r="AW277" s="136">
        <f t="shared" si="44"/>
        <v>0</v>
      </c>
      <c r="AX277" s="136">
        <f t="shared" si="51"/>
        <v>0</v>
      </c>
      <c r="AY277" s="136">
        <f t="shared" si="51"/>
        <v>0</v>
      </c>
      <c r="AZ277" s="136">
        <f t="shared" si="51"/>
        <v>0</v>
      </c>
      <c r="BA277" s="136">
        <f t="shared" si="51"/>
        <v>0</v>
      </c>
      <c r="BB277" s="136">
        <f t="shared" si="51"/>
        <v>0</v>
      </c>
      <c r="BC277" s="136">
        <f t="shared" si="51"/>
        <v>0</v>
      </c>
      <c r="BD277" s="136">
        <f t="shared" si="51"/>
        <v>0</v>
      </c>
      <c r="BE277" s="136">
        <f t="shared" si="51"/>
        <v>0</v>
      </c>
      <c r="BF277" s="136">
        <f t="shared" si="51"/>
        <v>0</v>
      </c>
      <c r="BG277" s="136">
        <f t="shared" si="49"/>
        <v>0</v>
      </c>
      <c r="BH277" s="136">
        <f t="shared" si="49"/>
        <v>0</v>
      </c>
      <c r="BI277" s="136">
        <f t="shared" si="49"/>
        <v>0</v>
      </c>
      <c r="BJ277" s="136">
        <f t="shared" si="49"/>
        <v>0</v>
      </c>
      <c r="BK277" s="136">
        <f t="shared" si="48"/>
        <v>0</v>
      </c>
      <c r="BL277" s="136">
        <f t="shared" si="48"/>
        <v>0</v>
      </c>
      <c r="BM277" s="136">
        <f t="shared" si="48"/>
        <v>0</v>
      </c>
      <c r="BN277" s="136">
        <f t="shared" si="48"/>
        <v>0</v>
      </c>
      <c r="BO277" s="136">
        <f t="shared" si="48"/>
        <v>0</v>
      </c>
      <c r="BU277" s="136">
        <f t="shared" si="46"/>
        <v>0</v>
      </c>
      <c r="BV277" s="136">
        <f t="shared" si="46"/>
        <v>0</v>
      </c>
      <c r="BW277" s="136">
        <f t="shared" si="46"/>
        <v>0</v>
      </c>
      <c r="BX277" s="136">
        <f t="shared" si="46"/>
        <v>0</v>
      </c>
      <c r="BZ277" s="136">
        <f t="shared" si="47"/>
        <v>0</v>
      </c>
      <c r="CA277" s="136">
        <f t="shared" si="47"/>
        <v>0</v>
      </c>
    </row>
    <row r="278" spans="12:79" hidden="1" x14ac:dyDescent="0.3">
      <c r="L278" s="136">
        <f t="shared" si="50"/>
        <v>0</v>
      </c>
      <c r="M278" s="136">
        <f t="shared" si="50"/>
        <v>0</v>
      </c>
      <c r="N278" s="136">
        <f t="shared" si="50"/>
        <v>0</v>
      </c>
      <c r="O278" s="136">
        <f t="shared" si="50"/>
        <v>0</v>
      </c>
      <c r="P278" s="136">
        <f t="shared" si="50"/>
        <v>0</v>
      </c>
      <c r="Q278" s="136">
        <f t="shared" si="50"/>
        <v>0</v>
      </c>
      <c r="R278" s="136">
        <f t="shared" si="50"/>
        <v>0</v>
      </c>
      <c r="S278" s="136">
        <f t="shared" si="50"/>
        <v>0</v>
      </c>
      <c r="T278" s="136">
        <f t="shared" si="50"/>
        <v>0</v>
      </c>
      <c r="U278" s="136">
        <f t="shared" si="50"/>
        <v>0</v>
      </c>
      <c r="V278" s="136">
        <f t="shared" si="50"/>
        <v>0</v>
      </c>
      <c r="W278" s="136">
        <f t="shared" si="50"/>
        <v>0</v>
      </c>
      <c r="X278" s="136">
        <f t="shared" si="50"/>
        <v>0</v>
      </c>
      <c r="Y278" s="136">
        <f t="shared" si="50"/>
        <v>0</v>
      </c>
      <c r="Z278" s="136">
        <f t="shared" si="50"/>
        <v>0</v>
      </c>
      <c r="AA278" s="136">
        <f t="shared" si="50"/>
        <v>0</v>
      </c>
      <c r="AB278" s="136">
        <f t="shared" si="45"/>
        <v>0</v>
      </c>
      <c r="AC278" s="136">
        <f t="shared" si="45"/>
        <v>0</v>
      </c>
      <c r="AD278" s="136">
        <f t="shared" si="45"/>
        <v>0</v>
      </c>
      <c r="AE278" s="136">
        <f t="shared" si="45"/>
        <v>0</v>
      </c>
      <c r="AF278" s="136">
        <f t="shared" si="45"/>
        <v>0</v>
      </c>
      <c r="AG278" s="136">
        <f t="shared" si="45"/>
        <v>0</v>
      </c>
      <c r="AH278" s="136">
        <f t="shared" si="44"/>
        <v>0</v>
      </c>
      <c r="AI278" s="136">
        <f t="shared" si="44"/>
        <v>0</v>
      </c>
      <c r="AJ278" s="136">
        <f t="shared" si="44"/>
        <v>0</v>
      </c>
      <c r="AK278" s="136">
        <f t="shared" si="44"/>
        <v>0</v>
      </c>
      <c r="AL278" s="136">
        <f t="shared" si="44"/>
        <v>0</v>
      </c>
      <c r="AM278" s="136">
        <f t="shared" si="44"/>
        <v>0</v>
      </c>
      <c r="AN278" s="136">
        <f t="shared" si="44"/>
        <v>0</v>
      </c>
      <c r="AO278" s="136">
        <f t="shared" si="44"/>
        <v>0</v>
      </c>
      <c r="AP278" s="136">
        <f t="shared" si="44"/>
        <v>0</v>
      </c>
      <c r="AQ278" s="136">
        <f t="shared" si="44"/>
        <v>0</v>
      </c>
      <c r="AR278" s="136">
        <f t="shared" si="44"/>
        <v>0</v>
      </c>
      <c r="AS278" s="136">
        <f t="shared" si="44"/>
        <v>0</v>
      </c>
      <c r="AT278" s="136">
        <f t="shared" si="44"/>
        <v>0</v>
      </c>
      <c r="AU278" s="136">
        <f t="shared" si="44"/>
        <v>0</v>
      </c>
      <c r="AV278" s="136">
        <f t="shared" si="44"/>
        <v>0</v>
      </c>
      <c r="AW278" s="136">
        <f t="shared" si="44"/>
        <v>0</v>
      </c>
      <c r="AX278" s="136">
        <f t="shared" si="51"/>
        <v>0</v>
      </c>
      <c r="AY278" s="136">
        <f t="shared" si="51"/>
        <v>0</v>
      </c>
      <c r="AZ278" s="136">
        <f t="shared" si="51"/>
        <v>0</v>
      </c>
      <c r="BA278" s="136">
        <f t="shared" si="51"/>
        <v>0</v>
      </c>
      <c r="BB278" s="136">
        <f t="shared" si="51"/>
        <v>0</v>
      </c>
      <c r="BC278" s="136">
        <f t="shared" si="51"/>
        <v>0</v>
      </c>
      <c r="BD278" s="136">
        <f t="shared" si="51"/>
        <v>0</v>
      </c>
      <c r="BE278" s="136">
        <f t="shared" si="51"/>
        <v>0</v>
      </c>
      <c r="BF278" s="136">
        <f t="shared" si="51"/>
        <v>0</v>
      </c>
      <c r="BG278" s="136">
        <f t="shared" si="49"/>
        <v>0</v>
      </c>
      <c r="BH278" s="136">
        <f t="shared" si="49"/>
        <v>0</v>
      </c>
      <c r="BI278" s="136">
        <f t="shared" si="49"/>
        <v>0</v>
      </c>
      <c r="BJ278" s="136">
        <f t="shared" si="49"/>
        <v>0</v>
      </c>
      <c r="BK278" s="136">
        <f t="shared" si="48"/>
        <v>0</v>
      </c>
      <c r="BL278" s="136">
        <f t="shared" si="48"/>
        <v>0</v>
      </c>
      <c r="BM278" s="136">
        <f t="shared" si="48"/>
        <v>0</v>
      </c>
      <c r="BN278" s="136">
        <f t="shared" si="48"/>
        <v>0</v>
      </c>
      <c r="BO278" s="136">
        <f t="shared" si="48"/>
        <v>0</v>
      </c>
      <c r="BU278" s="136">
        <f t="shared" si="46"/>
        <v>0</v>
      </c>
      <c r="BV278" s="136">
        <f t="shared" si="46"/>
        <v>0</v>
      </c>
      <c r="BW278" s="136">
        <f t="shared" si="46"/>
        <v>0</v>
      </c>
      <c r="BX278" s="136">
        <f t="shared" si="46"/>
        <v>0</v>
      </c>
      <c r="BZ278" s="136">
        <f t="shared" si="47"/>
        <v>0</v>
      </c>
      <c r="CA278" s="136">
        <f t="shared" si="47"/>
        <v>0</v>
      </c>
    </row>
    <row r="279" spans="12:79" hidden="1" x14ac:dyDescent="0.3">
      <c r="L279" s="136">
        <f t="shared" si="50"/>
        <v>0</v>
      </c>
      <c r="M279" s="136">
        <f t="shared" si="50"/>
        <v>0</v>
      </c>
      <c r="N279" s="136">
        <f t="shared" si="50"/>
        <v>0</v>
      </c>
      <c r="O279" s="136">
        <f t="shared" si="50"/>
        <v>0</v>
      </c>
      <c r="P279" s="136">
        <f t="shared" si="50"/>
        <v>0</v>
      </c>
      <c r="Q279" s="136">
        <f t="shared" si="50"/>
        <v>0</v>
      </c>
      <c r="R279" s="136">
        <f t="shared" si="50"/>
        <v>0</v>
      </c>
      <c r="S279" s="136">
        <f t="shared" si="50"/>
        <v>0</v>
      </c>
      <c r="T279" s="136">
        <f t="shared" si="50"/>
        <v>0</v>
      </c>
      <c r="U279" s="136">
        <f t="shared" si="50"/>
        <v>0</v>
      </c>
      <c r="V279" s="136">
        <f t="shared" si="50"/>
        <v>0</v>
      </c>
      <c r="W279" s="136">
        <f t="shared" si="50"/>
        <v>0</v>
      </c>
      <c r="X279" s="136">
        <f t="shared" si="50"/>
        <v>0</v>
      </c>
      <c r="Y279" s="136">
        <f t="shared" si="50"/>
        <v>0</v>
      </c>
      <c r="Z279" s="136">
        <f t="shared" si="50"/>
        <v>0</v>
      </c>
      <c r="AA279" s="136">
        <f t="shared" si="50"/>
        <v>0</v>
      </c>
      <c r="AB279" s="136">
        <f t="shared" si="45"/>
        <v>0</v>
      </c>
      <c r="AC279" s="136">
        <f t="shared" si="45"/>
        <v>0</v>
      </c>
      <c r="AD279" s="136">
        <f t="shared" si="45"/>
        <v>0</v>
      </c>
      <c r="AE279" s="136">
        <f t="shared" si="45"/>
        <v>0</v>
      </c>
      <c r="AF279" s="136">
        <f t="shared" si="45"/>
        <v>0</v>
      </c>
      <c r="AG279" s="136">
        <f t="shared" si="45"/>
        <v>0</v>
      </c>
      <c r="AH279" s="136">
        <f t="shared" si="44"/>
        <v>0</v>
      </c>
      <c r="AI279" s="136">
        <f t="shared" si="44"/>
        <v>0</v>
      </c>
      <c r="AJ279" s="136">
        <f t="shared" si="44"/>
        <v>0</v>
      </c>
      <c r="AK279" s="136">
        <f t="shared" si="44"/>
        <v>0</v>
      </c>
      <c r="AL279" s="136">
        <f t="shared" si="44"/>
        <v>0</v>
      </c>
      <c r="AM279" s="136">
        <f t="shared" si="44"/>
        <v>0</v>
      </c>
      <c r="AN279" s="136">
        <f t="shared" si="44"/>
        <v>0</v>
      </c>
      <c r="AO279" s="136">
        <f t="shared" si="44"/>
        <v>0</v>
      </c>
      <c r="AP279" s="136">
        <f t="shared" si="44"/>
        <v>0</v>
      </c>
      <c r="AQ279" s="136">
        <f t="shared" si="44"/>
        <v>0</v>
      </c>
      <c r="AR279" s="136">
        <f t="shared" si="44"/>
        <v>0</v>
      </c>
      <c r="AS279" s="136">
        <f t="shared" si="44"/>
        <v>0</v>
      </c>
      <c r="AT279" s="136">
        <f t="shared" si="44"/>
        <v>0</v>
      </c>
      <c r="AU279" s="136">
        <f t="shared" si="44"/>
        <v>0</v>
      </c>
      <c r="AV279" s="136">
        <f t="shared" si="44"/>
        <v>0</v>
      </c>
      <c r="AW279" s="136">
        <f t="shared" si="44"/>
        <v>0</v>
      </c>
      <c r="AX279" s="136">
        <f t="shared" si="51"/>
        <v>0</v>
      </c>
      <c r="AY279" s="136">
        <f t="shared" si="51"/>
        <v>0</v>
      </c>
      <c r="AZ279" s="136">
        <f t="shared" si="51"/>
        <v>0</v>
      </c>
      <c r="BA279" s="136">
        <f t="shared" si="51"/>
        <v>0</v>
      </c>
      <c r="BB279" s="136">
        <f t="shared" si="51"/>
        <v>0</v>
      </c>
      <c r="BC279" s="136">
        <f t="shared" si="51"/>
        <v>0</v>
      </c>
      <c r="BD279" s="136">
        <f t="shared" si="51"/>
        <v>0</v>
      </c>
      <c r="BE279" s="136">
        <f t="shared" si="51"/>
        <v>0</v>
      </c>
      <c r="BF279" s="136">
        <f t="shared" si="51"/>
        <v>0</v>
      </c>
      <c r="BG279" s="136">
        <f t="shared" si="49"/>
        <v>0</v>
      </c>
      <c r="BH279" s="136">
        <f t="shared" si="49"/>
        <v>0</v>
      </c>
      <c r="BI279" s="136">
        <f t="shared" si="49"/>
        <v>0</v>
      </c>
      <c r="BJ279" s="136">
        <f t="shared" si="49"/>
        <v>0</v>
      </c>
      <c r="BK279" s="136">
        <f t="shared" si="48"/>
        <v>0</v>
      </c>
      <c r="BL279" s="136">
        <f t="shared" si="48"/>
        <v>0</v>
      </c>
      <c r="BM279" s="136">
        <f t="shared" si="48"/>
        <v>0</v>
      </c>
      <c r="BN279" s="136">
        <f t="shared" si="48"/>
        <v>0</v>
      </c>
      <c r="BO279" s="136">
        <f t="shared" si="48"/>
        <v>0</v>
      </c>
      <c r="BU279" s="136">
        <f t="shared" si="46"/>
        <v>0</v>
      </c>
      <c r="BV279" s="136">
        <f t="shared" si="46"/>
        <v>0</v>
      </c>
      <c r="BW279" s="136">
        <f t="shared" si="46"/>
        <v>0</v>
      </c>
      <c r="BX279" s="136">
        <f t="shared" si="46"/>
        <v>0</v>
      </c>
      <c r="BZ279" s="136">
        <f t="shared" si="47"/>
        <v>0</v>
      </c>
      <c r="CA279" s="136">
        <f t="shared" si="47"/>
        <v>0</v>
      </c>
    </row>
    <row r="280" spans="12:79" hidden="1" x14ac:dyDescent="0.3">
      <c r="L280" s="136">
        <f t="shared" si="50"/>
        <v>0</v>
      </c>
      <c r="M280" s="136">
        <f t="shared" si="50"/>
        <v>0</v>
      </c>
      <c r="N280" s="136">
        <f t="shared" si="50"/>
        <v>0</v>
      </c>
      <c r="O280" s="136">
        <f t="shared" si="50"/>
        <v>0</v>
      </c>
      <c r="P280" s="136">
        <f t="shared" si="50"/>
        <v>0</v>
      </c>
      <c r="Q280" s="136">
        <f t="shared" si="50"/>
        <v>0</v>
      </c>
      <c r="R280" s="136">
        <f t="shared" si="50"/>
        <v>0</v>
      </c>
      <c r="S280" s="136">
        <f t="shared" si="50"/>
        <v>0</v>
      </c>
      <c r="T280" s="136">
        <f t="shared" si="50"/>
        <v>0</v>
      </c>
      <c r="U280" s="136">
        <f t="shared" si="50"/>
        <v>0</v>
      </c>
      <c r="V280" s="136">
        <f t="shared" si="50"/>
        <v>0</v>
      </c>
      <c r="W280" s="136">
        <f t="shared" si="50"/>
        <v>0</v>
      </c>
      <c r="X280" s="136">
        <f t="shared" si="50"/>
        <v>0</v>
      </c>
      <c r="Y280" s="136">
        <f t="shared" si="50"/>
        <v>0</v>
      </c>
      <c r="Z280" s="136">
        <f t="shared" si="50"/>
        <v>0</v>
      </c>
      <c r="AA280" s="136">
        <f t="shared" si="50"/>
        <v>0</v>
      </c>
      <c r="AB280" s="136">
        <f t="shared" si="45"/>
        <v>0</v>
      </c>
      <c r="AC280" s="136">
        <f t="shared" si="45"/>
        <v>0</v>
      </c>
      <c r="AD280" s="136">
        <f t="shared" si="45"/>
        <v>0</v>
      </c>
      <c r="AE280" s="136">
        <f t="shared" si="45"/>
        <v>0</v>
      </c>
      <c r="AF280" s="136">
        <f t="shared" si="45"/>
        <v>0</v>
      </c>
      <c r="AG280" s="136">
        <f t="shared" si="45"/>
        <v>0</v>
      </c>
      <c r="AH280" s="136">
        <f t="shared" si="44"/>
        <v>0</v>
      </c>
      <c r="AI280" s="136">
        <f t="shared" si="44"/>
        <v>0</v>
      </c>
      <c r="AJ280" s="136">
        <f t="shared" si="44"/>
        <v>0</v>
      </c>
      <c r="AK280" s="136">
        <f t="shared" si="44"/>
        <v>0</v>
      </c>
      <c r="AL280" s="136">
        <f t="shared" si="44"/>
        <v>0</v>
      </c>
      <c r="AM280" s="136">
        <f t="shared" si="44"/>
        <v>0</v>
      </c>
      <c r="AN280" s="136">
        <f t="shared" si="44"/>
        <v>0</v>
      </c>
      <c r="AO280" s="136">
        <f t="shared" si="44"/>
        <v>0</v>
      </c>
      <c r="AP280" s="136">
        <f t="shared" si="44"/>
        <v>0</v>
      </c>
      <c r="AQ280" s="136">
        <f t="shared" si="44"/>
        <v>0</v>
      </c>
      <c r="AR280" s="136">
        <f t="shared" si="44"/>
        <v>0</v>
      </c>
      <c r="AS280" s="136">
        <f t="shared" si="44"/>
        <v>0</v>
      </c>
      <c r="AT280" s="136">
        <f t="shared" si="44"/>
        <v>0</v>
      </c>
      <c r="AU280" s="136">
        <f t="shared" si="44"/>
        <v>0</v>
      </c>
      <c r="AV280" s="136">
        <f t="shared" si="44"/>
        <v>0</v>
      </c>
      <c r="AW280" s="136">
        <f t="shared" si="44"/>
        <v>0</v>
      </c>
      <c r="AX280" s="136">
        <f t="shared" si="51"/>
        <v>0</v>
      </c>
      <c r="AY280" s="136">
        <f t="shared" si="51"/>
        <v>0</v>
      </c>
      <c r="AZ280" s="136">
        <f t="shared" si="51"/>
        <v>0</v>
      </c>
      <c r="BA280" s="136">
        <f t="shared" si="51"/>
        <v>0</v>
      </c>
      <c r="BB280" s="136">
        <f t="shared" si="51"/>
        <v>0</v>
      </c>
      <c r="BC280" s="136">
        <f t="shared" si="51"/>
        <v>0</v>
      </c>
      <c r="BD280" s="136">
        <f t="shared" si="51"/>
        <v>0</v>
      </c>
      <c r="BE280" s="136">
        <f t="shared" si="51"/>
        <v>0</v>
      </c>
      <c r="BF280" s="136">
        <f t="shared" si="51"/>
        <v>0</v>
      </c>
      <c r="BG280" s="136">
        <f t="shared" si="49"/>
        <v>0</v>
      </c>
      <c r="BH280" s="136">
        <f t="shared" si="49"/>
        <v>0</v>
      </c>
      <c r="BI280" s="136">
        <f t="shared" si="49"/>
        <v>0</v>
      </c>
      <c r="BJ280" s="136">
        <f t="shared" si="49"/>
        <v>0</v>
      </c>
      <c r="BK280" s="136">
        <f t="shared" si="48"/>
        <v>0</v>
      </c>
      <c r="BL280" s="136">
        <f t="shared" si="48"/>
        <v>0</v>
      </c>
      <c r="BM280" s="136">
        <f t="shared" si="48"/>
        <v>0</v>
      </c>
      <c r="BN280" s="136">
        <f t="shared" si="48"/>
        <v>0</v>
      </c>
      <c r="BO280" s="136">
        <f t="shared" si="48"/>
        <v>0</v>
      </c>
      <c r="BU280" s="136">
        <f t="shared" si="46"/>
        <v>0</v>
      </c>
      <c r="BV280" s="136">
        <f t="shared" si="46"/>
        <v>0</v>
      </c>
      <c r="BW280" s="136">
        <f t="shared" si="46"/>
        <v>0</v>
      </c>
      <c r="BX280" s="136">
        <f t="shared" si="46"/>
        <v>0</v>
      </c>
      <c r="BZ280" s="136">
        <f t="shared" si="47"/>
        <v>0</v>
      </c>
      <c r="CA280" s="136">
        <f t="shared" si="47"/>
        <v>0</v>
      </c>
    </row>
    <row r="281" spans="12:79" hidden="1" x14ac:dyDescent="0.3">
      <c r="L281" s="136">
        <f t="shared" si="50"/>
        <v>0</v>
      </c>
      <c r="M281" s="136">
        <f t="shared" si="50"/>
        <v>0</v>
      </c>
      <c r="N281" s="136">
        <f t="shared" si="50"/>
        <v>0</v>
      </c>
      <c r="O281" s="136">
        <f t="shared" si="50"/>
        <v>0</v>
      </c>
      <c r="P281" s="136">
        <f t="shared" si="50"/>
        <v>0</v>
      </c>
      <c r="Q281" s="136">
        <f t="shared" si="50"/>
        <v>0</v>
      </c>
      <c r="R281" s="136">
        <f t="shared" si="50"/>
        <v>0</v>
      </c>
      <c r="S281" s="136">
        <f t="shared" si="50"/>
        <v>0</v>
      </c>
      <c r="T281" s="136">
        <f t="shared" si="50"/>
        <v>0</v>
      </c>
      <c r="U281" s="136">
        <f t="shared" si="50"/>
        <v>0</v>
      </c>
      <c r="V281" s="136">
        <f t="shared" si="50"/>
        <v>0</v>
      </c>
      <c r="W281" s="136">
        <f t="shared" si="50"/>
        <v>0</v>
      </c>
      <c r="X281" s="136">
        <f t="shared" si="50"/>
        <v>0</v>
      </c>
      <c r="Y281" s="136">
        <f t="shared" si="50"/>
        <v>0</v>
      </c>
      <c r="Z281" s="136">
        <f t="shared" si="50"/>
        <v>0</v>
      </c>
      <c r="AA281" s="136">
        <f t="shared" si="50"/>
        <v>0</v>
      </c>
      <c r="AB281" s="136">
        <f t="shared" si="45"/>
        <v>0</v>
      </c>
      <c r="AC281" s="136">
        <f t="shared" si="45"/>
        <v>0</v>
      </c>
      <c r="AD281" s="136">
        <f t="shared" si="45"/>
        <v>0</v>
      </c>
      <c r="AE281" s="136">
        <f t="shared" si="45"/>
        <v>0</v>
      </c>
      <c r="AF281" s="136">
        <f t="shared" si="45"/>
        <v>0</v>
      </c>
      <c r="AG281" s="136">
        <f t="shared" si="45"/>
        <v>0</v>
      </c>
      <c r="AH281" s="136">
        <f t="shared" si="44"/>
        <v>0</v>
      </c>
      <c r="AI281" s="136">
        <f t="shared" si="44"/>
        <v>0</v>
      </c>
      <c r="AJ281" s="136">
        <f t="shared" si="44"/>
        <v>0</v>
      </c>
      <c r="AK281" s="136">
        <f t="shared" si="44"/>
        <v>0</v>
      </c>
      <c r="AL281" s="136">
        <f t="shared" si="44"/>
        <v>0</v>
      </c>
      <c r="AM281" s="136">
        <f t="shared" si="44"/>
        <v>0</v>
      </c>
      <c r="AN281" s="136">
        <f t="shared" si="44"/>
        <v>0</v>
      </c>
      <c r="AO281" s="136">
        <f t="shared" si="44"/>
        <v>0</v>
      </c>
      <c r="AP281" s="136">
        <f t="shared" si="44"/>
        <v>0</v>
      </c>
      <c r="AQ281" s="136">
        <f t="shared" si="44"/>
        <v>0</v>
      </c>
      <c r="AR281" s="136">
        <f t="shared" si="44"/>
        <v>0</v>
      </c>
      <c r="AS281" s="136">
        <f t="shared" si="44"/>
        <v>0</v>
      </c>
      <c r="AT281" s="136">
        <f t="shared" si="44"/>
        <v>0</v>
      </c>
      <c r="AU281" s="136">
        <f t="shared" si="44"/>
        <v>0</v>
      </c>
      <c r="AV281" s="136">
        <f t="shared" si="44"/>
        <v>0</v>
      </c>
      <c r="AW281" s="136">
        <f t="shared" si="44"/>
        <v>0</v>
      </c>
      <c r="AX281" s="136">
        <f t="shared" si="51"/>
        <v>0</v>
      </c>
      <c r="AY281" s="136">
        <f t="shared" si="51"/>
        <v>0</v>
      </c>
      <c r="AZ281" s="136">
        <f t="shared" si="51"/>
        <v>0</v>
      </c>
      <c r="BA281" s="136">
        <f t="shared" si="51"/>
        <v>0</v>
      </c>
      <c r="BB281" s="136">
        <f t="shared" si="51"/>
        <v>0</v>
      </c>
      <c r="BC281" s="136">
        <f t="shared" si="51"/>
        <v>0</v>
      </c>
      <c r="BD281" s="136">
        <f t="shared" si="51"/>
        <v>0</v>
      </c>
      <c r="BE281" s="136">
        <f t="shared" si="51"/>
        <v>0</v>
      </c>
      <c r="BF281" s="136">
        <f t="shared" si="51"/>
        <v>0</v>
      </c>
      <c r="BG281" s="136">
        <f t="shared" si="49"/>
        <v>0</v>
      </c>
      <c r="BH281" s="136">
        <f t="shared" si="49"/>
        <v>0</v>
      </c>
      <c r="BI281" s="136">
        <f t="shared" si="49"/>
        <v>0</v>
      </c>
      <c r="BJ281" s="136">
        <f t="shared" si="49"/>
        <v>0</v>
      </c>
      <c r="BK281" s="136">
        <f t="shared" si="48"/>
        <v>0</v>
      </c>
      <c r="BL281" s="136">
        <f t="shared" si="48"/>
        <v>0</v>
      </c>
      <c r="BM281" s="136">
        <f t="shared" si="48"/>
        <v>0</v>
      </c>
      <c r="BN281" s="136">
        <f t="shared" si="48"/>
        <v>0</v>
      </c>
      <c r="BO281" s="136">
        <f t="shared" si="48"/>
        <v>0</v>
      </c>
      <c r="BU281" s="136">
        <f t="shared" si="46"/>
        <v>0</v>
      </c>
      <c r="BV281" s="136">
        <f t="shared" si="46"/>
        <v>0</v>
      </c>
      <c r="BW281" s="136">
        <f t="shared" si="46"/>
        <v>0</v>
      </c>
      <c r="BX281" s="136">
        <f t="shared" si="46"/>
        <v>0</v>
      </c>
      <c r="BZ281" s="136">
        <f t="shared" si="47"/>
        <v>0</v>
      </c>
      <c r="CA281" s="136">
        <f t="shared" si="47"/>
        <v>0</v>
      </c>
    </row>
    <row r="282" spans="12:79" hidden="1" x14ac:dyDescent="0.3">
      <c r="L282" s="136">
        <f t="shared" si="50"/>
        <v>0</v>
      </c>
      <c r="M282" s="136">
        <f t="shared" si="50"/>
        <v>0</v>
      </c>
      <c r="N282" s="136">
        <f t="shared" si="50"/>
        <v>0</v>
      </c>
      <c r="O282" s="136">
        <f t="shared" si="50"/>
        <v>0</v>
      </c>
      <c r="P282" s="136">
        <f t="shared" si="50"/>
        <v>0</v>
      </c>
      <c r="Q282" s="136">
        <f t="shared" si="50"/>
        <v>0</v>
      </c>
      <c r="R282" s="136">
        <f t="shared" si="50"/>
        <v>0</v>
      </c>
      <c r="S282" s="136">
        <f t="shared" si="50"/>
        <v>0</v>
      </c>
      <c r="T282" s="136">
        <f t="shared" si="50"/>
        <v>0</v>
      </c>
      <c r="U282" s="136">
        <f t="shared" si="50"/>
        <v>0</v>
      </c>
      <c r="V282" s="136">
        <f t="shared" si="50"/>
        <v>0</v>
      </c>
      <c r="W282" s="136">
        <f t="shared" si="50"/>
        <v>0</v>
      </c>
      <c r="X282" s="136">
        <f t="shared" si="50"/>
        <v>0</v>
      </c>
      <c r="Y282" s="136">
        <f t="shared" si="50"/>
        <v>0</v>
      </c>
      <c r="Z282" s="136">
        <f t="shared" si="50"/>
        <v>0</v>
      </c>
      <c r="AA282" s="136">
        <f t="shared" si="50"/>
        <v>0</v>
      </c>
      <c r="AB282" s="136">
        <f t="shared" si="45"/>
        <v>0</v>
      </c>
      <c r="AC282" s="136">
        <f t="shared" si="45"/>
        <v>0</v>
      </c>
      <c r="AD282" s="136">
        <f t="shared" si="45"/>
        <v>0</v>
      </c>
      <c r="AE282" s="136">
        <f t="shared" si="45"/>
        <v>0</v>
      </c>
      <c r="AF282" s="136">
        <f t="shared" si="45"/>
        <v>0</v>
      </c>
      <c r="AG282" s="136">
        <f t="shared" si="45"/>
        <v>0</v>
      </c>
      <c r="AH282" s="136">
        <f t="shared" si="44"/>
        <v>0</v>
      </c>
      <c r="AI282" s="136">
        <f t="shared" si="44"/>
        <v>0</v>
      </c>
      <c r="AJ282" s="136">
        <f t="shared" si="44"/>
        <v>0</v>
      </c>
      <c r="AK282" s="136">
        <f t="shared" si="44"/>
        <v>0</v>
      </c>
      <c r="AL282" s="136">
        <f t="shared" si="44"/>
        <v>0</v>
      </c>
      <c r="AM282" s="136">
        <f t="shared" si="44"/>
        <v>0</v>
      </c>
      <c r="AN282" s="136">
        <f t="shared" si="44"/>
        <v>0</v>
      </c>
      <c r="AO282" s="136">
        <f t="shared" si="44"/>
        <v>0</v>
      </c>
      <c r="AP282" s="136">
        <f t="shared" si="44"/>
        <v>0</v>
      </c>
      <c r="AQ282" s="136">
        <f t="shared" si="44"/>
        <v>0</v>
      </c>
      <c r="AR282" s="136">
        <f t="shared" si="44"/>
        <v>0</v>
      </c>
      <c r="AS282" s="136">
        <f t="shared" si="44"/>
        <v>0</v>
      </c>
      <c r="AT282" s="136">
        <f t="shared" si="44"/>
        <v>0</v>
      </c>
      <c r="AU282" s="136">
        <f t="shared" si="44"/>
        <v>0</v>
      </c>
      <c r="AV282" s="136">
        <f t="shared" si="44"/>
        <v>0</v>
      </c>
      <c r="AW282" s="136">
        <f t="shared" si="44"/>
        <v>0</v>
      </c>
      <c r="AX282" s="136">
        <f t="shared" si="51"/>
        <v>0</v>
      </c>
      <c r="AY282" s="136">
        <f t="shared" si="51"/>
        <v>0</v>
      </c>
      <c r="AZ282" s="136">
        <f t="shared" si="51"/>
        <v>0</v>
      </c>
      <c r="BA282" s="136">
        <f t="shared" si="51"/>
        <v>0</v>
      </c>
      <c r="BB282" s="136">
        <f t="shared" si="51"/>
        <v>0</v>
      </c>
      <c r="BC282" s="136">
        <f t="shared" si="51"/>
        <v>0</v>
      </c>
      <c r="BD282" s="136">
        <f t="shared" si="51"/>
        <v>0</v>
      </c>
      <c r="BE282" s="136">
        <f t="shared" si="51"/>
        <v>0</v>
      </c>
      <c r="BF282" s="136">
        <f t="shared" si="51"/>
        <v>0</v>
      </c>
      <c r="BG282" s="136">
        <f t="shared" si="49"/>
        <v>0</v>
      </c>
      <c r="BH282" s="136">
        <f t="shared" si="49"/>
        <v>0</v>
      </c>
      <c r="BI282" s="136">
        <f t="shared" si="49"/>
        <v>0</v>
      </c>
      <c r="BJ282" s="136">
        <f t="shared" si="49"/>
        <v>0</v>
      </c>
      <c r="BK282" s="136">
        <f t="shared" si="48"/>
        <v>0</v>
      </c>
      <c r="BL282" s="136">
        <f t="shared" si="48"/>
        <v>0</v>
      </c>
      <c r="BM282" s="136">
        <f t="shared" si="48"/>
        <v>0</v>
      </c>
      <c r="BN282" s="136">
        <f t="shared" si="48"/>
        <v>0</v>
      </c>
      <c r="BO282" s="136">
        <f t="shared" si="48"/>
        <v>0</v>
      </c>
      <c r="BU282" s="136">
        <f t="shared" si="46"/>
        <v>0</v>
      </c>
      <c r="BV282" s="136">
        <f t="shared" si="46"/>
        <v>0</v>
      </c>
      <c r="BW282" s="136">
        <f t="shared" si="46"/>
        <v>0</v>
      </c>
      <c r="BX282" s="136">
        <f t="shared" si="46"/>
        <v>0</v>
      </c>
      <c r="BZ282" s="136">
        <f t="shared" si="47"/>
        <v>0</v>
      </c>
      <c r="CA282" s="136">
        <f t="shared" si="47"/>
        <v>0</v>
      </c>
    </row>
    <row r="283" spans="12:79" hidden="1" x14ac:dyDescent="0.3">
      <c r="L283" s="136">
        <f t="shared" si="50"/>
        <v>0</v>
      </c>
      <c r="M283" s="136">
        <f t="shared" si="50"/>
        <v>0</v>
      </c>
      <c r="N283" s="136">
        <f t="shared" si="50"/>
        <v>0</v>
      </c>
      <c r="O283" s="136">
        <f t="shared" si="50"/>
        <v>0</v>
      </c>
      <c r="P283" s="136">
        <f t="shared" si="50"/>
        <v>0</v>
      </c>
      <c r="Q283" s="136">
        <f t="shared" si="50"/>
        <v>0</v>
      </c>
      <c r="R283" s="136">
        <f t="shared" si="50"/>
        <v>0</v>
      </c>
      <c r="S283" s="136">
        <f t="shared" si="50"/>
        <v>0</v>
      </c>
      <c r="T283" s="136">
        <f t="shared" si="50"/>
        <v>0</v>
      </c>
      <c r="U283" s="136">
        <f t="shared" si="50"/>
        <v>0</v>
      </c>
      <c r="V283" s="136">
        <f t="shared" si="50"/>
        <v>0</v>
      </c>
      <c r="W283" s="136">
        <f t="shared" si="50"/>
        <v>0</v>
      </c>
      <c r="X283" s="136">
        <f t="shared" si="50"/>
        <v>0</v>
      </c>
      <c r="Y283" s="136">
        <f t="shared" si="50"/>
        <v>0</v>
      </c>
      <c r="Z283" s="136">
        <f t="shared" si="50"/>
        <v>0</v>
      </c>
      <c r="AA283" s="136">
        <f t="shared" si="50"/>
        <v>0</v>
      </c>
      <c r="AB283" s="136">
        <f t="shared" si="45"/>
        <v>0</v>
      </c>
      <c r="AC283" s="136">
        <f t="shared" si="45"/>
        <v>0</v>
      </c>
      <c r="AD283" s="136">
        <f t="shared" si="45"/>
        <v>0</v>
      </c>
      <c r="AE283" s="136">
        <f t="shared" si="45"/>
        <v>0</v>
      </c>
      <c r="AF283" s="136">
        <f t="shared" si="45"/>
        <v>0</v>
      </c>
      <c r="AG283" s="136">
        <f t="shared" si="45"/>
        <v>0</v>
      </c>
      <c r="AH283" s="136">
        <f t="shared" si="44"/>
        <v>0</v>
      </c>
      <c r="AI283" s="136">
        <f t="shared" si="44"/>
        <v>0</v>
      </c>
      <c r="AJ283" s="136">
        <f t="shared" si="44"/>
        <v>0</v>
      </c>
      <c r="AK283" s="136">
        <f t="shared" si="44"/>
        <v>0</v>
      </c>
      <c r="AL283" s="136">
        <f t="shared" si="44"/>
        <v>0</v>
      </c>
      <c r="AM283" s="136">
        <f t="shared" si="44"/>
        <v>0</v>
      </c>
      <c r="AN283" s="136">
        <f t="shared" si="44"/>
        <v>0</v>
      </c>
      <c r="AO283" s="136">
        <f t="shared" si="44"/>
        <v>0</v>
      </c>
      <c r="AP283" s="136">
        <f t="shared" si="44"/>
        <v>0</v>
      </c>
      <c r="AQ283" s="136">
        <f t="shared" si="44"/>
        <v>0</v>
      </c>
      <c r="AR283" s="136">
        <f t="shared" si="44"/>
        <v>0</v>
      </c>
      <c r="AS283" s="136">
        <f t="shared" si="44"/>
        <v>0</v>
      </c>
      <c r="AT283" s="136">
        <f t="shared" si="44"/>
        <v>0</v>
      </c>
      <c r="AU283" s="136">
        <f t="shared" si="44"/>
        <v>0</v>
      </c>
      <c r="AV283" s="136">
        <f t="shared" si="44"/>
        <v>0</v>
      </c>
      <c r="AW283" s="136">
        <f t="shared" si="44"/>
        <v>0</v>
      </c>
      <c r="AX283" s="136">
        <f t="shared" si="51"/>
        <v>0</v>
      </c>
      <c r="AY283" s="136">
        <f t="shared" si="51"/>
        <v>0</v>
      </c>
      <c r="AZ283" s="136">
        <f t="shared" si="51"/>
        <v>0</v>
      </c>
      <c r="BA283" s="136">
        <f t="shared" si="51"/>
        <v>0</v>
      </c>
      <c r="BB283" s="136">
        <f t="shared" si="51"/>
        <v>0</v>
      </c>
      <c r="BC283" s="136">
        <f t="shared" si="51"/>
        <v>0</v>
      </c>
      <c r="BD283" s="136">
        <f t="shared" si="51"/>
        <v>0</v>
      </c>
      <c r="BE283" s="136">
        <f t="shared" si="51"/>
        <v>0</v>
      </c>
      <c r="BF283" s="136">
        <f t="shared" si="51"/>
        <v>0</v>
      </c>
      <c r="BG283" s="136">
        <f t="shared" si="49"/>
        <v>0</v>
      </c>
      <c r="BH283" s="136">
        <f t="shared" si="49"/>
        <v>0</v>
      </c>
      <c r="BI283" s="136">
        <f t="shared" si="49"/>
        <v>0</v>
      </c>
      <c r="BJ283" s="136">
        <f t="shared" si="49"/>
        <v>0</v>
      </c>
      <c r="BK283" s="136">
        <f t="shared" si="48"/>
        <v>0</v>
      </c>
      <c r="BL283" s="136">
        <f t="shared" si="48"/>
        <v>0</v>
      </c>
      <c r="BM283" s="136">
        <f t="shared" si="48"/>
        <v>0</v>
      </c>
      <c r="BN283" s="136">
        <f t="shared" si="48"/>
        <v>0</v>
      </c>
      <c r="BO283" s="136">
        <f t="shared" si="48"/>
        <v>0</v>
      </c>
      <c r="BU283" s="136">
        <f t="shared" si="46"/>
        <v>0</v>
      </c>
      <c r="BV283" s="136">
        <f t="shared" si="46"/>
        <v>0</v>
      </c>
      <c r="BW283" s="136">
        <f t="shared" si="46"/>
        <v>0</v>
      </c>
      <c r="BX283" s="136">
        <f t="shared" si="46"/>
        <v>0</v>
      </c>
      <c r="BZ283" s="136">
        <f t="shared" si="47"/>
        <v>0</v>
      </c>
      <c r="CA283" s="136">
        <f t="shared" si="47"/>
        <v>0</v>
      </c>
    </row>
    <row r="284" spans="12:79" hidden="1" x14ac:dyDescent="0.3">
      <c r="L284" s="136">
        <f t="shared" si="50"/>
        <v>0</v>
      </c>
      <c r="M284" s="136">
        <f t="shared" si="50"/>
        <v>0</v>
      </c>
      <c r="N284" s="136">
        <f t="shared" si="50"/>
        <v>0</v>
      </c>
      <c r="O284" s="136">
        <f t="shared" si="50"/>
        <v>0</v>
      </c>
      <c r="P284" s="136">
        <f t="shared" si="50"/>
        <v>0</v>
      </c>
      <c r="Q284" s="136">
        <f t="shared" si="50"/>
        <v>0</v>
      </c>
      <c r="R284" s="136">
        <f t="shared" si="50"/>
        <v>0</v>
      </c>
      <c r="S284" s="136">
        <f t="shared" si="50"/>
        <v>0</v>
      </c>
      <c r="T284" s="136">
        <f t="shared" si="50"/>
        <v>0</v>
      </c>
      <c r="U284" s="136">
        <f t="shared" si="50"/>
        <v>0</v>
      </c>
      <c r="V284" s="136">
        <f t="shared" si="50"/>
        <v>0</v>
      </c>
      <c r="W284" s="136">
        <f t="shared" si="50"/>
        <v>0</v>
      </c>
      <c r="X284" s="136">
        <f t="shared" si="50"/>
        <v>0</v>
      </c>
      <c r="Y284" s="136">
        <f t="shared" si="50"/>
        <v>0</v>
      </c>
      <c r="Z284" s="136">
        <f t="shared" si="50"/>
        <v>0</v>
      </c>
      <c r="AA284" s="136">
        <f t="shared" si="50"/>
        <v>0</v>
      </c>
      <c r="AB284" s="136">
        <f t="shared" si="45"/>
        <v>0</v>
      </c>
      <c r="AC284" s="136">
        <f t="shared" si="45"/>
        <v>0</v>
      </c>
      <c r="AD284" s="136">
        <f t="shared" si="45"/>
        <v>0</v>
      </c>
      <c r="AE284" s="136">
        <f t="shared" si="45"/>
        <v>0</v>
      </c>
      <c r="AF284" s="136">
        <f t="shared" si="45"/>
        <v>0</v>
      </c>
      <c r="AG284" s="136">
        <f t="shared" si="45"/>
        <v>0</v>
      </c>
      <c r="AH284" s="136">
        <f t="shared" si="45"/>
        <v>0</v>
      </c>
      <c r="AI284" s="136">
        <f t="shared" si="45"/>
        <v>0</v>
      </c>
      <c r="AJ284" s="136">
        <f t="shared" si="45"/>
        <v>0</v>
      </c>
      <c r="AK284" s="136">
        <f t="shared" si="45"/>
        <v>0</v>
      </c>
      <c r="AL284" s="136">
        <f t="shared" si="45"/>
        <v>0</v>
      </c>
      <c r="AM284" s="136">
        <f t="shared" si="45"/>
        <v>0</v>
      </c>
      <c r="AN284" s="136">
        <f t="shared" si="45"/>
        <v>0</v>
      </c>
      <c r="AO284" s="136">
        <f t="shared" si="45"/>
        <v>0</v>
      </c>
      <c r="AP284" s="136">
        <f t="shared" si="45"/>
        <v>0</v>
      </c>
      <c r="AQ284" s="136">
        <f t="shared" si="45"/>
        <v>0</v>
      </c>
      <c r="AR284" s="136">
        <f t="shared" ref="AR284:BG299" si="52">AR111-DJ111</f>
        <v>0</v>
      </c>
      <c r="AS284" s="136">
        <f t="shared" si="52"/>
        <v>0</v>
      </c>
      <c r="AT284" s="136">
        <f t="shared" si="52"/>
        <v>0</v>
      </c>
      <c r="AU284" s="136">
        <f t="shared" si="52"/>
        <v>0</v>
      </c>
      <c r="AV284" s="136">
        <f t="shared" si="52"/>
        <v>0</v>
      </c>
      <c r="AW284" s="136">
        <f t="shared" si="52"/>
        <v>0</v>
      </c>
      <c r="AX284" s="136">
        <f t="shared" si="51"/>
        <v>0</v>
      </c>
      <c r="AY284" s="136">
        <f t="shared" si="51"/>
        <v>0</v>
      </c>
      <c r="AZ284" s="136">
        <f t="shared" si="51"/>
        <v>0</v>
      </c>
      <c r="BA284" s="136">
        <f t="shared" si="51"/>
        <v>0</v>
      </c>
      <c r="BB284" s="136">
        <f t="shared" si="51"/>
        <v>0</v>
      </c>
      <c r="BC284" s="136">
        <f t="shared" si="51"/>
        <v>0</v>
      </c>
      <c r="BD284" s="136">
        <f t="shared" si="51"/>
        <v>0</v>
      </c>
      <c r="BE284" s="136">
        <f t="shared" si="51"/>
        <v>0</v>
      </c>
      <c r="BF284" s="136">
        <f t="shared" si="51"/>
        <v>0</v>
      </c>
      <c r="BG284" s="136">
        <f t="shared" si="49"/>
        <v>0</v>
      </c>
      <c r="BH284" s="136">
        <f t="shared" si="49"/>
        <v>0</v>
      </c>
      <c r="BI284" s="136">
        <f t="shared" si="49"/>
        <v>0</v>
      </c>
      <c r="BJ284" s="136">
        <f t="shared" si="49"/>
        <v>0</v>
      </c>
      <c r="BK284" s="136">
        <f t="shared" si="48"/>
        <v>0</v>
      </c>
      <c r="BL284" s="136">
        <f t="shared" si="48"/>
        <v>0</v>
      </c>
      <c r="BM284" s="136">
        <f t="shared" si="48"/>
        <v>0</v>
      </c>
      <c r="BN284" s="136">
        <f t="shared" si="48"/>
        <v>0</v>
      </c>
      <c r="BO284" s="136">
        <f t="shared" si="48"/>
        <v>0</v>
      </c>
      <c r="BU284" s="136">
        <f t="shared" si="46"/>
        <v>0</v>
      </c>
      <c r="BV284" s="136">
        <f t="shared" si="46"/>
        <v>0</v>
      </c>
      <c r="BW284" s="136">
        <f t="shared" si="46"/>
        <v>0</v>
      </c>
      <c r="BX284" s="136">
        <f t="shared" si="46"/>
        <v>0</v>
      </c>
      <c r="BZ284" s="136">
        <f t="shared" si="47"/>
        <v>0</v>
      </c>
      <c r="CA284" s="136">
        <f t="shared" si="47"/>
        <v>0</v>
      </c>
    </row>
    <row r="285" spans="12:79" hidden="1" x14ac:dyDescent="0.3">
      <c r="L285" s="136">
        <f t="shared" si="50"/>
        <v>0</v>
      </c>
      <c r="M285" s="136">
        <f t="shared" si="50"/>
        <v>0</v>
      </c>
      <c r="N285" s="136">
        <f t="shared" si="50"/>
        <v>0</v>
      </c>
      <c r="O285" s="136">
        <f t="shared" si="50"/>
        <v>0</v>
      </c>
      <c r="P285" s="136">
        <f t="shared" si="50"/>
        <v>0</v>
      </c>
      <c r="Q285" s="136">
        <f t="shared" si="50"/>
        <v>15755546</v>
      </c>
      <c r="R285" s="136">
        <f t="shared" si="50"/>
        <v>0</v>
      </c>
      <c r="S285" s="136">
        <f t="shared" si="50"/>
        <v>0</v>
      </c>
      <c r="T285" s="136">
        <f t="shared" si="50"/>
        <v>0</v>
      </c>
      <c r="U285" s="136">
        <f t="shared" si="50"/>
        <v>0</v>
      </c>
      <c r="V285" s="136">
        <f t="shared" si="50"/>
        <v>0</v>
      </c>
      <c r="W285" s="136">
        <f t="shared" si="50"/>
        <v>0</v>
      </c>
      <c r="X285" s="136">
        <f t="shared" si="50"/>
        <v>0</v>
      </c>
      <c r="Y285" s="136">
        <f t="shared" si="50"/>
        <v>0</v>
      </c>
      <c r="Z285" s="136">
        <f t="shared" si="50"/>
        <v>0</v>
      </c>
      <c r="AA285" s="136">
        <f t="shared" si="50"/>
        <v>0</v>
      </c>
      <c r="AB285" s="136">
        <f t="shared" ref="AB285:AQ300" si="53">AB112-CT112</f>
        <v>0</v>
      </c>
      <c r="AC285" s="136">
        <f t="shared" si="53"/>
        <v>0</v>
      </c>
      <c r="AD285" s="136">
        <f t="shared" si="53"/>
        <v>0</v>
      </c>
      <c r="AE285" s="136">
        <f t="shared" si="53"/>
        <v>0</v>
      </c>
      <c r="AF285" s="136">
        <f t="shared" si="53"/>
        <v>0</v>
      </c>
      <c r="AG285" s="136">
        <f t="shared" si="53"/>
        <v>0</v>
      </c>
      <c r="AH285" s="136">
        <f t="shared" si="53"/>
        <v>0</v>
      </c>
      <c r="AI285" s="136">
        <f t="shared" si="53"/>
        <v>0</v>
      </c>
      <c r="AJ285" s="136">
        <f t="shared" si="53"/>
        <v>0</v>
      </c>
      <c r="AK285" s="136">
        <f t="shared" si="53"/>
        <v>-3912780</v>
      </c>
      <c r="AL285" s="136">
        <f t="shared" si="53"/>
        <v>0</v>
      </c>
      <c r="AM285" s="136">
        <f t="shared" si="53"/>
        <v>0</v>
      </c>
      <c r="AN285" s="136">
        <f t="shared" si="53"/>
        <v>0</v>
      </c>
      <c r="AO285" s="136">
        <f t="shared" si="53"/>
        <v>0</v>
      </c>
      <c r="AP285" s="136">
        <f t="shared" si="53"/>
        <v>0</v>
      </c>
      <c r="AQ285" s="136">
        <f t="shared" si="53"/>
        <v>0</v>
      </c>
      <c r="AR285" s="136">
        <f t="shared" si="52"/>
        <v>0</v>
      </c>
      <c r="AS285" s="136">
        <f t="shared" si="52"/>
        <v>0</v>
      </c>
      <c r="AT285" s="136">
        <f t="shared" si="52"/>
        <v>0</v>
      </c>
      <c r="AU285" s="136">
        <f t="shared" si="52"/>
        <v>0</v>
      </c>
      <c r="AV285" s="136">
        <f t="shared" si="52"/>
        <v>0</v>
      </c>
      <c r="AW285" s="136">
        <f t="shared" si="52"/>
        <v>0</v>
      </c>
      <c r="AX285" s="136">
        <f t="shared" si="51"/>
        <v>0</v>
      </c>
      <c r="AY285" s="136">
        <f t="shared" si="51"/>
        <v>0</v>
      </c>
      <c r="AZ285" s="136">
        <f t="shared" si="51"/>
        <v>0</v>
      </c>
      <c r="BA285" s="136">
        <f t="shared" si="51"/>
        <v>0</v>
      </c>
      <c r="BB285" s="136">
        <f t="shared" si="51"/>
        <v>0</v>
      </c>
      <c r="BC285" s="136">
        <f t="shared" si="51"/>
        <v>0</v>
      </c>
      <c r="BD285" s="136">
        <f t="shared" si="51"/>
        <v>0</v>
      </c>
      <c r="BE285" s="136">
        <f t="shared" si="51"/>
        <v>0</v>
      </c>
      <c r="BF285" s="136">
        <f t="shared" si="51"/>
        <v>0</v>
      </c>
      <c r="BG285" s="136">
        <f t="shared" si="49"/>
        <v>0</v>
      </c>
      <c r="BH285" s="136">
        <f t="shared" si="49"/>
        <v>0</v>
      </c>
      <c r="BI285" s="136">
        <f t="shared" si="49"/>
        <v>0</v>
      </c>
      <c r="BJ285" s="136">
        <f t="shared" si="49"/>
        <v>0</v>
      </c>
      <c r="BK285" s="136">
        <f t="shared" si="48"/>
        <v>0</v>
      </c>
      <c r="BL285" s="136">
        <f t="shared" si="48"/>
        <v>0</v>
      </c>
      <c r="BM285" s="136">
        <f t="shared" si="48"/>
        <v>0</v>
      </c>
      <c r="BN285" s="136">
        <f t="shared" si="48"/>
        <v>0</v>
      </c>
      <c r="BO285" s="136">
        <f t="shared" si="48"/>
        <v>0</v>
      </c>
      <c r="BU285" s="136">
        <f t="shared" ref="BU285:BX300" si="54">BU120-EM120</f>
        <v>0</v>
      </c>
      <c r="BV285" s="136">
        <f t="shared" si="54"/>
        <v>0</v>
      </c>
      <c r="BW285" s="136">
        <f t="shared" si="54"/>
        <v>0</v>
      </c>
      <c r="BX285" s="136">
        <f t="shared" si="54"/>
        <v>0</v>
      </c>
      <c r="BZ285" s="136">
        <f t="shared" ref="BZ285:CA300" si="55">BZ120-ER120</f>
        <v>0</v>
      </c>
      <c r="CA285" s="136">
        <f t="shared" si="55"/>
        <v>0</v>
      </c>
    </row>
    <row r="286" spans="12:79" hidden="1" x14ac:dyDescent="0.3">
      <c r="L286" s="136">
        <f t="shared" si="50"/>
        <v>0</v>
      </c>
      <c r="M286" s="136">
        <f t="shared" si="50"/>
        <v>0</v>
      </c>
      <c r="N286" s="136">
        <f t="shared" si="50"/>
        <v>0</v>
      </c>
      <c r="O286" s="136">
        <f t="shared" si="50"/>
        <v>0</v>
      </c>
      <c r="P286" s="136">
        <f t="shared" si="50"/>
        <v>0</v>
      </c>
      <c r="Q286" s="136">
        <f t="shared" si="50"/>
        <v>15755546</v>
      </c>
      <c r="R286" s="136">
        <f t="shared" si="50"/>
        <v>0</v>
      </c>
      <c r="S286" s="136">
        <f t="shared" si="50"/>
        <v>0</v>
      </c>
      <c r="T286" s="136">
        <f t="shared" si="50"/>
        <v>0</v>
      </c>
      <c r="U286" s="136">
        <f t="shared" si="50"/>
        <v>0</v>
      </c>
      <c r="V286" s="136">
        <f t="shared" si="50"/>
        <v>0</v>
      </c>
      <c r="W286" s="136">
        <f t="shared" si="50"/>
        <v>0</v>
      </c>
      <c r="X286" s="136">
        <f t="shared" si="50"/>
        <v>0</v>
      </c>
      <c r="Y286" s="136">
        <f t="shared" si="50"/>
        <v>0</v>
      </c>
      <c r="Z286" s="136">
        <f t="shared" si="50"/>
        <v>0</v>
      </c>
      <c r="AA286" s="136">
        <f t="shared" si="50"/>
        <v>0</v>
      </c>
      <c r="AB286" s="136">
        <f t="shared" si="53"/>
        <v>0</v>
      </c>
      <c r="AC286" s="136">
        <f t="shared" si="53"/>
        <v>0</v>
      </c>
      <c r="AD286" s="136">
        <f t="shared" si="53"/>
        <v>0</v>
      </c>
      <c r="AE286" s="136">
        <f t="shared" si="53"/>
        <v>0</v>
      </c>
      <c r="AF286" s="136">
        <f t="shared" si="53"/>
        <v>0</v>
      </c>
      <c r="AG286" s="136">
        <f t="shared" si="53"/>
        <v>0</v>
      </c>
      <c r="AH286" s="136">
        <f t="shared" si="53"/>
        <v>0</v>
      </c>
      <c r="AI286" s="136">
        <f t="shared" si="53"/>
        <v>0</v>
      </c>
      <c r="AJ286" s="136">
        <f t="shared" si="53"/>
        <v>0</v>
      </c>
      <c r="AK286" s="136">
        <f t="shared" si="53"/>
        <v>-3912780</v>
      </c>
      <c r="AL286" s="136">
        <f t="shared" si="53"/>
        <v>0</v>
      </c>
      <c r="AM286" s="136">
        <f t="shared" si="53"/>
        <v>0</v>
      </c>
      <c r="AN286" s="136">
        <f t="shared" si="53"/>
        <v>0</v>
      </c>
      <c r="AO286" s="136">
        <f t="shared" si="53"/>
        <v>0</v>
      </c>
      <c r="AP286" s="136">
        <f t="shared" si="53"/>
        <v>0</v>
      </c>
      <c r="AQ286" s="136">
        <f t="shared" si="53"/>
        <v>0</v>
      </c>
      <c r="AR286" s="136">
        <f t="shared" si="52"/>
        <v>0</v>
      </c>
      <c r="AS286" s="136">
        <f t="shared" si="52"/>
        <v>0</v>
      </c>
      <c r="AT286" s="136">
        <f t="shared" si="52"/>
        <v>0</v>
      </c>
      <c r="AU286" s="136">
        <f t="shared" si="52"/>
        <v>0</v>
      </c>
      <c r="AV286" s="136">
        <f t="shared" si="52"/>
        <v>0</v>
      </c>
      <c r="AW286" s="136">
        <f t="shared" si="52"/>
        <v>0</v>
      </c>
      <c r="AX286" s="136">
        <f t="shared" si="51"/>
        <v>0</v>
      </c>
      <c r="AY286" s="136">
        <f t="shared" si="51"/>
        <v>0</v>
      </c>
      <c r="AZ286" s="136">
        <f t="shared" si="51"/>
        <v>0</v>
      </c>
      <c r="BA286" s="136">
        <f t="shared" si="51"/>
        <v>0</v>
      </c>
      <c r="BB286" s="136">
        <f t="shared" si="51"/>
        <v>0</v>
      </c>
      <c r="BC286" s="136">
        <f t="shared" si="51"/>
        <v>0</v>
      </c>
      <c r="BD286" s="136">
        <f t="shared" si="51"/>
        <v>0</v>
      </c>
      <c r="BE286" s="136">
        <f t="shared" si="51"/>
        <v>0</v>
      </c>
      <c r="BF286" s="136">
        <f t="shared" si="51"/>
        <v>0</v>
      </c>
      <c r="BG286" s="136">
        <f t="shared" si="49"/>
        <v>0</v>
      </c>
      <c r="BH286" s="136">
        <f t="shared" si="49"/>
        <v>0</v>
      </c>
      <c r="BI286" s="136">
        <f t="shared" si="49"/>
        <v>0</v>
      </c>
      <c r="BJ286" s="136">
        <f t="shared" si="49"/>
        <v>0</v>
      </c>
      <c r="BK286" s="136">
        <f t="shared" si="48"/>
        <v>0</v>
      </c>
      <c r="BL286" s="136">
        <f t="shared" si="48"/>
        <v>0</v>
      </c>
      <c r="BM286" s="136">
        <f t="shared" si="48"/>
        <v>0</v>
      </c>
      <c r="BN286" s="136">
        <f t="shared" si="48"/>
        <v>0</v>
      </c>
      <c r="BO286" s="136">
        <f t="shared" si="48"/>
        <v>0</v>
      </c>
      <c r="BU286" s="136">
        <f t="shared" si="54"/>
        <v>0</v>
      </c>
      <c r="BV286" s="136">
        <f t="shared" si="54"/>
        <v>0</v>
      </c>
      <c r="BW286" s="136">
        <f t="shared" si="54"/>
        <v>0</v>
      </c>
      <c r="BX286" s="136">
        <f t="shared" si="54"/>
        <v>0</v>
      </c>
      <c r="BZ286" s="136">
        <f t="shared" si="55"/>
        <v>0</v>
      </c>
      <c r="CA286" s="136">
        <f t="shared" si="55"/>
        <v>0</v>
      </c>
    </row>
    <row r="287" spans="12:79" hidden="1" x14ac:dyDescent="0.3">
      <c r="L287" s="136">
        <f t="shared" si="50"/>
        <v>0</v>
      </c>
      <c r="M287" s="136">
        <f t="shared" si="50"/>
        <v>0</v>
      </c>
      <c r="N287" s="136">
        <f t="shared" si="50"/>
        <v>0</v>
      </c>
      <c r="O287" s="136">
        <f t="shared" si="50"/>
        <v>0</v>
      </c>
      <c r="P287" s="136">
        <f t="shared" si="50"/>
        <v>0</v>
      </c>
      <c r="Q287" s="136">
        <f t="shared" si="50"/>
        <v>0</v>
      </c>
      <c r="R287" s="136">
        <f t="shared" si="50"/>
        <v>0</v>
      </c>
      <c r="S287" s="136">
        <f t="shared" si="50"/>
        <v>0</v>
      </c>
      <c r="T287" s="136">
        <f t="shared" si="50"/>
        <v>0</v>
      </c>
      <c r="U287" s="136">
        <f t="shared" si="50"/>
        <v>0</v>
      </c>
      <c r="V287" s="136">
        <f t="shared" si="50"/>
        <v>0</v>
      </c>
      <c r="W287" s="136">
        <f t="shared" si="50"/>
        <v>0</v>
      </c>
      <c r="X287" s="136">
        <f t="shared" si="50"/>
        <v>0</v>
      </c>
      <c r="Y287" s="136">
        <f t="shared" si="50"/>
        <v>0</v>
      </c>
      <c r="Z287" s="136">
        <f t="shared" si="50"/>
        <v>0</v>
      </c>
      <c r="AA287" s="136">
        <f t="shared" si="50"/>
        <v>0</v>
      </c>
      <c r="AB287" s="136">
        <f t="shared" si="53"/>
        <v>0</v>
      </c>
      <c r="AC287" s="136">
        <f t="shared" si="53"/>
        <v>0</v>
      </c>
      <c r="AD287" s="136">
        <f t="shared" si="53"/>
        <v>0</v>
      </c>
      <c r="AE287" s="136">
        <f t="shared" si="53"/>
        <v>0</v>
      </c>
      <c r="AF287" s="136">
        <f t="shared" si="53"/>
        <v>0</v>
      </c>
      <c r="AG287" s="136">
        <f t="shared" si="53"/>
        <v>0</v>
      </c>
      <c r="AH287" s="136">
        <f t="shared" si="53"/>
        <v>0</v>
      </c>
      <c r="AI287" s="136">
        <f t="shared" si="53"/>
        <v>0</v>
      </c>
      <c r="AJ287" s="136">
        <f t="shared" si="53"/>
        <v>0</v>
      </c>
      <c r="AK287" s="136">
        <f t="shared" si="53"/>
        <v>0</v>
      </c>
      <c r="AL287" s="136">
        <f t="shared" si="53"/>
        <v>0</v>
      </c>
      <c r="AM287" s="136">
        <f t="shared" si="53"/>
        <v>0</v>
      </c>
      <c r="AN287" s="136">
        <f t="shared" si="53"/>
        <v>0</v>
      </c>
      <c r="AO287" s="136">
        <f t="shared" si="53"/>
        <v>0</v>
      </c>
      <c r="AP287" s="136">
        <f t="shared" si="53"/>
        <v>0</v>
      </c>
      <c r="AQ287" s="136">
        <f t="shared" si="53"/>
        <v>0</v>
      </c>
      <c r="AR287" s="136">
        <f t="shared" si="52"/>
        <v>0</v>
      </c>
      <c r="AS287" s="136">
        <f t="shared" si="52"/>
        <v>0</v>
      </c>
      <c r="AT287" s="136">
        <f t="shared" si="52"/>
        <v>0</v>
      </c>
      <c r="AU287" s="136">
        <f t="shared" si="52"/>
        <v>0</v>
      </c>
      <c r="AV287" s="136">
        <f t="shared" si="52"/>
        <v>0</v>
      </c>
      <c r="AW287" s="136">
        <f t="shared" si="52"/>
        <v>0</v>
      </c>
      <c r="AX287" s="136">
        <f t="shared" si="51"/>
        <v>0</v>
      </c>
      <c r="AY287" s="136">
        <f t="shared" si="51"/>
        <v>0</v>
      </c>
      <c r="AZ287" s="136">
        <f t="shared" si="51"/>
        <v>0</v>
      </c>
      <c r="BA287" s="136">
        <f t="shared" si="51"/>
        <v>0</v>
      </c>
      <c r="BB287" s="136">
        <f t="shared" si="51"/>
        <v>0</v>
      </c>
      <c r="BC287" s="136">
        <f t="shared" si="51"/>
        <v>0</v>
      </c>
      <c r="BD287" s="136">
        <f t="shared" si="51"/>
        <v>0</v>
      </c>
      <c r="BE287" s="136">
        <f t="shared" si="51"/>
        <v>0</v>
      </c>
      <c r="BF287" s="136">
        <f t="shared" si="51"/>
        <v>0</v>
      </c>
      <c r="BG287" s="136">
        <f t="shared" si="49"/>
        <v>0</v>
      </c>
      <c r="BH287" s="136">
        <f t="shared" si="49"/>
        <v>0</v>
      </c>
      <c r="BI287" s="136">
        <f t="shared" si="49"/>
        <v>0</v>
      </c>
      <c r="BJ287" s="136">
        <f t="shared" si="49"/>
        <v>0</v>
      </c>
      <c r="BK287" s="136">
        <f t="shared" si="49"/>
        <v>0</v>
      </c>
      <c r="BL287" s="136">
        <f t="shared" si="49"/>
        <v>0</v>
      </c>
      <c r="BM287" s="136">
        <f t="shared" si="49"/>
        <v>0</v>
      </c>
      <c r="BN287" s="136">
        <f t="shared" si="49"/>
        <v>0</v>
      </c>
      <c r="BO287" s="136">
        <f t="shared" si="49"/>
        <v>0</v>
      </c>
      <c r="BU287" s="136">
        <f t="shared" si="54"/>
        <v>0</v>
      </c>
      <c r="BV287" s="136">
        <f t="shared" si="54"/>
        <v>0</v>
      </c>
      <c r="BW287" s="136">
        <f t="shared" si="54"/>
        <v>0</v>
      </c>
      <c r="BX287" s="136">
        <f t="shared" si="54"/>
        <v>0</v>
      </c>
      <c r="BZ287" s="136">
        <f t="shared" si="55"/>
        <v>0</v>
      </c>
      <c r="CA287" s="136">
        <f t="shared" si="55"/>
        <v>0</v>
      </c>
    </row>
    <row r="288" spans="12:79" hidden="1" x14ac:dyDescent="0.3">
      <c r="L288" s="136">
        <f t="shared" si="50"/>
        <v>0</v>
      </c>
      <c r="M288" s="136">
        <f t="shared" si="50"/>
        <v>0</v>
      </c>
      <c r="N288" s="136">
        <f t="shared" si="50"/>
        <v>0</v>
      </c>
      <c r="O288" s="136">
        <f t="shared" si="50"/>
        <v>0</v>
      </c>
      <c r="P288" s="136">
        <f t="shared" si="50"/>
        <v>0</v>
      </c>
      <c r="Q288" s="136">
        <f t="shared" si="50"/>
        <v>0</v>
      </c>
      <c r="R288" s="136">
        <f t="shared" si="50"/>
        <v>0</v>
      </c>
      <c r="S288" s="136">
        <f t="shared" si="50"/>
        <v>0</v>
      </c>
      <c r="T288" s="136">
        <f t="shared" si="50"/>
        <v>0</v>
      </c>
      <c r="U288" s="136">
        <f t="shared" si="50"/>
        <v>0</v>
      </c>
      <c r="V288" s="136">
        <f t="shared" si="50"/>
        <v>0</v>
      </c>
      <c r="W288" s="136">
        <f t="shared" si="50"/>
        <v>0</v>
      </c>
      <c r="X288" s="136">
        <f t="shared" si="50"/>
        <v>0</v>
      </c>
      <c r="Y288" s="136">
        <f t="shared" si="50"/>
        <v>0</v>
      </c>
      <c r="Z288" s="136">
        <f t="shared" si="50"/>
        <v>0</v>
      </c>
      <c r="AA288" s="136">
        <f t="shared" si="50"/>
        <v>0</v>
      </c>
      <c r="AB288" s="136">
        <f t="shared" si="53"/>
        <v>0</v>
      </c>
      <c r="AC288" s="136">
        <f t="shared" si="53"/>
        <v>0</v>
      </c>
      <c r="AD288" s="136">
        <f t="shared" si="53"/>
        <v>0</v>
      </c>
      <c r="AE288" s="136">
        <f t="shared" si="53"/>
        <v>0</v>
      </c>
      <c r="AF288" s="136">
        <f t="shared" si="53"/>
        <v>0</v>
      </c>
      <c r="AG288" s="136">
        <f t="shared" si="53"/>
        <v>0</v>
      </c>
      <c r="AH288" s="136">
        <f t="shared" si="53"/>
        <v>0</v>
      </c>
      <c r="AI288" s="136">
        <f t="shared" si="53"/>
        <v>0</v>
      </c>
      <c r="AJ288" s="136">
        <f t="shared" si="53"/>
        <v>0</v>
      </c>
      <c r="AK288" s="136">
        <f t="shared" si="53"/>
        <v>0</v>
      </c>
      <c r="AL288" s="136">
        <f t="shared" si="53"/>
        <v>0</v>
      </c>
      <c r="AM288" s="136">
        <f t="shared" si="53"/>
        <v>0</v>
      </c>
      <c r="AN288" s="136">
        <f t="shared" si="53"/>
        <v>0</v>
      </c>
      <c r="AO288" s="136">
        <f t="shared" si="53"/>
        <v>0</v>
      </c>
      <c r="AP288" s="136">
        <f t="shared" si="53"/>
        <v>0</v>
      </c>
      <c r="AQ288" s="136">
        <f t="shared" si="53"/>
        <v>0</v>
      </c>
      <c r="AR288" s="136">
        <f t="shared" si="52"/>
        <v>0</v>
      </c>
      <c r="AS288" s="136">
        <f t="shared" si="52"/>
        <v>0</v>
      </c>
      <c r="AT288" s="136">
        <f t="shared" si="52"/>
        <v>0</v>
      </c>
      <c r="AU288" s="136">
        <f t="shared" si="52"/>
        <v>0</v>
      </c>
      <c r="AV288" s="136">
        <f t="shared" si="52"/>
        <v>0</v>
      </c>
      <c r="AW288" s="136">
        <f t="shared" si="52"/>
        <v>0</v>
      </c>
      <c r="AX288" s="136">
        <f t="shared" si="51"/>
        <v>0</v>
      </c>
      <c r="AY288" s="136">
        <f t="shared" si="51"/>
        <v>0</v>
      </c>
      <c r="AZ288" s="136">
        <f t="shared" si="51"/>
        <v>0</v>
      </c>
      <c r="BA288" s="136">
        <f t="shared" si="51"/>
        <v>0</v>
      </c>
      <c r="BB288" s="136">
        <f t="shared" si="51"/>
        <v>0</v>
      </c>
      <c r="BC288" s="136">
        <f t="shared" si="51"/>
        <v>0</v>
      </c>
      <c r="BD288" s="136">
        <f t="shared" si="51"/>
        <v>0</v>
      </c>
      <c r="BE288" s="136">
        <f t="shared" si="51"/>
        <v>0</v>
      </c>
      <c r="BF288" s="136">
        <f t="shared" si="51"/>
        <v>0</v>
      </c>
      <c r="BG288" s="136">
        <f t="shared" si="51"/>
        <v>0</v>
      </c>
      <c r="BH288" s="136">
        <f t="shared" si="51"/>
        <v>0</v>
      </c>
      <c r="BI288" s="136">
        <f t="shared" si="51"/>
        <v>0</v>
      </c>
      <c r="BJ288" s="136">
        <f t="shared" si="51"/>
        <v>0</v>
      </c>
      <c r="BK288" s="136">
        <f t="shared" si="51"/>
        <v>0</v>
      </c>
      <c r="BL288" s="136">
        <f t="shared" si="51"/>
        <v>0</v>
      </c>
      <c r="BM288" s="136">
        <f t="shared" si="51"/>
        <v>0</v>
      </c>
      <c r="BN288" s="136">
        <f t="shared" ref="BN288:BO303" si="56">BN115-EF115</f>
        <v>0</v>
      </c>
      <c r="BO288" s="136">
        <f t="shared" si="56"/>
        <v>0</v>
      </c>
      <c r="BU288" s="136">
        <f t="shared" si="54"/>
        <v>0</v>
      </c>
      <c r="BV288" s="136">
        <f t="shared" si="54"/>
        <v>0</v>
      </c>
      <c r="BW288" s="136">
        <f t="shared" si="54"/>
        <v>0</v>
      </c>
      <c r="BX288" s="136">
        <f t="shared" si="54"/>
        <v>0</v>
      </c>
      <c r="BZ288" s="136">
        <f t="shared" si="55"/>
        <v>0</v>
      </c>
      <c r="CA288" s="136">
        <f t="shared" si="55"/>
        <v>0</v>
      </c>
    </row>
    <row r="289" spans="12:79" hidden="1" x14ac:dyDescent="0.3">
      <c r="L289" s="136">
        <f t="shared" si="50"/>
        <v>0</v>
      </c>
      <c r="M289" s="136">
        <f t="shared" si="50"/>
        <v>0</v>
      </c>
      <c r="N289" s="136">
        <f t="shared" si="50"/>
        <v>0</v>
      </c>
      <c r="O289" s="136">
        <f t="shared" si="50"/>
        <v>0</v>
      </c>
      <c r="P289" s="136">
        <f t="shared" si="50"/>
        <v>0</v>
      </c>
      <c r="Q289" s="136">
        <f t="shared" si="50"/>
        <v>0</v>
      </c>
      <c r="R289" s="136">
        <f t="shared" si="50"/>
        <v>0</v>
      </c>
      <c r="S289" s="136">
        <f t="shared" si="50"/>
        <v>0</v>
      </c>
      <c r="T289" s="136">
        <f t="shared" si="50"/>
        <v>0</v>
      </c>
      <c r="U289" s="136">
        <f t="shared" si="50"/>
        <v>0</v>
      </c>
      <c r="V289" s="136">
        <f t="shared" si="50"/>
        <v>0</v>
      </c>
      <c r="W289" s="136">
        <f t="shared" si="50"/>
        <v>0</v>
      </c>
      <c r="X289" s="136">
        <f t="shared" si="50"/>
        <v>0</v>
      </c>
      <c r="Y289" s="136">
        <f t="shared" si="50"/>
        <v>0</v>
      </c>
      <c r="Z289" s="136">
        <f t="shared" si="50"/>
        <v>0</v>
      </c>
      <c r="AA289" s="136">
        <f t="shared" si="50"/>
        <v>0</v>
      </c>
      <c r="AB289" s="136">
        <f t="shared" si="53"/>
        <v>0</v>
      </c>
      <c r="AC289" s="136">
        <f t="shared" si="53"/>
        <v>0</v>
      </c>
      <c r="AD289" s="136">
        <f t="shared" si="53"/>
        <v>0</v>
      </c>
      <c r="AE289" s="136">
        <f t="shared" si="53"/>
        <v>0</v>
      </c>
      <c r="AF289" s="136">
        <f t="shared" si="53"/>
        <v>0</v>
      </c>
      <c r="AG289" s="136">
        <f t="shared" si="53"/>
        <v>0</v>
      </c>
      <c r="AH289" s="136">
        <f t="shared" si="53"/>
        <v>0</v>
      </c>
      <c r="AI289" s="136">
        <f t="shared" si="53"/>
        <v>0</v>
      </c>
      <c r="AJ289" s="136">
        <f t="shared" si="53"/>
        <v>0</v>
      </c>
      <c r="AK289" s="136">
        <f t="shared" si="53"/>
        <v>0</v>
      </c>
      <c r="AL289" s="136">
        <f t="shared" si="53"/>
        <v>0</v>
      </c>
      <c r="AM289" s="136">
        <f t="shared" si="53"/>
        <v>0</v>
      </c>
      <c r="AN289" s="136">
        <f t="shared" si="53"/>
        <v>0</v>
      </c>
      <c r="AO289" s="136">
        <f t="shared" si="53"/>
        <v>0</v>
      </c>
      <c r="AP289" s="136">
        <f t="shared" si="53"/>
        <v>0</v>
      </c>
      <c r="AQ289" s="136">
        <f t="shared" si="53"/>
        <v>0</v>
      </c>
      <c r="AR289" s="136">
        <f t="shared" si="52"/>
        <v>0</v>
      </c>
      <c r="AS289" s="136">
        <f t="shared" si="52"/>
        <v>0</v>
      </c>
      <c r="AT289" s="136">
        <f t="shared" si="52"/>
        <v>0</v>
      </c>
      <c r="AU289" s="136">
        <f t="shared" si="52"/>
        <v>0</v>
      </c>
      <c r="AV289" s="136">
        <f t="shared" si="52"/>
        <v>0</v>
      </c>
      <c r="AW289" s="136">
        <f t="shared" si="52"/>
        <v>0</v>
      </c>
      <c r="AX289" s="136">
        <f t="shared" si="51"/>
        <v>0</v>
      </c>
      <c r="AY289" s="136">
        <f t="shared" si="51"/>
        <v>0</v>
      </c>
      <c r="AZ289" s="136">
        <f t="shared" si="51"/>
        <v>0</v>
      </c>
      <c r="BA289" s="136">
        <f t="shared" si="51"/>
        <v>0</v>
      </c>
      <c r="BB289" s="136">
        <f t="shared" si="51"/>
        <v>0</v>
      </c>
      <c r="BC289" s="136">
        <f t="shared" si="51"/>
        <v>0</v>
      </c>
      <c r="BD289" s="136">
        <f t="shared" si="51"/>
        <v>0</v>
      </c>
      <c r="BE289" s="136">
        <f t="shared" si="51"/>
        <v>0</v>
      </c>
      <c r="BF289" s="136">
        <f t="shared" si="51"/>
        <v>0</v>
      </c>
      <c r="BG289" s="136">
        <f t="shared" si="51"/>
        <v>0</v>
      </c>
      <c r="BH289" s="136">
        <f t="shared" si="51"/>
        <v>0</v>
      </c>
      <c r="BI289" s="136">
        <f t="shared" si="51"/>
        <v>0</v>
      </c>
      <c r="BJ289" s="136">
        <f t="shared" si="51"/>
        <v>0</v>
      </c>
      <c r="BK289" s="136">
        <f t="shared" si="51"/>
        <v>0</v>
      </c>
      <c r="BL289" s="136">
        <f t="shared" si="51"/>
        <v>0</v>
      </c>
      <c r="BM289" s="136">
        <f t="shared" si="51"/>
        <v>0</v>
      </c>
      <c r="BN289" s="136">
        <f t="shared" si="56"/>
        <v>0</v>
      </c>
      <c r="BO289" s="136">
        <f t="shared" si="56"/>
        <v>0</v>
      </c>
      <c r="BU289" s="136">
        <f t="shared" si="54"/>
        <v>0</v>
      </c>
      <c r="BV289" s="136">
        <f t="shared" si="54"/>
        <v>0</v>
      </c>
      <c r="BW289" s="136">
        <f t="shared" si="54"/>
        <v>0</v>
      </c>
      <c r="BX289" s="136">
        <f t="shared" si="54"/>
        <v>0</v>
      </c>
      <c r="BZ289" s="136">
        <f t="shared" si="55"/>
        <v>0</v>
      </c>
      <c r="CA289" s="136">
        <f t="shared" si="55"/>
        <v>0</v>
      </c>
    </row>
    <row r="290" spans="12:79" hidden="1" x14ac:dyDescent="0.3">
      <c r="L290" s="136">
        <f t="shared" si="50"/>
        <v>0</v>
      </c>
      <c r="M290" s="136">
        <f t="shared" si="50"/>
        <v>0</v>
      </c>
      <c r="N290" s="136">
        <f t="shared" si="50"/>
        <v>0</v>
      </c>
      <c r="O290" s="136">
        <f t="shared" si="50"/>
        <v>0</v>
      </c>
      <c r="P290" s="136">
        <f t="shared" si="50"/>
        <v>0</v>
      </c>
      <c r="Q290" s="136">
        <f t="shared" si="50"/>
        <v>15755546</v>
      </c>
      <c r="R290" s="136">
        <f t="shared" si="50"/>
        <v>0</v>
      </c>
      <c r="S290" s="136">
        <f t="shared" si="50"/>
        <v>0</v>
      </c>
      <c r="T290" s="136">
        <f t="shared" si="50"/>
        <v>0</v>
      </c>
      <c r="U290" s="136">
        <f t="shared" si="50"/>
        <v>0</v>
      </c>
      <c r="V290" s="136">
        <f t="shared" si="50"/>
        <v>0</v>
      </c>
      <c r="W290" s="136">
        <f t="shared" si="50"/>
        <v>0</v>
      </c>
      <c r="X290" s="136">
        <f t="shared" si="50"/>
        <v>0</v>
      </c>
      <c r="Y290" s="136">
        <f t="shared" si="50"/>
        <v>0</v>
      </c>
      <c r="Z290" s="136">
        <f t="shared" si="50"/>
        <v>0</v>
      </c>
      <c r="AA290" s="136">
        <f t="shared" ref="AA290:AP305" si="57">AA117-CS117</f>
        <v>0</v>
      </c>
      <c r="AB290" s="136">
        <f t="shared" si="53"/>
        <v>0</v>
      </c>
      <c r="AC290" s="136">
        <f t="shared" si="53"/>
        <v>0</v>
      </c>
      <c r="AD290" s="136">
        <f t="shared" si="53"/>
        <v>0</v>
      </c>
      <c r="AE290" s="136">
        <f t="shared" si="53"/>
        <v>0</v>
      </c>
      <c r="AF290" s="136">
        <f t="shared" si="53"/>
        <v>0</v>
      </c>
      <c r="AG290" s="136">
        <f t="shared" si="53"/>
        <v>0</v>
      </c>
      <c r="AH290" s="136">
        <f t="shared" si="53"/>
        <v>0</v>
      </c>
      <c r="AI290" s="136">
        <f t="shared" si="53"/>
        <v>0</v>
      </c>
      <c r="AJ290" s="136">
        <f t="shared" si="53"/>
        <v>0</v>
      </c>
      <c r="AK290" s="136">
        <f t="shared" si="53"/>
        <v>-3912780</v>
      </c>
      <c r="AL290" s="136">
        <f t="shared" si="53"/>
        <v>0</v>
      </c>
      <c r="AM290" s="136">
        <f t="shared" si="53"/>
        <v>0</v>
      </c>
      <c r="AN290" s="136">
        <f t="shared" si="53"/>
        <v>0</v>
      </c>
      <c r="AO290" s="136">
        <f t="shared" si="53"/>
        <v>0</v>
      </c>
      <c r="AP290" s="136">
        <f t="shared" si="53"/>
        <v>0</v>
      </c>
      <c r="AQ290" s="136">
        <f t="shared" si="53"/>
        <v>0</v>
      </c>
      <c r="AR290" s="136">
        <f t="shared" si="52"/>
        <v>0</v>
      </c>
      <c r="AS290" s="136">
        <f t="shared" si="52"/>
        <v>0</v>
      </c>
      <c r="AT290" s="136">
        <f t="shared" si="52"/>
        <v>0</v>
      </c>
      <c r="AU290" s="136">
        <f t="shared" si="52"/>
        <v>0</v>
      </c>
      <c r="AV290" s="136">
        <f t="shared" si="52"/>
        <v>0</v>
      </c>
      <c r="AW290" s="136">
        <f t="shared" si="52"/>
        <v>0</v>
      </c>
      <c r="AX290" s="136">
        <f t="shared" si="51"/>
        <v>0</v>
      </c>
      <c r="AY290" s="136">
        <f t="shared" si="51"/>
        <v>0</v>
      </c>
      <c r="AZ290" s="136">
        <f t="shared" si="51"/>
        <v>0</v>
      </c>
      <c r="BA290" s="136">
        <f t="shared" si="51"/>
        <v>0</v>
      </c>
      <c r="BB290" s="136">
        <f t="shared" si="51"/>
        <v>0</v>
      </c>
      <c r="BC290" s="136">
        <f t="shared" si="51"/>
        <v>0</v>
      </c>
      <c r="BD290" s="136">
        <f t="shared" si="51"/>
        <v>0</v>
      </c>
      <c r="BE290" s="136">
        <f t="shared" si="51"/>
        <v>0</v>
      </c>
      <c r="BF290" s="136">
        <f t="shared" si="51"/>
        <v>0</v>
      </c>
      <c r="BG290" s="136">
        <f t="shared" si="51"/>
        <v>0</v>
      </c>
      <c r="BH290" s="136">
        <f t="shared" si="51"/>
        <v>0</v>
      </c>
      <c r="BI290" s="136">
        <f t="shared" si="51"/>
        <v>0</v>
      </c>
      <c r="BJ290" s="136">
        <f t="shared" si="51"/>
        <v>0</v>
      </c>
      <c r="BK290" s="136">
        <f t="shared" si="51"/>
        <v>0</v>
      </c>
      <c r="BL290" s="136">
        <f t="shared" si="51"/>
        <v>0</v>
      </c>
      <c r="BM290" s="136">
        <f t="shared" si="51"/>
        <v>0</v>
      </c>
      <c r="BN290" s="136">
        <f t="shared" si="56"/>
        <v>0</v>
      </c>
      <c r="BO290" s="136">
        <f t="shared" si="56"/>
        <v>0</v>
      </c>
      <c r="BU290" s="136">
        <f t="shared" si="54"/>
        <v>0</v>
      </c>
      <c r="BV290" s="136">
        <f t="shared" si="54"/>
        <v>0</v>
      </c>
      <c r="BW290" s="136">
        <f t="shared" si="54"/>
        <v>0</v>
      </c>
      <c r="BX290" s="136">
        <f t="shared" si="54"/>
        <v>0</v>
      </c>
      <c r="BZ290" s="136">
        <f t="shared" si="55"/>
        <v>0</v>
      </c>
      <c r="CA290" s="136">
        <f t="shared" si="55"/>
        <v>0</v>
      </c>
    </row>
    <row r="291" spans="12:79" hidden="1" x14ac:dyDescent="0.3">
      <c r="L291" s="136">
        <f t="shared" ref="L291:AA306" si="58">L118-CD118</f>
        <v>0</v>
      </c>
      <c r="M291" s="136">
        <f t="shared" si="58"/>
        <v>0</v>
      </c>
      <c r="N291" s="136">
        <f t="shared" si="58"/>
        <v>0</v>
      </c>
      <c r="O291" s="136">
        <f t="shared" si="58"/>
        <v>0</v>
      </c>
      <c r="P291" s="136">
        <f t="shared" si="58"/>
        <v>0</v>
      </c>
      <c r="Q291" s="136">
        <f t="shared" si="58"/>
        <v>7113060</v>
      </c>
      <c r="R291" s="136">
        <f t="shared" si="58"/>
        <v>0</v>
      </c>
      <c r="S291" s="136">
        <f t="shared" si="58"/>
        <v>0</v>
      </c>
      <c r="T291" s="136">
        <f t="shared" si="58"/>
        <v>0</v>
      </c>
      <c r="U291" s="136">
        <f t="shared" si="58"/>
        <v>0</v>
      </c>
      <c r="V291" s="136">
        <f t="shared" si="58"/>
        <v>0</v>
      </c>
      <c r="W291" s="136">
        <f t="shared" si="58"/>
        <v>0</v>
      </c>
      <c r="X291" s="136">
        <f t="shared" si="58"/>
        <v>0</v>
      </c>
      <c r="Y291" s="136">
        <f t="shared" si="58"/>
        <v>0</v>
      </c>
      <c r="Z291" s="136">
        <f t="shared" si="58"/>
        <v>0</v>
      </c>
      <c r="AA291" s="136">
        <f t="shared" si="57"/>
        <v>0</v>
      </c>
      <c r="AB291" s="136">
        <f t="shared" si="53"/>
        <v>0</v>
      </c>
      <c r="AC291" s="136">
        <f t="shared" si="53"/>
        <v>0</v>
      </c>
      <c r="AD291" s="136">
        <f t="shared" si="53"/>
        <v>0</v>
      </c>
      <c r="AE291" s="136">
        <f t="shared" si="53"/>
        <v>0</v>
      </c>
      <c r="AF291" s="136">
        <f t="shared" si="53"/>
        <v>0</v>
      </c>
      <c r="AG291" s="136">
        <f t="shared" si="53"/>
        <v>0</v>
      </c>
      <c r="AH291" s="136">
        <f t="shared" si="53"/>
        <v>0</v>
      </c>
      <c r="AI291" s="136">
        <f t="shared" si="53"/>
        <v>0</v>
      </c>
      <c r="AJ291" s="136">
        <f t="shared" si="53"/>
        <v>0</v>
      </c>
      <c r="AK291" s="136">
        <f t="shared" si="53"/>
        <v>-1993488</v>
      </c>
      <c r="AL291" s="136">
        <f t="shared" si="53"/>
        <v>0</v>
      </c>
      <c r="AM291" s="136">
        <f t="shared" si="53"/>
        <v>0</v>
      </c>
      <c r="AN291" s="136">
        <f t="shared" si="53"/>
        <v>0</v>
      </c>
      <c r="AO291" s="136">
        <f t="shared" si="53"/>
        <v>0</v>
      </c>
      <c r="AP291" s="136">
        <f t="shared" si="53"/>
        <v>0</v>
      </c>
      <c r="AQ291" s="136">
        <f t="shared" si="53"/>
        <v>0</v>
      </c>
      <c r="AR291" s="136">
        <f t="shared" si="52"/>
        <v>0</v>
      </c>
      <c r="AS291" s="136">
        <f t="shared" si="52"/>
        <v>0</v>
      </c>
      <c r="AT291" s="136">
        <f t="shared" si="52"/>
        <v>0</v>
      </c>
      <c r="AU291" s="136">
        <f t="shared" si="52"/>
        <v>0</v>
      </c>
      <c r="AV291" s="136">
        <f t="shared" si="52"/>
        <v>0</v>
      </c>
      <c r="AW291" s="136">
        <f t="shared" si="52"/>
        <v>0</v>
      </c>
      <c r="AX291" s="136">
        <f t="shared" si="51"/>
        <v>0</v>
      </c>
      <c r="AY291" s="136">
        <f t="shared" si="51"/>
        <v>0</v>
      </c>
      <c r="AZ291" s="136">
        <f t="shared" si="51"/>
        <v>0</v>
      </c>
      <c r="BA291" s="136">
        <f t="shared" si="51"/>
        <v>0</v>
      </c>
      <c r="BB291" s="136">
        <f t="shared" si="51"/>
        <v>0</v>
      </c>
      <c r="BC291" s="136">
        <f t="shared" si="51"/>
        <v>0</v>
      </c>
      <c r="BD291" s="136">
        <f t="shared" si="51"/>
        <v>0</v>
      </c>
      <c r="BE291" s="136">
        <f t="shared" si="51"/>
        <v>0</v>
      </c>
      <c r="BF291" s="136">
        <f t="shared" si="51"/>
        <v>0</v>
      </c>
      <c r="BG291" s="136">
        <f t="shared" si="51"/>
        <v>0</v>
      </c>
      <c r="BH291" s="136">
        <f t="shared" si="51"/>
        <v>0</v>
      </c>
      <c r="BI291" s="136">
        <f t="shared" si="51"/>
        <v>0</v>
      </c>
      <c r="BJ291" s="136">
        <f t="shared" si="51"/>
        <v>0</v>
      </c>
      <c r="BK291" s="136">
        <f t="shared" si="51"/>
        <v>0</v>
      </c>
      <c r="BL291" s="136">
        <f t="shared" si="51"/>
        <v>0</v>
      </c>
      <c r="BM291" s="136">
        <f t="shared" si="51"/>
        <v>0</v>
      </c>
      <c r="BN291" s="136">
        <f t="shared" si="56"/>
        <v>0</v>
      </c>
      <c r="BO291" s="136">
        <f t="shared" si="56"/>
        <v>0</v>
      </c>
      <c r="BU291" s="136">
        <f t="shared" si="54"/>
        <v>0</v>
      </c>
      <c r="BV291" s="136">
        <f t="shared" si="54"/>
        <v>0</v>
      </c>
      <c r="BW291" s="136">
        <f t="shared" si="54"/>
        <v>0</v>
      </c>
      <c r="BX291" s="136">
        <f t="shared" si="54"/>
        <v>0</v>
      </c>
      <c r="BZ291" s="136">
        <f t="shared" si="55"/>
        <v>0</v>
      </c>
      <c r="CA291" s="136">
        <f t="shared" si="55"/>
        <v>0</v>
      </c>
    </row>
    <row r="292" spans="12:79" hidden="1" x14ac:dyDescent="0.3">
      <c r="L292" s="136">
        <f t="shared" si="58"/>
        <v>0</v>
      </c>
      <c r="M292" s="136">
        <f t="shared" si="58"/>
        <v>0</v>
      </c>
      <c r="N292" s="136">
        <f t="shared" si="58"/>
        <v>0</v>
      </c>
      <c r="O292" s="136">
        <f t="shared" si="58"/>
        <v>0</v>
      </c>
      <c r="P292" s="136">
        <f t="shared" si="58"/>
        <v>0</v>
      </c>
      <c r="Q292" s="136">
        <f t="shared" si="58"/>
        <v>8642486</v>
      </c>
      <c r="R292" s="136">
        <f t="shared" si="58"/>
        <v>0</v>
      </c>
      <c r="S292" s="136">
        <f t="shared" si="58"/>
        <v>0</v>
      </c>
      <c r="T292" s="136">
        <f t="shared" si="58"/>
        <v>0</v>
      </c>
      <c r="U292" s="136">
        <f t="shared" si="58"/>
        <v>0</v>
      </c>
      <c r="V292" s="136">
        <f t="shared" si="58"/>
        <v>0</v>
      </c>
      <c r="W292" s="136">
        <f t="shared" si="58"/>
        <v>0</v>
      </c>
      <c r="X292" s="136">
        <f t="shared" si="58"/>
        <v>0</v>
      </c>
      <c r="Y292" s="136">
        <f t="shared" si="58"/>
        <v>0</v>
      </c>
      <c r="Z292" s="136">
        <f t="shared" si="58"/>
        <v>0</v>
      </c>
      <c r="AA292" s="136">
        <f t="shared" si="57"/>
        <v>0</v>
      </c>
      <c r="AB292" s="136">
        <f t="shared" si="53"/>
        <v>0</v>
      </c>
      <c r="AC292" s="136">
        <f t="shared" si="53"/>
        <v>0</v>
      </c>
      <c r="AD292" s="136">
        <f t="shared" si="53"/>
        <v>0</v>
      </c>
      <c r="AE292" s="136">
        <f t="shared" si="53"/>
        <v>0</v>
      </c>
      <c r="AF292" s="136">
        <f t="shared" si="53"/>
        <v>0</v>
      </c>
      <c r="AG292" s="136">
        <f t="shared" si="53"/>
        <v>0</v>
      </c>
      <c r="AH292" s="136">
        <f t="shared" si="53"/>
        <v>0</v>
      </c>
      <c r="AI292" s="136">
        <f t="shared" si="53"/>
        <v>0</v>
      </c>
      <c r="AJ292" s="136">
        <f t="shared" si="53"/>
        <v>0</v>
      </c>
      <c r="AK292" s="136">
        <f t="shared" si="53"/>
        <v>-1919292</v>
      </c>
      <c r="AL292" s="136">
        <f t="shared" si="53"/>
        <v>0</v>
      </c>
      <c r="AM292" s="136">
        <f t="shared" si="53"/>
        <v>0</v>
      </c>
      <c r="AN292" s="136">
        <f t="shared" si="53"/>
        <v>0</v>
      </c>
      <c r="AO292" s="136">
        <f t="shared" si="53"/>
        <v>0</v>
      </c>
      <c r="AP292" s="136">
        <f t="shared" si="53"/>
        <v>0</v>
      </c>
      <c r="AQ292" s="136">
        <f t="shared" si="53"/>
        <v>0</v>
      </c>
      <c r="AR292" s="136">
        <f t="shared" si="52"/>
        <v>0</v>
      </c>
      <c r="AS292" s="136">
        <f t="shared" si="52"/>
        <v>0</v>
      </c>
      <c r="AT292" s="136">
        <f t="shared" si="52"/>
        <v>0</v>
      </c>
      <c r="AU292" s="136">
        <f t="shared" si="52"/>
        <v>0</v>
      </c>
      <c r="AV292" s="136">
        <f t="shared" si="52"/>
        <v>0</v>
      </c>
      <c r="AW292" s="136">
        <f t="shared" si="52"/>
        <v>0</v>
      </c>
      <c r="AX292" s="136">
        <f t="shared" si="52"/>
        <v>0</v>
      </c>
      <c r="AY292" s="136">
        <f t="shared" si="52"/>
        <v>0</v>
      </c>
      <c r="AZ292" s="136">
        <f t="shared" si="52"/>
        <v>0</v>
      </c>
      <c r="BA292" s="136">
        <f t="shared" si="52"/>
        <v>0</v>
      </c>
      <c r="BB292" s="136">
        <f t="shared" si="52"/>
        <v>0</v>
      </c>
      <c r="BC292" s="136">
        <f t="shared" si="52"/>
        <v>0</v>
      </c>
      <c r="BD292" s="136">
        <f t="shared" si="52"/>
        <v>0</v>
      </c>
      <c r="BE292" s="136">
        <f t="shared" si="52"/>
        <v>0</v>
      </c>
      <c r="BF292" s="136">
        <f t="shared" si="52"/>
        <v>0</v>
      </c>
      <c r="BG292" s="136">
        <f t="shared" si="52"/>
        <v>0</v>
      </c>
      <c r="BH292" s="136">
        <f t="shared" ref="BH292:BO307" si="59">BH119-DZ119</f>
        <v>0</v>
      </c>
      <c r="BI292" s="136">
        <f t="shared" si="59"/>
        <v>0</v>
      </c>
      <c r="BJ292" s="136">
        <f t="shared" si="59"/>
        <v>0</v>
      </c>
      <c r="BK292" s="136">
        <f t="shared" si="59"/>
        <v>0</v>
      </c>
      <c r="BL292" s="136">
        <f t="shared" si="59"/>
        <v>0</v>
      </c>
      <c r="BM292" s="136">
        <f t="shared" si="59"/>
        <v>0</v>
      </c>
      <c r="BN292" s="136">
        <f t="shared" si="56"/>
        <v>0</v>
      </c>
      <c r="BO292" s="136">
        <f t="shared" si="56"/>
        <v>0</v>
      </c>
      <c r="BU292" s="136">
        <f t="shared" si="54"/>
        <v>0</v>
      </c>
      <c r="BV292" s="136">
        <f t="shared" si="54"/>
        <v>0</v>
      </c>
      <c r="BW292" s="136">
        <f t="shared" si="54"/>
        <v>0</v>
      </c>
      <c r="BX292" s="136">
        <f t="shared" si="54"/>
        <v>0</v>
      </c>
      <c r="BZ292" s="136">
        <f t="shared" si="55"/>
        <v>0</v>
      </c>
      <c r="CA292" s="136">
        <f t="shared" si="55"/>
        <v>0</v>
      </c>
    </row>
    <row r="293" spans="12:79" hidden="1" x14ac:dyDescent="0.3">
      <c r="L293" s="136">
        <f t="shared" si="58"/>
        <v>0</v>
      </c>
      <c r="M293" s="136">
        <f t="shared" si="58"/>
        <v>0</v>
      </c>
      <c r="N293" s="136">
        <f t="shared" si="58"/>
        <v>0</v>
      </c>
      <c r="O293" s="136">
        <f t="shared" si="58"/>
        <v>0</v>
      </c>
      <c r="P293" s="136">
        <f t="shared" si="58"/>
        <v>0</v>
      </c>
      <c r="Q293" s="136">
        <f t="shared" si="58"/>
        <v>0</v>
      </c>
      <c r="R293" s="136">
        <f t="shared" si="58"/>
        <v>0</v>
      </c>
      <c r="S293" s="136">
        <f t="shared" si="58"/>
        <v>0</v>
      </c>
      <c r="T293" s="136">
        <f t="shared" si="58"/>
        <v>0</v>
      </c>
      <c r="U293" s="136">
        <f t="shared" si="58"/>
        <v>0</v>
      </c>
      <c r="V293" s="136">
        <f t="shared" si="58"/>
        <v>0</v>
      </c>
      <c r="W293" s="136">
        <f t="shared" si="58"/>
        <v>0</v>
      </c>
      <c r="X293" s="136">
        <f t="shared" si="58"/>
        <v>0</v>
      </c>
      <c r="Y293" s="136">
        <f t="shared" si="58"/>
        <v>0</v>
      </c>
      <c r="Z293" s="136">
        <f t="shared" si="58"/>
        <v>0</v>
      </c>
      <c r="AA293" s="136">
        <f t="shared" si="57"/>
        <v>0</v>
      </c>
      <c r="AB293" s="136">
        <f t="shared" si="53"/>
        <v>0</v>
      </c>
      <c r="AC293" s="136">
        <f t="shared" si="53"/>
        <v>0</v>
      </c>
      <c r="AD293" s="136">
        <f t="shared" si="53"/>
        <v>0</v>
      </c>
      <c r="AE293" s="136">
        <f t="shared" si="53"/>
        <v>0</v>
      </c>
      <c r="AF293" s="136">
        <f t="shared" si="53"/>
        <v>0</v>
      </c>
      <c r="AG293" s="136">
        <f t="shared" si="53"/>
        <v>0</v>
      </c>
      <c r="AH293" s="136">
        <f t="shared" si="53"/>
        <v>0</v>
      </c>
      <c r="AI293" s="136">
        <f t="shared" si="53"/>
        <v>0</v>
      </c>
      <c r="AJ293" s="136">
        <f t="shared" si="53"/>
        <v>0</v>
      </c>
      <c r="AK293" s="136">
        <f t="shared" si="53"/>
        <v>0</v>
      </c>
      <c r="AL293" s="136">
        <f t="shared" si="53"/>
        <v>0</v>
      </c>
      <c r="AM293" s="136">
        <f t="shared" si="53"/>
        <v>0</v>
      </c>
      <c r="AN293" s="136">
        <f t="shared" si="53"/>
        <v>0</v>
      </c>
      <c r="AO293" s="136">
        <f t="shared" si="53"/>
        <v>0</v>
      </c>
      <c r="AP293" s="136">
        <f t="shared" si="53"/>
        <v>0</v>
      </c>
      <c r="AQ293" s="136">
        <f t="shared" si="53"/>
        <v>0</v>
      </c>
      <c r="AR293" s="136">
        <f t="shared" si="52"/>
        <v>0</v>
      </c>
      <c r="AS293" s="136">
        <f t="shared" si="52"/>
        <v>0</v>
      </c>
      <c r="AT293" s="136">
        <f t="shared" si="52"/>
        <v>0</v>
      </c>
      <c r="AU293" s="136">
        <f t="shared" si="52"/>
        <v>0</v>
      </c>
      <c r="AV293" s="136">
        <f t="shared" si="52"/>
        <v>0</v>
      </c>
      <c r="AW293" s="136">
        <f t="shared" si="52"/>
        <v>0</v>
      </c>
      <c r="AX293" s="136">
        <f t="shared" si="52"/>
        <v>0</v>
      </c>
      <c r="AY293" s="136">
        <f t="shared" si="52"/>
        <v>0</v>
      </c>
      <c r="AZ293" s="136">
        <f t="shared" si="52"/>
        <v>0</v>
      </c>
      <c r="BA293" s="136">
        <f t="shared" si="52"/>
        <v>0</v>
      </c>
      <c r="BB293" s="136">
        <f t="shared" si="52"/>
        <v>0</v>
      </c>
      <c r="BC293" s="136">
        <f t="shared" si="52"/>
        <v>0</v>
      </c>
      <c r="BD293" s="136">
        <f t="shared" si="52"/>
        <v>0</v>
      </c>
      <c r="BE293" s="136">
        <f t="shared" si="52"/>
        <v>0</v>
      </c>
      <c r="BF293" s="136">
        <f t="shared" si="52"/>
        <v>0</v>
      </c>
      <c r="BG293" s="136">
        <f t="shared" si="52"/>
        <v>0</v>
      </c>
      <c r="BH293" s="136">
        <f t="shared" si="59"/>
        <v>0</v>
      </c>
      <c r="BI293" s="136">
        <f t="shared" si="59"/>
        <v>0</v>
      </c>
      <c r="BJ293" s="136">
        <f t="shared" si="59"/>
        <v>0</v>
      </c>
      <c r="BK293" s="136">
        <f t="shared" si="59"/>
        <v>0</v>
      </c>
      <c r="BL293" s="136">
        <f t="shared" si="59"/>
        <v>0</v>
      </c>
      <c r="BM293" s="136">
        <f t="shared" si="59"/>
        <v>0</v>
      </c>
      <c r="BN293" s="136">
        <f t="shared" si="56"/>
        <v>0</v>
      </c>
      <c r="BO293" s="136">
        <f t="shared" si="56"/>
        <v>0</v>
      </c>
      <c r="BU293" s="136">
        <f t="shared" si="54"/>
        <v>0</v>
      </c>
      <c r="BV293" s="136">
        <f t="shared" si="54"/>
        <v>0</v>
      </c>
      <c r="BW293" s="136">
        <f t="shared" si="54"/>
        <v>0</v>
      </c>
      <c r="BX293" s="136">
        <f t="shared" si="54"/>
        <v>0</v>
      </c>
      <c r="BZ293" s="136">
        <f t="shared" si="55"/>
        <v>0</v>
      </c>
      <c r="CA293" s="136">
        <f t="shared" si="55"/>
        <v>0</v>
      </c>
    </row>
    <row r="294" spans="12:79" hidden="1" x14ac:dyDescent="0.3">
      <c r="L294" s="136">
        <f t="shared" si="58"/>
        <v>0</v>
      </c>
      <c r="M294" s="136">
        <f t="shared" si="58"/>
        <v>0</v>
      </c>
      <c r="N294" s="136">
        <f t="shared" si="58"/>
        <v>0</v>
      </c>
      <c r="O294" s="136">
        <f t="shared" si="58"/>
        <v>0</v>
      </c>
      <c r="P294" s="136">
        <f t="shared" si="58"/>
        <v>0</v>
      </c>
      <c r="Q294" s="136">
        <f t="shared" si="58"/>
        <v>-6054</v>
      </c>
      <c r="R294" s="136">
        <f t="shared" si="58"/>
        <v>0</v>
      </c>
      <c r="S294" s="136">
        <f t="shared" si="58"/>
        <v>0</v>
      </c>
      <c r="T294" s="136">
        <f t="shared" si="58"/>
        <v>0</v>
      </c>
      <c r="U294" s="136">
        <f t="shared" si="58"/>
        <v>0</v>
      </c>
      <c r="V294" s="136">
        <f t="shared" si="58"/>
        <v>0</v>
      </c>
      <c r="W294" s="136">
        <f t="shared" si="58"/>
        <v>0</v>
      </c>
      <c r="X294" s="136">
        <f t="shared" si="58"/>
        <v>0</v>
      </c>
      <c r="Y294" s="136">
        <f t="shared" si="58"/>
        <v>0</v>
      </c>
      <c r="Z294" s="136">
        <f t="shared" si="58"/>
        <v>0</v>
      </c>
      <c r="AA294" s="136">
        <f t="shared" si="57"/>
        <v>0</v>
      </c>
      <c r="AB294" s="136">
        <f t="shared" si="53"/>
        <v>0</v>
      </c>
      <c r="AC294" s="136">
        <f t="shared" si="53"/>
        <v>0</v>
      </c>
      <c r="AD294" s="136">
        <f t="shared" si="53"/>
        <v>0</v>
      </c>
      <c r="AE294" s="136">
        <f t="shared" si="53"/>
        <v>0</v>
      </c>
      <c r="AF294" s="136">
        <f t="shared" si="53"/>
        <v>0</v>
      </c>
      <c r="AG294" s="136">
        <f t="shared" si="53"/>
        <v>0</v>
      </c>
      <c r="AH294" s="136">
        <f t="shared" si="53"/>
        <v>0</v>
      </c>
      <c r="AI294" s="136">
        <f t="shared" si="53"/>
        <v>0</v>
      </c>
      <c r="AJ294" s="136">
        <f t="shared" si="53"/>
        <v>0</v>
      </c>
      <c r="AK294" s="136">
        <f t="shared" si="53"/>
        <v>0</v>
      </c>
      <c r="AL294" s="136">
        <f t="shared" si="53"/>
        <v>0</v>
      </c>
      <c r="AM294" s="136">
        <f t="shared" si="53"/>
        <v>0</v>
      </c>
      <c r="AN294" s="136">
        <f t="shared" si="53"/>
        <v>0</v>
      </c>
      <c r="AO294" s="136">
        <f t="shared" si="53"/>
        <v>0</v>
      </c>
      <c r="AP294" s="136">
        <f t="shared" si="53"/>
        <v>0</v>
      </c>
      <c r="AQ294" s="136">
        <f t="shared" si="53"/>
        <v>0</v>
      </c>
      <c r="AR294" s="136">
        <f t="shared" si="52"/>
        <v>0</v>
      </c>
      <c r="AS294" s="136">
        <f t="shared" si="52"/>
        <v>0</v>
      </c>
      <c r="AT294" s="136">
        <f t="shared" si="52"/>
        <v>0</v>
      </c>
      <c r="AU294" s="136">
        <f t="shared" si="52"/>
        <v>0</v>
      </c>
      <c r="AV294" s="136">
        <f t="shared" si="52"/>
        <v>0</v>
      </c>
      <c r="AW294" s="136">
        <f t="shared" si="52"/>
        <v>0</v>
      </c>
      <c r="AX294" s="136">
        <f t="shared" si="52"/>
        <v>0</v>
      </c>
      <c r="AY294" s="136">
        <f t="shared" si="52"/>
        <v>0</v>
      </c>
      <c r="AZ294" s="136">
        <f t="shared" si="52"/>
        <v>0</v>
      </c>
      <c r="BA294" s="136">
        <f t="shared" si="52"/>
        <v>0</v>
      </c>
      <c r="BB294" s="136">
        <f t="shared" si="52"/>
        <v>0</v>
      </c>
      <c r="BC294" s="136">
        <f t="shared" si="52"/>
        <v>0</v>
      </c>
      <c r="BD294" s="136">
        <f t="shared" si="52"/>
        <v>0</v>
      </c>
      <c r="BE294" s="136">
        <f t="shared" si="52"/>
        <v>0</v>
      </c>
      <c r="BF294" s="136">
        <f t="shared" si="52"/>
        <v>0</v>
      </c>
      <c r="BG294" s="136">
        <f t="shared" si="52"/>
        <v>0</v>
      </c>
      <c r="BH294" s="136">
        <f t="shared" si="59"/>
        <v>0</v>
      </c>
      <c r="BI294" s="136">
        <f t="shared" si="59"/>
        <v>0</v>
      </c>
      <c r="BJ294" s="136">
        <f t="shared" si="59"/>
        <v>0</v>
      </c>
      <c r="BK294" s="136">
        <f t="shared" si="59"/>
        <v>0</v>
      </c>
      <c r="BL294" s="136">
        <f t="shared" si="59"/>
        <v>0</v>
      </c>
      <c r="BM294" s="136">
        <f t="shared" si="59"/>
        <v>0</v>
      </c>
      <c r="BN294" s="136">
        <f t="shared" si="56"/>
        <v>0</v>
      </c>
      <c r="BO294" s="136">
        <f t="shared" si="56"/>
        <v>0</v>
      </c>
      <c r="BU294" s="136">
        <f t="shared" si="54"/>
        <v>0</v>
      </c>
      <c r="BV294" s="136">
        <f t="shared" si="54"/>
        <v>0</v>
      </c>
      <c r="BW294" s="136">
        <f t="shared" si="54"/>
        <v>0</v>
      </c>
      <c r="BX294" s="136">
        <f t="shared" si="54"/>
        <v>0</v>
      </c>
      <c r="BZ294" s="136">
        <f t="shared" si="55"/>
        <v>0</v>
      </c>
      <c r="CA294" s="136">
        <f t="shared" si="55"/>
        <v>0</v>
      </c>
    </row>
    <row r="295" spans="12:79" hidden="1" x14ac:dyDescent="0.3">
      <c r="L295" s="136">
        <f t="shared" si="58"/>
        <v>0</v>
      </c>
      <c r="M295" s="136">
        <f t="shared" si="58"/>
        <v>0</v>
      </c>
      <c r="N295" s="136">
        <f t="shared" si="58"/>
        <v>0</v>
      </c>
      <c r="O295" s="136">
        <f t="shared" si="58"/>
        <v>0</v>
      </c>
      <c r="P295" s="136">
        <f t="shared" si="58"/>
        <v>0</v>
      </c>
      <c r="Q295" s="136">
        <f t="shared" si="58"/>
        <v>-1940</v>
      </c>
      <c r="R295" s="136">
        <f t="shared" si="58"/>
        <v>0</v>
      </c>
      <c r="S295" s="136">
        <f t="shared" si="58"/>
        <v>0</v>
      </c>
      <c r="T295" s="136">
        <f t="shared" si="58"/>
        <v>0</v>
      </c>
      <c r="U295" s="136">
        <f t="shared" si="58"/>
        <v>0</v>
      </c>
      <c r="V295" s="136">
        <f t="shared" si="58"/>
        <v>0</v>
      </c>
      <c r="W295" s="136">
        <f t="shared" si="58"/>
        <v>0</v>
      </c>
      <c r="X295" s="136">
        <f t="shared" si="58"/>
        <v>0</v>
      </c>
      <c r="Y295" s="136">
        <f t="shared" si="58"/>
        <v>0</v>
      </c>
      <c r="Z295" s="136">
        <f t="shared" si="58"/>
        <v>0</v>
      </c>
      <c r="AA295" s="136">
        <f t="shared" si="57"/>
        <v>0</v>
      </c>
      <c r="AB295" s="136">
        <f t="shared" si="53"/>
        <v>0</v>
      </c>
      <c r="AC295" s="136">
        <f t="shared" si="53"/>
        <v>0</v>
      </c>
      <c r="AD295" s="136">
        <f t="shared" si="53"/>
        <v>0</v>
      </c>
      <c r="AE295" s="136">
        <f t="shared" si="53"/>
        <v>0</v>
      </c>
      <c r="AF295" s="136">
        <f t="shared" si="53"/>
        <v>0</v>
      </c>
      <c r="AG295" s="136">
        <f t="shared" si="53"/>
        <v>0</v>
      </c>
      <c r="AH295" s="136">
        <f t="shared" si="53"/>
        <v>0</v>
      </c>
      <c r="AI295" s="136">
        <f t="shared" si="53"/>
        <v>0</v>
      </c>
      <c r="AJ295" s="136">
        <f t="shared" si="53"/>
        <v>0</v>
      </c>
      <c r="AK295" s="136">
        <f t="shared" si="53"/>
        <v>0</v>
      </c>
      <c r="AL295" s="136">
        <f t="shared" si="53"/>
        <v>0</v>
      </c>
      <c r="AM295" s="136">
        <f t="shared" si="53"/>
        <v>0</v>
      </c>
      <c r="AN295" s="136">
        <f t="shared" si="53"/>
        <v>0</v>
      </c>
      <c r="AO295" s="136">
        <f t="shared" si="53"/>
        <v>0</v>
      </c>
      <c r="AP295" s="136">
        <f t="shared" si="53"/>
        <v>0</v>
      </c>
      <c r="AQ295" s="136">
        <f t="shared" si="53"/>
        <v>0</v>
      </c>
      <c r="AR295" s="136">
        <f t="shared" si="52"/>
        <v>0</v>
      </c>
      <c r="AS295" s="136">
        <f t="shared" si="52"/>
        <v>0</v>
      </c>
      <c r="AT295" s="136">
        <f t="shared" si="52"/>
        <v>0</v>
      </c>
      <c r="AU295" s="136">
        <f t="shared" si="52"/>
        <v>0</v>
      </c>
      <c r="AV295" s="136">
        <f t="shared" si="52"/>
        <v>0</v>
      </c>
      <c r="AW295" s="136">
        <f t="shared" si="52"/>
        <v>0</v>
      </c>
      <c r="AX295" s="136">
        <f t="shared" si="52"/>
        <v>0</v>
      </c>
      <c r="AY295" s="136">
        <f t="shared" si="52"/>
        <v>0</v>
      </c>
      <c r="AZ295" s="136">
        <f t="shared" si="52"/>
        <v>0</v>
      </c>
      <c r="BA295" s="136">
        <f t="shared" si="52"/>
        <v>0</v>
      </c>
      <c r="BB295" s="136">
        <f t="shared" si="52"/>
        <v>0</v>
      </c>
      <c r="BC295" s="136">
        <f t="shared" si="52"/>
        <v>0</v>
      </c>
      <c r="BD295" s="136">
        <f t="shared" si="52"/>
        <v>0</v>
      </c>
      <c r="BE295" s="136">
        <f t="shared" si="52"/>
        <v>0</v>
      </c>
      <c r="BF295" s="136">
        <f t="shared" si="52"/>
        <v>0</v>
      </c>
      <c r="BG295" s="136">
        <f t="shared" si="52"/>
        <v>0</v>
      </c>
      <c r="BH295" s="136">
        <f t="shared" si="59"/>
        <v>0</v>
      </c>
      <c r="BI295" s="136">
        <f t="shared" si="59"/>
        <v>0</v>
      </c>
      <c r="BJ295" s="136">
        <f t="shared" si="59"/>
        <v>0</v>
      </c>
      <c r="BK295" s="136">
        <f t="shared" si="59"/>
        <v>0</v>
      </c>
      <c r="BL295" s="136">
        <f t="shared" si="59"/>
        <v>0</v>
      </c>
      <c r="BM295" s="136">
        <f t="shared" si="59"/>
        <v>0</v>
      </c>
      <c r="BN295" s="136">
        <f t="shared" si="56"/>
        <v>0</v>
      </c>
      <c r="BO295" s="136">
        <f t="shared" si="56"/>
        <v>0</v>
      </c>
      <c r="BU295" s="136">
        <f t="shared" si="54"/>
        <v>0</v>
      </c>
      <c r="BV295" s="136">
        <f t="shared" si="54"/>
        <v>0</v>
      </c>
      <c r="BW295" s="136">
        <f t="shared" si="54"/>
        <v>0</v>
      </c>
      <c r="BX295" s="136">
        <f t="shared" si="54"/>
        <v>0</v>
      </c>
      <c r="BZ295" s="136">
        <f t="shared" si="55"/>
        <v>0</v>
      </c>
      <c r="CA295" s="136">
        <f t="shared" si="55"/>
        <v>0</v>
      </c>
    </row>
    <row r="296" spans="12:79" hidden="1" x14ac:dyDescent="0.3">
      <c r="L296" s="136">
        <f t="shared" si="58"/>
        <v>0</v>
      </c>
      <c r="M296" s="136">
        <f t="shared" si="58"/>
        <v>0</v>
      </c>
      <c r="N296" s="136">
        <f t="shared" si="58"/>
        <v>0</v>
      </c>
      <c r="O296" s="136">
        <f t="shared" si="58"/>
        <v>0</v>
      </c>
      <c r="P296" s="136">
        <f t="shared" si="58"/>
        <v>0</v>
      </c>
      <c r="Q296" s="136">
        <f t="shared" si="58"/>
        <v>-4114</v>
      </c>
      <c r="R296" s="136">
        <f t="shared" si="58"/>
        <v>0</v>
      </c>
      <c r="S296" s="136">
        <f t="shared" si="58"/>
        <v>0</v>
      </c>
      <c r="T296" s="136">
        <f t="shared" si="58"/>
        <v>0</v>
      </c>
      <c r="U296" s="136">
        <f t="shared" si="58"/>
        <v>0</v>
      </c>
      <c r="V296" s="136">
        <f t="shared" si="58"/>
        <v>0</v>
      </c>
      <c r="W296" s="136">
        <f t="shared" si="58"/>
        <v>0</v>
      </c>
      <c r="X296" s="136">
        <f t="shared" si="58"/>
        <v>0</v>
      </c>
      <c r="Y296" s="136">
        <f t="shared" si="58"/>
        <v>0</v>
      </c>
      <c r="Z296" s="136">
        <f t="shared" si="58"/>
        <v>0</v>
      </c>
      <c r="AA296" s="136">
        <f t="shared" si="57"/>
        <v>0</v>
      </c>
      <c r="AB296" s="136">
        <f t="shared" si="53"/>
        <v>0</v>
      </c>
      <c r="AC296" s="136">
        <f t="shared" si="53"/>
        <v>0</v>
      </c>
      <c r="AD296" s="136">
        <f t="shared" si="53"/>
        <v>0</v>
      </c>
      <c r="AE296" s="136">
        <f t="shared" si="53"/>
        <v>0</v>
      </c>
      <c r="AF296" s="136">
        <f t="shared" si="53"/>
        <v>0</v>
      </c>
      <c r="AG296" s="136">
        <f t="shared" si="53"/>
        <v>0</v>
      </c>
      <c r="AH296" s="136">
        <f t="shared" si="53"/>
        <v>0</v>
      </c>
      <c r="AI296" s="136">
        <f t="shared" si="53"/>
        <v>0</v>
      </c>
      <c r="AJ296" s="136">
        <f t="shared" si="53"/>
        <v>0</v>
      </c>
      <c r="AK296" s="136">
        <f t="shared" si="53"/>
        <v>0</v>
      </c>
      <c r="AL296" s="136">
        <f t="shared" si="53"/>
        <v>0</v>
      </c>
      <c r="AM296" s="136">
        <f t="shared" si="53"/>
        <v>0</v>
      </c>
      <c r="AN296" s="136">
        <f t="shared" si="53"/>
        <v>0</v>
      </c>
      <c r="AO296" s="136">
        <f t="shared" si="53"/>
        <v>0</v>
      </c>
      <c r="AP296" s="136">
        <f t="shared" si="53"/>
        <v>0</v>
      </c>
      <c r="AQ296" s="136">
        <f t="shared" si="53"/>
        <v>0</v>
      </c>
      <c r="AR296" s="136">
        <f t="shared" si="52"/>
        <v>0</v>
      </c>
      <c r="AS296" s="136">
        <f t="shared" si="52"/>
        <v>0</v>
      </c>
      <c r="AT296" s="136">
        <f t="shared" si="52"/>
        <v>0</v>
      </c>
      <c r="AU296" s="136">
        <f t="shared" si="52"/>
        <v>0</v>
      </c>
      <c r="AV296" s="136">
        <f t="shared" si="52"/>
        <v>0</v>
      </c>
      <c r="AW296" s="136">
        <f t="shared" si="52"/>
        <v>0</v>
      </c>
      <c r="AX296" s="136">
        <f t="shared" si="52"/>
        <v>0</v>
      </c>
      <c r="AY296" s="136">
        <f t="shared" si="52"/>
        <v>0</v>
      </c>
      <c r="AZ296" s="136">
        <f t="shared" si="52"/>
        <v>0</v>
      </c>
      <c r="BA296" s="136">
        <f t="shared" si="52"/>
        <v>0</v>
      </c>
      <c r="BB296" s="136">
        <f t="shared" si="52"/>
        <v>0</v>
      </c>
      <c r="BC296" s="136">
        <f t="shared" si="52"/>
        <v>0</v>
      </c>
      <c r="BD296" s="136">
        <f t="shared" si="52"/>
        <v>0</v>
      </c>
      <c r="BE296" s="136">
        <f t="shared" si="52"/>
        <v>0</v>
      </c>
      <c r="BF296" s="136">
        <f t="shared" si="52"/>
        <v>0</v>
      </c>
      <c r="BG296" s="136">
        <f t="shared" si="52"/>
        <v>0</v>
      </c>
      <c r="BH296" s="136">
        <f t="shared" si="59"/>
        <v>0</v>
      </c>
      <c r="BI296" s="136">
        <f t="shared" si="59"/>
        <v>0</v>
      </c>
      <c r="BJ296" s="136">
        <f t="shared" si="59"/>
        <v>0</v>
      </c>
      <c r="BK296" s="136">
        <f t="shared" si="59"/>
        <v>0</v>
      </c>
      <c r="BL296" s="136">
        <f t="shared" si="59"/>
        <v>0</v>
      </c>
      <c r="BM296" s="136">
        <f t="shared" si="59"/>
        <v>0</v>
      </c>
      <c r="BN296" s="136">
        <f t="shared" si="56"/>
        <v>0</v>
      </c>
      <c r="BO296" s="136">
        <f t="shared" si="56"/>
        <v>0</v>
      </c>
      <c r="BU296" s="136">
        <f t="shared" si="54"/>
        <v>0</v>
      </c>
      <c r="BV296" s="136">
        <f t="shared" si="54"/>
        <v>0</v>
      </c>
      <c r="BW296" s="136">
        <f t="shared" si="54"/>
        <v>0</v>
      </c>
      <c r="BX296" s="136">
        <f t="shared" si="54"/>
        <v>0</v>
      </c>
      <c r="BZ296" s="136">
        <f t="shared" si="55"/>
        <v>0</v>
      </c>
      <c r="CA296" s="136">
        <f t="shared" si="55"/>
        <v>0</v>
      </c>
    </row>
    <row r="297" spans="12:79" hidden="1" x14ac:dyDescent="0.3">
      <c r="L297" s="136">
        <f t="shared" si="58"/>
        <v>0</v>
      </c>
      <c r="M297" s="136">
        <f t="shared" si="58"/>
        <v>0</v>
      </c>
      <c r="N297" s="136">
        <f t="shared" si="58"/>
        <v>0</v>
      </c>
      <c r="O297" s="136">
        <f t="shared" si="58"/>
        <v>0</v>
      </c>
      <c r="P297" s="136">
        <f t="shared" si="58"/>
        <v>0</v>
      </c>
      <c r="Q297" s="136">
        <f t="shared" si="58"/>
        <v>0</v>
      </c>
      <c r="R297" s="136">
        <f t="shared" si="58"/>
        <v>0</v>
      </c>
      <c r="S297" s="136">
        <f t="shared" si="58"/>
        <v>0</v>
      </c>
      <c r="T297" s="136">
        <f t="shared" si="58"/>
        <v>0</v>
      </c>
      <c r="U297" s="136">
        <f t="shared" si="58"/>
        <v>0</v>
      </c>
      <c r="V297" s="136">
        <f t="shared" si="58"/>
        <v>0</v>
      </c>
      <c r="W297" s="136">
        <f t="shared" si="58"/>
        <v>0</v>
      </c>
      <c r="X297" s="136">
        <f t="shared" si="58"/>
        <v>0</v>
      </c>
      <c r="Y297" s="136">
        <f t="shared" si="58"/>
        <v>0</v>
      </c>
      <c r="Z297" s="136">
        <f t="shared" si="58"/>
        <v>0</v>
      </c>
      <c r="AA297" s="136">
        <f t="shared" si="57"/>
        <v>0</v>
      </c>
      <c r="AB297" s="136">
        <f t="shared" si="53"/>
        <v>0</v>
      </c>
      <c r="AC297" s="136">
        <f t="shared" si="53"/>
        <v>0</v>
      </c>
      <c r="AD297" s="136">
        <f t="shared" si="53"/>
        <v>0</v>
      </c>
      <c r="AE297" s="136">
        <f t="shared" si="53"/>
        <v>0</v>
      </c>
      <c r="AF297" s="136">
        <f t="shared" si="53"/>
        <v>0</v>
      </c>
      <c r="AG297" s="136">
        <f t="shared" si="53"/>
        <v>0</v>
      </c>
      <c r="AH297" s="136">
        <f t="shared" si="53"/>
        <v>0</v>
      </c>
      <c r="AI297" s="136">
        <f t="shared" si="53"/>
        <v>0</v>
      </c>
      <c r="AJ297" s="136">
        <f t="shared" si="53"/>
        <v>0</v>
      </c>
      <c r="AK297" s="136">
        <f t="shared" si="53"/>
        <v>0</v>
      </c>
      <c r="AL297" s="136">
        <f t="shared" si="53"/>
        <v>0</v>
      </c>
      <c r="AM297" s="136">
        <f t="shared" si="53"/>
        <v>0</v>
      </c>
      <c r="AN297" s="136">
        <f t="shared" si="53"/>
        <v>0</v>
      </c>
      <c r="AO297" s="136">
        <f t="shared" si="53"/>
        <v>0</v>
      </c>
      <c r="AP297" s="136">
        <f t="shared" si="53"/>
        <v>0</v>
      </c>
      <c r="AQ297" s="136">
        <f t="shared" si="53"/>
        <v>0</v>
      </c>
      <c r="AR297" s="136">
        <f t="shared" si="52"/>
        <v>0</v>
      </c>
      <c r="AS297" s="136">
        <f t="shared" si="52"/>
        <v>0</v>
      </c>
      <c r="AT297" s="136">
        <f t="shared" si="52"/>
        <v>0</v>
      </c>
      <c r="AU297" s="136">
        <f t="shared" si="52"/>
        <v>0</v>
      </c>
      <c r="AV297" s="136">
        <f t="shared" si="52"/>
        <v>0</v>
      </c>
      <c r="AW297" s="136">
        <f t="shared" si="52"/>
        <v>0</v>
      </c>
      <c r="AX297" s="136">
        <f t="shared" si="52"/>
        <v>0</v>
      </c>
      <c r="AY297" s="136">
        <f t="shared" si="52"/>
        <v>0</v>
      </c>
      <c r="AZ297" s="136">
        <f t="shared" si="52"/>
        <v>0</v>
      </c>
      <c r="BA297" s="136">
        <f t="shared" si="52"/>
        <v>0</v>
      </c>
      <c r="BB297" s="136">
        <f t="shared" si="52"/>
        <v>0</v>
      </c>
      <c r="BC297" s="136">
        <f t="shared" si="52"/>
        <v>0</v>
      </c>
      <c r="BD297" s="136">
        <f t="shared" si="52"/>
        <v>0</v>
      </c>
      <c r="BE297" s="136">
        <f t="shared" si="52"/>
        <v>0</v>
      </c>
      <c r="BF297" s="136">
        <f t="shared" si="52"/>
        <v>0</v>
      </c>
      <c r="BG297" s="136">
        <f t="shared" si="52"/>
        <v>0</v>
      </c>
      <c r="BH297" s="136">
        <f t="shared" si="59"/>
        <v>0</v>
      </c>
      <c r="BI297" s="136">
        <f t="shared" si="59"/>
        <v>0</v>
      </c>
      <c r="BJ297" s="136">
        <f t="shared" si="59"/>
        <v>0</v>
      </c>
      <c r="BK297" s="136">
        <f t="shared" si="59"/>
        <v>0</v>
      </c>
      <c r="BL297" s="136">
        <f t="shared" si="59"/>
        <v>0</v>
      </c>
      <c r="BM297" s="136">
        <f t="shared" si="59"/>
        <v>0</v>
      </c>
      <c r="BN297" s="136">
        <f t="shared" si="56"/>
        <v>0</v>
      </c>
      <c r="BO297" s="136">
        <f t="shared" si="56"/>
        <v>0</v>
      </c>
      <c r="BU297" s="136">
        <f t="shared" si="54"/>
        <v>0</v>
      </c>
      <c r="BV297" s="136">
        <f t="shared" si="54"/>
        <v>0</v>
      </c>
      <c r="BW297" s="136">
        <f t="shared" si="54"/>
        <v>0</v>
      </c>
      <c r="BX297" s="136">
        <f t="shared" si="54"/>
        <v>0</v>
      </c>
      <c r="BZ297" s="136">
        <f t="shared" si="55"/>
        <v>0</v>
      </c>
      <c r="CA297" s="136">
        <f t="shared" si="55"/>
        <v>0</v>
      </c>
    </row>
    <row r="298" spans="12:79" hidden="1" x14ac:dyDescent="0.3">
      <c r="L298" s="136">
        <f t="shared" si="58"/>
        <v>0</v>
      </c>
      <c r="M298" s="136">
        <f t="shared" si="58"/>
        <v>0</v>
      </c>
      <c r="N298" s="136">
        <f t="shared" si="58"/>
        <v>0</v>
      </c>
      <c r="O298" s="136">
        <f t="shared" si="58"/>
        <v>0</v>
      </c>
      <c r="P298" s="136">
        <f t="shared" si="58"/>
        <v>0</v>
      </c>
      <c r="Q298" s="136">
        <f t="shared" si="58"/>
        <v>0</v>
      </c>
      <c r="R298" s="136">
        <f t="shared" si="58"/>
        <v>0</v>
      </c>
      <c r="S298" s="136">
        <f t="shared" si="58"/>
        <v>0</v>
      </c>
      <c r="T298" s="136">
        <f t="shared" si="58"/>
        <v>0</v>
      </c>
      <c r="U298" s="136">
        <f t="shared" si="58"/>
        <v>0</v>
      </c>
      <c r="V298" s="136">
        <f t="shared" si="58"/>
        <v>0</v>
      </c>
      <c r="W298" s="136">
        <f t="shared" si="58"/>
        <v>0</v>
      </c>
      <c r="X298" s="136">
        <f t="shared" si="58"/>
        <v>0</v>
      </c>
      <c r="Y298" s="136">
        <f t="shared" si="58"/>
        <v>0</v>
      </c>
      <c r="Z298" s="136">
        <f t="shared" si="58"/>
        <v>0</v>
      </c>
      <c r="AA298" s="136">
        <f t="shared" si="57"/>
        <v>0</v>
      </c>
      <c r="AB298" s="136">
        <f t="shared" si="53"/>
        <v>0</v>
      </c>
      <c r="AC298" s="136">
        <f t="shared" si="53"/>
        <v>0</v>
      </c>
      <c r="AD298" s="136">
        <f t="shared" si="53"/>
        <v>0</v>
      </c>
      <c r="AE298" s="136">
        <f t="shared" si="53"/>
        <v>0</v>
      </c>
      <c r="AF298" s="136">
        <f t="shared" si="53"/>
        <v>0</v>
      </c>
      <c r="AG298" s="136">
        <f t="shared" si="53"/>
        <v>0</v>
      </c>
      <c r="AH298" s="136">
        <f t="shared" si="53"/>
        <v>0</v>
      </c>
      <c r="AI298" s="136">
        <f t="shared" si="53"/>
        <v>0</v>
      </c>
      <c r="AJ298" s="136">
        <f t="shared" si="53"/>
        <v>0</v>
      </c>
      <c r="AK298" s="136">
        <f t="shared" si="53"/>
        <v>-3912780</v>
      </c>
      <c r="AL298" s="136">
        <f t="shared" si="53"/>
        <v>0</v>
      </c>
      <c r="AM298" s="136">
        <f t="shared" si="53"/>
        <v>0</v>
      </c>
      <c r="AN298" s="136">
        <f t="shared" si="53"/>
        <v>0</v>
      </c>
      <c r="AO298" s="136">
        <f t="shared" si="53"/>
        <v>0</v>
      </c>
      <c r="AP298" s="136">
        <f t="shared" si="53"/>
        <v>0</v>
      </c>
      <c r="AQ298" s="136">
        <f t="shared" si="53"/>
        <v>0</v>
      </c>
      <c r="AR298" s="136">
        <f t="shared" si="52"/>
        <v>0</v>
      </c>
      <c r="AS298" s="136">
        <f t="shared" si="52"/>
        <v>0</v>
      </c>
      <c r="AT298" s="136">
        <f t="shared" si="52"/>
        <v>0</v>
      </c>
      <c r="AU298" s="136">
        <f t="shared" si="52"/>
        <v>0</v>
      </c>
      <c r="AV298" s="136">
        <f t="shared" si="52"/>
        <v>0</v>
      </c>
      <c r="AW298" s="136">
        <f t="shared" si="52"/>
        <v>0</v>
      </c>
      <c r="AX298" s="136">
        <f t="shared" si="52"/>
        <v>0</v>
      </c>
      <c r="AY298" s="136">
        <f t="shared" si="52"/>
        <v>0</v>
      </c>
      <c r="AZ298" s="136">
        <f t="shared" si="52"/>
        <v>0</v>
      </c>
      <c r="BA298" s="136">
        <f t="shared" si="52"/>
        <v>0</v>
      </c>
      <c r="BB298" s="136">
        <f t="shared" si="52"/>
        <v>0</v>
      </c>
      <c r="BC298" s="136">
        <f t="shared" si="52"/>
        <v>0</v>
      </c>
      <c r="BD298" s="136">
        <f t="shared" si="52"/>
        <v>0</v>
      </c>
      <c r="BE298" s="136">
        <f t="shared" si="52"/>
        <v>0</v>
      </c>
      <c r="BF298" s="136">
        <f t="shared" si="52"/>
        <v>0</v>
      </c>
      <c r="BG298" s="136">
        <f t="shared" si="52"/>
        <v>0</v>
      </c>
      <c r="BH298" s="136">
        <f t="shared" si="59"/>
        <v>0</v>
      </c>
      <c r="BI298" s="136">
        <f t="shared" si="59"/>
        <v>0</v>
      </c>
      <c r="BJ298" s="136">
        <f t="shared" si="59"/>
        <v>0</v>
      </c>
      <c r="BK298" s="136">
        <f t="shared" si="59"/>
        <v>0</v>
      </c>
      <c r="BL298" s="136">
        <f t="shared" si="59"/>
        <v>0</v>
      </c>
      <c r="BM298" s="136">
        <f t="shared" si="59"/>
        <v>0</v>
      </c>
      <c r="BN298" s="136">
        <f t="shared" si="56"/>
        <v>0</v>
      </c>
      <c r="BO298" s="136">
        <f t="shared" si="56"/>
        <v>0</v>
      </c>
      <c r="BU298" s="136">
        <f t="shared" si="54"/>
        <v>0</v>
      </c>
      <c r="BV298" s="136">
        <f t="shared" si="54"/>
        <v>0</v>
      </c>
      <c r="BW298" s="136">
        <f t="shared" si="54"/>
        <v>0</v>
      </c>
      <c r="BX298" s="136">
        <f t="shared" si="54"/>
        <v>0</v>
      </c>
      <c r="BZ298" s="136">
        <f t="shared" si="55"/>
        <v>0</v>
      </c>
      <c r="CA298" s="136">
        <f t="shared" si="55"/>
        <v>0</v>
      </c>
    </row>
    <row r="299" spans="12:79" hidden="1" x14ac:dyDescent="0.3">
      <c r="L299" s="136">
        <f t="shared" si="58"/>
        <v>0</v>
      </c>
      <c r="M299" s="136">
        <f t="shared" si="58"/>
        <v>0</v>
      </c>
      <c r="N299" s="136">
        <f t="shared" si="58"/>
        <v>0</v>
      </c>
      <c r="O299" s="136">
        <f t="shared" si="58"/>
        <v>0</v>
      </c>
      <c r="P299" s="136">
        <f t="shared" si="58"/>
        <v>0</v>
      </c>
      <c r="Q299" s="136">
        <f t="shared" si="58"/>
        <v>0</v>
      </c>
      <c r="R299" s="136">
        <f t="shared" si="58"/>
        <v>0</v>
      </c>
      <c r="S299" s="136">
        <f t="shared" si="58"/>
        <v>0</v>
      </c>
      <c r="T299" s="136">
        <f t="shared" si="58"/>
        <v>0</v>
      </c>
      <c r="U299" s="136">
        <f t="shared" si="58"/>
        <v>0</v>
      </c>
      <c r="V299" s="136">
        <f t="shared" si="58"/>
        <v>0</v>
      </c>
      <c r="W299" s="136">
        <f t="shared" si="58"/>
        <v>0</v>
      </c>
      <c r="X299" s="136">
        <f t="shared" si="58"/>
        <v>0</v>
      </c>
      <c r="Y299" s="136">
        <f t="shared" si="58"/>
        <v>0</v>
      </c>
      <c r="Z299" s="136">
        <f t="shared" si="58"/>
        <v>0</v>
      </c>
      <c r="AA299" s="136">
        <f t="shared" si="57"/>
        <v>0</v>
      </c>
      <c r="AB299" s="136">
        <f t="shared" si="53"/>
        <v>0</v>
      </c>
      <c r="AC299" s="136">
        <f t="shared" si="53"/>
        <v>0</v>
      </c>
      <c r="AD299" s="136">
        <f t="shared" si="53"/>
        <v>0</v>
      </c>
      <c r="AE299" s="136">
        <f t="shared" si="53"/>
        <v>0</v>
      </c>
      <c r="AF299" s="136">
        <f t="shared" si="53"/>
        <v>0</v>
      </c>
      <c r="AG299" s="136">
        <f t="shared" si="53"/>
        <v>0</v>
      </c>
      <c r="AH299" s="136">
        <f t="shared" si="53"/>
        <v>0</v>
      </c>
      <c r="AI299" s="136">
        <f t="shared" si="53"/>
        <v>0</v>
      </c>
      <c r="AJ299" s="136">
        <f t="shared" si="53"/>
        <v>0</v>
      </c>
      <c r="AK299" s="136">
        <f t="shared" si="53"/>
        <v>-1993488</v>
      </c>
      <c r="AL299" s="136">
        <f t="shared" si="53"/>
        <v>0</v>
      </c>
      <c r="AM299" s="136">
        <f t="shared" si="53"/>
        <v>0</v>
      </c>
      <c r="AN299" s="136">
        <f t="shared" si="53"/>
        <v>0</v>
      </c>
      <c r="AO299" s="136">
        <f t="shared" si="53"/>
        <v>0</v>
      </c>
      <c r="AP299" s="136">
        <f t="shared" si="53"/>
        <v>0</v>
      </c>
      <c r="AQ299" s="136">
        <f t="shared" si="53"/>
        <v>0</v>
      </c>
      <c r="AR299" s="136">
        <f t="shared" si="52"/>
        <v>0</v>
      </c>
      <c r="AS299" s="136">
        <f t="shared" si="52"/>
        <v>0</v>
      </c>
      <c r="AT299" s="136">
        <f t="shared" si="52"/>
        <v>0</v>
      </c>
      <c r="AU299" s="136">
        <f t="shared" si="52"/>
        <v>0</v>
      </c>
      <c r="AV299" s="136">
        <f t="shared" si="52"/>
        <v>0</v>
      </c>
      <c r="AW299" s="136">
        <f t="shared" si="52"/>
        <v>0</v>
      </c>
      <c r="AX299" s="136">
        <f t="shared" si="52"/>
        <v>0</v>
      </c>
      <c r="AY299" s="136">
        <f t="shared" si="52"/>
        <v>0</v>
      </c>
      <c r="AZ299" s="136">
        <f t="shared" si="52"/>
        <v>0</v>
      </c>
      <c r="BA299" s="136">
        <f t="shared" si="52"/>
        <v>0</v>
      </c>
      <c r="BB299" s="136">
        <f t="shared" si="52"/>
        <v>0</v>
      </c>
      <c r="BC299" s="136">
        <f t="shared" si="52"/>
        <v>0</v>
      </c>
      <c r="BD299" s="136">
        <f t="shared" si="52"/>
        <v>0</v>
      </c>
      <c r="BE299" s="136">
        <f t="shared" si="52"/>
        <v>0</v>
      </c>
      <c r="BF299" s="136">
        <f t="shared" si="52"/>
        <v>0</v>
      </c>
      <c r="BG299" s="136">
        <f t="shared" si="52"/>
        <v>0</v>
      </c>
      <c r="BH299" s="136">
        <f t="shared" si="59"/>
        <v>0</v>
      </c>
      <c r="BI299" s="136">
        <f t="shared" si="59"/>
        <v>0</v>
      </c>
      <c r="BJ299" s="136">
        <f t="shared" si="59"/>
        <v>0</v>
      </c>
      <c r="BK299" s="136">
        <f t="shared" si="59"/>
        <v>0</v>
      </c>
      <c r="BL299" s="136">
        <f t="shared" si="59"/>
        <v>0</v>
      </c>
      <c r="BM299" s="136">
        <f t="shared" si="59"/>
        <v>0</v>
      </c>
      <c r="BN299" s="136">
        <f t="shared" si="56"/>
        <v>0</v>
      </c>
      <c r="BO299" s="136">
        <f t="shared" si="56"/>
        <v>0</v>
      </c>
      <c r="BU299" s="136">
        <f t="shared" si="54"/>
        <v>0</v>
      </c>
      <c r="BV299" s="136">
        <f t="shared" si="54"/>
        <v>0</v>
      </c>
      <c r="BW299" s="136">
        <f t="shared" si="54"/>
        <v>0</v>
      </c>
      <c r="BX299" s="136">
        <f t="shared" si="54"/>
        <v>0</v>
      </c>
      <c r="BZ299" s="136">
        <f t="shared" si="55"/>
        <v>0</v>
      </c>
      <c r="CA299" s="136">
        <f t="shared" si="55"/>
        <v>0</v>
      </c>
    </row>
    <row r="300" spans="12:79" hidden="1" x14ac:dyDescent="0.3">
      <c r="L300" s="136">
        <f t="shared" si="58"/>
        <v>0</v>
      </c>
      <c r="M300" s="136">
        <f t="shared" si="58"/>
        <v>0</v>
      </c>
      <c r="N300" s="136">
        <f t="shared" si="58"/>
        <v>0</v>
      </c>
      <c r="O300" s="136">
        <f t="shared" si="58"/>
        <v>0</v>
      </c>
      <c r="P300" s="136">
        <f t="shared" si="58"/>
        <v>0</v>
      </c>
      <c r="Q300" s="136">
        <f t="shared" si="58"/>
        <v>0</v>
      </c>
      <c r="R300" s="136">
        <f t="shared" si="58"/>
        <v>0</v>
      </c>
      <c r="S300" s="136">
        <f t="shared" si="58"/>
        <v>0</v>
      </c>
      <c r="T300" s="136">
        <f t="shared" si="58"/>
        <v>0</v>
      </c>
      <c r="U300" s="136">
        <f t="shared" si="58"/>
        <v>0</v>
      </c>
      <c r="V300" s="136">
        <f t="shared" si="58"/>
        <v>0</v>
      </c>
      <c r="W300" s="136">
        <f t="shared" si="58"/>
        <v>0</v>
      </c>
      <c r="X300" s="136">
        <f t="shared" si="58"/>
        <v>0</v>
      </c>
      <c r="Y300" s="136">
        <f t="shared" si="58"/>
        <v>0</v>
      </c>
      <c r="Z300" s="136">
        <f t="shared" si="58"/>
        <v>0</v>
      </c>
      <c r="AA300" s="136">
        <f t="shared" si="57"/>
        <v>0</v>
      </c>
      <c r="AB300" s="136">
        <f t="shared" si="53"/>
        <v>0</v>
      </c>
      <c r="AC300" s="136">
        <f t="shared" si="53"/>
        <v>0</v>
      </c>
      <c r="AD300" s="136">
        <f t="shared" si="53"/>
        <v>0</v>
      </c>
      <c r="AE300" s="136">
        <f t="shared" si="53"/>
        <v>0</v>
      </c>
      <c r="AF300" s="136">
        <f t="shared" si="53"/>
        <v>0</v>
      </c>
      <c r="AG300" s="136">
        <f t="shared" si="53"/>
        <v>0</v>
      </c>
      <c r="AH300" s="136">
        <f t="shared" si="53"/>
        <v>0</v>
      </c>
      <c r="AI300" s="136">
        <f t="shared" si="53"/>
        <v>0</v>
      </c>
      <c r="AJ300" s="136">
        <f t="shared" si="53"/>
        <v>0</v>
      </c>
      <c r="AK300" s="136">
        <f t="shared" si="53"/>
        <v>-1919292</v>
      </c>
      <c r="AL300" s="136">
        <f t="shared" si="53"/>
        <v>0</v>
      </c>
      <c r="AM300" s="136">
        <f t="shared" si="53"/>
        <v>0</v>
      </c>
      <c r="AN300" s="136">
        <f t="shared" si="53"/>
        <v>0</v>
      </c>
      <c r="AO300" s="136">
        <f t="shared" si="53"/>
        <v>0</v>
      </c>
      <c r="AP300" s="136">
        <f t="shared" si="53"/>
        <v>0</v>
      </c>
      <c r="AQ300" s="136">
        <f t="shared" ref="AQ300:BG314" si="60">AQ127-DI127</f>
        <v>0</v>
      </c>
      <c r="AR300" s="136">
        <f t="shared" si="60"/>
        <v>0</v>
      </c>
      <c r="AS300" s="136">
        <f t="shared" si="60"/>
        <v>0</v>
      </c>
      <c r="AT300" s="136">
        <f t="shared" si="60"/>
        <v>0</v>
      </c>
      <c r="AU300" s="136">
        <f t="shared" si="60"/>
        <v>0</v>
      </c>
      <c r="AV300" s="136">
        <f t="shared" si="60"/>
        <v>0</v>
      </c>
      <c r="AW300" s="136">
        <f t="shared" si="60"/>
        <v>0</v>
      </c>
      <c r="AX300" s="136">
        <f t="shared" si="60"/>
        <v>0</v>
      </c>
      <c r="AY300" s="136">
        <f t="shared" si="60"/>
        <v>0</v>
      </c>
      <c r="AZ300" s="136">
        <f t="shared" si="60"/>
        <v>0</v>
      </c>
      <c r="BA300" s="136">
        <f t="shared" si="60"/>
        <v>0</v>
      </c>
      <c r="BB300" s="136">
        <f t="shared" si="60"/>
        <v>0</v>
      </c>
      <c r="BC300" s="136">
        <f t="shared" si="60"/>
        <v>0</v>
      </c>
      <c r="BD300" s="136">
        <f t="shared" si="60"/>
        <v>0</v>
      </c>
      <c r="BE300" s="136">
        <f t="shared" si="60"/>
        <v>0</v>
      </c>
      <c r="BF300" s="136">
        <f t="shared" si="60"/>
        <v>0</v>
      </c>
      <c r="BG300" s="136">
        <f t="shared" si="60"/>
        <v>0</v>
      </c>
      <c r="BH300" s="136">
        <f t="shared" si="59"/>
        <v>0</v>
      </c>
      <c r="BI300" s="136">
        <f t="shared" si="59"/>
        <v>0</v>
      </c>
      <c r="BJ300" s="136">
        <f t="shared" si="59"/>
        <v>0</v>
      </c>
      <c r="BK300" s="136">
        <f t="shared" si="59"/>
        <v>0</v>
      </c>
      <c r="BL300" s="136">
        <f t="shared" si="59"/>
        <v>0</v>
      </c>
      <c r="BM300" s="136">
        <f t="shared" si="59"/>
        <v>0</v>
      </c>
      <c r="BN300" s="136">
        <f t="shared" si="56"/>
        <v>0</v>
      </c>
      <c r="BO300" s="136">
        <f t="shared" si="56"/>
        <v>0</v>
      </c>
      <c r="BU300" s="136">
        <f t="shared" si="54"/>
        <v>0</v>
      </c>
      <c r="BV300" s="136">
        <f t="shared" si="54"/>
        <v>0</v>
      </c>
      <c r="BW300" s="136">
        <f t="shared" si="54"/>
        <v>0</v>
      </c>
      <c r="BX300" s="136">
        <f t="shared" si="54"/>
        <v>0</v>
      </c>
      <c r="BZ300" s="136">
        <f t="shared" si="55"/>
        <v>0</v>
      </c>
      <c r="CA300" s="136">
        <f t="shared" si="55"/>
        <v>0</v>
      </c>
    </row>
    <row r="301" spans="12:79" hidden="1" x14ac:dyDescent="0.3">
      <c r="L301" s="136">
        <f t="shared" si="58"/>
        <v>0</v>
      </c>
      <c r="M301" s="136">
        <f t="shared" si="58"/>
        <v>0</v>
      </c>
      <c r="N301" s="136">
        <f t="shared" si="58"/>
        <v>0</v>
      </c>
      <c r="O301" s="136">
        <f t="shared" si="58"/>
        <v>0</v>
      </c>
      <c r="P301" s="136">
        <f t="shared" si="58"/>
        <v>0</v>
      </c>
      <c r="Q301" s="136">
        <f t="shared" si="58"/>
        <v>0</v>
      </c>
      <c r="R301" s="136">
        <f t="shared" si="58"/>
        <v>0</v>
      </c>
      <c r="S301" s="136">
        <f t="shared" si="58"/>
        <v>0</v>
      </c>
      <c r="T301" s="136">
        <f t="shared" si="58"/>
        <v>0</v>
      </c>
      <c r="U301" s="136">
        <f t="shared" si="58"/>
        <v>0</v>
      </c>
      <c r="V301" s="136">
        <f t="shared" si="58"/>
        <v>0</v>
      </c>
      <c r="W301" s="136">
        <f t="shared" si="58"/>
        <v>0</v>
      </c>
      <c r="X301" s="136">
        <f t="shared" si="58"/>
        <v>0</v>
      </c>
      <c r="Y301" s="136">
        <f t="shared" si="58"/>
        <v>0</v>
      </c>
      <c r="Z301" s="136">
        <f t="shared" si="58"/>
        <v>0</v>
      </c>
      <c r="AA301" s="136">
        <f t="shared" si="57"/>
        <v>0</v>
      </c>
      <c r="AB301" s="136">
        <f t="shared" si="57"/>
        <v>0</v>
      </c>
      <c r="AC301" s="136">
        <f t="shared" si="57"/>
        <v>0</v>
      </c>
      <c r="AD301" s="136">
        <f t="shared" si="57"/>
        <v>0</v>
      </c>
      <c r="AE301" s="136">
        <f t="shared" si="57"/>
        <v>0</v>
      </c>
      <c r="AF301" s="136">
        <f t="shared" si="57"/>
        <v>0</v>
      </c>
      <c r="AG301" s="136">
        <f t="shared" si="57"/>
        <v>0</v>
      </c>
      <c r="AH301" s="136">
        <f t="shared" si="57"/>
        <v>0</v>
      </c>
      <c r="AI301" s="136">
        <f t="shared" si="57"/>
        <v>0</v>
      </c>
      <c r="AJ301" s="136">
        <f t="shared" si="57"/>
        <v>0</v>
      </c>
      <c r="AK301" s="136">
        <f t="shared" si="57"/>
        <v>0</v>
      </c>
      <c r="AL301" s="136">
        <f t="shared" si="57"/>
        <v>0</v>
      </c>
      <c r="AM301" s="136">
        <f t="shared" si="57"/>
        <v>0</v>
      </c>
      <c r="AN301" s="136">
        <f t="shared" si="57"/>
        <v>0</v>
      </c>
      <c r="AO301" s="136">
        <f t="shared" si="57"/>
        <v>0</v>
      </c>
      <c r="AP301" s="136">
        <f t="shared" si="57"/>
        <v>0</v>
      </c>
      <c r="AQ301" s="136">
        <f t="shared" si="60"/>
        <v>0</v>
      </c>
      <c r="AR301" s="136">
        <f t="shared" si="60"/>
        <v>0</v>
      </c>
      <c r="AS301" s="136">
        <f t="shared" si="60"/>
        <v>0</v>
      </c>
      <c r="AT301" s="136">
        <f t="shared" si="60"/>
        <v>0</v>
      </c>
      <c r="AU301" s="136">
        <f t="shared" si="60"/>
        <v>0</v>
      </c>
      <c r="AV301" s="136">
        <f t="shared" si="60"/>
        <v>0</v>
      </c>
      <c r="AW301" s="136">
        <f t="shared" si="60"/>
        <v>0</v>
      </c>
      <c r="AX301" s="136">
        <f t="shared" si="60"/>
        <v>0</v>
      </c>
      <c r="AY301" s="136">
        <f t="shared" si="60"/>
        <v>0</v>
      </c>
      <c r="AZ301" s="136">
        <f t="shared" si="60"/>
        <v>0</v>
      </c>
      <c r="BA301" s="136">
        <f t="shared" si="60"/>
        <v>0</v>
      </c>
      <c r="BB301" s="136">
        <f t="shared" si="60"/>
        <v>0</v>
      </c>
      <c r="BC301" s="136">
        <f t="shared" si="60"/>
        <v>0</v>
      </c>
      <c r="BD301" s="136">
        <f t="shared" si="60"/>
        <v>0</v>
      </c>
      <c r="BE301" s="136">
        <f t="shared" si="60"/>
        <v>0</v>
      </c>
      <c r="BF301" s="136">
        <f t="shared" si="60"/>
        <v>0</v>
      </c>
      <c r="BG301" s="136">
        <f t="shared" si="60"/>
        <v>0</v>
      </c>
      <c r="BH301" s="136">
        <f t="shared" si="59"/>
        <v>0</v>
      </c>
      <c r="BI301" s="136">
        <f t="shared" si="59"/>
        <v>0</v>
      </c>
      <c r="BJ301" s="136">
        <f t="shared" si="59"/>
        <v>0</v>
      </c>
      <c r="BK301" s="136">
        <f t="shared" si="59"/>
        <v>0</v>
      </c>
      <c r="BL301" s="136">
        <f t="shared" si="59"/>
        <v>0</v>
      </c>
      <c r="BM301" s="136">
        <f t="shared" si="59"/>
        <v>0</v>
      </c>
      <c r="BN301" s="136">
        <f t="shared" si="56"/>
        <v>0</v>
      </c>
      <c r="BO301" s="136">
        <f t="shared" si="56"/>
        <v>0</v>
      </c>
      <c r="BU301" s="136">
        <f t="shared" ref="BU301:BX316" si="61">BU136-EM136</f>
        <v>0</v>
      </c>
      <c r="BV301" s="136">
        <f t="shared" si="61"/>
        <v>0</v>
      </c>
      <c r="BW301" s="136">
        <f t="shared" si="61"/>
        <v>0</v>
      </c>
      <c r="BX301" s="136">
        <f t="shared" si="61"/>
        <v>0</v>
      </c>
      <c r="BZ301" s="136">
        <f t="shared" ref="BZ301:CA316" si="62">BZ136-ER136</f>
        <v>0</v>
      </c>
      <c r="CA301" s="136">
        <f t="shared" si="62"/>
        <v>0</v>
      </c>
    </row>
    <row r="302" spans="12:79" hidden="1" x14ac:dyDescent="0.3">
      <c r="L302" s="136">
        <f t="shared" si="58"/>
        <v>0</v>
      </c>
      <c r="M302" s="136">
        <f t="shared" si="58"/>
        <v>0</v>
      </c>
      <c r="N302" s="136">
        <f t="shared" si="58"/>
        <v>0</v>
      </c>
      <c r="O302" s="136">
        <f t="shared" si="58"/>
        <v>0</v>
      </c>
      <c r="P302" s="136">
        <f t="shared" si="58"/>
        <v>0</v>
      </c>
      <c r="Q302" s="136">
        <f t="shared" si="58"/>
        <v>15761600</v>
      </c>
      <c r="R302" s="136">
        <f t="shared" si="58"/>
        <v>0</v>
      </c>
      <c r="S302" s="136">
        <f t="shared" si="58"/>
        <v>0</v>
      </c>
      <c r="T302" s="136">
        <f t="shared" si="58"/>
        <v>0</v>
      </c>
      <c r="U302" s="136">
        <f t="shared" si="58"/>
        <v>0</v>
      </c>
      <c r="V302" s="136">
        <f t="shared" si="58"/>
        <v>0</v>
      </c>
      <c r="W302" s="136">
        <f t="shared" si="58"/>
        <v>0</v>
      </c>
      <c r="X302" s="136">
        <f t="shared" si="58"/>
        <v>0</v>
      </c>
      <c r="Y302" s="136">
        <f t="shared" si="58"/>
        <v>0</v>
      </c>
      <c r="Z302" s="136">
        <f t="shared" si="58"/>
        <v>0</v>
      </c>
      <c r="AA302" s="136">
        <f t="shared" si="57"/>
        <v>0</v>
      </c>
      <c r="AB302" s="136">
        <f t="shared" si="57"/>
        <v>0</v>
      </c>
      <c r="AC302" s="136">
        <f t="shared" si="57"/>
        <v>0</v>
      </c>
      <c r="AD302" s="136">
        <f t="shared" si="57"/>
        <v>0</v>
      </c>
      <c r="AE302" s="136">
        <f t="shared" si="57"/>
        <v>0</v>
      </c>
      <c r="AF302" s="136">
        <f t="shared" si="57"/>
        <v>0</v>
      </c>
      <c r="AG302" s="136">
        <f t="shared" si="57"/>
        <v>0</v>
      </c>
      <c r="AH302" s="136">
        <f t="shared" si="57"/>
        <v>0</v>
      </c>
      <c r="AI302" s="136">
        <f t="shared" si="57"/>
        <v>0</v>
      </c>
      <c r="AJ302" s="136">
        <f t="shared" si="57"/>
        <v>0</v>
      </c>
      <c r="AK302" s="136">
        <f t="shared" si="57"/>
        <v>0</v>
      </c>
      <c r="AL302" s="136">
        <f t="shared" si="57"/>
        <v>0</v>
      </c>
      <c r="AM302" s="136">
        <f t="shared" si="57"/>
        <v>0</v>
      </c>
      <c r="AN302" s="136">
        <f t="shared" si="57"/>
        <v>0</v>
      </c>
      <c r="AO302" s="136">
        <f t="shared" si="57"/>
        <v>0</v>
      </c>
      <c r="AP302" s="136">
        <f t="shared" si="57"/>
        <v>0</v>
      </c>
      <c r="AQ302" s="136">
        <f t="shared" si="60"/>
        <v>0</v>
      </c>
      <c r="AR302" s="136">
        <f t="shared" si="60"/>
        <v>0</v>
      </c>
      <c r="AS302" s="136">
        <f t="shared" si="60"/>
        <v>0</v>
      </c>
      <c r="AT302" s="136">
        <f t="shared" si="60"/>
        <v>0</v>
      </c>
      <c r="AU302" s="136">
        <f t="shared" si="60"/>
        <v>0</v>
      </c>
      <c r="AV302" s="136">
        <f t="shared" si="60"/>
        <v>0</v>
      </c>
      <c r="AW302" s="136">
        <f t="shared" si="60"/>
        <v>0</v>
      </c>
      <c r="AX302" s="136">
        <f t="shared" si="60"/>
        <v>0</v>
      </c>
      <c r="AY302" s="136">
        <f t="shared" si="60"/>
        <v>0</v>
      </c>
      <c r="AZ302" s="136">
        <f t="shared" si="60"/>
        <v>0</v>
      </c>
      <c r="BA302" s="136">
        <f t="shared" si="60"/>
        <v>0</v>
      </c>
      <c r="BB302" s="136">
        <f t="shared" si="60"/>
        <v>0</v>
      </c>
      <c r="BC302" s="136">
        <f t="shared" si="60"/>
        <v>0</v>
      </c>
      <c r="BD302" s="136">
        <f t="shared" si="60"/>
        <v>0</v>
      </c>
      <c r="BE302" s="136">
        <f t="shared" si="60"/>
        <v>0</v>
      </c>
      <c r="BF302" s="136">
        <f t="shared" si="60"/>
        <v>0</v>
      </c>
      <c r="BG302" s="136">
        <f t="shared" si="60"/>
        <v>0</v>
      </c>
      <c r="BH302" s="136">
        <f t="shared" si="59"/>
        <v>0</v>
      </c>
      <c r="BI302" s="136">
        <f t="shared" si="59"/>
        <v>0</v>
      </c>
      <c r="BJ302" s="136">
        <f t="shared" si="59"/>
        <v>0</v>
      </c>
      <c r="BK302" s="136">
        <f t="shared" si="59"/>
        <v>0</v>
      </c>
      <c r="BL302" s="136">
        <f t="shared" si="59"/>
        <v>0</v>
      </c>
      <c r="BM302" s="136">
        <f t="shared" si="59"/>
        <v>0</v>
      </c>
      <c r="BN302" s="136">
        <f t="shared" si="56"/>
        <v>0</v>
      </c>
      <c r="BO302" s="136">
        <f t="shared" si="56"/>
        <v>0</v>
      </c>
      <c r="BU302" s="136">
        <f t="shared" si="61"/>
        <v>0</v>
      </c>
      <c r="BV302" s="136">
        <f t="shared" si="61"/>
        <v>0</v>
      </c>
      <c r="BW302" s="136">
        <f t="shared" si="61"/>
        <v>0</v>
      </c>
      <c r="BX302" s="136">
        <f t="shared" si="61"/>
        <v>0</v>
      </c>
      <c r="BZ302" s="136">
        <f t="shared" si="62"/>
        <v>0</v>
      </c>
      <c r="CA302" s="136">
        <f t="shared" si="62"/>
        <v>0</v>
      </c>
    </row>
    <row r="303" spans="12:79" hidden="1" x14ac:dyDescent="0.3">
      <c r="L303" s="136">
        <f t="shared" si="58"/>
        <v>0</v>
      </c>
      <c r="M303" s="136">
        <f t="shared" si="58"/>
        <v>0</v>
      </c>
      <c r="N303" s="136">
        <f t="shared" si="58"/>
        <v>0</v>
      </c>
      <c r="O303" s="136">
        <f t="shared" si="58"/>
        <v>0</v>
      </c>
      <c r="P303" s="136">
        <f t="shared" si="58"/>
        <v>0</v>
      </c>
      <c r="Q303" s="136">
        <f t="shared" si="58"/>
        <v>7115000</v>
      </c>
      <c r="R303" s="136">
        <f t="shared" si="58"/>
        <v>0</v>
      </c>
      <c r="S303" s="136">
        <f t="shared" si="58"/>
        <v>0</v>
      </c>
      <c r="T303" s="136">
        <f t="shared" si="58"/>
        <v>0</v>
      </c>
      <c r="U303" s="136">
        <f t="shared" si="58"/>
        <v>0</v>
      </c>
      <c r="V303" s="136">
        <f t="shared" si="58"/>
        <v>0</v>
      </c>
      <c r="W303" s="136">
        <f t="shared" si="58"/>
        <v>0</v>
      </c>
      <c r="X303" s="136">
        <f t="shared" si="58"/>
        <v>0</v>
      </c>
      <c r="Y303" s="136">
        <f t="shared" si="58"/>
        <v>0</v>
      </c>
      <c r="Z303" s="136">
        <f t="shared" si="58"/>
        <v>0</v>
      </c>
      <c r="AA303" s="136">
        <f t="shared" si="57"/>
        <v>0</v>
      </c>
      <c r="AB303" s="136">
        <f t="shared" si="57"/>
        <v>0</v>
      </c>
      <c r="AC303" s="136">
        <f t="shared" si="57"/>
        <v>0</v>
      </c>
      <c r="AD303" s="136">
        <f t="shared" si="57"/>
        <v>0</v>
      </c>
      <c r="AE303" s="136">
        <f t="shared" si="57"/>
        <v>0</v>
      </c>
      <c r="AF303" s="136">
        <f t="shared" si="57"/>
        <v>0</v>
      </c>
      <c r="AG303" s="136">
        <f t="shared" si="57"/>
        <v>0</v>
      </c>
      <c r="AH303" s="136">
        <f t="shared" si="57"/>
        <v>0</v>
      </c>
      <c r="AI303" s="136">
        <f t="shared" si="57"/>
        <v>0</v>
      </c>
      <c r="AJ303" s="136">
        <f t="shared" si="57"/>
        <v>0</v>
      </c>
      <c r="AK303" s="136">
        <f t="shared" si="57"/>
        <v>0</v>
      </c>
      <c r="AL303" s="136">
        <f t="shared" si="57"/>
        <v>0</v>
      </c>
      <c r="AM303" s="136">
        <f t="shared" si="57"/>
        <v>0</v>
      </c>
      <c r="AN303" s="136">
        <f t="shared" si="57"/>
        <v>0</v>
      </c>
      <c r="AO303" s="136">
        <f t="shared" si="57"/>
        <v>0</v>
      </c>
      <c r="AP303" s="136">
        <f t="shared" si="57"/>
        <v>0</v>
      </c>
      <c r="AQ303" s="136">
        <f t="shared" si="60"/>
        <v>0</v>
      </c>
      <c r="AR303" s="136">
        <f t="shared" si="60"/>
        <v>0</v>
      </c>
      <c r="AS303" s="136">
        <f t="shared" si="60"/>
        <v>0</v>
      </c>
      <c r="AT303" s="136">
        <f t="shared" si="60"/>
        <v>0</v>
      </c>
      <c r="AU303" s="136">
        <f t="shared" si="60"/>
        <v>0</v>
      </c>
      <c r="AV303" s="136">
        <f t="shared" si="60"/>
        <v>0</v>
      </c>
      <c r="AW303" s="136">
        <f t="shared" si="60"/>
        <v>0</v>
      </c>
      <c r="AX303" s="136">
        <f t="shared" si="60"/>
        <v>0</v>
      </c>
      <c r="AY303" s="136">
        <f t="shared" si="60"/>
        <v>0</v>
      </c>
      <c r="AZ303" s="136">
        <f t="shared" si="60"/>
        <v>0</v>
      </c>
      <c r="BA303" s="136">
        <f t="shared" si="60"/>
        <v>0</v>
      </c>
      <c r="BB303" s="136">
        <f t="shared" si="60"/>
        <v>0</v>
      </c>
      <c r="BC303" s="136">
        <f t="shared" si="60"/>
        <v>0</v>
      </c>
      <c r="BD303" s="136">
        <f t="shared" si="60"/>
        <v>0</v>
      </c>
      <c r="BE303" s="136">
        <f t="shared" si="60"/>
        <v>0</v>
      </c>
      <c r="BF303" s="136">
        <f t="shared" si="60"/>
        <v>0</v>
      </c>
      <c r="BG303" s="136">
        <f t="shared" si="60"/>
        <v>0</v>
      </c>
      <c r="BH303" s="136">
        <f t="shared" si="59"/>
        <v>0</v>
      </c>
      <c r="BI303" s="136">
        <f t="shared" si="59"/>
        <v>0</v>
      </c>
      <c r="BJ303" s="136">
        <f t="shared" si="59"/>
        <v>0</v>
      </c>
      <c r="BK303" s="136">
        <f t="shared" si="59"/>
        <v>0</v>
      </c>
      <c r="BL303" s="136">
        <f t="shared" si="59"/>
        <v>0</v>
      </c>
      <c r="BM303" s="136">
        <f t="shared" si="59"/>
        <v>0</v>
      </c>
      <c r="BN303" s="136">
        <f t="shared" si="56"/>
        <v>0</v>
      </c>
      <c r="BO303" s="136">
        <f t="shared" si="56"/>
        <v>0</v>
      </c>
      <c r="BU303" s="136">
        <f t="shared" si="61"/>
        <v>0</v>
      </c>
      <c r="BV303" s="136">
        <f t="shared" si="61"/>
        <v>0</v>
      </c>
      <c r="BW303" s="136">
        <f t="shared" si="61"/>
        <v>0</v>
      </c>
      <c r="BX303" s="136">
        <f t="shared" si="61"/>
        <v>0</v>
      </c>
      <c r="BZ303" s="136">
        <f t="shared" si="62"/>
        <v>0</v>
      </c>
      <c r="CA303" s="136">
        <f t="shared" si="62"/>
        <v>0</v>
      </c>
    </row>
    <row r="304" spans="12:79" hidden="1" x14ac:dyDescent="0.3">
      <c r="L304" s="136">
        <f t="shared" si="58"/>
        <v>0</v>
      </c>
      <c r="M304" s="136">
        <f t="shared" si="58"/>
        <v>0</v>
      </c>
      <c r="N304" s="136">
        <f t="shared" si="58"/>
        <v>0</v>
      </c>
      <c r="O304" s="136">
        <f t="shared" si="58"/>
        <v>0</v>
      </c>
      <c r="P304" s="136">
        <f t="shared" si="58"/>
        <v>0</v>
      </c>
      <c r="Q304" s="136">
        <f t="shared" si="58"/>
        <v>8646600</v>
      </c>
      <c r="R304" s="136">
        <f t="shared" si="58"/>
        <v>0</v>
      </c>
      <c r="S304" s="136">
        <f t="shared" si="58"/>
        <v>0</v>
      </c>
      <c r="T304" s="136">
        <f t="shared" si="58"/>
        <v>0</v>
      </c>
      <c r="U304" s="136">
        <f t="shared" si="58"/>
        <v>0</v>
      </c>
      <c r="V304" s="136">
        <f t="shared" si="58"/>
        <v>0</v>
      </c>
      <c r="W304" s="136">
        <f t="shared" si="58"/>
        <v>0</v>
      </c>
      <c r="X304" s="136">
        <f t="shared" si="58"/>
        <v>0</v>
      </c>
      <c r="Y304" s="136">
        <f t="shared" si="58"/>
        <v>0</v>
      </c>
      <c r="Z304" s="136">
        <f t="shared" si="58"/>
        <v>0</v>
      </c>
      <c r="AA304" s="136">
        <f t="shared" si="57"/>
        <v>0</v>
      </c>
      <c r="AB304" s="136">
        <f t="shared" si="57"/>
        <v>0</v>
      </c>
      <c r="AC304" s="136">
        <f t="shared" si="57"/>
        <v>0</v>
      </c>
      <c r="AD304" s="136">
        <f t="shared" si="57"/>
        <v>0</v>
      </c>
      <c r="AE304" s="136">
        <f t="shared" si="57"/>
        <v>0</v>
      </c>
      <c r="AF304" s="136">
        <f t="shared" si="57"/>
        <v>0</v>
      </c>
      <c r="AG304" s="136">
        <f t="shared" si="57"/>
        <v>0</v>
      </c>
      <c r="AH304" s="136">
        <f t="shared" si="57"/>
        <v>0</v>
      </c>
      <c r="AI304" s="136">
        <f t="shared" si="57"/>
        <v>0</v>
      </c>
      <c r="AJ304" s="136">
        <f t="shared" si="57"/>
        <v>0</v>
      </c>
      <c r="AK304" s="136">
        <f t="shared" si="57"/>
        <v>0</v>
      </c>
      <c r="AL304" s="136">
        <f t="shared" si="57"/>
        <v>0</v>
      </c>
      <c r="AM304" s="136">
        <f t="shared" si="57"/>
        <v>0</v>
      </c>
      <c r="AN304" s="136">
        <f t="shared" si="57"/>
        <v>0</v>
      </c>
      <c r="AO304" s="136">
        <f t="shared" si="57"/>
        <v>0</v>
      </c>
      <c r="AP304" s="136">
        <f t="shared" si="57"/>
        <v>0</v>
      </c>
      <c r="AQ304" s="136">
        <f t="shared" si="60"/>
        <v>0</v>
      </c>
      <c r="AR304" s="136">
        <f t="shared" si="60"/>
        <v>0</v>
      </c>
      <c r="AS304" s="136">
        <f t="shared" si="60"/>
        <v>0</v>
      </c>
      <c r="AT304" s="136">
        <f t="shared" si="60"/>
        <v>0</v>
      </c>
      <c r="AU304" s="136">
        <f t="shared" si="60"/>
        <v>0</v>
      </c>
      <c r="AV304" s="136">
        <f t="shared" si="60"/>
        <v>0</v>
      </c>
      <c r="AW304" s="136">
        <f t="shared" si="60"/>
        <v>0</v>
      </c>
      <c r="AX304" s="136">
        <f t="shared" si="60"/>
        <v>0</v>
      </c>
      <c r="AY304" s="136">
        <f t="shared" si="60"/>
        <v>0</v>
      </c>
      <c r="AZ304" s="136">
        <f t="shared" si="60"/>
        <v>0</v>
      </c>
      <c r="BA304" s="136">
        <f t="shared" si="60"/>
        <v>0</v>
      </c>
      <c r="BB304" s="136">
        <f t="shared" si="60"/>
        <v>0</v>
      </c>
      <c r="BC304" s="136">
        <f t="shared" si="60"/>
        <v>0</v>
      </c>
      <c r="BD304" s="136">
        <f t="shared" si="60"/>
        <v>0</v>
      </c>
      <c r="BE304" s="136">
        <f t="shared" si="60"/>
        <v>0</v>
      </c>
      <c r="BF304" s="136">
        <f t="shared" si="60"/>
        <v>0</v>
      </c>
      <c r="BG304" s="136">
        <f t="shared" si="60"/>
        <v>0</v>
      </c>
      <c r="BH304" s="136">
        <f t="shared" si="59"/>
        <v>0</v>
      </c>
      <c r="BI304" s="136">
        <f t="shared" si="59"/>
        <v>0</v>
      </c>
      <c r="BJ304" s="136">
        <f t="shared" si="59"/>
        <v>0</v>
      </c>
      <c r="BK304" s="136">
        <f t="shared" si="59"/>
        <v>0</v>
      </c>
      <c r="BL304" s="136">
        <f t="shared" si="59"/>
        <v>0</v>
      </c>
      <c r="BM304" s="136">
        <f t="shared" si="59"/>
        <v>0</v>
      </c>
      <c r="BN304" s="136">
        <f t="shared" si="59"/>
        <v>0</v>
      </c>
      <c r="BO304" s="136">
        <f t="shared" si="59"/>
        <v>0</v>
      </c>
      <c r="BU304" s="136">
        <f t="shared" si="61"/>
        <v>0</v>
      </c>
      <c r="BV304" s="136">
        <f t="shared" si="61"/>
        <v>0</v>
      </c>
      <c r="BW304" s="136">
        <f t="shared" si="61"/>
        <v>0</v>
      </c>
      <c r="BX304" s="136">
        <f t="shared" si="61"/>
        <v>0</v>
      </c>
      <c r="BZ304" s="136">
        <f t="shared" si="62"/>
        <v>0</v>
      </c>
      <c r="CA304" s="136">
        <f t="shared" si="62"/>
        <v>0</v>
      </c>
    </row>
    <row r="305" spans="12:79" hidden="1" x14ac:dyDescent="0.3">
      <c r="L305" s="136">
        <f t="shared" si="58"/>
        <v>0</v>
      </c>
      <c r="M305" s="136">
        <f t="shared" si="58"/>
        <v>0</v>
      </c>
      <c r="N305" s="136">
        <f t="shared" si="58"/>
        <v>0</v>
      </c>
      <c r="O305" s="136">
        <f t="shared" si="58"/>
        <v>0</v>
      </c>
      <c r="P305" s="136">
        <f t="shared" si="58"/>
        <v>0</v>
      </c>
      <c r="Q305" s="136">
        <f t="shared" si="58"/>
        <v>0</v>
      </c>
      <c r="R305" s="136">
        <f t="shared" si="58"/>
        <v>0</v>
      </c>
      <c r="S305" s="136">
        <f t="shared" si="58"/>
        <v>0</v>
      </c>
      <c r="T305" s="136">
        <f t="shared" si="58"/>
        <v>0</v>
      </c>
      <c r="U305" s="136">
        <f t="shared" si="58"/>
        <v>0</v>
      </c>
      <c r="V305" s="136">
        <f t="shared" si="58"/>
        <v>0</v>
      </c>
      <c r="W305" s="136">
        <f t="shared" si="58"/>
        <v>0</v>
      </c>
      <c r="X305" s="136">
        <f t="shared" si="58"/>
        <v>0</v>
      </c>
      <c r="Y305" s="136">
        <f t="shared" si="58"/>
        <v>0</v>
      </c>
      <c r="Z305" s="136">
        <f t="shared" si="58"/>
        <v>0</v>
      </c>
      <c r="AA305" s="136">
        <f t="shared" si="57"/>
        <v>0</v>
      </c>
      <c r="AB305" s="136">
        <f t="shared" si="57"/>
        <v>0</v>
      </c>
      <c r="AC305" s="136">
        <f t="shared" si="57"/>
        <v>0</v>
      </c>
      <c r="AD305" s="136">
        <f t="shared" si="57"/>
        <v>0</v>
      </c>
      <c r="AE305" s="136">
        <f t="shared" si="57"/>
        <v>0</v>
      </c>
      <c r="AF305" s="136">
        <f t="shared" si="57"/>
        <v>0</v>
      </c>
      <c r="AG305" s="136">
        <f t="shared" si="57"/>
        <v>0</v>
      </c>
      <c r="AH305" s="136">
        <f t="shared" si="57"/>
        <v>0</v>
      </c>
      <c r="AI305" s="136">
        <f t="shared" si="57"/>
        <v>0</v>
      </c>
      <c r="AJ305" s="136">
        <f t="shared" si="57"/>
        <v>0</v>
      </c>
      <c r="AK305" s="136">
        <f t="shared" si="57"/>
        <v>0</v>
      </c>
      <c r="AL305" s="136">
        <f t="shared" si="57"/>
        <v>0</v>
      </c>
      <c r="AM305" s="136">
        <f t="shared" si="57"/>
        <v>0</v>
      </c>
      <c r="AN305" s="136">
        <f t="shared" si="57"/>
        <v>0</v>
      </c>
      <c r="AO305" s="136">
        <f t="shared" si="57"/>
        <v>0</v>
      </c>
      <c r="AP305" s="136">
        <f t="shared" si="57"/>
        <v>0</v>
      </c>
      <c r="AQ305" s="136">
        <f t="shared" si="60"/>
        <v>0</v>
      </c>
      <c r="AR305" s="136">
        <f t="shared" si="60"/>
        <v>0</v>
      </c>
      <c r="AS305" s="136">
        <f t="shared" si="60"/>
        <v>0</v>
      </c>
      <c r="AT305" s="136">
        <f t="shared" si="60"/>
        <v>0</v>
      </c>
      <c r="AU305" s="136">
        <f t="shared" si="60"/>
        <v>0</v>
      </c>
      <c r="AV305" s="136">
        <f t="shared" si="60"/>
        <v>0</v>
      </c>
      <c r="AW305" s="136">
        <f t="shared" si="60"/>
        <v>0</v>
      </c>
      <c r="AX305" s="136">
        <f t="shared" si="60"/>
        <v>0</v>
      </c>
      <c r="AY305" s="136">
        <f t="shared" si="60"/>
        <v>0</v>
      </c>
      <c r="AZ305" s="136">
        <f t="shared" si="60"/>
        <v>0</v>
      </c>
      <c r="BA305" s="136">
        <f t="shared" si="60"/>
        <v>0</v>
      </c>
      <c r="BB305" s="136">
        <f t="shared" si="60"/>
        <v>0</v>
      </c>
      <c r="BC305" s="136">
        <f t="shared" si="60"/>
        <v>0</v>
      </c>
      <c r="BD305" s="136">
        <f t="shared" si="60"/>
        <v>0</v>
      </c>
      <c r="BE305" s="136">
        <f t="shared" si="60"/>
        <v>0</v>
      </c>
      <c r="BF305" s="136">
        <f t="shared" si="60"/>
        <v>0</v>
      </c>
      <c r="BG305" s="136">
        <f t="shared" si="60"/>
        <v>0</v>
      </c>
      <c r="BH305" s="136">
        <f t="shared" si="59"/>
        <v>0</v>
      </c>
      <c r="BI305" s="136">
        <f t="shared" si="59"/>
        <v>0</v>
      </c>
      <c r="BJ305" s="136">
        <f t="shared" si="59"/>
        <v>0</v>
      </c>
      <c r="BK305" s="136">
        <f t="shared" si="59"/>
        <v>0</v>
      </c>
      <c r="BL305" s="136">
        <f t="shared" si="59"/>
        <v>0</v>
      </c>
      <c r="BM305" s="136">
        <f t="shared" si="59"/>
        <v>0</v>
      </c>
      <c r="BN305" s="136">
        <f t="shared" si="59"/>
        <v>0</v>
      </c>
      <c r="BO305" s="136">
        <f t="shared" si="59"/>
        <v>0</v>
      </c>
      <c r="BU305" s="136">
        <f t="shared" si="61"/>
        <v>0</v>
      </c>
      <c r="BV305" s="136">
        <f t="shared" si="61"/>
        <v>0</v>
      </c>
      <c r="BW305" s="136">
        <f t="shared" si="61"/>
        <v>0</v>
      </c>
      <c r="BX305" s="136">
        <f t="shared" si="61"/>
        <v>0</v>
      </c>
      <c r="BZ305" s="136">
        <f t="shared" si="62"/>
        <v>0</v>
      </c>
      <c r="CA305" s="136">
        <f t="shared" si="62"/>
        <v>0</v>
      </c>
    </row>
    <row r="306" spans="12:79" hidden="1" x14ac:dyDescent="0.3">
      <c r="L306" s="136">
        <f t="shared" si="58"/>
        <v>0</v>
      </c>
      <c r="M306" s="136">
        <f t="shared" si="58"/>
        <v>0</v>
      </c>
      <c r="N306" s="136">
        <f t="shared" si="58"/>
        <v>0</v>
      </c>
      <c r="O306" s="136">
        <f t="shared" si="58"/>
        <v>0</v>
      </c>
      <c r="P306" s="136">
        <f t="shared" si="58"/>
        <v>0</v>
      </c>
      <c r="Q306" s="136">
        <f t="shared" si="58"/>
        <v>0</v>
      </c>
      <c r="R306" s="136">
        <f t="shared" si="58"/>
        <v>0</v>
      </c>
      <c r="S306" s="136">
        <f t="shared" si="58"/>
        <v>0</v>
      </c>
      <c r="T306" s="136">
        <f t="shared" si="58"/>
        <v>0</v>
      </c>
      <c r="U306" s="136">
        <f t="shared" si="58"/>
        <v>0</v>
      </c>
      <c r="V306" s="136">
        <f t="shared" si="58"/>
        <v>0</v>
      </c>
      <c r="W306" s="136">
        <f t="shared" si="58"/>
        <v>0</v>
      </c>
      <c r="X306" s="136">
        <f t="shared" si="58"/>
        <v>0</v>
      </c>
      <c r="Y306" s="136">
        <f t="shared" si="58"/>
        <v>0</v>
      </c>
      <c r="Z306" s="136">
        <f t="shared" si="58"/>
        <v>0</v>
      </c>
      <c r="AA306" s="136">
        <f t="shared" si="58"/>
        <v>0</v>
      </c>
      <c r="AB306" s="136">
        <f t="shared" ref="AB306:AQ321" si="63">AB133-CT133</f>
        <v>0</v>
      </c>
      <c r="AC306" s="136">
        <f t="shared" si="63"/>
        <v>0</v>
      </c>
      <c r="AD306" s="136">
        <f t="shared" si="63"/>
        <v>0</v>
      </c>
      <c r="AE306" s="136">
        <f t="shared" si="63"/>
        <v>0</v>
      </c>
      <c r="AF306" s="136">
        <f t="shared" si="63"/>
        <v>0</v>
      </c>
      <c r="AG306" s="136">
        <f t="shared" si="63"/>
        <v>0</v>
      </c>
      <c r="AH306" s="136">
        <f t="shared" si="63"/>
        <v>0</v>
      </c>
      <c r="AI306" s="136">
        <f t="shared" si="63"/>
        <v>0</v>
      </c>
      <c r="AJ306" s="136">
        <f t="shared" si="63"/>
        <v>0</v>
      </c>
      <c r="AK306" s="136">
        <f t="shared" si="63"/>
        <v>0</v>
      </c>
      <c r="AL306" s="136">
        <f t="shared" si="63"/>
        <v>0</v>
      </c>
      <c r="AM306" s="136">
        <f t="shared" si="63"/>
        <v>0</v>
      </c>
      <c r="AN306" s="136">
        <f t="shared" si="63"/>
        <v>0</v>
      </c>
      <c r="AO306" s="136">
        <f t="shared" si="63"/>
        <v>0</v>
      </c>
      <c r="AP306" s="136">
        <f t="shared" si="63"/>
        <v>0</v>
      </c>
      <c r="AQ306" s="136">
        <f t="shared" si="60"/>
        <v>0</v>
      </c>
      <c r="AR306" s="136">
        <f t="shared" si="60"/>
        <v>0</v>
      </c>
      <c r="AS306" s="136">
        <f t="shared" si="60"/>
        <v>0</v>
      </c>
      <c r="AT306" s="136">
        <f t="shared" si="60"/>
        <v>0</v>
      </c>
      <c r="AU306" s="136">
        <f t="shared" si="60"/>
        <v>0</v>
      </c>
      <c r="AV306" s="136">
        <f t="shared" si="60"/>
        <v>0</v>
      </c>
      <c r="AW306" s="136">
        <f t="shared" si="60"/>
        <v>0</v>
      </c>
      <c r="AX306" s="136">
        <f t="shared" si="60"/>
        <v>0</v>
      </c>
      <c r="AY306" s="136">
        <f t="shared" si="60"/>
        <v>0</v>
      </c>
      <c r="AZ306" s="136">
        <f t="shared" si="60"/>
        <v>0</v>
      </c>
      <c r="BA306" s="136">
        <f t="shared" si="60"/>
        <v>0</v>
      </c>
      <c r="BB306" s="136">
        <f t="shared" si="60"/>
        <v>0</v>
      </c>
      <c r="BC306" s="136">
        <f t="shared" si="60"/>
        <v>0</v>
      </c>
      <c r="BD306" s="136">
        <f t="shared" si="60"/>
        <v>0</v>
      </c>
      <c r="BE306" s="136">
        <f t="shared" si="60"/>
        <v>0</v>
      </c>
      <c r="BF306" s="136">
        <f t="shared" si="60"/>
        <v>0</v>
      </c>
      <c r="BG306" s="136">
        <f t="shared" si="60"/>
        <v>0</v>
      </c>
      <c r="BH306" s="136">
        <f t="shared" si="59"/>
        <v>0</v>
      </c>
      <c r="BI306" s="136">
        <f t="shared" si="59"/>
        <v>0</v>
      </c>
      <c r="BJ306" s="136">
        <f t="shared" si="59"/>
        <v>0</v>
      </c>
      <c r="BK306" s="136">
        <f t="shared" si="59"/>
        <v>0</v>
      </c>
      <c r="BL306" s="136">
        <f t="shared" si="59"/>
        <v>0</v>
      </c>
      <c r="BM306" s="136">
        <f t="shared" si="59"/>
        <v>0</v>
      </c>
      <c r="BN306" s="136">
        <f t="shared" si="59"/>
        <v>0</v>
      </c>
      <c r="BO306" s="136">
        <f t="shared" si="59"/>
        <v>0</v>
      </c>
      <c r="BU306" s="136">
        <f t="shared" si="61"/>
        <v>0</v>
      </c>
      <c r="BV306" s="136">
        <f t="shared" si="61"/>
        <v>0</v>
      </c>
      <c r="BW306" s="136">
        <f t="shared" si="61"/>
        <v>0</v>
      </c>
      <c r="BX306" s="136">
        <f t="shared" si="61"/>
        <v>0</v>
      </c>
      <c r="BZ306" s="136">
        <f t="shared" si="62"/>
        <v>0</v>
      </c>
      <c r="CA306" s="136">
        <f t="shared" si="62"/>
        <v>0</v>
      </c>
    </row>
    <row r="307" spans="12:79" hidden="1" x14ac:dyDescent="0.3">
      <c r="L307" s="136">
        <f t="shared" ref="L307:AA322" si="64">L134-CD134</f>
        <v>0</v>
      </c>
      <c r="M307" s="136">
        <f t="shared" si="64"/>
        <v>0</v>
      </c>
      <c r="N307" s="136">
        <f t="shared" si="64"/>
        <v>0</v>
      </c>
      <c r="O307" s="136">
        <f t="shared" si="64"/>
        <v>0</v>
      </c>
      <c r="P307" s="136">
        <f t="shared" si="64"/>
        <v>0</v>
      </c>
      <c r="Q307" s="136">
        <f t="shared" si="64"/>
        <v>0</v>
      </c>
      <c r="R307" s="136">
        <f t="shared" si="64"/>
        <v>0</v>
      </c>
      <c r="S307" s="136">
        <f t="shared" si="64"/>
        <v>0</v>
      </c>
      <c r="T307" s="136">
        <f t="shared" si="64"/>
        <v>0</v>
      </c>
      <c r="U307" s="136">
        <f t="shared" si="64"/>
        <v>0</v>
      </c>
      <c r="V307" s="136">
        <f t="shared" si="64"/>
        <v>0</v>
      </c>
      <c r="W307" s="136">
        <f t="shared" si="64"/>
        <v>0</v>
      </c>
      <c r="X307" s="136">
        <f t="shared" si="64"/>
        <v>0</v>
      </c>
      <c r="Y307" s="136">
        <f t="shared" si="64"/>
        <v>0</v>
      </c>
      <c r="Z307" s="136">
        <f t="shared" si="64"/>
        <v>0</v>
      </c>
      <c r="AA307" s="136">
        <f t="shared" si="64"/>
        <v>0</v>
      </c>
      <c r="AB307" s="136">
        <f t="shared" si="63"/>
        <v>0</v>
      </c>
      <c r="AC307" s="136">
        <f t="shared" si="63"/>
        <v>0</v>
      </c>
      <c r="AD307" s="136">
        <f t="shared" si="63"/>
        <v>0</v>
      </c>
      <c r="AE307" s="136">
        <f t="shared" si="63"/>
        <v>0</v>
      </c>
      <c r="AF307" s="136">
        <f t="shared" si="63"/>
        <v>0</v>
      </c>
      <c r="AG307" s="136">
        <f t="shared" si="63"/>
        <v>0</v>
      </c>
      <c r="AH307" s="136">
        <f t="shared" si="63"/>
        <v>0</v>
      </c>
      <c r="AI307" s="136">
        <f t="shared" si="63"/>
        <v>0</v>
      </c>
      <c r="AJ307" s="136">
        <f t="shared" si="63"/>
        <v>0</v>
      </c>
      <c r="AK307" s="136">
        <f t="shared" si="63"/>
        <v>0</v>
      </c>
      <c r="AL307" s="136">
        <f t="shared" si="63"/>
        <v>0</v>
      </c>
      <c r="AM307" s="136">
        <f t="shared" si="63"/>
        <v>0</v>
      </c>
      <c r="AN307" s="136">
        <f t="shared" si="63"/>
        <v>0</v>
      </c>
      <c r="AO307" s="136">
        <f t="shared" si="63"/>
        <v>0</v>
      </c>
      <c r="AP307" s="136">
        <f t="shared" si="63"/>
        <v>0</v>
      </c>
      <c r="AQ307" s="136">
        <f t="shared" si="60"/>
        <v>0</v>
      </c>
      <c r="AR307" s="136">
        <f t="shared" si="60"/>
        <v>0</v>
      </c>
      <c r="AS307" s="136">
        <f t="shared" si="60"/>
        <v>0</v>
      </c>
      <c r="AT307" s="136">
        <f t="shared" si="60"/>
        <v>0</v>
      </c>
      <c r="AU307" s="136">
        <f t="shared" si="60"/>
        <v>0</v>
      </c>
      <c r="AV307" s="136">
        <f t="shared" si="60"/>
        <v>0</v>
      </c>
      <c r="AW307" s="136">
        <f t="shared" si="60"/>
        <v>0</v>
      </c>
      <c r="AX307" s="136">
        <f t="shared" si="60"/>
        <v>0</v>
      </c>
      <c r="AY307" s="136">
        <f t="shared" si="60"/>
        <v>0</v>
      </c>
      <c r="AZ307" s="136">
        <f t="shared" si="60"/>
        <v>0</v>
      </c>
      <c r="BA307" s="136">
        <f t="shared" si="60"/>
        <v>0</v>
      </c>
      <c r="BB307" s="136">
        <f t="shared" si="60"/>
        <v>0</v>
      </c>
      <c r="BC307" s="136">
        <f t="shared" si="60"/>
        <v>0</v>
      </c>
      <c r="BD307" s="136">
        <f t="shared" si="60"/>
        <v>0</v>
      </c>
      <c r="BE307" s="136">
        <f t="shared" si="60"/>
        <v>0</v>
      </c>
      <c r="BF307" s="136">
        <f t="shared" si="60"/>
        <v>0</v>
      </c>
      <c r="BG307" s="136">
        <f t="shared" si="60"/>
        <v>0</v>
      </c>
      <c r="BH307" s="136">
        <f t="shared" si="59"/>
        <v>0</v>
      </c>
      <c r="BI307" s="136">
        <f t="shared" si="59"/>
        <v>0</v>
      </c>
      <c r="BJ307" s="136">
        <f t="shared" si="59"/>
        <v>0</v>
      </c>
      <c r="BK307" s="136">
        <f t="shared" si="59"/>
        <v>0</v>
      </c>
      <c r="BL307" s="136">
        <f t="shared" si="59"/>
        <v>0</v>
      </c>
      <c r="BM307" s="136">
        <f t="shared" si="59"/>
        <v>0</v>
      </c>
      <c r="BN307" s="136">
        <f t="shared" si="59"/>
        <v>0</v>
      </c>
      <c r="BO307" s="136">
        <f t="shared" si="59"/>
        <v>0</v>
      </c>
      <c r="BU307" s="136">
        <f t="shared" si="61"/>
        <v>0</v>
      </c>
      <c r="BV307" s="136">
        <f t="shared" si="61"/>
        <v>0</v>
      </c>
      <c r="BW307" s="136">
        <f t="shared" si="61"/>
        <v>0</v>
      </c>
      <c r="BX307" s="136">
        <f t="shared" si="61"/>
        <v>0</v>
      </c>
      <c r="BZ307" s="136">
        <f t="shared" si="62"/>
        <v>0</v>
      </c>
      <c r="CA307" s="136">
        <f t="shared" si="62"/>
        <v>0</v>
      </c>
    </row>
    <row r="308" spans="12:79" hidden="1" x14ac:dyDescent="0.3">
      <c r="L308" s="136">
        <f t="shared" si="64"/>
        <v>0</v>
      </c>
      <c r="M308" s="136">
        <f t="shared" si="64"/>
        <v>0</v>
      </c>
      <c r="N308" s="136">
        <f t="shared" si="64"/>
        <v>0</v>
      </c>
      <c r="O308" s="136">
        <f t="shared" si="64"/>
        <v>0</v>
      </c>
      <c r="P308" s="136">
        <f t="shared" si="64"/>
        <v>0</v>
      </c>
      <c r="Q308" s="136">
        <f t="shared" si="64"/>
        <v>0</v>
      </c>
      <c r="R308" s="136">
        <f t="shared" si="64"/>
        <v>0</v>
      </c>
      <c r="S308" s="136">
        <f t="shared" si="64"/>
        <v>0</v>
      </c>
      <c r="T308" s="136">
        <f t="shared" si="64"/>
        <v>0</v>
      </c>
      <c r="U308" s="136">
        <f t="shared" si="64"/>
        <v>0</v>
      </c>
      <c r="V308" s="136">
        <f t="shared" si="64"/>
        <v>0</v>
      </c>
      <c r="W308" s="136">
        <f t="shared" si="64"/>
        <v>0</v>
      </c>
      <c r="X308" s="136">
        <f t="shared" si="64"/>
        <v>0</v>
      </c>
      <c r="Y308" s="136">
        <f t="shared" si="64"/>
        <v>0</v>
      </c>
      <c r="Z308" s="136">
        <f t="shared" si="64"/>
        <v>0</v>
      </c>
      <c r="AA308" s="136">
        <f t="shared" si="64"/>
        <v>0</v>
      </c>
      <c r="AB308" s="136">
        <f t="shared" si="63"/>
        <v>0</v>
      </c>
      <c r="AC308" s="136">
        <f t="shared" si="63"/>
        <v>0</v>
      </c>
      <c r="AD308" s="136">
        <f t="shared" si="63"/>
        <v>0</v>
      </c>
      <c r="AE308" s="136">
        <f t="shared" si="63"/>
        <v>0</v>
      </c>
      <c r="AF308" s="136">
        <f t="shared" si="63"/>
        <v>0</v>
      </c>
      <c r="AG308" s="136">
        <f t="shared" si="63"/>
        <v>0</v>
      </c>
      <c r="AH308" s="136">
        <f t="shared" si="63"/>
        <v>0</v>
      </c>
      <c r="AI308" s="136">
        <f t="shared" si="63"/>
        <v>0</v>
      </c>
      <c r="AJ308" s="136">
        <f t="shared" si="63"/>
        <v>0</v>
      </c>
      <c r="AK308" s="136">
        <f t="shared" si="63"/>
        <v>0</v>
      </c>
      <c r="AL308" s="136">
        <f t="shared" si="63"/>
        <v>0</v>
      </c>
      <c r="AM308" s="136">
        <f t="shared" si="63"/>
        <v>0</v>
      </c>
      <c r="AN308" s="136">
        <f t="shared" si="63"/>
        <v>0</v>
      </c>
      <c r="AO308" s="136">
        <f t="shared" si="63"/>
        <v>0</v>
      </c>
      <c r="AP308" s="136">
        <f t="shared" si="63"/>
        <v>0</v>
      </c>
      <c r="AQ308" s="136">
        <f t="shared" si="60"/>
        <v>0</v>
      </c>
      <c r="AR308" s="136">
        <f t="shared" si="60"/>
        <v>0</v>
      </c>
      <c r="AS308" s="136">
        <f t="shared" si="60"/>
        <v>0</v>
      </c>
      <c r="AT308" s="136">
        <f t="shared" si="60"/>
        <v>0</v>
      </c>
      <c r="AU308" s="136">
        <f t="shared" si="60"/>
        <v>0</v>
      </c>
      <c r="AV308" s="136">
        <f t="shared" si="60"/>
        <v>0</v>
      </c>
      <c r="AW308" s="136">
        <f t="shared" si="60"/>
        <v>0</v>
      </c>
      <c r="AX308" s="136">
        <f t="shared" si="60"/>
        <v>0</v>
      </c>
      <c r="AY308" s="136">
        <f t="shared" si="60"/>
        <v>0</v>
      </c>
      <c r="AZ308" s="136">
        <f t="shared" si="60"/>
        <v>0</v>
      </c>
      <c r="BA308" s="136">
        <f t="shared" si="60"/>
        <v>0</v>
      </c>
      <c r="BB308" s="136">
        <f t="shared" si="60"/>
        <v>0</v>
      </c>
      <c r="BC308" s="136">
        <f t="shared" si="60"/>
        <v>0</v>
      </c>
      <c r="BD308" s="136">
        <f t="shared" si="60"/>
        <v>0</v>
      </c>
      <c r="BE308" s="136">
        <f t="shared" si="60"/>
        <v>0</v>
      </c>
      <c r="BF308" s="136">
        <f t="shared" si="60"/>
        <v>0</v>
      </c>
      <c r="BG308" s="136">
        <f t="shared" si="60"/>
        <v>0</v>
      </c>
      <c r="BH308" s="136">
        <f t="shared" ref="BH308:BO323" si="65">BH135-DZ135</f>
        <v>0</v>
      </c>
      <c r="BI308" s="136">
        <f t="shared" si="65"/>
        <v>0</v>
      </c>
      <c r="BJ308" s="136">
        <f t="shared" si="65"/>
        <v>0</v>
      </c>
      <c r="BK308" s="136">
        <f t="shared" si="65"/>
        <v>0</v>
      </c>
      <c r="BL308" s="136">
        <f t="shared" si="65"/>
        <v>0</v>
      </c>
      <c r="BM308" s="136">
        <f t="shared" si="65"/>
        <v>0</v>
      </c>
      <c r="BN308" s="136">
        <f t="shared" si="65"/>
        <v>0</v>
      </c>
      <c r="BO308" s="136">
        <f t="shared" si="65"/>
        <v>0</v>
      </c>
      <c r="BU308" s="136">
        <f t="shared" si="61"/>
        <v>0</v>
      </c>
      <c r="BV308" s="136">
        <f t="shared" si="61"/>
        <v>0</v>
      </c>
      <c r="BW308" s="136">
        <f t="shared" si="61"/>
        <v>0</v>
      </c>
      <c r="BX308" s="136">
        <f t="shared" si="61"/>
        <v>0</v>
      </c>
      <c r="BZ308" s="136">
        <f t="shared" si="62"/>
        <v>0</v>
      </c>
      <c r="CA308" s="136">
        <f t="shared" si="62"/>
        <v>0</v>
      </c>
    </row>
    <row r="309" spans="12:79" hidden="1" x14ac:dyDescent="0.3">
      <c r="L309" s="136">
        <f t="shared" si="64"/>
        <v>0</v>
      </c>
      <c r="M309" s="136">
        <f t="shared" si="64"/>
        <v>0</v>
      </c>
      <c r="N309" s="136">
        <f t="shared" si="64"/>
        <v>0</v>
      </c>
      <c r="O309" s="136">
        <f t="shared" si="64"/>
        <v>0</v>
      </c>
      <c r="P309" s="136">
        <f t="shared" si="64"/>
        <v>0</v>
      </c>
      <c r="Q309" s="136">
        <f t="shared" si="64"/>
        <v>0</v>
      </c>
      <c r="R309" s="136">
        <f t="shared" si="64"/>
        <v>0</v>
      </c>
      <c r="S309" s="136">
        <f t="shared" si="64"/>
        <v>0</v>
      </c>
      <c r="T309" s="136">
        <f t="shared" si="64"/>
        <v>0</v>
      </c>
      <c r="U309" s="136">
        <f t="shared" si="64"/>
        <v>0</v>
      </c>
      <c r="V309" s="136">
        <f t="shared" si="64"/>
        <v>0</v>
      </c>
      <c r="W309" s="136">
        <f t="shared" si="64"/>
        <v>0</v>
      </c>
      <c r="X309" s="136">
        <f t="shared" si="64"/>
        <v>0</v>
      </c>
      <c r="Y309" s="136">
        <f t="shared" si="64"/>
        <v>0</v>
      </c>
      <c r="Z309" s="136">
        <f t="shared" si="64"/>
        <v>0</v>
      </c>
      <c r="AA309" s="136">
        <f t="shared" si="64"/>
        <v>0</v>
      </c>
      <c r="AB309" s="136">
        <f t="shared" si="63"/>
        <v>0</v>
      </c>
      <c r="AC309" s="136">
        <f t="shared" si="63"/>
        <v>0</v>
      </c>
      <c r="AD309" s="136">
        <f t="shared" si="63"/>
        <v>0</v>
      </c>
      <c r="AE309" s="136">
        <f t="shared" si="63"/>
        <v>0</v>
      </c>
      <c r="AF309" s="136">
        <f t="shared" si="63"/>
        <v>0</v>
      </c>
      <c r="AG309" s="136">
        <f t="shared" si="63"/>
        <v>0</v>
      </c>
      <c r="AH309" s="136">
        <f t="shared" si="63"/>
        <v>0</v>
      </c>
      <c r="AI309" s="136">
        <f t="shared" si="63"/>
        <v>0</v>
      </c>
      <c r="AJ309" s="136">
        <f t="shared" si="63"/>
        <v>0</v>
      </c>
      <c r="AK309" s="136">
        <f t="shared" si="63"/>
        <v>0</v>
      </c>
      <c r="AL309" s="136">
        <f t="shared" si="63"/>
        <v>0</v>
      </c>
      <c r="AM309" s="136">
        <f t="shared" si="63"/>
        <v>0</v>
      </c>
      <c r="AN309" s="136">
        <f t="shared" si="63"/>
        <v>0</v>
      </c>
      <c r="AO309" s="136">
        <f t="shared" si="63"/>
        <v>0</v>
      </c>
      <c r="AP309" s="136">
        <f t="shared" si="63"/>
        <v>0</v>
      </c>
      <c r="AQ309" s="136">
        <f t="shared" si="60"/>
        <v>0</v>
      </c>
      <c r="AR309" s="136">
        <f t="shared" si="60"/>
        <v>0</v>
      </c>
      <c r="AS309" s="136">
        <f t="shared" si="60"/>
        <v>0</v>
      </c>
      <c r="AT309" s="136">
        <f t="shared" si="60"/>
        <v>0</v>
      </c>
      <c r="AU309" s="136">
        <f t="shared" si="60"/>
        <v>0</v>
      </c>
      <c r="AV309" s="136">
        <f t="shared" si="60"/>
        <v>0</v>
      </c>
      <c r="AW309" s="136">
        <f t="shared" si="60"/>
        <v>0</v>
      </c>
      <c r="AX309" s="136">
        <f t="shared" si="60"/>
        <v>0</v>
      </c>
      <c r="AY309" s="136">
        <f t="shared" si="60"/>
        <v>0</v>
      </c>
      <c r="AZ309" s="136">
        <f t="shared" si="60"/>
        <v>0</v>
      </c>
      <c r="BA309" s="136">
        <f t="shared" si="60"/>
        <v>0</v>
      </c>
      <c r="BB309" s="136">
        <f t="shared" si="60"/>
        <v>0</v>
      </c>
      <c r="BC309" s="136">
        <f t="shared" si="60"/>
        <v>0</v>
      </c>
      <c r="BD309" s="136">
        <f t="shared" si="60"/>
        <v>0</v>
      </c>
      <c r="BE309" s="136">
        <f t="shared" si="60"/>
        <v>0</v>
      </c>
      <c r="BF309" s="136">
        <f t="shared" si="60"/>
        <v>0</v>
      </c>
      <c r="BG309" s="136">
        <f t="shared" si="60"/>
        <v>0</v>
      </c>
      <c r="BH309" s="136">
        <f t="shared" si="65"/>
        <v>0</v>
      </c>
      <c r="BI309" s="136">
        <f t="shared" si="65"/>
        <v>0</v>
      </c>
      <c r="BJ309" s="136">
        <f t="shared" si="65"/>
        <v>0</v>
      </c>
      <c r="BK309" s="136">
        <f t="shared" si="65"/>
        <v>0</v>
      </c>
      <c r="BL309" s="136">
        <f t="shared" si="65"/>
        <v>0</v>
      </c>
      <c r="BM309" s="136">
        <f t="shared" si="65"/>
        <v>0</v>
      </c>
      <c r="BN309" s="136">
        <f t="shared" si="65"/>
        <v>0</v>
      </c>
      <c r="BO309" s="136">
        <f t="shared" si="65"/>
        <v>0</v>
      </c>
      <c r="BU309" s="136">
        <f t="shared" si="61"/>
        <v>0</v>
      </c>
      <c r="BV309" s="136">
        <f t="shared" si="61"/>
        <v>0</v>
      </c>
      <c r="BW309" s="136">
        <f t="shared" si="61"/>
        <v>0</v>
      </c>
      <c r="BX309" s="136">
        <f t="shared" si="61"/>
        <v>0</v>
      </c>
      <c r="BZ309" s="136">
        <f t="shared" si="62"/>
        <v>0</v>
      </c>
      <c r="CA309" s="136">
        <f t="shared" si="62"/>
        <v>0</v>
      </c>
    </row>
    <row r="310" spans="12:79" hidden="1" x14ac:dyDescent="0.3">
      <c r="L310" s="136">
        <f t="shared" si="64"/>
        <v>0</v>
      </c>
      <c r="M310" s="136">
        <f t="shared" si="64"/>
        <v>0</v>
      </c>
      <c r="N310" s="136">
        <f t="shared" si="64"/>
        <v>0</v>
      </c>
      <c r="O310" s="136">
        <f t="shared" si="64"/>
        <v>0</v>
      </c>
      <c r="P310" s="136">
        <f t="shared" si="64"/>
        <v>0</v>
      </c>
      <c r="Q310" s="136">
        <f t="shared" si="64"/>
        <v>0</v>
      </c>
      <c r="R310" s="136">
        <f t="shared" si="64"/>
        <v>0</v>
      </c>
      <c r="S310" s="136">
        <f t="shared" si="64"/>
        <v>0</v>
      </c>
      <c r="T310" s="136">
        <f t="shared" si="64"/>
        <v>0</v>
      </c>
      <c r="U310" s="136">
        <f t="shared" si="64"/>
        <v>0</v>
      </c>
      <c r="V310" s="136">
        <f t="shared" si="64"/>
        <v>0</v>
      </c>
      <c r="W310" s="136">
        <f t="shared" si="64"/>
        <v>0</v>
      </c>
      <c r="X310" s="136">
        <f t="shared" si="64"/>
        <v>0</v>
      </c>
      <c r="Y310" s="136">
        <f t="shared" si="64"/>
        <v>0</v>
      </c>
      <c r="Z310" s="136">
        <f t="shared" si="64"/>
        <v>0</v>
      </c>
      <c r="AA310" s="136">
        <f t="shared" si="64"/>
        <v>0</v>
      </c>
      <c r="AB310" s="136">
        <f t="shared" si="63"/>
        <v>0</v>
      </c>
      <c r="AC310" s="136">
        <f t="shared" si="63"/>
        <v>0</v>
      </c>
      <c r="AD310" s="136">
        <f t="shared" si="63"/>
        <v>0</v>
      </c>
      <c r="AE310" s="136">
        <f t="shared" si="63"/>
        <v>0</v>
      </c>
      <c r="AF310" s="136">
        <f t="shared" si="63"/>
        <v>0</v>
      </c>
      <c r="AG310" s="136">
        <f t="shared" si="63"/>
        <v>0</v>
      </c>
      <c r="AH310" s="136">
        <f t="shared" si="63"/>
        <v>0</v>
      </c>
      <c r="AI310" s="136">
        <f t="shared" si="63"/>
        <v>0</v>
      </c>
      <c r="AJ310" s="136">
        <f t="shared" si="63"/>
        <v>0</v>
      </c>
      <c r="AK310" s="136">
        <f t="shared" si="63"/>
        <v>0</v>
      </c>
      <c r="AL310" s="136">
        <f t="shared" si="63"/>
        <v>0</v>
      </c>
      <c r="AM310" s="136">
        <f t="shared" si="63"/>
        <v>0</v>
      </c>
      <c r="AN310" s="136">
        <f t="shared" si="63"/>
        <v>0</v>
      </c>
      <c r="AO310" s="136">
        <f t="shared" si="63"/>
        <v>0</v>
      </c>
      <c r="AP310" s="136">
        <f t="shared" si="63"/>
        <v>0</v>
      </c>
      <c r="AQ310" s="136">
        <f t="shared" si="60"/>
        <v>0</v>
      </c>
      <c r="AR310" s="136">
        <f t="shared" si="60"/>
        <v>0</v>
      </c>
      <c r="AS310" s="136">
        <f t="shared" si="60"/>
        <v>0</v>
      </c>
      <c r="AT310" s="136">
        <f t="shared" si="60"/>
        <v>0</v>
      </c>
      <c r="AU310" s="136">
        <f t="shared" si="60"/>
        <v>0</v>
      </c>
      <c r="AV310" s="136">
        <f t="shared" si="60"/>
        <v>0</v>
      </c>
      <c r="AW310" s="136">
        <f t="shared" si="60"/>
        <v>0</v>
      </c>
      <c r="AX310" s="136">
        <f t="shared" si="60"/>
        <v>0</v>
      </c>
      <c r="AY310" s="136">
        <f t="shared" si="60"/>
        <v>0</v>
      </c>
      <c r="AZ310" s="136">
        <f t="shared" si="60"/>
        <v>0</v>
      </c>
      <c r="BA310" s="136">
        <f t="shared" si="60"/>
        <v>0</v>
      </c>
      <c r="BB310" s="136">
        <f t="shared" si="60"/>
        <v>0</v>
      </c>
      <c r="BC310" s="136">
        <f t="shared" si="60"/>
        <v>0</v>
      </c>
      <c r="BD310" s="136">
        <f t="shared" si="60"/>
        <v>0</v>
      </c>
      <c r="BE310" s="136">
        <f t="shared" si="60"/>
        <v>0</v>
      </c>
      <c r="BF310" s="136">
        <f t="shared" si="60"/>
        <v>0</v>
      </c>
      <c r="BG310" s="136">
        <f t="shared" si="60"/>
        <v>0</v>
      </c>
      <c r="BH310" s="136">
        <f t="shared" si="65"/>
        <v>0</v>
      </c>
      <c r="BI310" s="136">
        <f t="shared" si="65"/>
        <v>0</v>
      </c>
      <c r="BJ310" s="136">
        <f t="shared" si="65"/>
        <v>0</v>
      </c>
      <c r="BK310" s="136">
        <f t="shared" si="65"/>
        <v>0</v>
      </c>
      <c r="BL310" s="136">
        <f t="shared" si="65"/>
        <v>0</v>
      </c>
      <c r="BM310" s="136">
        <f t="shared" si="65"/>
        <v>0</v>
      </c>
      <c r="BN310" s="136">
        <f t="shared" si="65"/>
        <v>0</v>
      </c>
      <c r="BO310" s="136">
        <f t="shared" si="65"/>
        <v>0</v>
      </c>
      <c r="BU310" s="136">
        <f t="shared" si="61"/>
        <v>0</v>
      </c>
      <c r="BV310" s="136">
        <f t="shared" si="61"/>
        <v>0</v>
      </c>
      <c r="BW310" s="136">
        <f t="shared" si="61"/>
        <v>0</v>
      </c>
      <c r="BX310" s="136">
        <f t="shared" si="61"/>
        <v>0</v>
      </c>
      <c r="BZ310" s="136">
        <f t="shared" si="62"/>
        <v>0</v>
      </c>
      <c r="CA310" s="136">
        <f t="shared" si="62"/>
        <v>0</v>
      </c>
    </row>
    <row r="311" spans="12:79" hidden="1" x14ac:dyDescent="0.3">
      <c r="L311" s="136">
        <f t="shared" si="64"/>
        <v>0</v>
      </c>
      <c r="M311" s="136">
        <f t="shared" si="64"/>
        <v>0</v>
      </c>
      <c r="N311" s="136">
        <f t="shared" si="64"/>
        <v>0</v>
      </c>
      <c r="O311" s="136">
        <f t="shared" si="64"/>
        <v>0</v>
      </c>
      <c r="P311" s="136">
        <f t="shared" si="64"/>
        <v>0</v>
      </c>
      <c r="Q311" s="136">
        <f t="shared" si="64"/>
        <v>0</v>
      </c>
      <c r="R311" s="136">
        <f t="shared" si="64"/>
        <v>0</v>
      </c>
      <c r="S311" s="136">
        <f t="shared" si="64"/>
        <v>0</v>
      </c>
      <c r="T311" s="136">
        <f t="shared" si="64"/>
        <v>0</v>
      </c>
      <c r="U311" s="136">
        <f t="shared" si="64"/>
        <v>0</v>
      </c>
      <c r="V311" s="136">
        <f t="shared" si="64"/>
        <v>0</v>
      </c>
      <c r="W311" s="136">
        <f t="shared" si="64"/>
        <v>0</v>
      </c>
      <c r="X311" s="136">
        <f t="shared" si="64"/>
        <v>0</v>
      </c>
      <c r="Y311" s="136">
        <f t="shared" si="64"/>
        <v>0</v>
      </c>
      <c r="Z311" s="136">
        <f t="shared" si="64"/>
        <v>0</v>
      </c>
      <c r="AA311" s="136">
        <f t="shared" si="64"/>
        <v>0</v>
      </c>
      <c r="AB311" s="136">
        <f t="shared" si="63"/>
        <v>0</v>
      </c>
      <c r="AC311" s="136">
        <f t="shared" si="63"/>
        <v>0</v>
      </c>
      <c r="AD311" s="136">
        <f t="shared" si="63"/>
        <v>0</v>
      </c>
      <c r="AE311" s="136">
        <f t="shared" si="63"/>
        <v>0</v>
      </c>
      <c r="AF311" s="136">
        <f t="shared" si="63"/>
        <v>0</v>
      </c>
      <c r="AG311" s="136">
        <f t="shared" si="63"/>
        <v>0</v>
      </c>
      <c r="AH311" s="136">
        <f t="shared" si="63"/>
        <v>0</v>
      </c>
      <c r="AI311" s="136">
        <f t="shared" si="63"/>
        <v>0</v>
      </c>
      <c r="AJ311" s="136">
        <f t="shared" si="63"/>
        <v>0</v>
      </c>
      <c r="AK311" s="136">
        <f t="shared" si="63"/>
        <v>0</v>
      </c>
      <c r="AL311" s="136">
        <f t="shared" si="63"/>
        <v>0</v>
      </c>
      <c r="AM311" s="136">
        <f t="shared" si="63"/>
        <v>0</v>
      </c>
      <c r="AN311" s="136">
        <f t="shared" si="63"/>
        <v>0</v>
      </c>
      <c r="AO311" s="136">
        <f t="shared" si="63"/>
        <v>0</v>
      </c>
      <c r="AP311" s="136">
        <f t="shared" si="63"/>
        <v>0</v>
      </c>
      <c r="AQ311" s="136">
        <f t="shared" si="60"/>
        <v>0</v>
      </c>
      <c r="AR311" s="136">
        <f t="shared" si="60"/>
        <v>0</v>
      </c>
      <c r="AS311" s="136">
        <f t="shared" si="60"/>
        <v>0</v>
      </c>
      <c r="AT311" s="136">
        <f t="shared" si="60"/>
        <v>0</v>
      </c>
      <c r="AU311" s="136">
        <f t="shared" si="60"/>
        <v>0</v>
      </c>
      <c r="AV311" s="136">
        <f t="shared" si="60"/>
        <v>0</v>
      </c>
      <c r="AW311" s="136">
        <f t="shared" si="60"/>
        <v>0</v>
      </c>
      <c r="AX311" s="136">
        <f t="shared" si="60"/>
        <v>0</v>
      </c>
      <c r="AY311" s="136">
        <f t="shared" si="60"/>
        <v>0</v>
      </c>
      <c r="AZ311" s="136">
        <f t="shared" si="60"/>
        <v>0</v>
      </c>
      <c r="BA311" s="136">
        <f t="shared" si="60"/>
        <v>0</v>
      </c>
      <c r="BB311" s="136">
        <f t="shared" si="60"/>
        <v>0</v>
      </c>
      <c r="BC311" s="136">
        <f t="shared" si="60"/>
        <v>0</v>
      </c>
      <c r="BD311" s="136">
        <f t="shared" si="60"/>
        <v>0</v>
      </c>
      <c r="BE311" s="136">
        <f t="shared" si="60"/>
        <v>0</v>
      </c>
      <c r="BF311" s="136">
        <f t="shared" si="60"/>
        <v>0</v>
      </c>
      <c r="BG311" s="136">
        <f t="shared" si="60"/>
        <v>0</v>
      </c>
      <c r="BH311" s="136">
        <f t="shared" si="65"/>
        <v>0</v>
      </c>
      <c r="BI311" s="136">
        <f t="shared" si="65"/>
        <v>0</v>
      </c>
      <c r="BJ311" s="136">
        <f t="shared" si="65"/>
        <v>0</v>
      </c>
      <c r="BK311" s="136">
        <f t="shared" si="65"/>
        <v>0</v>
      </c>
      <c r="BL311" s="136">
        <f t="shared" si="65"/>
        <v>0</v>
      </c>
      <c r="BM311" s="136">
        <f t="shared" si="65"/>
        <v>0</v>
      </c>
      <c r="BN311" s="136">
        <f t="shared" si="65"/>
        <v>0</v>
      </c>
      <c r="BO311" s="136">
        <f t="shared" si="65"/>
        <v>0</v>
      </c>
      <c r="BU311" s="136">
        <f t="shared" si="61"/>
        <v>0</v>
      </c>
      <c r="BV311" s="136">
        <f t="shared" si="61"/>
        <v>0</v>
      </c>
      <c r="BW311" s="136">
        <f t="shared" si="61"/>
        <v>0</v>
      </c>
      <c r="BX311" s="136">
        <f t="shared" si="61"/>
        <v>0</v>
      </c>
      <c r="BZ311" s="136">
        <f t="shared" si="62"/>
        <v>0</v>
      </c>
      <c r="CA311" s="136">
        <f t="shared" si="62"/>
        <v>0</v>
      </c>
    </row>
    <row r="312" spans="12:79" hidden="1" x14ac:dyDescent="0.3">
      <c r="L312" s="136">
        <f t="shared" si="64"/>
        <v>0</v>
      </c>
      <c r="M312" s="136">
        <f t="shared" si="64"/>
        <v>0</v>
      </c>
      <c r="N312" s="136">
        <f t="shared" si="64"/>
        <v>0</v>
      </c>
      <c r="O312" s="136">
        <f t="shared" si="64"/>
        <v>0</v>
      </c>
      <c r="P312" s="136">
        <f t="shared" si="64"/>
        <v>0</v>
      </c>
      <c r="Q312" s="136">
        <f t="shared" si="64"/>
        <v>0</v>
      </c>
      <c r="R312" s="136">
        <f t="shared" si="64"/>
        <v>0</v>
      </c>
      <c r="S312" s="136">
        <f t="shared" si="64"/>
        <v>0</v>
      </c>
      <c r="T312" s="136">
        <f t="shared" si="64"/>
        <v>0</v>
      </c>
      <c r="U312" s="136">
        <f t="shared" si="64"/>
        <v>0</v>
      </c>
      <c r="V312" s="136">
        <f t="shared" si="64"/>
        <v>0</v>
      </c>
      <c r="W312" s="136">
        <f t="shared" si="64"/>
        <v>0</v>
      </c>
      <c r="X312" s="136">
        <f t="shared" si="64"/>
        <v>0</v>
      </c>
      <c r="Y312" s="136">
        <f t="shared" si="64"/>
        <v>0</v>
      </c>
      <c r="Z312" s="136">
        <f t="shared" si="64"/>
        <v>0</v>
      </c>
      <c r="AA312" s="136">
        <f t="shared" si="64"/>
        <v>0</v>
      </c>
      <c r="AB312" s="136">
        <f t="shared" si="63"/>
        <v>0</v>
      </c>
      <c r="AC312" s="136">
        <f t="shared" si="63"/>
        <v>0</v>
      </c>
      <c r="AD312" s="136">
        <f t="shared" si="63"/>
        <v>0</v>
      </c>
      <c r="AE312" s="136">
        <f t="shared" si="63"/>
        <v>0</v>
      </c>
      <c r="AF312" s="136">
        <f t="shared" si="63"/>
        <v>0</v>
      </c>
      <c r="AG312" s="136">
        <f t="shared" si="63"/>
        <v>0</v>
      </c>
      <c r="AH312" s="136">
        <f t="shared" si="63"/>
        <v>0</v>
      </c>
      <c r="AI312" s="136">
        <f t="shared" si="63"/>
        <v>0</v>
      </c>
      <c r="AJ312" s="136">
        <f t="shared" si="63"/>
        <v>0</v>
      </c>
      <c r="AK312" s="136">
        <f t="shared" si="63"/>
        <v>0</v>
      </c>
      <c r="AL312" s="136">
        <f t="shared" si="63"/>
        <v>0</v>
      </c>
      <c r="AM312" s="136">
        <f t="shared" si="63"/>
        <v>0</v>
      </c>
      <c r="AN312" s="136">
        <f t="shared" si="63"/>
        <v>0</v>
      </c>
      <c r="AO312" s="136">
        <f t="shared" si="63"/>
        <v>0</v>
      </c>
      <c r="AP312" s="136">
        <f t="shared" si="63"/>
        <v>0</v>
      </c>
      <c r="AQ312" s="136">
        <f t="shared" si="60"/>
        <v>0</v>
      </c>
      <c r="AR312" s="136">
        <f t="shared" si="60"/>
        <v>0</v>
      </c>
      <c r="AS312" s="136">
        <f t="shared" si="60"/>
        <v>0</v>
      </c>
      <c r="AT312" s="136">
        <f t="shared" si="60"/>
        <v>0</v>
      </c>
      <c r="AU312" s="136">
        <f t="shared" si="60"/>
        <v>0</v>
      </c>
      <c r="AV312" s="136">
        <f t="shared" si="60"/>
        <v>0</v>
      </c>
      <c r="AW312" s="136">
        <f t="shared" si="60"/>
        <v>0</v>
      </c>
      <c r="AX312" s="136">
        <f t="shared" si="60"/>
        <v>0</v>
      </c>
      <c r="AY312" s="136">
        <f t="shared" si="60"/>
        <v>0</v>
      </c>
      <c r="AZ312" s="136">
        <f t="shared" si="60"/>
        <v>0</v>
      </c>
      <c r="BA312" s="136">
        <f t="shared" si="60"/>
        <v>0</v>
      </c>
      <c r="BB312" s="136">
        <f t="shared" si="60"/>
        <v>0</v>
      </c>
      <c r="BC312" s="136">
        <f t="shared" si="60"/>
        <v>0</v>
      </c>
      <c r="BD312" s="136">
        <f t="shared" si="60"/>
        <v>0</v>
      </c>
      <c r="BE312" s="136">
        <f t="shared" si="60"/>
        <v>0</v>
      </c>
      <c r="BF312" s="136">
        <f t="shared" si="60"/>
        <v>0</v>
      </c>
      <c r="BG312" s="136">
        <f t="shared" si="60"/>
        <v>0</v>
      </c>
      <c r="BH312" s="136">
        <f t="shared" si="65"/>
        <v>0</v>
      </c>
      <c r="BI312" s="136">
        <f t="shared" si="65"/>
        <v>0</v>
      </c>
      <c r="BJ312" s="136">
        <f t="shared" si="65"/>
        <v>0</v>
      </c>
      <c r="BK312" s="136">
        <f t="shared" si="65"/>
        <v>0</v>
      </c>
      <c r="BL312" s="136">
        <f t="shared" si="65"/>
        <v>0</v>
      </c>
      <c r="BM312" s="136">
        <f t="shared" si="65"/>
        <v>0</v>
      </c>
      <c r="BN312" s="136">
        <f t="shared" si="65"/>
        <v>0</v>
      </c>
      <c r="BO312" s="136">
        <f t="shared" si="65"/>
        <v>0</v>
      </c>
      <c r="BU312" s="136">
        <f t="shared" si="61"/>
        <v>0</v>
      </c>
      <c r="BV312" s="136">
        <f t="shared" si="61"/>
        <v>0</v>
      </c>
      <c r="BW312" s="136">
        <f t="shared" si="61"/>
        <v>0</v>
      </c>
      <c r="BX312" s="136">
        <f t="shared" si="61"/>
        <v>0</v>
      </c>
      <c r="BZ312" s="136">
        <f t="shared" si="62"/>
        <v>0</v>
      </c>
      <c r="CA312" s="136">
        <f t="shared" si="62"/>
        <v>0</v>
      </c>
    </row>
    <row r="313" spans="12:79" hidden="1" x14ac:dyDescent="0.3">
      <c r="L313" s="136">
        <f t="shared" si="64"/>
        <v>0</v>
      </c>
      <c r="M313" s="136">
        <f t="shared" si="64"/>
        <v>0</v>
      </c>
      <c r="N313" s="136">
        <f t="shared" si="64"/>
        <v>0</v>
      </c>
      <c r="O313" s="136">
        <f t="shared" si="64"/>
        <v>0</v>
      </c>
      <c r="P313" s="136">
        <f t="shared" si="64"/>
        <v>0</v>
      </c>
      <c r="Q313" s="136">
        <f t="shared" si="64"/>
        <v>0</v>
      </c>
      <c r="R313" s="136">
        <f t="shared" si="64"/>
        <v>0</v>
      </c>
      <c r="S313" s="136">
        <f t="shared" si="64"/>
        <v>0</v>
      </c>
      <c r="T313" s="136">
        <f t="shared" si="64"/>
        <v>0</v>
      </c>
      <c r="U313" s="136">
        <f t="shared" si="64"/>
        <v>0</v>
      </c>
      <c r="V313" s="136">
        <f t="shared" si="64"/>
        <v>0</v>
      </c>
      <c r="W313" s="136">
        <f t="shared" si="64"/>
        <v>0</v>
      </c>
      <c r="X313" s="136">
        <f t="shared" si="64"/>
        <v>0</v>
      </c>
      <c r="Y313" s="136">
        <f t="shared" si="64"/>
        <v>0</v>
      </c>
      <c r="Z313" s="136">
        <f t="shared" si="64"/>
        <v>0</v>
      </c>
      <c r="AA313" s="136">
        <f t="shared" si="64"/>
        <v>0</v>
      </c>
      <c r="AB313" s="136">
        <f t="shared" si="63"/>
        <v>0</v>
      </c>
      <c r="AC313" s="136">
        <f t="shared" si="63"/>
        <v>0</v>
      </c>
      <c r="AD313" s="136">
        <f t="shared" si="63"/>
        <v>0</v>
      </c>
      <c r="AE313" s="136">
        <f t="shared" si="63"/>
        <v>0</v>
      </c>
      <c r="AF313" s="136">
        <f t="shared" si="63"/>
        <v>0</v>
      </c>
      <c r="AG313" s="136">
        <f t="shared" si="63"/>
        <v>0</v>
      </c>
      <c r="AH313" s="136">
        <f t="shared" si="63"/>
        <v>0</v>
      </c>
      <c r="AI313" s="136">
        <f t="shared" si="63"/>
        <v>0</v>
      </c>
      <c r="AJ313" s="136">
        <f t="shared" si="63"/>
        <v>0</v>
      </c>
      <c r="AK313" s="136">
        <f t="shared" si="63"/>
        <v>0</v>
      </c>
      <c r="AL313" s="136">
        <f t="shared" si="63"/>
        <v>0</v>
      </c>
      <c r="AM313" s="136">
        <f t="shared" si="63"/>
        <v>0</v>
      </c>
      <c r="AN313" s="136">
        <f t="shared" si="63"/>
        <v>0</v>
      </c>
      <c r="AO313" s="136">
        <f t="shared" si="63"/>
        <v>0</v>
      </c>
      <c r="AP313" s="136">
        <f t="shared" si="63"/>
        <v>0</v>
      </c>
      <c r="AQ313" s="136">
        <f t="shared" si="60"/>
        <v>0</v>
      </c>
      <c r="AR313" s="136">
        <f t="shared" si="60"/>
        <v>0</v>
      </c>
      <c r="AS313" s="136">
        <f t="shared" si="60"/>
        <v>0</v>
      </c>
      <c r="AT313" s="136">
        <f t="shared" si="60"/>
        <v>0</v>
      </c>
      <c r="AU313" s="136">
        <f t="shared" si="60"/>
        <v>0</v>
      </c>
      <c r="AV313" s="136">
        <f t="shared" si="60"/>
        <v>0</v>
      </c>
      <c r="AW313" s="136">
        <f t="shared" si="60"/>
        <v>0</v>
      </c>
      <c r="AX313" s="136">
        <f t="shared" si="60"/>
        <v>0</v>
      </c>
      <c r="AY313" s="136">
        <f t="shared" si="60"/>
        <v>0</v>
      </c>
      <c r="AZ313" s="136">
        <f t="shared" si="60"/>
        <v>0</v>
      </c>
      <c r="BA313" s="136">
        <f t="shared" si="60"/>
        <v>0</v>
      </c>
      <c r="BB313" s="136">
        <f t="shared" si="60"/>
        <v>0</v>
      </c>
      <c r="BC313" s="136">
        <f t="shared" si="60"/>
        <v>0</v>
      </c>
      <c r="BD313" s="136">
        <f t="shared" si="60"/>
        <v>0</v>
      </c>
      <c r="BE313" s="136">
        <f t="shared" si="60"/>
        <v>0</v>
      </c>
      <c r="BF313" s="136">
        <f t="shared" si="60"/>
        <v>0</v>
      </c>
      <c r="BG313" s="136">
        <f t="shared" si="60"/>
        <v>0</v>
      </c>
      <c r="BH313" s="136">
        <f t="shared" si="65"/>
        <v>0</v>
      </c>
      <c r="BI313" s="136">
        <f t="shared" si="65"/>
        <v>0</v>
      </c>
      <c r="BJ313" s="136">
        <f t="shared" si="65"/>
        <v>0</v>
      </c>
      <c r="BK313" s="136">
        <f t="shared" si="65"/>
        <v>0</v>
      </c>
      <c r="BL313" s="136">
        <f t="shared" si="65"/>
        <v>0</v>
      </c>
      <c r="BM313" s="136">
        <f t="shared" si="65"/>
        <v>0</v>
      </c>
      <c r="BN313" s="136">
        <f t="shared" si="65"/>
        <v>0</v>
      </c>
      <c r="BO313" s="136">
        <f t="shared" si="65"/>
        <v>0</v>
      </c>
      <c r="BU313" s="136">
        <f t="shared" si="61"/>
        <v>0</v>
      </c>
      <c r="BV313" s="136">
        <f t="shared" si="61"/>
        <v>0</v>
      </c>
      <c r="BW313" s="136">
        <f t="shared" si="61"/>
        <v>0</v>
      </c>
      <c r="BX313" s="136">
        <f t="shared" si="61"/>
        <v>0</v>
      </c>
      <c r="BZ313" s="136">
        <f t="shared" si="62"/>
        <v>0</v>
      </c>
      <c r="CA313" s="136">
        <f t="shared" si="62"/>
        <v>0</v>
      </c>
    </row>
    <row r="314" spans="12:79" hidden="1" x14ac:dyDescent="0.3">
      <c r="L314" s="136">
        <f t="shared" si="64"/>
        <v>0</v>
      </c>
      <c r="M314" s="136">
        <f t="shared" si="64"/>
        <v>0</v>
      </c>
      <c r="N314" s="136">
        <f t="shared" si="64"/>
        <v>0</v>
      </c>
      <c r="O314" s="136">
        <f t="shared" si="64"/>
        <v>0</v>
      </c>
      <c r="P314" s="136">
        <f t="shared" si="64"/>
        <v>0</v>
      </c>
      <c r="Q314" s="136">
        <f t="shared" si="64"/>
        <v>0</v>
      </c>
      <c r="R314" s="136">
        <f t="shared" si="64"/>
        <v>0</v>
      </c>
      <c r="S314" s="136">
        <f t="shared" si="64"/>
        <v>0</v>
      </c>
      <c r="T314" s="136">
        <f t="shared" si="64"/>
        <v>0</v>
      </c>
      <c r="U314" s="136">
        <f t="shared" si="64"/>
        <v>0</v>
      </c>
      <c r="V314" s="136">
        <f t="shared" si="64"/>
        <v>0</v>
      </c>
      <c r="W314" s="136">
        <f t="shared" si="64"/>
        <v>0</v>
      </c>
      <c r="X314" s="136">
        <f t="shared" si="64"/>
        <v>0</v>
      </c>
      <c r="Y314" s="136">
        <f t="shared" si="64"/>
        <v>0</v>
      </c>
      <c r="Z314" s="136">
        <f t="shared" si="64"/>
        <v>0</v>
      </c>
      <c r="AA314" s="136">
        <f t="shared" si="64"/>
        <v>0</v>
      </c>
      <c r="AB314" s="136">
        <f t="shared" si="63"/>
        <v>0</v>
      </c>
      <c r="AC314" s="136">
        <f t="shared" si="63"/>
        <v>0</v>
      </c>
      <c r="AD314" s="136">
        <f t="shared" si="63"/>
        <v>0</v>
      </c>
      <c r="AE314" s="136">
        <f t="shared" si="63"/>
        <v>0</v>
      </c>
      <c r="AF314" s="136">
        <f t="shared" si="63"/>
        <v>0</v>
      </c>
      <c r="AG314" s="136">
        <f t="shared" si="63"/>
        <v>0</v>
      </c>
      <c r="AH314" s="136">
        <f t="shared" si="63"/>
        <v>0</v>
      </c>
      <c r="AI314" s="136">
        <f t="shared" si="63"/>
        <v>0</v>
      </c>
      <c r="AJ314" s="136">
        <f t="shared" si="63"/>
        <v>0</v>
      </c>
      <c r="AK314" s="136">
        <f t="shared" si="63"/>
        <v>0</v>
      </c>
      <c r="AL314" s="136">
        <f t="shared" si="63"/>
        <v>0</v>
      </c>
      <c r="AM314" s="136">
        <f t="shared" si="63"/>
        <v>0</v>
      </c>
      <c r="AN314" s="136">
        <f t="shared" si="63"/>
        <v>0</v>
      </c>
      <c r="AO314" s="136">
        <f t="shared" si="63"/>
        <v>0</v>
      </c>
      <c r="AP314" s="136">
        <f t="shared" si="63"/>
        <v>0</v>
      </c>
      <c r="AQ314" s="136">
        <f t="shared" si="60"/>
        <v>0</v>
      </c>
      <c r="AR314" s="136">
        <f t="shared" si="60"/>
        <v>0</v>
      </c>
      <c r="AS314" s="136">
        <f t="shared" si="60"/>
        <v>0</v>
      </c>
      <c r="AT314" s="136">
        <f t="shared" si="60"/>
        <v>0</v>
      </c>
      <c r="AU314" s="136">
        <f t="shared" si="60"/>
        <v>0</v>
      </c>
      <c r="AV314" s="136">
        <f t="shared" si="60"/>
        <v>0</v>
      </c>
      <c r="AW314" s="136">
        <f t="shared" si="60"/>
        <v>0</v>
      </c>
      <c r="AX314" s="136">
        <f t="shared" si="60"/>
        <v>0</v>
      </c>
      <c r="AY314" s="136">
        <f t="shared" si="60"/>
        <v>0</v>
      </c>
      <c r="AZ314" s="136">
        <f t="shared" si="60"/>
        <v>0</v>
      </c>
      <c r="BA314" s="136">
        <f t="shared" si="60"/>
        <v>0</v>
      </c>
      <c r="BB314" s="136">
        <f t="shared" si="60"/>
        <v>0</v>
      </c>
      <c r="BC314" s="136">
        <f t="shared" si="60"/>
        <v>0</v>
      </c>
      <c r="BD314" s="136">
        <f t="shared" si="60"/>
        <v>0</v>
      </c>
      <c r="BE314" s="136">
        <f t="shared" si="60"/>
        <v>0</v>
      </c>
      <c r="BF314" s="136">
        <f t="shared" si="60"/>
        <v>0</v>
      </c>
      <c r="BG314" s="136">
        <f t="shared" si="60"/>
        <v>0</v>
      </c>
      <c r="BH314" s="136">
        <f t="shared" si="65"/>
        <v>0</v>
      </c>
      <c r="BI314" s="136">
        <f t="shared" si="65"/>
        <v>0</v>
      </c>
      <c r="BJ314" s="136">
        <f t="shared" si="65"/>
        <v>0</v>
      </c>
      <c r="BK314" s="136">
        <f t="shared" si="65"/>
        <v>0</v>
      </c>
      <c r="BL314" s="136">
        <f t="shared" si="65"/>
        <v>0</v>
      </c>
      <c r="BM314" s="136">
        <f t="shared" si="65"/>
        <v>0</v>
      </c>
      <c r="BN314" s="136">
        <f t="shared" si="65"/>
        <v>0</v>
      </c>
      <c r="BO314" s="136">
        <f t="shared" si="65"/>
        <v>0</v>
      </c>
      <c r="BU314" s="136">
        <f t="shared" si="61"/>
        <v>0</v>
      </c>
      <c r="BV314" s="136">
        <f t="shared" si="61"/>
        <v>0</v>
      </c>
      <c r="BW314" s="136">
        <f t="shared" si="61"/>
        <v>0</v>
      </c>
      <c r="BX314" s="136">
        <f t="shared" si="61"/>
        <v>0</v>
      </c>
      <c r="BZ314" s="136">
        <f t="shared" si="62"/>
        <v>0</v>
      </c>
      <c r="CA314" s="136">
        <f t="shared" si="62"/>
        <v>0</v>
      </c>
    </row>
    <row r="315" spans="12:79" hidden="1" x14ac:dyDescent="0.3">
      <c r="L315" s="136">
        <f t="shared" si="64"/>
        <v>0</v>
      </c>
      <c r="M315" s="136">
        <f t="shared" si="64"/>
        <v>0</v>
      </c>
      <c r="N315" s="136">
        <f t="shared" si="64"/>
        <v>0</v>
      </c>
      <c r="O315" s="136">
        <f t="shared" si="64"/>
        <v>0</v>
      </c>
      <c r="P315" s="136">
        <f t="shared" si="64"/>
        <v>0</v>
      </c>
      <c r="Q315" s="136">
        <f t="shared" si="64"/>
        <v>0</v>
      </c>
      <c r="R315" s="136">
        <f t="shared" si="64"/>
        <v>0</v>
      </c>
      <c r="S315" s="136">
        <f t="shared" si="64"/>
        <v>0</v>
      </c>
      <c r="T315" s="136">
        <f t="shared" si="64"/>
        <v>0</v>
      </c>
      <c r="U315" s="136">
        <f t="shared" si="64"/>
        <v>0</v>
      </c>
      <c r="V315" s="136">
        <f t="shared" si="64"/>
        <v>0</v>
      </c>
      <c r="W315" s="136">
        <f t="shared" si="64"/>
        <v>0</v>
      </c>
      <c r="X315" s="136">
        <f t="shared" si="64"/>
        <v>0</v>
      </c>
      <c r="Y315" s="136">
        <f t="shared" si="64"/>
        <v>0</v>
      </c>
      <c r="Z315" s="136">
        <f t="shared" si="64"/>
        <v>0</v>
      </c>
      <c r="AA315" s="136">
        <f t="shared" si="64"/>
        <v>0</v>
      </c>
      <c r="AB315" s="136">
        <f t="shared" si="63"/>
        <v>0</v>
      </c>
      <c r="AC315" s="136">
        <f t="shared" si="63"/>
        <v>0</v>
      </c>
      <c r="AD315" s="136">
        <f t="shared" si="63"/>
        <v>0</v>
      </c>
      <c r="AE315" s="136">
        <f t="shared" si="63"/>
        <v>0</v>
      </c>
      <c r="AF315" s="136">
        <f t="shared" si="63"/>
        <v>0</v>
      </c>
      <c r="AG315" s="136">
        <f t="shared" si="63"/>
        <v>0</v>
      </c>
      <c r="AH315" s="136">
        <f t="shared" si="63"/>
        <v>0</v>
      </c>
      <c r="AI315" s="136">
        <f t="shared" si="63"/>
        <v>0</v>
      </c>
      <c r="AJ315" s="136">
        <f t="shared" si="63"/>
        <v>0</v>
      </c>
      <c r="AK315" s="136">
        <f t="shared" si="63"/>
        <v>0</v>
      </c>
      <c r="AL315" s="136">
        <f t="shared" si="63"/>
        <v>0</v>
      </c>
      <c r="AM315" s="136">
        <f t="shared" si="63"/>
        <v>0</v>
      </c>
      <c r="AN315" s="136">
        <f t="shared" si="63"/>
        <v>0</v>
      </c>
      <c r="AO315" s="136">
        <f t="shared" si="63"/>
        <v>0</v>
      </c>
      <c r="AP315" s="136">
        <f t="shared" si="63"/>
        <v>0</v>
      </c>
      <c r="AQ315" s="136">
        <f t="shared" si="63"/>
        <v>0</v>
      </c>
      <c r="AR315" s="136">
        <f t="shared" ref="AR315:BG330" si="66">AR142-DJ142</f>
        <v>0</v>
      </c>
      <c r="AS315" s="136">
        <f t="shared" si="66"/>
        <v>0</v>
      </c>
      <c r="AT315" s="136">
        <f t="shared" si="66"/>
        <v>0</v>
      </c>
      <c r="AU315" s="136">
        <f t="shared" si="66"/>
        <v>0</v>
      </c>
      <c r="AV315" s="136">
        <f t="shared" si="66"/>
        <v>0</v>
      </c>
      <c r="AW315" s="136">
        <f t="shared" si="66"/>
        <v>0</v>
      </c>
      <c r="AX315" s="136">
        <f t="shared" si="66"/>
        <v>0</v>
      </c>
      <c r="AY315" s="136">
        <f t="shared" si="66"/>
        <v>0</v>
      </c>
      <c r="AZ315" s="136">
        <f t="shared" si="66"/>
        <v>0</v>
      </c>
      <c r="BA315" s="136">
        <f t="shared" si="66"/>
        <v>0</v>
      </c>
      <c r="BB315" s="136">
        <f t="shared" si="66"/>
        <v>0</v>
      </c>
      <c r="BC315" s="136">
        <f t="shared" si="66"/>
        <v>0</v>
      </c>
      <c r="BD315" s="136">
        <f t="shared" si="66"/>
        <v>0</v>
      </c>
      <c r="BE315" s="136">
        <f t="shared" si="66"/>
        <v>0</v>
      </c>
      <c r="BF315" s="136">
        <f t="shared" si="66"/>
        <v>0</v>
      </c>
      <c r="BG315" s="136">
        <f t="shared" si="66"/>
        <v>0</v>
      </c>
      <c r="BH315" s="136">
        <f t="shared" si="65"/>
        <v>0</v>
      </c>
      <c r="BI315" s="136">
        <f t="shared" si="65"/>
        <v>0</v>
      </c>
      <c r="BJ315" s="136">
        <f t="shared" si="65"/>
        <v>0</v>
      </c>
      <c r="BK315" s="136">
        <f t="shared" si="65"/>
        <v>0</v>
      </c>
      <c r="BL315" s="136">
        <f t="shared" si="65"/>
        <v>0</v>
      </c>
      <c r="BM315" s="136">
        <f t="shared" si="65"/>
        <v>0</v>
      </c>
      <c r="BN315" s="136">
        <f t="shared" si="65"/>
        <v>0</v>
      </c>
      <c r="BO315" s="136">
        <f t="shared" si="65"/>
        <v>0</v>
      </c>
      <c r="BU315" s="136">
        <f t="shared" si="61"/>
        <v>0</v>
      </c>
      <c r="BV315" s="136">
        <f t="shared" si="61"/>
        <v>0</v>
      </c>
      <c r="BW315" s="136">
        <f t="shared" si="61"/>
        <v>0</v>
      </c>
      <c r="BX315" s="136">
        <f t="shared" si="61"/>
        <v>0</v>
      </c>
      <c r="BZ315" s="136">
        <f t="shared" si="62"/>
        <v>0</v>
      </c>
      <c r="CA315" s="136">
        <f t="shared" si="62"/>
        <v>0</v>
      </c>
    </row>
    <row r="316" spans="12:79" hidden="1" x14ac:dyDescent="0.3">
      <c r="L316" s="136">
        <f t="shared" si="64"/>
        <v>0</v>
      </c>
      <c r="M316" s="136">
        <f t="shared" si="64"/>
        <v>0</v>
      </c>
      <c r="N316" s="136">
        <f t="shared" si="64"/>
        <v>0</v>
      </c>
      <c r="O316" s="136">
        <f t="shared" si="64"/>
        <v>0</v>
      </c>
      <c r="P316" s="136">
        <f t="shared" si="64"/>
        <v>0</v>
      </c>
      <c r="Q316" s="136">
        <f t="shared" si="64"/>
        <v>0</v>
      </c>
      <c r="R316" s="136">
        <f t="shared" si="64"/>
        <v>0</v>
      </c>
      <c r="S316" s="136">
        <f t="shared" si="64"/>
        <v>0</v>
      </c>
      <c r="T316" s="136">
        <f t="shared" si="64"/>
        <v>0</v>
      </c>
      <c r="U316" s="136">
        <f t="shared" si="64"/>
        <v>0</v>
      </c>
      <c r="V316" s="136">
        <f t="shared" si="64"/>
        <v>0</v>
      </c>
      <c r="W316" s="136">
        <f t="shared" si="64"/>
        <v>0</v>
      </c>
      <c r="X316" s="136">
        <f t="shared" si="64"/>
        <v>0</v>
      </c>
      <c r="Y316" s="136">
        <f t="shared" si="64"/>
        <v>0</v>
      </c>
      <c r="Z316" s="136">
        <f t="shared" si="64"/>
        <v>0</v>
      </c>
      <c r="AA316" s="136">
        <f t="shared" si="64"/>
        <v>0</v>
      </c>
      <c r="AB316" s="136">
        <f t="shared" si="63"/>
        <v>0</v>
      </c>
      <c r="AC316" s="136">
        <f t="shared" si="63"/>
        <v>0</v>
      </c>
      <c r="AD316" s="136">
        <f t="shared" si="63"/>
        <v>0</v>
      </c>
      <c r="AE316" s="136">
        <f t="shared" si="63"/>
        <v>0</v>
      </c>
      <c r="AF316" s="136">
        <f t="shared" si="63"/>
        <v>0</v>
      </c>
      <c r="AG316" s="136">
        <f t="shared" si="63"/>
        <v>0</v>
      </c>
      <c r="AH316" s="136">
        <f t="shared" si="63"/>
        <v>0</v>
      </c>
      <c r="AI316" s="136">
        <f t="shared" si="63"/>
        <v>0</v>
      </c>
      <c r="AJ316" s="136">
        <f t="shared" si="63"/>
        <v>0</v>
      </c>
      <c r="AK316" s="136">
        <f t="shared" si="63"/>
        <v>0</v>
      </c>
      <c r="AL316" s="136">
        <f t="shared" si="63"/>
        <v>0</v>
      </c>
      <c r="AM316" s="136">
        <f t="shared" si="63"/>
        <v>0</v>
      </c>
      <c r="AN316" s="136">
        <f t="shared" si="63"/>
        <v>0</v>
      </c>
      <c r="AO316" s="136">
        <f t="shared" si="63"/>
        <v>0</v>
      </c>
      <c r="AP316" s="136">
        <f t="shared" si="63"/>
        <v>0</v>
      </c>
      <c r="AQ316" s="136">
        <f t="shared" si="63"/>
        <v>0</v>
      </c>
      <c r="AR316" s="136">
        <f t="shared" si="66"/>
        <v>0</v>
      </c>
      <c r="AS316" s="136">
        <f t="shared" si="66"/>
        <v>0</v>
      </c>
      <c r="AT316" s="136">
        <f t="shared" si="66"/>
        <v>0</v>
      </c>
      <c r="AU316" s="136">
        <f t="shared" si="66"/>
        <v>0</v>
      </c>
      <c r="AV316" s="136">
        <f t="shared" si="66"/>
        <v>0</v>
      </c>
      <c r="AW316" s="136">
        <f t="shared" si="66"/>
        <v>0</v>
      </c>
      <c r="AX316" s="136">
        <f t="shared" si="66"/>
        <v>0</v>
      </c>
      <c r="AY316" s="136">
        <f t="shared" si="66"/>
        <v>0</v>
      </c>
      <c r="AZ316" s="136">
        <f t="shared" si="66"/>
        <v>0</v>
      </c>
      <c r="BA316" s="136">
        <f t="shared" si="66"/>
        <v>0</v>
      </c>
      <c r="BB316" s="136">
        <f t="shared" si="66"/>
        <v>0</v>
      </c>
      <c r="BC316" s="136">
        <f t="shared" si="66"/>
        <v>0</v>
      </c>
      <c r="BD316" s="136">
        <f t="shared" si="66"/>
        <v>0</v>
      </c>
      <c r="BE316" s="136">
        <f t="shared" si="66"/>
        <v>0</v>
      </c>
      <c r="BF316" s="136">
        <f t="shared" si="66"/>
        <v>0</v>
      </c>
      <c r="BG316" s="136">
        <f t="shared" si="66"/>
        <v>0</v>
      </c>
      <c r="BH316" s="136">
        <f t="shared" si="65"/>
        <v>0</v>
      </c>
      <c r="BI316" s="136">
        <f t="shared" si="65"/>
        <v>0</v>
      </c>
      <c r="BJ316" s="136">
        <f t="shared" si="65"/>
        <v>0</v>
      </c>
      <c r="BK316" s="136">
        <f t="shared" si="65"/>
        <v>0</v>
      </c>
      <c r="BL316" s="136">
        <f t="shared" si="65"/>
        <v>0</v>
      </c>
      <c r="BM316" s="136">
        <f t="shared" si="65"/>
        <v>0</v>
      </c>
      <c r="BN316" s="136">
        <f t="shared" si="65"/>
        <v>0</v>
      </c>
      <c r="BO316" s="136">
        <f t="shared" si="65"/>
        <v>0</v>
      </c>
      <c r="BU316" s="136">
        <f t="shared" si="61"/>
        <v>0</v>
      </c>
      <c r="BV316" s="136">
        <f t="shared" si="61"/>
        <v>0</v>
      </c>
      <c r="BW316" s="136">
        <f t="shared" si="61"/>
        <v>0</v>
      </c>
      <c r="BX316" s="136">
        <f t="shared" si="61"/>
        <v>0</v>
      </c>
      <c r="BZ316" s="136">
        <f t="shared" si="62"/>
        <v>0</v>
      </c>
      <c r="CA316" s="136">
        <f t="shared" si="62"/>
        <v>0</v>
      </c>
    </row>
    <row r="317" spans="12:79" hidden="1" x14ac:dyDescent="0.3">
      <c r="L317" s="136">
        <f t="shared" si="64"/>
        <v>0</v>
      </c>
      <c r="M317" s="136">
        <f t="shared" si="64"/>
        <v>0</v>
      </c>
      <c r="N317" s="136">
        <f t="shared" si="64"/>
        <v>0</v>
      </c>
      <c r="O317" s="136">
        <f t="shared" si="64"/>
        <v>0</v>
      </c>
      <c r="P317" s="136">
        <f t="shared" si="64"/>
        <v>0</v>
      </c>
      <c r="Q317" s="136">
        <f t="shared" si="64"/>
        <v>0</v>
      </c>
      <c r="R317" s="136">
        <f t="shared" si="64"/>
        <v>0</v>
      </c>
      <c r="S317" s="136">
        <f t="shared" si="64"/>
        <v>0</v>
      </c>
      <c r="T317" s="136">
        <f t="shared" si="64"/>
        <v>0</v>
      </c>
      <c r="U317" s="136">
        <f t="shared" si="64"/>
        <v>0</v>
      </c>
      <c r="V317" s="136">
        <f t="shared" si="64"/>
        <v>0</v>
      </c>
      <c r="W317" s="136">
        <f t="shared" si="64"/>
        <v>0</v>
      </c>
      <c r="X317" s="136">
        <f t="shared" si="64"/>
        <v>0</v>
      </c>
      <c r="Y317" s="136">
        <f t="shared" si="64"/>
        <v>0</v>
      </c>
      <c r="Z317" s="136">
        <f t="shared" si="64"/>
        <v>0</v>
      </c>
      <c r="AA317" s="136">
        <f t="shared" si="64"/>
        <v>0</v>
      </c>
      <c r="AB317" s="136">
        <f t="shared" si="63"/>
        <v>0</v>
      </c>
      <c r="AC317" s="136">
        <f t="shared" si="63"/>
        <v>0</v>
      </c>
      <c r="AD317" s="136">
        <f t="shared" si="63"/>
        <v>0</v>
      </c>
      <c r="AE317" s="136">
        <f t="shared" si="63"/>
        <v>0</v>
      </c>
      <c r="AF317" s="136">
        <f t="shared" si="63"/>
        <v>0</v>
      </c>
      <c r="AG317" s="136">
        <f t="shared" si="63"/>
        <v>0</v>
      </c>
      <c r="AH317" s="136">
        <f t="shared" si="63"/>
        <v>0</v>
      </c>
      <c r="AI317" s="136">
        <f t="shared" si="63"/>
        <v>0</v>
      </c>
      <c r="AJ317" s="136">
        <f t="shared" si="63"/>
        <v>0</v>
      </c>
      <c r="AK317" s="136">
        <f t="shared" si="63"/>
        <v>0</v>
      </c>
      <c r="AL317" s="136">
        <f t="shared" si="63"/>
        <v>0</v>
      </c>
      <c r="AM317" s="136">
        <f t="shared" si="63"/>
        <v>0</v>
      </c>
      <c r="AN317" s="136">
        <f t="shared" si="63"/>
        <v>0</v>
      </c>
      <c r="AO317" s="136">
        <f t="shared" si="63"/>
        <v>0</v>
      </c>
      <c r="AP317" s="136">
        <f t="shared" si="63"/>
        <v>0</v>
      </c>
      <c r="AQ317" s="136">
        <f t="shared" si="63"/>
        <v>0</v>
      </c>
      <c r="AR317" s="136">
        <f t="shared" si="66"/>
        <v>0</v>
      </c>
      <c r="AS317" s="136">
        <f t="shared" si="66"/>
        <v>0</v>
      </c>
      <c r="AT317" s="136">
        <f t="shared" si="66"/>
        <v>0</v>
      </c>
      <c r="AU317" s="136">
        <f t="shared" si="66"/>
        <v>0</v>
      </c>
      <c r="AV317" s="136">
        <f t="shared" si="66"/>
        <v>0</v>
      </c>
      <c r="AW317" s="136">
        <f t="shared" si="66"/>
        <v>0</v>
      </c>
      <c r="AX317" s="136">
        <f t="shared" si="66"/>
        <v>0</v>
      </c>
      <c r="AY317" s="136">
        <f t="shared" si="66"/>
        <v>0</v>
      </c>
      <c r="AZ317" s="136">
        <f t="shared" si="66"/>
        <v>0</v>
      </c>
      <c r="BA317" s="136">
        <f t="shared" si="66"/>
        <v>0</v>
      </c>
      <c r="BB317" s="136">
        <f t="shared" si="66"/>
        <v>0</v>
      </c>
      <c r="BC317" s="136">
        <f t="shared" si="66"/>
        <v>0</v>
      </c>
      <c r="BD317" s="136">
        <f t="shared" si="66"/>
        <v>0</v>
      </c>
      <c r="BE317" s="136">
        <f t="shared" si="66"/>
        <v>0</v>
      </c>
      <c r="BF317" s="136">
        <f t="shared" si="66"/>
        <v>0</v>
      </c>
      <c r="BG317" s="136">
        <f t="shared" si="66"/>
        <v>0</v>
      </c>
      <c r="BH317" s="136">
        <f t="shared" si="65"/>
        <v>0</v>
      </c>
      <c r="BI317" s="136">
        <f t="shared" si="65"/>
        <v>0</v>
      </c>
      <c r="BJ317" s="136">
        <f t="shared" si="65"/>
        <v>0</v>
      </c>
      <c r="BK317" s="136">
        <f t="shared" si="65"/>
        <v>0</v>
      </c>
      <c r="BL317" s="136">
        <f t="shared" si="65"/>
        <v>0</v>
      </c>
      <c r="BM317" s="136">
        <f t="shared" si="65"/>
        <v>0</v>
      </c>
      <c r="BN317" s="136">
        <f t="shared" si="65"/>
        <v>0</v>
      </c>
      <c r="BO317" s="136">
        <f t="shared" si="65"/>
        <v>0</v>
      </c>
      <c r="BU317" s="136">
        <f t="shared" ref="BU317:BX332" si="67">BU152-EM152</f>
        <v>0</v>
      </c>
      <c r="BV317" s="136">
        <f t="shared" si="67"/>
        <v>0</v>
      </c>
      <c r="BW317" s="136">
        <f t="shared" si="67"/>
        <v>0</v>
      </c>
      <c r="BX317" s="136">
        <f t="shared" si="67"/>
        <v>0</v>
      </c>
      <c r="BZ317" s="136">
        <f t="shared" ref="BZ317:CA332" si="68">BZ152-ER152</f>
        <v>0</v>
      </c>
      <c r="CA317" s="136">
        <f t="shared" si="68"/>
        <v>0</v>
      </c>
    </row>
    <row r="318" spans="12:79" hidden="1" x14ac:dyDescent="0.3">
      <c r="L318" s="136">
        <f t="shared" si="64"/>
        <v>0</v>
      </c>
      <c r="M318" s="136">
        <f t="shared" si="64"/>
        <v>0</v>
      </c>
      <c r="N318" s="136">
        <f t="shared" si="64"/>
        <v>0</v>
      </c>
      <c r="O318" s="136">
        <f t="shared" si="64"/>
        <v>0</v>
      </c>
      <c r="P318" s="136">
        <f t="shared" si="64"/>
        <v>0</v>
      </c>
      <c r="Q318" s="136">
        <f t="shared" si="64"/>
        <v>0</v>
      </c>
      <c r="R318" s="136">
        <f t="shared" si="64"/>
        <v>0</v>
      </c>
      <c r="S318" s="136">
        <f t="shared" si="64"/>
        <v>0</v>
      </c>
      <c r="T318" s="136">
        <f t="shared" si="64"/>
        <v>0</v>
      </c>
      <c r="U318" s="136">
        <f t="shared" si="64"/>
        <v>0</v>
      </c>
      <c r="V318" s="136">
        <f t="shared" si="64"/>
        <v>0</v>
      </c>
      <c r="W318" s="136">
        <f t="shared" si="64"/>
        <v>0</v>
      </c>
      <c r="X318" s="136">
        <f t="shared" si="64"/>
        <v>0</v>
      </c>
      <c r="Y318" s="136">
        <f t="shared" si="64"/>
        <v>0</v>
      </c>
      <c r="Z318" s="136">
        <f t="shared" si="64"/>
        <v>0</v>
      </c>
      <c r="AA318" s="136">
        <f t="shared" si="64"/>
        <v>0</v>
      </c>
      <c r="AB318" s="136">
        <f t="shared" si="63"/>
        <v>0</v>
      </c>
      <c r="AC318" s="136">
        <f t="shared" si="63"/>
        <v>0</v>
      </c>
      <c r="AD318" s="136">
        <f t="shared" si="63"/>
        <v>0</v>
      </c>
      <c r="AE318" s="136">
        <f t="shared" si="63"/>
        <v>0</v>
      </c>
      <c r="AF318" s="136">
        <f t="shared" si="63"/>
        <v>0</v>
      </c>
      <c r="AG318" s="136">
        <f t="shared" si="63"/>
        <v>0</v>
      </c>
      <c r="AH318" s="136">
        <f t="shared" si="63"/>
        <v>0</v>
      </c>
      <c r="AI318" s="136">
        <f t="shared" si="63"/>
        <v>0</v>
      </c>
      <c r="AJ318" s="136">
        <f t="shared" si="63"/>
        <v>0</v>
      </c>
      <c r="AK318" s="136">
        <f t="shared" si="63"/>
        <v>0</v>
      </c>
      <c r="AL318" s="136">
        <f t="shared" si="63"/>
        <v>0</v>
      </c>
      <c r="AM318" s="136">
        <f t="shared" si="63"/>
        <v>0</v>
      </c>
      <c r="AN318" s="136">
        <f t="shared" si="63"/>
        <v>0</v>
      </c>
      <c r="AO318" s="136">
        <f t="shared" si="63"/>
        <v>0</v>
      </c>
      <c r="AP318" s="136">
        <f t="shared" si="63"/>
        <v>0</v>
      </c>
      <c r="AQ318" s="136">
        <f t="shared" si="63"/>
        <v>0</v>
      </c>
      <c r="AR318" s="136">
        <f t="shared" si="66"/>
        <v>0</v>
      </c>
      <c r="AS318" s="136">
        <f t="shared" si="66"/>
        <v>0</v>
      </c>
      <c r="AT318" s="136">
        <f t="shared" si="66"/>
        <v>0</v>
      </c>
      <c r="AU318" s="136">
        <f t="shared" si="66"/>
        <v>0</v>
      </c>
      <c r="AV318" s="136">
        <f t="shared" si="66"/>
        <v>0</v>
      </c>
      <c r="AW318" s="136">
        <f t="shared" si="66"/>
        <v>0</v>
      </c>
      <c r="AX318" s="136">
        <f t="shared" si="66"/>
        <v>0</v>
      </c>
      <c r="AY318" s="136">
        <f t="shared" si="66"/>
        <v>0</v>
      </c>
      <c r="AZ318" s="136">
        <f t="shared" si="66"/>
        <v>0</v>
      </c>
      <c r="BA318" s="136">
        <f t="shared" si="66"/>
        <v>0</v>
      </c>
      <c r="BB318" s="136">
        <f t="shared" si="66"/>
        <v>0</v>
      </c>
      <c r="BC318" s="136">
        <f t="shared" si="66"/>
        <v>0</v>
      </c>
      <c r="BD318" s="136">
        <f t="shared" si="66"/>
        <v>0</v>
      </c>
      <c r="BE318" s="136">
        <f t="shared" si="66"/>
        <v>0</v>
      </c>
      <c r="BF318" s="136">
        <f t="shared" si="66"/>
        <v>0</v>
      </c>
      <c r="BG318" s="136">
        <f t="shared" si="66"/>
        <v>0</v>
      </c>
      <c r="BH318" s="136">
        <f t="shared" si="65"/>
        <v>0</v>
      </c>
      <c r="BI318" s="136">
        <f t="shared" si="65"/>
        <v>0</v>
      </c>
      <c r="BJ318" s="136">
        <f t="shared" si="65"/>
        <v>0</v>
      </c>
      <c r="BK318" s="136">
        <f t="shared" si="65"/>
        <v>0</v>
      </c>
      <c r="BL318" s="136">
        <f t="shared" si="65"/>
        <v>0</v>
      </c>
      <c r="BM318" s="136">
        <f t="shared" si="65"/>
        <v>0</v>
      </c>
      <c r="BN318" s="136">
        <f t="shared" si="65"/>
        <v>0</v>
      </c>
      <c r="BO318" s="136">
        <f t="shared" si="65"/>
        <v>0</v>
      </c>
      <c r="BU318" s="136">
        <f t="shared" si="67"/>
        <v>0</v>
      </c>
      <c r="BV318" s="136">
        <f t="shared" si="67"/>
        <v>0</v>
      </c>
      <c r="BW318" s="136">
        <f t="shared" si="67"/>
        <v>0</v>
      </c>
      <c r="BX318" s="136">
        <f t="shared" si="67"/>
        <v>0</v>
      </c>
      <c r="BZ318" s="136">
        <f t="shared" si="68"/>
        <v>0</v>
      </c>
      <c r="CA318" s="136">
        <f t="shared" si="68"/>
        <v>0</v>
      </c>
    </row>
    <row r="319" spans="12:79" hidden="1" x14ac:dyDescent="0.3">
      <c r="L319" s="136">
        <f t="shared" si="64"/>
        <v>0</v>
      </c>
      <c r="M319" s="136">
        <f t="shared" si="64"/>
        <v>0</v>
      </c>
      <c r="N319" s="136">
        <f t="shared" si="64"/>
        <v>0</v>
      </c>
      <c r="O319" s="136">
        <f t="shared" si="64"/>
        <v>0</v>
      </c>
      <c r="P319" s="136">
        <f t="shared" si="64"/>
        <v>0</v>
      </c>
      <c r="Q319" s="136">
        <f t="shared" si="64"/>
        <v>0</v>
      </c>
      <c r="R319" s="136">
        <f t="shared" si="64"/>
        <v>0</v>
      </c>
      <c r="S319" s="136">
        <f t="shared" si="64"/>
        <v>0</v>
      </c>
      <c r="T319" s="136">
        <f t="shared" si="64"/>
        <v>0</v>
      </c>
      <c r="U319" s="136">
        <f t="shared" si="64"/>
        <v>0</v>
      </c>
      <c r="V319" s="136">
        <f t="shared" si="64"/>
        <v>0</v>
      </c>
      <c r="W319" s="136">
        <f t="shared" si="64"/>
        <v>0</v>
      </c>
      <c r="X319" s="136">
        <f t="shared" si="64"/>
        <v>0</v>
      </c>
      <c r="Y319" s="136">
        <f t="shared" si="64"/>
        <v>0</v>
      </c>
      <c r="Z319" s="136">
        <f t="shared" si="64"/>
        <v>0</v>
      </c>
      <c r="AA319" s="136">
        <f t="shared" si="64"/>
        <v>0</v>
      </c>
      <c r="AB319" s="136">
        <f t="shared" si="63"/>
        <v>0</v>
      </c>
      <c r="AC319" s="136">
        <f t="shared" si="63"/>
        <v>0</v>
      </c>
      <c r="AD319" s="136">
        <f t="shared" si="63"/>
        <v>0</v>
      </c>
      <c r="AE319" s="136">
        <f t="shared" si="63"/>
        <v>0</v>
      </c>
      <c r="AF319" s="136">
        <f t="shared" si="63"/>
        <v>0</v>
      </c>
      <c r="AG319" s="136">
        <f t="shared" si="63"/>
        <v>0</v>
      </c>
      <c r="AH319" s="136">
        <f t="shared" si="63"/>
        <v>0</v>
      </c>
      <c r="AI319" s="136">
        <f t="shared" si="63"/>
        <v>0</v>
      </c>
      <c r="AJ319" s="136">
        <f t="shared" si="63"/>
        <v>0</v>
      </c>
      <c r="AK319" s="136">
        <f t="shared" si="63"/>
        <v>0</v>
      </c>
      <c r="AL319" s="136">
        <f t="shared" si="63"/>
        <v>0</v>
      </c>
      <c r="AM319" s="136">
        <f t="shared" si="63"/>
        <v>0</v>
      </c>
      <c r="AN319" s="136">
        <f t="shared" si="63"/>
        <v>0</v>
      </c>
      <c r="AO319" s="136">
        <f t="shared" si="63"/>
        <v>0</v>
      </c>
      <c r="AP319" s="136">
        <f t="shared" si="63"/>
        <v>0</v>
      </c>
      <c r="AQ319" s="136">
        <f t="shared" si="63"/>
        <v>0</v>
      </c>
      <c r="AR319" s="136">
        <f t="shared" si="66"/>
        <v>0</v>
      </c>
      <c r="AS319" s="136">
        <f t="shared" si="66"/>
        <v>0</v>
      </c>
      <c r="AT319" s="136">
        <f t="shared" si="66"/>
        <v>0</v>
      </c>
      <c r="AU319" s="136">
        <f t="shared" si="66"/>
        <v>0</v>
      </c>
      <c r="AV319" s="136">
        <f t="shared" si="66"/>
        <v>0</v>
      </c>
      <c r="AW319" s="136">
        <f t="shared" si="66"/>
        <v>0</v>
      </c>
      <c r="AX319" s="136">
        <f t="shared" si="66"/>
        <v>0</v>
      </c>
      <c r="AY319" s="136">
        <f t="shared" si="66"/>
        <v>0</v>
      </c>
      <c r="AZ319" s="136">
        <f t="shared" si="66"/>
        <v>0</v>
      </c>
      <c r="BA319" s="136">
        <f t="shared" si="66"/>
        <v>0</v>
      </c>
      <c r="BB319" s="136">
        <f t="shared" si="66"/>
        <v>0</v>
      </c>
      <c r="BC319" s="136">
        <f t="shared" si="66"/>
        <v>0</v>
      </c>
      <c r="BD319" s="136">
        <f t="shared" si="66"/>
        <v>0</v>
      </c>
      <c r="BE319" s="136">
        <f t="shared" si="66"/>
        <v>0</v>
      </c>
      <c r="BF319" s="136">
        <f t="shared" si="66"/>
        <v>0</v>
      </c>
      <c r="BG319" s="136">
        <f t="shared" si="66"/>
        <v>0</v>
      </c>
      <c r="BH319" s="136">
        <f t="shared" si="65"/>
        <v>0</v>
      </c>
      <c r="BI319" s="136">
        <f t="shared" si="65"/>
        <v>0</v>
      </c>
      <c r="BJ319" s="136">
        <f t="shared" si="65"/>
        <v>0</v>
      </c>
      <c r="BK319" s="136">
        <f t="shared" si="65"/>
        <v>0</v>
      </c>
      <c r="BL319" s="136">
        <f t="shared" si="65"/>
        <v>0</v>
      </c>
      <c r="BM319" s="136">
        <f t="shared" si="65"/>
        <v>0</v>
      </c>
      <c r="BN319" s="136">
        <f t="shared" si="65"/>
        <v>0</v>
      </c>
      <c r="BO319" s="136">
        <f t="shared" si="65"/>
        <v>0</v>
      </c>
      <c r="BU319" s="136">
        <f t="shared" si="67"/>
        <v>0</v>
      </c>
      <c r="BV319" s="136">
        <f t="shared" si="67"/>
        <v>0</v>
      </c>
      <c r="BW319" s="136">
        <f t="shared" si="67"/>
        <v>0</v>
      </c>
      <c r="BX319" s="136">
        <f t="shared" si="67"/>
        <v>0</v>
      </c>
      <c r="BZ319" s="136">
        <f t="shared" si="68"/>
        <v>0</v>
      </c>
      <c r="CA319" s="136">
        <f t="shared" si="68"/>
        <v>0</v>
      </c>
    </row>
    <row r="320" spans="12:79" hidden="1" x14ac:dyDescent="0.3">
      <c r="L320" s="136">
        <f t="shared" si="64"/>
        <v>0</v>
      </c>
      <c r="M320" s="136">
        <f t="shared" si="64"/>
        <v>0</v>
      </c>
      <c r="N320" s="136">
        <f t="shared" si="64"/>
        <v>0</v>
      </c>
      <c r="O320" s="136">
        <f t="shared" si="64"/>
        <v>0</v>
      </c>
      <c r="P320" s="136">
        <f t="shared" si="64"/>
        <v>0</v>
      </c>
      <c r="Q320" s="136">
        <f t="shared" si="64"/>
        <v>0</v>
      </c>
      <c r="R320" s="136">
        <f t="shared" si="64"/>
        <v>0</v>
      </c>
      <c r="S320" s="136">
        <f t="shared" si="64"/>
        <v>0</v>
      </c>
      <c r="T320" s="136">
        <f t="shared" si="64"/>
        <v>0</v>
      </c>
      <c r="U320" s="136">
        <f t="shared" si="64"/>
        <v>0</v>
      </c>
      <c r="V320" s="136">
        <f t="shared" si="64"/>
        <v>0</v>
      </c>
      <c r="W320" s="136">
        <f t="shared" si="64"/>
        <v>0</v>
      </c>
      <c r="X320" s="136">
        <f t="shared" si="64"/>
        <v>0</v>
      </c>
      <c r="Y320" s="136">
        <f t="shared" si="64"/>
        <v>0</v>
      </c>
      <c r="Z320" s="136">
        <f t="shared" si="64"/>
        <v>0</v>
      </c>
      <c r="AA320" s="136">
        <f t="shared" si="64"/>
        <v>0</v>
      </c>
      <c r="AB320" s="136">
        <f t="shared" si="63"/>
        <v>0</v>
      </c>
      <c r="AC320" s="136">
        <f t="shared" si="63"/>
        <v>0</v>
      </c>
      <c r="AD320" s="136">
        <f t="shared" si="63"/>
        <v>0</v>
      </c>
      <c r="AE320" s="136">
        <f t="shared" si="63"/>
        <v>0</v>
      </c>
      <c r="AF320" s="136">
        <f t="shared" si="63"/>
        <v>0</v>
      </c>
      <c r="AG320" s="136">
        <f t="shared" si="63"/>
        <v>0</v>
      </c>
      <c r="AH320" s="136">
        <f t="shared" si="63"/>
        <v>0</v>
      </c>
      <c r="AI320" s="136">
        <f t="shared" si="63"/>
        <v>0</v>
      </c>
      <c r="AJ320" s="136">
        <f t="shared" si="63"/>
        <v>0</v>
      </c>
      <c r="AK320" s="136">
        <f t="shared" si="63"/>
        <v>0</v>
      </c>
      <c r="AL320" s="136">
        <f t="shared" si="63"/>
        <v>0</v>
      </c>
      <c r="AM320" s="136">
        <f t="shared" si="63"/>
        <v>0</v>
      </c>
      <c r="AN320" s="136">
        <f t="shared" si="63"/>
        <v>0</v>
      </c>
      <c r="AO320" s="136">
        <f t="shared" si="63"/>
        <v>0</v>
      </c>
      <c r="AP320" s="136">
        <f t="shared" si="63"/>
        <v>0</v>
      </c>
      <c r="AQ320" s="136">
        <f t="shared" si="63"/>
        <v>0</v>
      </c>
      <c r="AR320" s="136">
        <f t="shared" si="66"/>
        <v>0</v>
      </c>
      <c r="AS320" s="136">
        <f t="shared" si="66"/>
        <v>0</v>
      </c>
      <c r="AT320" s="136">
        <f t="shared" si="66"/>
        <v>0</v>
      </c>
      <c r="AU320" s="136">
        <f t="shared" si="66"/>
        <v>0</v>
      </c>
      <c r="AV320" s="136">
        <f t="shared" si="66"/>
        <v>0</v>
      </c>
      <c r="AW320" s="136">
        <f t="shared" si="66"/>
        <v>0</v>
      </c>
      <c r="AX320" s="136">
        <f t="shared" si="66"/>
        <v>0</v>
      </c>
      <c r="AY320" s="136">
        <f t="shared" si="66"/>
        <v>0</v>
      </c>
      <c r="AZ320" s="136">
        <f t="shared" si="66"/>
        <v>0</v>
      </c>
      <c r="BA320" s="136">
        <f t="shared" si="66"/>
        <v>0</v>
      </c>
      <c r="BB320" s="136">
        <f t="shared" si="66"/>
        <v>0</v>
      </c>
      <c r="BC320" s="136">
        <f t="shared" si="66"/>
        <v>0</v>
      </c>
      <c r="BD320" s="136">
        <f t="shared" si="66"/>
        <v>0</v>
      </c>
      <c r="BE320" s="136">
        <f t="shared" si="66"/>
        <v>0</v>
      </c>
      <c r="BF320" s="136">
        <f t="shared" si="66"/>
        <v>0</v>
      </c>
      <c r="BG320" s="136">
        <f t="shared" si="66"/>
        <v>0</v>
      </c>
      <c r="BH320" s="136">
        <f t="shared" si="65"/>
        <v>0</v>
      </c>
      <c r="BI320" s="136">
        <f t="shared" si="65"/>
        <v>0</v>
      </c>
      <c r="BJ320" s="136">
        <f t="shared" si="65"/>
        <v>0</v>
      </c>
      <c r="BK320" s="136">
        <f t="shared" si="65"/>
        <v>0</v>
      </c>
      <c r="BL320" s="136">
        <f t="shared" si="65"/>
        <v>0</v>
      </c>
      <c r="BM320" s="136">
        <f t="shared" si="65"/>
        <v>0</v>
      </c>
      <c r="BN320" s="136">
        <f t="shared" si="65"/>
        <v>0</v>
      </c>
      <c r="BO320" s="136">
        <f t="shared" si="65"/>
        <v>0</v>
      </c>
      <c r="BU320" s="136">
        <f t="shared" si="67"/>
        <v>0</v>
      </c>
      <c r="BV320" s="136">
        <f t="shared" si="67"/>
        <v>0</v>
      </c>
      <c r="BW320" s="136">
        <f t="shared" si="67"/>
        <v>0</v>
      </c>
      <c r="BX320" s="136">
        <f t="shared" si="67"/>
        <v>0</v>
      </c>
      <c r="BZ320" s="136">
        <f t="shared" si="68"/>
        <v>0</v>
      </c>
      <c r="CA320" s="136">
        <f t="shared" si="68"/>
        <v>0</v>
      </c>
    </row>
    <row r="321" spans="12:79" hidden="1" x14ac:dyDescent="0.3">
      <c r="L321" s="136">
        <f t="shared" si="64"/>
        <v>0</v>
      </c>
      <c r="M321" s="136">
        <f t="shared" si="64"/>
        <v>0</v>
      </c>
      <c r="N321" s="136">
        <f t="shared" si="64"/>
        <v>0</v>
      </c>
      <c r="O321" s="136">
        <f t="shared" si="64"/>
        <v>0</v>
      </c>
      <c r="P321" s="136">
        <f t="shared" si="64"/>
        <v>0</v>
      </c>
      <c r="Q321" s="136">
        <f t="shared" si="64"/>
        <v>0</v>
      </c>
      <c r="R321" s="136">
        <f t="shared" si="64"/>
        <v>0</v>
      </c>
      <c r="S321" s="136">
        <f t="shared" si="64"/>
        <v>0</v>
      </c>
      <c r="T321" s="136">
        <f t="shared" si="64"/>
        <v>0</v>
      </c>
      <c r="U321" s="136">
        <f t="shared" si="64"/>
        <v>0</v>
      </c>
      <c r="V321" s="136">
        <f t="shared" si="64"/>
        <v>0</v>
      </c>
      <c r="W321" s="136">
        <f t="shared" si="64"/>
        <v>0</v>
      </c>
      <c r="X321" s="136">
        <f t="shared" si="64"/>
        <v>0</v>
      </c>
      <c r="Y321" s="136">
        <f t="shared" si="64"/>
        <v>0</v>
      </c>
      <c r="Z321" s="136">
        <f t="shared" si="64"/>
        <v>0</v>
      </c>
      <c r="AA321" s="136">
        <f t="shared" si="64"/>
        <v>0</v>
      </c>
      <c r="AB321" s="136">
        <f t="shared" si="63"/>
        <v>0</v>
      </c>
      <c r="AC321" s="136">
        <f t="shared" si="63"/>
        <v>0</v>
      </c>
      <c r="AD321" s="136">
        <f t="shared" si="63"/>
        <v>0</v>
      </c>
      <c r="AE321" s="136">
        <f t="shared" si="63"/>
        <v>0</v>
      </c>
      <c r="AF321" s="136">
        <f t="shared" si="63"/>
        <v>0</v>
      </c>
      <c r="AG321" s="136">
        <f t="shared" si="63"/>
        <v>0</v>
      </c>
      <c r="AH321" s="136">
        <f t="shared" si="63"/>
        <v>0</v>
      </c>
      <c r="AI321" s="136">
        <f t="shared" si="63"/>
        <v>0</v>
      </c>
      <c r="AJ321" s="136">
        <f t="shared" si="63"/>
        <v>0</v>
      </c>
      <c r="AK321" s="136">
        <f t="shared" si="63"/>
        <v>0</v>
      </c>
      <c r="AL321" s="136">
        <f t="shared" si="63"/>
        <v>0</v>
      </c>
      <c r="AM321" s="136">
        <f t="shared" si="63"/>
        <v>0</v>
      </c>
      <c r="AN321" s="136">
        <f t="shared" si="63"/>
        <v>0</v>
      </c>
      <c r="AO321" s="136">
        <f t="shared" si="63"/>
        <v>0</v>
      </c>
      <c r="AP321" s="136">
        <f t="shared" si="63"/>
        <v>0</v>
      </c>
      <c r="AQ321" s="136">
        <f t="shared" si="63"/>
        <v>0</v>
      </c>
      <c r="AR321" s="136">
        <f t="shared" si="66"/>
        <v>0</v>
      </c>
      <c r="AS321" s="136">
        <f t="shared" si="66"/>
        <v>0</v>
      </c>
      <c r="AT321" s="136">
        <f t="shared" si="66"/>
        <v>0</v>
      </c>
      <c r="AU321" s="136">
        <f t="shared" si="66"/>
        <v>0</v>
      </c>
      <c r="AV321" s="136">
        <f t="shared" si="66"/>
        <v>0</v>
      </c>
      <c r="AW321" s="136">
        <f t="shared" si="66"/>
        <v>0</v>
      </c>
      <c r="AX321" s="136">
        <f t="shared" si="66"/>
        <v>0</v>
      </c>
      <c r="AY321" s="136">
        <f t="shared" si="66"/>
        <v>0</v>
      </c>
      <c r="AZ321" s="136">
        <f t="shared" si="66"/>
        <v>0</v>
      </c>
      <c r="BA321" s="136">
        <f t="shared" si="66"/>
        <v>0</v>
      </c>
      <c r="BB321" s="136">
        <f t="shared" si="66"/>
        <v>0</v>
      </c>
      <c r="BC321" s="136">
        <f t="shared" si="66"/>
        <v>0</v>
      </c>
      <c r="BD321" s="136">
        <f t="shared" si="66"/>
        <v>0</v>
      </c>
      <c r="BE321" s="136">
        <f t="shared" si="66"/>
        <v>0</v>
      </c>
      <c r="BF321" s="136">
        <f t="shared" si="66"/>
        <v>0</v>
      </c>
      <c r="BG321" s="136">
        <f t="shared" si="66"/>
        <v>0</v>
      </c>
      <c r="BH321" s="136">
        <f t="shared" si="65"/>
        <v>0</v>
      </c>
      <c r="BI321" s="136">
        <f t="shared" si="65"/>
        <v>0</v>
      </c>
      <c r="BJ321" s="136">
        <f t="shared" si="65"/>
        <v>0</v>
      </c>
      <c r="BK321" s="136">
        <f t="shared" si="65"/>
        <v>0</v>
      </c>
      <c r="BL321" s="136">
        <f t="shared" si="65"/>
        <v>0</v>
      </c>
      <c r="BM321" s="136">
        <f t="shared" si="65"/>
        <v>0</v>
      </c>
      <c r="BN321" s="136">
        <f t="shared" si="65"/>
        <v>0</v>
      </c>
      <c r="BO321" s="136">
        <f t="shared" si="65"/>
        <v>0</v>
      </c>
      <c r="BU321" s="136">
        <f t="shared" si="67"/>
        <v>0</v>
      </c>
      <c r="BV321" s="136">
        <f t="shared" si="67"/>
        <v>0</v>
      </c>
      <c r="BW321" s="136">
        <f t="shared" si="67"/>
        <v>0</v>
      </c>
      <c r="BX321" s="136">
        <f t="shared" si="67"/>
        <v>0</v>
      </c>
      <c r="BZ321" s="136">
        <f t="shared" si="68"/>
        <v>0</v>
      </c>
      <c r="CA321" s="136">
        <f t="shared" si="68"/>
        <v>0</v>
      </c>
    </row>
    <row r="322" spans="12:79" hidden="1" x14ac:dyDescent="0.3">
      <c r="L322" s="136">
        <f t="shared" si="64"/>
        <v>0</v>
      </c>
      <c r="M322" s="136">
        <f t="shared" si="64"/>
        <v>0</v>
      </c>
      <c r="N322" s="136">
        <f t="shared" si="64"/>
        <v>0</v>
      </c>
      <c r="O322" s="136">
        <f t="shared" si="64"/>
        <v>0</v>
      </c>
      <c r="P322" s="136">
        <f t="shared" si="64"/>
        <v>0</v>
      </c>
      <c r="Q322" s="136">
        <f t="shared" si="64"/>
        <v>0</v>
      </c>
      <c r="R322" s="136">
        <f t="shared" si="64"/>
        <v>0</v>
      </c>
      <c r="S322" s="136">
        <f t="shared" si="64"/>
        <v>0</v>
      </c>
      <c r="T322" s="136">
        <f t="shared" si="64"/>
        <v>0</v>
      </c>
      <c r="U322" s="136">
        <f t="shared" si="64"/>
        <v>0</v>
      </c>
      <c r="V322" s="136">
        <f t="shared" si="64"/>
        <v>0</v>
      </c>
      <c r="W322" s="136">
        <f t="shared" si="64"/>
        <v>0</v>
      </c>
      <c r="X322" s="136">
        <f t="shared" si="64"/>
        <v>0</v>
      </c>
      <c r="Y322" s="136">
        <f t="shared" si="64"/>
        <v>0</v>
      </c>
      <c r="Z322" s="136">
        <f t="shared" si="64"/>
        <v>0</v>
      </c>
      <c r="AA322" s="136">
        <f t="shared" ref="AA322:AQ336" si="69">AA149-CS149</f>
        <v>0</v>
      </c>
      <c r="AB322" s="136">
        <f t="shared" si="69"/>
        <v>0</v>
      </c>
      <c r="AC322" s="136">
        <f t="shared" si="69"/>
        <v>0</v>
      </c>
      <c r="AD322" s="136">
        <f t="shared" si="69"/>
        <v>0</v>
      </c>
      <c r="AE322" s="136">
        <f t="shared" si="69"/>
        <v>0</v>
      </c>
      <c r="AF322" s="136">
        <f t="shared" si="69"/>
        <v>0</v>
      </c>
      <c r="AG322" s="136">
        <f t="shared" si="69"/>
        <v>0</v>
      </c>
      <c r="AH322" s="136">
        <f t="shared" si="69"/>
        <v>0</v>
      </c>
      <c r="AI322" s="136">
        <f t="shared" si="69"/>
        <v>0</v>
      </c>
      <c r="AJ322" s="136">
        <f t="shared" si="69"/>
        <v>0</v>
      </c>
      <c r="AK322" s="136">
        <f t="shared" si="69"/>
        <v>0</v>
      </c>
      <c r="AL322" s="136">
        <f t="shared" si="69"/>
        <v>0</v>
      </c>
      <c r="AM322" s="136">
        <f t="shared" si="69"/>
        <v>0</v>
      </c>
      <c r="AN322" s="136">
        <f t="shared" si="69"/>
        <v>0</v>
      </c>
      <c r="AO322" s="136">
        <f t="shared" si="69"/>
        <v>0</v>
      </c>
      <c r="AP322" s="136">
        <f t="shared" si="69"/>
        <v>0</v>
      </c>
      <c r="AQ322" s="136">
        <f t="shared" si="69"/>
        <v>0</v>
      </c>
      <c r="AR322" s="136">
        <f t="shared" si="66"/>
        <v>0</v>
      </c>
      <c r="AS322" s="136">
        <f t="shared" si="66"/>
        <v>0</v>
      </c>
      <c r="AT322" s="136">
        <f t="shared" si="66"/>
        <v>0</v>
      </c>
      <c r="AU322" s="136">
        <f t="shared" si="66"/>
        <v>0</v>
      </c>
      <c r="AV322" s="136">
        <f t="shared" si="66"/>
        <v>0</v>
      </c>
      <c r="AW322" s="136">
        <f t="shared" si="66"/>
        <v>0</v>
      </c>
      <c r="AX322" s="136">
        <f t="shared" si="66"/>
        <v>0</v>
      </c>
      <c r="AY322" s="136">
        <f t="shared" si="66"/>
        <v>0</v>
      </c>
      <c r="AZ322" s="136">
        <f t="shared" si="66"/>
        <v>0</v>
      </c>
      <c r="BA322" s="136">
        <f t="shared" si="66"/>
        <v>0</v>
      </c>
      <c r="BB322" s="136">
        <f t="shared" si="66"/>
        <v>0</v>
      </c>
      <c r="BC322" s="136">
        <f t="shared" si="66"/>
        <v>0</v>
      </c>
      <c r="BD322" s="136">
        <f t="shared" si="66"/>
        <v>0</v>
      </c>
      <c r="BE322" s="136">
        <f t="shared" si="66"/>
        <v>0</v>
      </c>
      <c r="BF322" s="136">
        <f t="shared" si="66"/>
        <v>0</v>
      </c>
      <c r="BG322" s="136">
        <f t="shared" si="66"/>
        <v>0</v>
      </c>
      <c r="BH322" s="136">
        <f t="shared" si="65"/>
        <v>0</v>
      </c>
      <c r="BI322" s="136">
        <f t="shared" si="65"/>
        <v>0</v>
      </c>
      <c r="BJ322" s="136">
        <f t="shared" si="65"/>
        <v>0</v>
      </c>
      <c r="BK322" s="136">
        <f t="shared" si="65"/>
        <v>0</v>
      </c>
      <c r="BL322" s="136">
        <f t="shared" si="65"/>
        <v>0</v>
      </c>
      <c r="BM322" s="136">
        <f t="shared" si="65"/>
        <v>0</v>
      </c>
      <c r="BN322" s="136">
        <f t="shared" si="65"/>
        <v>0</v>
      </c>
      <c r="BO322" s="136">
        <f t="shared" si="65"/>
        <v>0</v>
      </c>
      <c r="BU322" s="136">
        <f t="shared" si="67"/>
        <v>0</v>
      </c>
      <c r="BV322" s="136">
        <f t="shared" si="67"/>
        <v>0</v>
      </c>
      <c r="BW322" s="136">
        <f t="shared" si="67"/>
        <v>0</v>
      </c>
      <c r="BX322" s="136">
        <f t="shared" si="67"/>
        <v>0</v>
      </c>
      <c r="BZ322" s="136">
        <f t="shared" si="68"/>
        <v>0</v>
      </c>
      <c r="CA322" s="136">
        <f t="shared" si="68"/>
        <v>0</v>
      </c>
    </row>
    <row r="323" spans="12:79" hidden="1" x14ac:dyDescent="0.3">
      <c r="L323" s="136">
        <f t="shared" ref="L323:AA338" si="70">L150-CD150</f>
        <v>0</v>
      </c>
      <c r="M323" s="136">
        <f t="shared" si="70"/>
        <v>0</v>
      </c>
      <c r="N323" s="136">
        <f t="shared" si="70"/>
        <v>0</v>
      </c>
      <c r="O323" s="136">
        <f t="shared" si="70"/>
        <v>0</v>
      </c>
      <c r="P323" s="136">
        <f t="shared" si="70"/>
        <v>0</v>
      </c>
      <c r="Q323" s="136">
        <f t="shared" si="70"/>
        <v>0</v>
      </c>
      <c r="R323" s="136">
        <f t="shared" si="70"/>
        <v>0</v>
      </c>
      <c r="S323" s="136">
        <f t="shared" si="70"/>
        <v>0</v>
      </c>
      <c r="T323" s="136">
        <f t="shared" si="70"/>
        <v>0</v>
      </c>
      <c r="U323" s="136">
        <f t="shared" si="70"/>
        <v>0</v>
      </c>
      <c r="V323" s="136">
        <f t="shared" si="70"/>
        <v>0</v>
      </c>
      <c r="W323" s="136">
        <f t="shared" si="70"/>
        <v>0</v>
      </c>
      <c r="X323" s="136">
        <f t="shared" si="70"/>
        <v>0</v>
      </c>
      <c r="Y323" s="136">
        <f t="shared" si="70"/>
        <v>0</v>
      </c>
      <c r="Z323" s="136">
        <f t="shared" si="70"/>
        <v>0</v>
      </c>
      <c r="AA323" s="136">
        <f t="shared" si="69"/>
        <v>0</v>
      </c>
      <c r="AB323" s="136">
        <f t="shared" si="69"/>
        <v>0</v>
      </c>
      <c r="AC323" s="136">
        <f t="shared" si="69"/>
        <v>0</v>
      </c>
      <c r="AD323" s="136">
        <f t="shared" si="69"/>
        <v>0</v>
      </c>
      <c r="AE323" s="136">
        <f t="shared" si="69"/>
        <v>0</v>
      </c>
      <c r="AF323" s="136">
        <f t="shared" si="69"/>
        <v>0</v>
      </c>
      <c r="AG323" s="136">
        <f t="shared" si="69"/>
        <v>0</v>
      </c>
      <c r="AH323" s="136">
        <f t="shared" si="69"/>
        <v>0</v>
      </c>
      <c r="AI323" s="136">
        <f t="shared" si="69"/>
        <v>0</v>
      </c>
      <c r="AJ323" s="136">
        <f t="shared" si="69"/>
        <v>0</v>
      </c>
      <c r="AK323" s="136">
        <f t="shared" si="69"/>
        <v>0</v>
      </c>
      <c r="AL323" s="136">
        <f t="shared" si="69"/>
        <v>0</v>
      </c>
      <c r="AM323" s="136">
        <f t="shared" si="69"/>
        <v>0</v>
      </c>
      <c r="AN323" s="136">
        <f t="shared" si="69"/>
        <v>0</v>
      </c>
      <c r="AO323" s="136">
        <f t="shared" si="69"/>
        <v>0</v>
      </c>
      <c r="AP323" s="136">
        <f t="shared" si="69"/>
        <v>0</v>
      </c>
      <c r="AQ323" s="136">
        <f t="shared" si="69"/>
        <v>0</v>
      </c>
      <c r="AR323" s="136">
        <f t="shared" si="66"/>
        <v>0</v>
      </c>
      <c r="AS323" s="136">
        <f t="shared" si="66"/>
        <v>0</v>
      </c>
      <c r="AT323" s="136">
        <f t="shared" si="66"/>
        <v>0</v>
      </c>
      <c r="AU323" s="136">
        <f t="shared" si="66"/>
        <v>0</v>
      </c>
      <c r="AV323" s="136">
        <f t="shared" si="66"/>
        <v>0</v>
      </c>
      <c r="AW323" s="136">
        <f t="shared" si="66"/>
        <v>0</v>
      </c>
      <c r="AX323" s="136">
        <f t="shared" si="66"/>
        <v>0</v>
      </c>
      <c r="AY323" s="136">
        <f t="shared" si="66"/>
        <v>0</v>
      </c>
      <c r="AZ323" s="136">
        <f t="shared" si="66"/>
        <v>0</v>
      </c>
      <c r="BA323" s="136">
        <f t="shared" si="66"/>
        <v>0</v>
      </c>
      <c r="BB323" s="136">
        <f t="shared" si="66"/>
        <v>0</v>
      </c>
      <c r="BC323" s="136">
        <f t="shared" si="66"/>
        <v>0</v>
      </c>
      <c r="BD323" s="136">
        <f t="shared" si="66"/>
        <v>0</v>
      </c>
      <c r="BE323" s="136">
        <f t="shared" si="66"/>
        <v>0</v>
      </c>
      <c r="BF323" s="136">
        <f t="shared" si="66"/>
        <v>0</v>
      </c>
      <c r="BG323" s="136">
        <f t="shared" si="66"/>
        <v>0</v>
      </c>
      <c r="BH323" s="136">
        <f t="shared" si="65"/>
        <v>0</v>
      </c>
      <c r="BI323" s="136">
        <f t="shared" si="65"/>
        <v>0</v>
      </c>
      <c r="BJ323" s="136">
        <f t="shared" si="65"/>
        <v>0</v>
      </c>
      <c r="BK323" s="136">
        <f t="shared" si="65"/>
        <v>0</v>
      </c>
      <c r="BL323" s="136">
        <f t="shared" si="65"/>
        <v>0</v>
      </c>
      <c r="BM323" s="136">
        <f t="shared" si="65"/>
        <v>0</v>
      </c>
      <c r="BN323" s="136">
        <f t="shared" si="65"/>
        <v>0</v>
      </c>
      <c r="BO323" s="136">
        <f t="shared" si="65"/>
        <v>0</v>
      </c>
      <c r="BU323" s="136">
        <f t="shared" si="67"/>
        <v>0</v>
      </c>
      <c r="BV323" s="136">
        <f t="shared" si="67"/>
        <v>0</v>
      </c>
      <c r="BW323" s="136">
        <f t="shared" si="67"/>
        <v>0</v>
      </c>
      <c r="BX323" s="136">
        <f t="shared" si="67"/>
        <v>0</v>
      </c>
      <c r="BZ323" s="136">
        <f t="shared" si="68"/>
        <v>0</v>
      </c>
      <c r="CA323" s="136">
        <f t="shared" si="68"/>
        <v>0</v>
      </c>
    </row>
    <row r="324" spans="12:79" hidden="1" x14ac:dyDescent="0.3">
      <c r="L324" s="136">
        <f t="shared" si="70"/>
        <v>0</v>
      </c>
      <c r="M324" s="136">
        <f t="shared" si="70"/>
        <v>0</v>
      </c>
      <c r="N324" s="136">
        <f t="shared" si="70"/>
        <v>0</v>
      </c>
      <c r="O324" s="136">
        <f t="shared" si="70"/>
        <v>0</v>
      </c>
      <c r="P324" s="136">
        <f t="shared" si="70"/>
        <v>0</v>
      </c>
      <c r="Q324" s="136">
        <f t="shared" si="70"/>
        <v>0</v>
      </c>
      <c r="R324" s="136">
        <f t="shared" si="70"/>
        <v>0</v>
      </c>
      <c r="S324" s="136">
        <f t="shared" si="70"/>
        <v>0</v>
      </c>
      <c r="T324" s="136">
        <f t="shared" si="70"/>
        <v>0</v>
      </c>
      <c r="U324" s="136">
        <f t="shared" si="70"/>
        <v>0</v>
      </c>
      <c r="V324" s="136">
        <f t="shared" si="70"/>
        <v>0</v>
      </c>
      <c r="W324" s="136">
        <f t="shared" si="70"/>
        <v>0</v>
      </c>
      <c r="X324" s="136">
        <f t="shared" si="70"/>
        <v>0</v>
      </c>
      <c r="Y324" s="136">
        <f t="shared" si="70"/>
        <v>0</v>
      </c>
      <c r="Z324" s="136">
        <f t="shared" si="70"/>
        <v>0</v>
      </c>
      <c r="AA324" s="136">
        <f t="shared" si="69"/>
        <v>0</v>
      </c>
      <c r="AB324" s="136">
        <f t="shared" si="69"/>
        <v>0</v>
      </c>
      <c r="AC324" s="136">
        <f t="shared" si="69"/>
        <v>0</v>
      </c>
      <c r="AD324" s="136">
        <f t="shared" si="69"/>
        <v>0</v>
      </c>
      <c r="AE324" s="136">
        <f t="shared" si="69"/>
        <v>0</v>
      </c>
      <c r="AF324" s="136">
        <f t="shared" si="69"/>
        <v>0</v>
      </c>
      <c r="AG324" s="136">
        <f t="shared" si="69"/>
        <v>0</v>
      </c>
      <c r="AH324" s="136">
        <f t="shared" si="69"/>
        <v>0</v>
      </c>
      <c r="AI324" s="136">
        <f t="shared" si="69"/>
        <v>0</v>
      </c>
      <c r="AJ324" s="136">
        <f t="shared" si="69"/>
        <v>0</v>
      </c>
      <c r="AK324" s="136">
        <f t="shared" si="69"/>
        <v>0</v>
      </c>
      <c r="AL324" s="136">
        <f t="shared" si="69"/>
        <v>0</v>
      </c>
      <c r="AM324" s="136">
        <f t="shared" si="69"/>
        <v>0</v>
      </c>
      <c r="AN324" s="136">
        <f t="shared" si="69"/>
        <v>0</v>
      </c>
      <c r="AO324" s="136">
        <f t="shared" si="69"/>
        <v>0</v>
      </c>
      <c r="AP324" s="136">
        <f t="shared" si="69"/>
        <v>0</v>
      </c>
      <c r="AQ324" s="136">
        <f t="shared" si="69"/>
        <v>0</v>
      </c>
      <c r="AR324" s="136">
        <f t="shared" si="66"/>
        <v>0</v>
      </c>
      <c r="AS324" s="136">
        <f t="shared" si="66"/>
        <v>0</v>
      </c>
      <c r="AT324" s="136">
        <f t="shared" si="66"/>
        <v>0</v>
      </c>
      <c r="AU324" s="136">
        <f t="shared" si="66"/>
        <v>0</v>
      </c>
      <c r="AV324" s="136">
        <f t="shared" si="66"/>
        <v>0</v>
      </c>
      <c r="AW324" s="136">
        <f t="shared" si="66"/>
        <v>0</v>
      </c>
      <c r="AX324" s="136">
        <f t="shared" si="66"/>
        <v>0</v>
      </c>
      <c r="AY324" s="136">
        <f t="shared" si="66"/>
        <v>0</v>
      </c>
      <c r="AZ324" s="136">
        <f t="shared" si="66"/>
        <v>0</v>
      </c>
      <c r="BA324" s="136">
        <f t="shared" si="66"/>
        <v>0</v>
      </c>
      <c r="BB324" s="136">
        <f t="shared" si="66"/>
        <v>0</v>
      </c>
      <c r="BC324" s="136">
        <f t="shared" si="66"/>
        <v>0</v>
      </c>
      <c r="BD324" s="136">
        <f t="shared" si="66"/>
        <v>0</v>
      </c>
      <c r="BE324" s="136">
        <f t="shared" si="66"/>
        <v>0</v>
      </c>
      <c r="BF324" s="136">
        <f t="shared" si="66"/>
        <v>0</v>
      </c>
      <c r="BG324" s="136">
        <f t="shared" si="66"/>
        <v>0</v>
      </c>
      <c r="BH324" s="136">
        <f t="shared" ref="BH324:BO339" si="71">BH151-DZ151</f>
        <v>0</v>
      </c>
      <c r="BI324" s="136">
        <f t="shared" si="71"/>
        <v>0</v>
      </c>
      <c r="BJ324" s="136">
        <f t="shared" si="71"/>
        <v>0</v>
      </c>
      <c r="BK324" s="136">
        <f t="shared" si="71"/>
        <v>0</v>
      </c>
      <c r="BL324" s="136">
        <f t="shared" si="71"/>
        <v>0</v>
      </c>
      <c r="BM324" s="136">
        <f t="shared" si="71"/>
        <v>0</v>
      </c>
      <c r="BN324" s="136">
        <f t="shared" si="71"/>
        <v>0</v>
      </c>
      <c r="BO324" s="136">
        <f t="shared" si="71"/>
        <v>0</v>
      </c>
      <c r="BU324" s="136">
        <f t="shared" si="67"/>
        <v>0</v>
      </c>
      <c r="BV324" s="136">
        <f t="shared" si="67"/>
        <v>0</v>
      </c>
      <c r="BW324" s="136">
        <f t="shared" si="67"/>
        <v>0</v>
      </c>
      <c r="BX324" s="136">
        <f t="shared" si="67"/>
        <v>0</v>
      </c>
      <c r="BZ324" s="136">
        <f t="shared" si="68"/>
        <v>0</v>
      </c>
      <c r="CA324" s="136">
        <f t="shared" si="68"/>
        <v>0</v>
      </c>
    </row>
    <row r="325" spans="12:79" hidden="1" x14ac:dyDescent="0.3">
      <c r="L325" s="136">
        <f t="shared" si="70"/>
        <v>0</v>
      </c>
      <c r="M325" s="136">
        <f t="shared" si="70"/>
        <v>0</v>
      </c>
      <c r="N325" s="136">
        <f t="shared" si="70"/>
        <v>0</v>
      </c>
      <c r="O325" s="136">
        <f t="shared" si="70"/>
        <v>0</v>
      </c>
      <c r="P325" s="136">
        <f t="shared" si="70"/>
        <v>0</v>
      </c>
      <c r="Q325" s="136">
        <f t="shared" si="70"/>
        <v>0</v>
      </c>
      <c r="R325" s="136">
        <f t="shared" si="70"/>
        <v>0</v>
      </c>
      <c r="S325" s="136">
        <f t="shared" si="70"/>
        <v>0</v>
      </c>
      <c r="T325" s="136">
        <f t="shared" si="70"/>
        <v>0</v>
      </c>
      <c r="U325" s="136">
        <f t="shared" si="70"/>
        <v>0</v>
      </c>
      <c r="V325" s="136">
        <f t="shared" si="70"/>
        <v>0</v>
      </c>
      <c r="W325" s="136">
        <f t="shared" si="70"/>
        <v>0</v>
      </c>
      <c r="X325" s="136">
        <f t="shared" si="70"/>
        <v>0</v>
      </c>
      <c r="Y325" s="136">
        <f t="shared" si="70"/>
        <v>0</v>
      </c>
      <c r="Z325" s="136">
        <f t="shared" si="70"/>
        <v>0</v>
      </c>
      <c r="AA325" s="136">
        <f t="shared" si="69"/>
        <v>0</v>
      </c>
      <c r="AB325" s="136">
        <f t="shared" si="69"/>
        <v>0</v>
      </c>
      <c r="AC325" s="136">
        <f t="shared" si="69"/>
        <v>0</v>
      </c>
      <c r="AD325" s="136">
        <f t="shared" si="69"/>
        <v>0</v>
      </c>
      <c r="AE325" s="136">
        <f t="shared" si="69"/>
        <v>0</v>
      </c>
      <c r="AF325" s="136">
        <f t="shared" si="69"/>
        <v>0</v>
      </c>
      <c r="AG325" s="136">
        <f t="shared" si="69"/>
        <v>0</v>
      </c>
      <c r="AH325" s="136">
        <f t="shared" si="69"/>
        <v>0</v>
      </c>
      <c r="AI325" s="136">
        <f t="shared" si="69"/>
        <v>0</v>
      </c>
      <c r="AJ325" s="136">
        <f t="shared" si="69"/>
        <v>0</v>
      </c>
      <c r="AK325" s="136">
        <f t="shared" si="69"/>
        <v>0</v>
      </c>
      <c r="AL325" s="136">
        <f t="shared" si="69"/>
        <v>0</v>
      </c>
      <c r="AM325" s="136">
        <f t="shared" si="69"/>
        <v>0</v>
      </c>
      <c r="AN325" s="136">
        <f t="shared" si="69"/>
        <v>0</v>
      </c>
      <c r="AO325" s="136">
        <f t="shared" si="69"/>
        <v>0</v>
      </c>
      <c r="AP325" s="136">
        <f t="shared" si="69"/>
        <v>0</v>
      </c>
      <c r="AQ325" s="136">
        <f t="shared" si="69"/>
        <v>0</v>
      </c>
      <c r="AR325" s="136">
        <f t="shared" si="66"/>
        <v>0</v>
      </c>
      <c r="AS325" s="136">
        <f t="shared" si="66"/>
        <v>0</v>
      </c>
      <c r="AT325" s="136">
        <f t="shared" si="66"/>
        <v>0</v>
      </c>
      <c r="AU325" s="136">
        <f t="shared" si="66"/>
        <v>0</v>
      </c>
      <c r="AV325" s="136">
        <f t="shared" si="66"/>
        <v>0</v>
      </c>
      <c r="AW325" s="136">
        <f t="shared" si="66"/>
        <v>0</v>
      </c>
      <c r="AX325" s="136">
        <f t="shared" si="66"/>
        <v>0</v>
      </c>
      <c r="AY325" s="136">
        <f t="shared" si="66"/>
        <v>0</v>
      </c>
      <c r="AZ325" s="136">
        <f t="shared" si="66"/>
        <v>0</v>
      </c>
      <c r="BA325" s="136">
        <f t="shared" si="66"/>
        <v>0</v>
      </c>
      <c r="BB325" s="136">
        <f t="shared" si="66"/>
        <v>0</v>
      </c>
      <c r="BC325" s="136">
        <f t="shared" si="66"/>
        <v>0</v>
      </c>
      <c r="BD325" s="136">
        <f t="shared" si="66"/>
        <v>0</v>
      </c>
      <c r="BE325" s="136">
        <f t="shared" si="66"/>
        <v>0</v>
      </c>
      <c r="BF325" s="136">
        <f t="shared" si="66"/>
        <v>0</v>
      </c>
      <c r="BG325" s="136">
        <f t="shared" si="66"/>
        <v>0</v>
      </c>
      <c r="BH325" s="136">
        <f t="shared" si="71"/>
        <v>0</v>
      </c>
      <c r="BI325" s="136">
        <f t="shared" si="71"/>
        <v>0</v>
      </c>
      <c r="BJ325" s="136">
        <f t="shared" si="71"/>
        <v>0</v>
      </c>
      <c r="BK325" s="136">
        <f t="shared" si="71"/>
        <v>0</v>
      </c>
      <c r="BL325" s="136">
        <f t="shared" si="71"/>
        <v>0</v>
      </c>
      <c r="BM325" s="136">
        <f t="shared" si="71"/>
        <v>0</v>
      </c>
      <c r="BN325" s="136">
        <f t="shared" si="71"/>
        <v>0</v>
      </c>
      <c r="BO325" s="136">
        <f t="shared" si="71"/>
        <v>0</v>
      </c>
      <c r="BU325" s="136">
        <f t="shared" si="67"/>
        <v>0</v>
      </c>
      <c r="BV325" s="136">
        <f t="shared" si="67"/>
        <v>0</v>
      </c>
      <c r="BW325" s="136">
        <f t="shared" si="67"/>
        <v>0</v>
      </c>
      <c r="BX325" s="136">
        <f t="shared" si="67"/>
        <v>0</v>
      </c>
      <c r="BZ325" s="136">
        <f t="shared" si="68"/>
        <v>0</v>
      </c>
      <c r="CA325" s="136">
        <f t="shared" si="68"/>
        <v>0</v>
      </c>
    </row>
    <row r="326" spans="12:79" hidden="1" x14ac:dyDescent="0.3">
      <c r="L326" s="136">
        <f t="shared" si="70"/>
        <v>0</v>
      </c>
      <c r="M326" s="136">
        <f t="shared" si="70"/>
        <v>0</v>
      </c>
      <c r="N326" s="136">
        <f t="shared" si="70"/>
        <v>0</v>
      </c>
      <c r="O326" s="136">
        <f t="shared" si="70"/>
        <v>0</v>
      </c>
      <c r="P326" s="136">
        <f t="shared" si="70"/>
        <v>0</v>
      </c>
      <c r="Q326" s="136">
        <f t="shared" si="70"/>
        <v>0</v>
      </c>
      <c r="R326" s="136">
        <f t="shared" si="70"/>
        <v>0</v>
      </c>
      <c r="S326" s="136">
        <f t="shared" si="70"/>
        <v>0</v>
      </c>
      <c r="T326" s="136">
        <f t="shared" si="70"/>
        <v>0</v>
      </c>
      <c r="U326" s="136">
        <f t="shared" si="70"/>
        <v>0</v>
      </c>
      <c r="V326" s="136">
        <f t="shared" si="70"/>
        <v>0</v>
      </c>
      <c r="W326" s="136">
        <f t="shared" si="70"/>
        <v>0</v>
      </c>
      <c r="X326" s="136">
        <f t="shared" si="70"/>
        <v>0</v>
      </c>
      <c r="Y326" s="136">
        <f t="shared" si="70"/>
        <v>0</v>
      </c>
      <c r="Z326" s="136">
        <f t="shared" si="70"/>
        <v>0</v>
      </c>
      <c r="AA326" s="136">
        <f t="shared" si="69"/>
        <v>0</v>
      </c>
      <c r="AB326" s="136">
        <f t="shared" si="69"/>
        <v>0</v>
      </c>
      <c r="AC326" s="136">
        <f t="shared" si="69"/>
        <v>0</v>
      </c>
      <c r="AD326" s="136">
        <f t="shared" si="69"/>
        <v>0</v>
      </c>
      <c r="AE326" s="136">
        <f t="shared" si="69"/>
        <v>0</v>
      </c>
      <c r="AF326" s="136">
        <f t="shared" si="69"/>
        <v>0</v>
      </c>
      <c r="AG326" s="136">
        <f t="shared" si="69"/>
        <v>0</v>
      </c>
      <c r="AH326" s="136">
        <f t="shared" si="69"/>
        <v>0</v>
      </c>
      <c r="AI326" s="136">
        <f t="shared" si="69"/>
        <v>0</v>
      </c>
      <c r="AJ326" s="136">
        <f t="shared" si="69"/>
        <v>0</v>
      </c>
      <c r="AK326" s="136">
        <f t="shared" si="69"/>
        <v>0</v>
      </c>
      <c r="AL326" s="136">
        <f t="shared" si="69"/>
        <v>0</v>
      </c>
      <c r="AM326" s="136">
        <f t="shared" si="69"/>
        <v>0</v>
      </c>
      <c r="AN326" s="136">
        <f t="shared" si="69"/>
        <v>0</v>
      </c>
      <c r="AO326" s="136">
        <f t="shared" si="69"/>
        <v>0</v>
      </c>
      <c r="AP326" s="136">
        <f t="shared" si="69"/>
        <v>0</v>
      </c>
      <c r="AQ326" s="136">
        <f t="shared" si="69"/>
        <v>0</v>
      </c>
      <c r="AR326" s="136">
        <f t="shared" si="66"/>
        <v>0</v>
      </c>
      <c r="AS326" s="136">
        <f t="shared" si="66"/>
        <v>0</v>
      </c>
      <c r="AT326" s="136">
        <f t="shared" si="66"/>
        <v>0</v>
      </c>
      <c r="AU326" s="136">
        <f t="shared" si="66"/>
        <v>0</v>
      </c>
      <c r="AV326" s="136">
        <f t="shared" si="66"/>
        <v>0</v>
      </c>
      <c r="AW326" s="136">
        <f t="shared" si="66"/>
        <v>0</v>
      </c>
      <c r="AX326" s="136">
        <f t="shared" si="66"/>
        <v>0</v>
      </c>
      <c r="AY326" s="136">
        <f t="shared" si="66"/>
        <v>0</v>
      </c>
      <c r="AZ326" s="136">
        <f t="shared" si="66"/>
        <v>0</v>
      </c>
      <c r="BA326" s="136">
        <f t="shared" si="66"/>
        <v>0</v>
      </c>
      <c r="BB326" s="136">
        <f t="shared" si="66"/>
        <v>0</v>
      </c>
      <c r="BC326" s="136">
        <f t="shared" si="66"/>
        <v>0</v>
      </c>
      <c r="BD326" s="136">
        <f t="shared" si="66"/>
        <v>0</v>
      </c>
      <c r="BE326" s="136">
        <f t="shared" si="66"/>
        <v>0</v>
      </c>
      <c r="BF326" s="136">
        <f t="shared" si="66"/>
        <v>0</v>
      </c>
      <c r="BG326" s="136">
        <f t="shared" si="66"/>
        <v>0</v>
      </c>
      <c r="BH326" s="136">
        <f t="shared" si="71"/>
        <v>0</v>
      </c>
      <c r="BI326" s="136">
        <f t="shared" si="71"/>
        <v>0</v>
      </c>
      <c r="BJ326" s="136">
        <f t="shared" si="71"/>
        <v>0</v>
      </c>
      <c r="BK326" s="136">
        <f t="shared" si="71"/>
        <v>0</v>
      </c>
      <c r="BL326" s="136">
        <f t="shared" si="71"/>
        <v>0</v>
      </c>
      <c r="BM326" s="136">
        <f t="shared" si="71"/>
        <v>0</v>
      </c>
      <c r="BN326" s="136">
        <f t="shared" si="71"/>
        <v>0</v>
      </c>
      <c r="BO326" s="136">
        <f t="shared" si="71"/>
        <v>0</v>
      </c>
      <c r="BU326" s="136">
        <f t="shared" si="67"/>
        <v>0</v>
      </c>
      <c r="BV326" s="136">
        <f t="shared" si="67"/>
        <v>0</v>
      </c>
      <c r="BW326" s="136">
        <f t="shared" si="67"/>
        <v>0</v>
      </c>
      <c r="BX326" s="136">
        <f t="shared" si="67"/>
        <v>0</v>
      </c>
      <c r="BZ326" s="136">
        <f t="shared" si="68"/>
        <v>0</v>
      </c>
      <c r="CA326" s="136">
        <f t="shared" si="68"/>
        <v>0</v>
      </c>
    </row>
    <row r="327" spans="12:79" hidden="1" x14ac:dyDescent="0.3">
      <c r="L327" s="136">
        <f t="shared" si="70"/>
        <v>0</v>
      </c>
      <c r="M327" s="136">
        <f t="shared" si="70"/>
        <v>0</v>
      </c>
      <c r="N327" s="136">
        <f t="shared" si="70"/>
        <v>0</v>
      </c>
      <c r="O327" s="136">
        <f t="shared" si="70"/>
        <v>0</v>
      </c>
      <c r="P327" s="136">
        <f t="shared" si="70"/>
        <v>0</v>
      </c>
      <c r="Q327" s="136">
        <f t="shared" si="70"/>
        <v>0</v>
      </c>
      <c r="R327" s="136">
        <f t="shared" si="70"/>
        <v>0</v>
      </c>
      <c r="S327" s="136">
        <f t="shared" si="70"/>
        <v>0</v>
      </c>
      <c r="T327" s="136">
        <f t="shared" si="70"/>
        <v>0</v>
      </c>
      <c r="U327" s="136">
        <f t="shared" si="70"/>
        <v>0</v>
      </c>
      <c r="V327" s="136">
        <f t="shared" si="70"/>
        <v>0</v>
      </c>
      <c r="W327" s="136">
        <f t="shared" si="70"/>
        <v>0</v>
      </c>
      <c r="X327" s="136">
        <f t="shared" si="70"/>
        <v>0</v>
      </c>
      <c r="Y327" s="136">
        <f t="shared" si="70"/>
        <v>0</v>
      </c>
      <c r="Z327" s="136">
        <f t="shared" si="70"/>
        <v>0</v>
      </c>
      <c r="AA327" s="136">
        <f t="shared" si="69"/>
        <v>0</v>
      </c>
      <c r="AB327" s="136">
        <f t="shared" si="69"/>
        <v>0</v>
      </c>
      <c r="AC327" s="136">
        <f t="shared" si="69"/>
        <v>0</v>
      </c>
      <c r="AD327" s="136">
        <f t="shared" si="69"/>
        <v>0</v>
      </c>
      <c r="AE327" s="136">
        <f t="shared" si="69"/>
        <v>0</v>
      </c>
      <c r="AF327" s="136">
        <f t="shared" si="69"/>
        <v>0</v>
      </c>
      <c r="AG327" s="136">
        <f t="shared" si="69"/>
        <v>0</v>
      </c>
      <c r="AH327" s="136">
        <f t="shared" si="69"/>
        <v>0</v>
      </c>
      <c r="AI327" s="136">
        <f t="shared" si="69"/>
        <v>0</v>
      </c>
      <c r="AJ327" s="136">
        <f t="shared" si="69"/>
        <v>0</v>
      </c>
      <c r="AK327" s="136">
        <f t="shared" si="69"/>
        <v>0</v>
      </c>
      <c r="AL327" s="136">
        <f t="shared" si="69"/>
        <v>0</v>
      </c>
      <c r="AM327" s="136">
        <f t="shared" si="69"/>
        <v>0</v>
      </c>
      <c r="AN327" s="136">
        <f t="shared" si="69"/>
        <v>0</v>
      </c>
      <c r="AO327" s="136">
        <f t="shared" si="69"/>
        <v>0</v>
      </c>
      <c r="AP327" s="136">
        <f t="shared" si="69"/>
        <v>0</v>
      </c>
      <c r="AQ327" s="136">
        <f t="shared" si="69"/>
        <v>0</v>
      </c>
      <c r="AR327" s="136">
        <f t="shared" si="66"/>
        <v>0</v>
      </c>
      <c r="AS327" s="136">
        <f t="shared" si="66"/>
        <v>0</v>
      </c>
      <c r="AT327" s="136">
        <f t="shared" si="66"/>
        <v>0</v>
      </c>
      <c r="AU327" s="136">
        <f t="shared" si="66"/>
        <v>0</v>
      </c>
      <c r="AV327" s="136">
        <f t="shared" si="66"/>
        <v>0</v>
      </c>
      <c r="AW327" s="136">
        <f t="shared" si="66"/>
        <v>0</v>
      </c>
      <c r="AX327" s="136">
        <f t="shared" si="66"/>
        <v>0</v>
      </c>
      <c r="AY327" s="136">
        <f t="shared" si="66"/>
        <v>0</v>
      </c>
      <c r="AZ327" s="136">
        <f t="shared" si="66"/>
        <v>0</v>
      </c>
      <c r="BA327" s="136">
        <f t="shared" si="66"/>
        <v>0</v>
      </c>
      <c r="BB327" s="136">
        <f t="shared" si="66"/>
        <v>0</v>
      </c>
      <c r="BC327" s="136">
        <f t="shared" si="66"/>
        <v>0</v>
      </c>
      <c r="BD327" s="136">
        <f t="shared" si="66"/>
        <v>0</v>
      </c>
      <c r="BE327" s="136">
        <f t="shared" si="66"/>
        <v>0</v>
      </c>
      <c r="BF327" s="136">
        <f t="shared" si="66"/>
        <v>0</v>
      </c>
      <c r="BG327" s="136">
        <f t="shared" si="66"/>
        <v>0</v>
      </c>
      <c r="BH327" s="136">
        <f t="shared" si="71"/>
        <v>0</v>
      </c>
      <c r="BI327" s="136">
        <f t="shared" si="71"/>
        <v>0</v>
      </c>
      <c r="BJ327" s="136">
        <f t="shared" si="71"/>
        <v>0</v>
      </c>
      <c r="BK327" s="136">
        <f t="shared" si="71"/>
        <v>0</v>
      </c>
      <c r="BL327" s="136">
        <f t="shared" si="71"/>
        <v>0</v>
      </c>
      <c r="BM327" s="136">
        <f t="shared" si="71"/>
        <v>0</v>
      </c>
      <c r="BN327" s="136">
        <f t="shared" si="71"/>
        <v>0</v>
      </c>
      <c r="BO327" s="136">
        <f t="shared" si="71"/>
        <v>0</v>
      </c>
      <c r="BU327" s="136">
        <f t="shared" si="67"/>
        <v>0</v>
      </c>
      <c r="BV327" s="136">
        <f t="shared" si="67"/>
        <v>0</v>
      </c>
      <c r="BW327" s="136">
        <f t="shared" si="67"/>
        <v>0</v>
      </c>
      <c r="BX327" s="136">
        <f t="shared" si="67"/>
        <v>0</v>
      </c>
      <c r="BZ327" s="136">
        <f t="shared" si="68"/>
        <v>0</v>
      </c>
      <c r="CA327" s="136">
        <f t="shared" si="68"/>
        <v>0</v>
      </c>
    </row>
    <row r="328" spans="12:79" hidden="1" x14ac:dyDescent="0.3">
      <c r="L328" s="136">
        <f t="shared" si="70"/>
        <v>0</v>
      </c>
      <c r="M328" s="136">
        <f t="shared" si="70"/>
        <v>0</v>
      </c>
      <c r="N328" s="136">
        <f t="shared" si="70"/>
        <v>0</v>
      </c>
      <c r="O328" s="136">
        <f t="shared" si="70"/>
        <v>0</v>
      </c>
      <c r="P328" s="136">
        <f t="shared" si="70"/>
        <v>0</v>
      </c>
      <c r="Q328" s="136">
        <f t="shared" si="70"/>
        <v>0</v>
      </c>
      <c r="R328" s="136">
        <f t="shared" si="70"/>
        <v>0</v>
      </c>
      <c r="S328" s="136">
        <f t="shared" si="70"/>
        <v>0</v>
      </c>
      <c r="T328" s="136">
        <f t="shared" si="70"/>
        <v>0</v>
      </c>
      <c r="U328" s="136">
        <f t="shared" si="70"/>
        <v>0</v>
      </c>
      <c r="V328" s="136">
        <f t="shared" si="70"/>
        <v>0</v>
      </c>
      <c r="W328" s="136">
        <f t="shared" si="70"/>
        <v>0</v>
      </c>
      <c r="X328" s="136">
        <f t="shared" si="70"/>
        <v>0</v>
      </c>
      <c r="Y328" s="136">
        <f t="shared" si="70"/>
        <v>0</v>
      </c>
      <c r="Z328" s="136">
        <f t="shared" si="70"/>
        <v>0</v>
      </c>
      <c r="AA328" s="136">
        <f t="shared" si="69"/>
        <v>0</v>
      </c>
      <c r="AB328" s="136">
        <f t="shared" si="69"/>
        <v>0</v>
      </c>
      <c r="AC328" s="136">
        <f t="shared" si="69"/>
        <v>0</v>
      </c>
      <c r="AD328" s="136">
        <f t="shared" si="69"/>
        <v>0</v>
      </c>
      <c r="AE328" s="136">
        <f t="shared" si="69"/>
        <v>0</v>
      </c>
      <c r="AF328" s="136">
        <f t="shared" si="69"/>
        <v>0</v>
      </c>
      <c r="AG328" s="136">
        <f t="shared" si="69"/>
        <v>0</v>
      </c>
      <c r="AH328" s="136">
        <f t="shared" si="69"/>
        <v>0</v>
      </c>
      <c r="AI328" s="136">
        <f t="shared" si="69"/>
        <v>0</v>
      </c>
      <c r="AJ328" s="136">
        <f t="shared" si="69"/>
        <v>0</v>
      </c>
      <c r="AK328" s="136">
        <f t="shared" si="69"/>
        <v>0</v>
      </c>
      <c r="AL328" s="136">
        <f t="shared" si="69"/>
        <v>0</v>
      </c>
      <c r="AM328" s="136">
        <f t="shared" si="69"/>
        <v>0</v>
      </c>
      <c r="AN328" s="136">
        <f t="shared" si="69"/>
        <v>0</v>
      </c>
      <c r="AO328" s="136">
        <f t="shared" si="69"/>
        <v>0</v>
      </c>
      <c r="AP328" s="136">
        <f t="shared" si="69"/>
        <v>0</v>
      </c>
      <c r="AQ328" s="136">
        <f t="shared" si="69"/>
        <v>0</v>
      </c>
      <c r="AR328" s="136">
        <f t="shared" si="66"/>
        <v>0</v>
      </c>
      <c r="AS328" s="136">
        <f t="shared" si="66"/>
        <v>0</v>
      </c>
      <c r="AT328" s="136">
        <f t="shared" si="66"/>
        <v>0</v>
      </c>
      <c r="AU328" s="136">
        <f t="shared" si="66"/>
        <v>0</v>
      </c>
      <c r="AV328" s="136">
        <f t="shared" si="66"/>
        <v>0</v>
      </c>
      <c r="AW328" s="136">
        <f t="shared" si="66"/>
        <v>0</v>
      </c>
      <c r="AX328" s="136">
        <f t="shared" si="66"/>
        <v>0</v>
      </c>
      <c r="AY328" s="136">
        <f t="shared" si="66"/>
        <v>0</v>
      </c>
      <c r="AZ328" s="136">
        <f t="shared" si="66"/>
        <v>0</v>
      </c>
      <c r="BA328" s="136">
        <f t="shared" si="66"/>
        <v>0</v>
      </c>
      <c r="BB328" s="136">
        <f t="shared" si="66"/>
        <v>0</v>
      </c>
      <c r="BC328" s="136">
        <f t="shared" si="66"/>
        <v>0</v>
      </c>
      <c r="BD328" s="136">
        <f t="shared" si="66"/>
        <v>0</v>
      </c>
      <c r="BE328" s="136">
        <f t="shared" si="66"/>
        <v>0</v>
      </c>
      <c r="BF328" s="136">
        <f t="shared" si="66"/>
        <v>0</v>
      </c>
      <c r="BG328" s="136">
        <f t="shared" si="66"/>
        <v>0</v>
      </c>
      <c r="BH328" s="136">
        <f t="shared" si="71"/>
        <v>0</v>
      </c>
      <c r="BI328" s="136">
        <f t="shared" si="71"/>
        <v>0</v>
      </c>
      <c r="BJ328" s="136">
        <f t="shared" si="71"/>
        <v>0</v>
      </c>
      <c r="BK328" s="136">
        <f t="shared" si="71"/>
        <v>0</v>
      </c>
      <c r="BL328" s="136">
        <f t="shared" si="71"/>
        <v>0</v>
      </c>
      <c r="BM328" s="136">
        <f t="shared" si="71"/>
        <v>0</v>
      </c>
      <c r="BN328" s="136">
        <f t="shared" si="71"/>
        <v>0</v>
      </c>
      <c r="BO328" s="136">
        <f t="shared" si="71"/>
        <v>0</v>
      </c>
      <c r="BU328" s="136">
        <f t="shared" si="67"/>
        <v>0</v>
      </c>
      <c r="BV328" s="136">
        <f t="shared" si="67"/>
        <v>0</v>
      </c>
      <c r="BW328" s="136">
        <f t="shared" si="67"/>
        <v>0</v>
      </c>
      <c r="BX328" s="136">
        <f t="shared" si="67"/>
        <v>0</v>
      </c>
      <c r="BZ328" s="136">
        <f t="shared" si="68"/>
        <v>0</v>
      </c>
      <c r="CA328" s="136">
        <f t="shared" si="68"/>
        <v>0</v>
      </c>
    </row>
    <row r="329" spans="12:79" hidden="1" x14ac:dyDescent="0.3">
      <c r="L329" s="136">
        <f t="shared" si="70"/>
        <v>0</v>
      </c>
      <c r="M329" s="136">
        <f t="shared" si="70"/>
        <v>0</v>
      </c>
      <c r="N329" s="136">
        <f t="shared" si="70"/>
        <v>0</v>
      </c>
      <c r="O329" s="136">
        <f t="shared" si="70"/>
        <v>0</v>
      </c>
      <c r="P329" s="136">
        <f t="shared" si="70"/>
        <v>0</v>
      </c>
      <c r="Q329" s="136">
        <f t="shared" si="70"/>
        <v>0</v>
      </c>
      <c r="R329" s="136">
        <f t="shared" si="70"/>
        <v>0</v>
      </c>
      <c r="S329" s="136">
        <f t="shared" si="70"/>
        <v>0</v>
      </c>
      <c r="T329" s="136">
        <f t="shared" si="70"/>
        <v>0</v>
      </c>
      <c r="U329" s="136">
        <f t="shared" si="70"/>
        <v>0</v>
      </c>
      <c r="V329" s="136">
        <f t="shared" si="70"/>
        <v>0</v>
      </c>
      <c r="W329" s="136">
        <f t="shared" si="70"/>
        <v>0</v>
      </c>
      <c r="X329" s="136">
        <f t="shared" si="70"/>
        <v>0</v>
      </c>
      <c r="Y329" s="136">
        <f t="shared" si="70"/>
        <v>0</v>
      </c>
      <c r="Z329" s="136">
        <f t="shared" si="70"/>
        <v>0</v>
      </c>
      <c r="AA329" s="136">
        <f t="shared" si="69"/>
        <v>0</v>
      </c>
      <c r="AB329" s="136">
        <f t="shared" si="69"/>
        <v>0</v>
      </c>
      <c r="AC329" s="136">
        <f t="shared" si="69"/>
        <v>0</v>
      </c>
      <c r="AD329" s="136">
        <f t="shared" si="69"/>
        <v>0</v>
      </c>
      <c r="AE329" s="136">
        <f t="shared" si="69"/>
        <v>0</v>
      </c>
      <c r="AF329" s="136">
        <f t="shared" si="69"/>
        <v>0</v>
      </c>
      <c r="AG329" s="136">
        <f t="shared" si="69"/>
        <v>0</v>
      </c>
      <c r="AH329" s="136">
        <f t="shared" si="69"/>
        <v>0</v>
      </c>
      <c r="AI329" s="136">
        <f t="shared" si="69"/>
        <v>0</v>
      </c>
      <c r="AJ329" s="136">
        <f t="shared" si="69"/>
        <v>0</v>
      </c>
      <c r="AK329" s="136">
        <f t="shared" si="69"/>
        <v>0</v>
      </c>
      <c r="AL329" s="136">
        <f t="shared" si="69"/>
        <v>0</v>
      </c>
      <c r="AM329" s="136">
        <f t="shared" si="69"/>
        <v>0</v>
      </c>
      <c r="AN329" s="136">
        <f t="shared" si="69"/>
        <v>0</v>
      </c>
      <c r="AO329" s="136">
        <f t="shared" si="69"/>
        <v>0</v>
      </c>
      <c r="AP329" s="136">
        <f t="shared" si="69"/>
        <v>0</v>
      </c>
      <c r="AQ329" s="136">
        <f t="shared" si="69"/>
        <v>0</v>
      </c>
      <c r="AR329" s="136">
        <f t="shared" si="66"/>
        <v>0</v>
      </c>
      <c r="AS329" s="136">
        <f t="shared" si="66"/>
        <v>0</v>
      </c>
      <c r="AT329" s="136">
        <f t="shared" si="66"/>
        <v>0</v>
      </c>
      <c r="AU329" s="136">
        <f t="shared" si="66"/>
        <v>0</v>
      </c>
      <c r="AV329" s="136">
        <f t="shared" si="66"/>
        <v>0</v>
      </c>
      <c r="AW329" s="136">
        <f t="shared" si="66"/>
        <v>0</v>
      </c>
      <c r="AX329" s="136">
        <f t="shared" si="66"/>
        <v>0</v>
      </c>
      <c r="AY329" s="136">
        <f t="shared" si="66"/>
        <v>0</v>
      </c>
      <c r="AZ329" s="136">
        <f t="shared" si="66"/>
        <v>0</v>
      </c>
      <c r="BA329" s="136">
        <f t="shared" si="66"/>
        <v>0</v>
      </c>
      <c r="BB329" s="136">
        <f t="shared" si="66"/>
        <v>0</v>
      </c>
      <c r="BC329" s="136">
        <f t="shared" si="66"/>
        <v>0</v>
      </c>
      <c r="BD329" s="136">
        <f t="shared" si="66"/>
        <v>0</v>
      </c>
      <c r="BE329" s="136">
        <f t="shared" si="66"/>
        <v>0</v>
      </c>
      <c r="BF329" s="136">
        <f t="shared" si="66"/>
        <v>0</v>
      </c>
      <c r="BG329" s="136">
        <f t="shared" si="66"/>
        <v>0</v>
      </c>
      <c r="BH329" s="136">
        <f t="shared" si="71"/>
        <v>0</v>
      </c>
      <c r="BI329" s="136">
        <f t="shared" si="71"/>
        <v>0</v>
      </c>
      <c r="BJ329" s="136">
        <f t="shared" si="71"/>
        <v>0</v>
      </c>
      <c r="BK329" s="136">
        <f t="shared" si="71"/>
        <v>0</v>
      </c>
      <c r="BL329" s="136">
        <f t="shared" si="71"/>
        <v>0</v>
      </c>
      <c r="BM329" s="136">
        <f t="shared" si="71"/>
        <v>0</v>
      </c>
      <c r="BN329" s="136">
        <f t="shared" si="71"/>
        <v>0</v>
      </c>
      <c r="BO329" s="136">
        <f t="shared" si="71"/>
        <v>0</v>
      </c>
      <c r="BU329" s="136">
        <f t="shared" si="67"/>
        <v>0</v>
      </c>
      <c r="BV329" s="136">
        <f t="shared" si="67"/>
        <v>0</v>
      </c>
      <c r="BW329" s="136">
        <f t="shared" si="67"/>
        <v>0</v>
      </c>
      <c r="BX329" s="136">
        <f t="shared" si="67"/>
        <v>0</v>
      </c>
      <c r="BZ329" s="136">
        <f t="shared" si="68"/>
        <v>0</v>
      </c>
      <c r="CA329" s="136">
        <f t="shared" si="68"/>
        <v>0</v>
      </c>
    </row>
    <row r="330" spans="12:79" hidden="1" x14ac:dyDescent="0.3">
      <c r="L330" s="136">
        <f t="shared" si="70"/>
        <v>0</v>
      </c>
      <c r="M330" s="136">
        <f t="shared" si="70"/>
        <v>0</v>
      </c>
      <c r="N330" s="136">
        <f t="shared" si="70"/>
        <v>0</v>
      </c>
      <c r="O330" s="136">
        <f t="shared" si="70"/>
        <v>0</v>
      </c>
      <c r="P330" s="136">
        <f t="shared" si="70"/>
        <v>0</v>
      </c>
      <c r="Q330" s="136">
        <f t="shared" si="70"/>
        <v>0</v>
      </c>
      <c r="R330" s="136">
        <f t="shared" si="70"/>
        <v>0</v>
      </c>
      <c r="S330" s="136">
        <f t="shared" si="70"/>
        <v>0</v>
      </c>
      <c r="T330" s="136">
        <f t="shared" si="70"/>
        <v>0</v>
      </c>
      <c r="U330" s="136">
        <f t="shared" si="70"/>
        <v>0</v>
      </c>
      <c r="V330" s="136">
        <f t="shared" si="70"/>
        <v>0</v>
      </c>
      <c r="W330" s="136">
        <f t="shared" si="70"/>
        <v>0</v>
      </c>
      <c r="X330" s="136">
        <f t="shared" si="70"/>
        <v>0</v>
      </c>
      <c r="Y330" s="136">
        <f t="shared" si="70"/>
        <v>0</v>
      </c>
      <c r="Z330" s="136">
        <f t="shared" si="70"/>
        <v>0</v>
      </c>
      <c r="AA330" s="136">
        <f t="shared" si="69"/>
        <v>0</v>
      </c>
      <c r="AB330" s="136">
        <f t="shared" si="69"/>
        <v>0</v>
      </c>
      <c r="AC330" s="136">
        <f t="shared" si="69"/>
        <v>0</v>
      </c>
      <c r="AD330" s="136">
        <f t="shared" si="69"/>
        <v>0</v>
      </c>
      <c r="AE330" s="136">
        <f t="shared" si="69"/>
        <v>0</v>
      </c>
      <c r="AF330" s="136">
        <f t="shared" si="69"/>
        <v>0</v>
      </c>
      <c r="AG330" s="136">
        <f t="shared" si="69"/>
        <v>0</v>
      </c>
      <c r="AH330" s="136">
        <f t="shared" si="69"/>
        <v>0</v>
      </c>
      <c r="AI330" s="136">
        <f t="shared" si="69"/>
        <v>0</v>
      </c>
      <c r="AJ330" s="136">
        <f t="shared" si="69"/>
        <v>0</v>
      </c>
      <c r="AK330" s="136">
        <f t="shared" si="69"/>
        <v>0</v>
      </c>
      <c r="AL330" s="136">
        <f t="shared" si="69"/>
        <v>0</v>
      </c>
      <c r="AM330" s="136">
        <f t="shared" si="69"/>
        <v>0</v>
      </c>
      <c r="AN330" s="136">
        <f t="shared" si="69"/>
        <v>0</v>
      </c>
      <c r="AO330" s="136">
        <f t="shared" si="69"/>
        <v>0</v>
      </c>
      <c r="AP330" s="136">
        <f t="shared" si="69"/>
        <v>0</v>
      </c>
      <c r="AQ330" s="136">
        <f t="shared" si="69"/>
        <v>0</v>
      </c>
      <c r="AR330" s="136">
        <f t="shared" si="66"/>
        <v>0</v>
      </c>
      <c r="AS330" s="136">
        <f t="shared" si="66"/>
        <v>0</v>
      </c>
      <c r="AT330" s="136">
        <f t="shared" si="66"/>
        <v>0</v>
      </c>
      <c r="AU330" s="136">
        <f t="shared" si="66"/>
        <v>0</v>
      </c>
      <c r="AV330" s="136">
        <f t="shared" si="66"/>
        <v>0</v>
      </c>
      <c r="AW330" s="136">
        <f t="shared" si="66"/>
        <v>0</v>
      </c>
      <c r="AX330" s="136">
        <f t="shared" si="66"/>
        <v>0</v>
      </c>
      <c r="AY330" s="136">
        <f t="shared" si="66"/>
        <v>0</v>
      </c>
      <c r="AZ330" s="136">
        <f t="shared" si="66"/>
        <v>0</v>
      </c>
      <c r="BA330" s="136">
        <f t="shared" si="66"/>
        <v>0</v>
      </c>
      <c r="BB330" s="136">
        <f t="shared" si="66"/>
        <v>0</v>
      </c>
      <c r="BC330" s="136">
        <f t="shared" si="66"/>
        <v>0</v>
      </c>
      <c r="BD330" s="136">
        <f t="shared" si="66"/>
        <v>0</v>
      </c>
      <c r="BE330" s="136">
        <f t="shared" si="66"/>
        <v>0</v>
      </c>
      <c r="BF330" s="136">
        <f t="shared" si="66"/>
        <v>0</v>
      </c>
      <c r="BG330" s="136">
        <f t="shared" ref="BG330:BO345" si="72">BG157-DY157</f>
        <v>0</v>
      </c>
      <c r="BH330" s="136">
        <f t="shared" si="71"/>
        <v>0</v>
      </c>
      <c r="BI330" s="136">
        <f t="shared" si="71"/>
        <v>0</v>
      </c>
      <c r="BJ330" s="136">
        <f t="shared" si="71"/>
        <v>0</v>
      </c>
      <c r="BK330" s="136">
        <f t="shared" si="71"/>
        <v>0</v>
      </c>
      <c r="BL330" s="136">
        <f t="shared" si="71"/>
        <v>0</v>
      </c>
      <c r="BM330" s="136">
        <f t="shared" si="71"/>
        <v>0</v>
      </c>
      <c r="BN330" s="136">
        <f t="shared" si="71"/>
        <v>0</v>
      </c>
      <c r="BO330" s="136">
        <f t="shared" si="71"/>
        <v>0</v>
      </c>
      <c r="BU330" s="136">
        <f t="shared" si="67"/>
        <v>0</v>
      </c>
      <c r="BV330" s="136">
        <f t="shared" si="67"/>
        <v>0</v>
      </c>
      <c r="BW330" s="136">
        <f t="shared" si="67"/>
        <v>0</v>
      </c>
      <c r="BX330" s="136">
        <f t="shared" si="67"/>
        <v>0</v>
      </c>
      <c r="BZ330" s="136">
        <f t="shared" si="68"/>
        <v>0</v>
      </c>
      <c r="CA330" s="136">
        <f t="shared" si="68"/>
        <v>0</v>
      </c>
    </row>
    <row r="331" spans="12:79" hidden="1" x14ac:dyDescent="0.3">
      <c r="L331" s="136">
        <f t="shared" si="70"/>
        <v>0</v>
      </c>
      <c r="M331" s="136">
        <f t="shared" si="70"/>
        <v>0</v>
      </c>
      <c r="N331" s="136">
        <f t="shared" si="70"/>
        <v>0</v>
      </c>
      <c r="O331" s="136">
        <f t="shared" si="70"/>
        <v>0</v>
      </c>
      <c r="P331" s="136">
        <f t="shared" si="70"/>
        <v>0</v>
      </c>
      <c r="Q331" s="136">
        <f t="shared" si="70"/>
        <v>0</v>
      </c>
      <c r="R331" s="136">
        <f t="shared" si="70"/>
        <v>0</v>
      </c>
      <c r="S331" s="136">
        <f t="shared" si="70"/>
        <v>0</v>
      </c>
      <c r="T331" s="136">
        <f t="shared" si="70"/>
        <v>0</v>
      </c>
      <c r="U331" s="136">
        <f t="shared" si="70"/>
        <v>0</v>
      </c>
      <c r="V331" s="136">
        <f t="shared" si="70"/>
        <v>0</v>
      </c>
      <c r="W331" s="136">
        <f t="shared" si="70"/>
        <v>0</v>
      </c>
      <c r="X331" s="136">
        <f t="shared" si="70"/>
        <v>0</v>
      </c>
      <c r="Y331" s="136">
        <f t="shared" si="70"/>
        <v>0</v>
      </c>
      <c r="Z331" s="136">
        <f t="shared" si="70"/>
        <v>0</v>
      </c>
      <c r="AA331" s="136">
        <f t="shared" si="69"/>
        <v>0</v>
      </c>
      <c r="AB331" s="136">
        <f t="shared" si="69"/>
        <v>0</v>
      </c>
      <c r="AC331" s="136">
        <f t="shared" si="69"/>
        <v>0</v>
      </c>
      <c r="AD331" s="136">
        <f t="shared" si="69"/>
        <v>0</v>
      </c>
      <c r="AE331" s="136">
        <f t="shared" si="69"/>
        <v>0</v>
      </c>
      <c r="AF331" s="136">
        <f t="shared" si="69"/>
        <v>0</v>
      </c>
      <c r="AG331" s="136">
        <f t="shared" si="69"/>
        <v>0</v>
      </c>
      <c r="AH331" s="136">
        <f t="shared" si="69"/>
        <v>0</v>
      </c>
      <c r="AI331" s="136">
        <f t="shared" si="69"/>
        <v>0</v>
      </c>
      <c r="AJ331" s="136">
        <f t="shared" si="69"/>
        <v>0</v>
      </c>
      <c r="AK331" s="136">
        <f t="shared" si="69"/>
        <v>0</v>
      </c>
      <c r="AL331" s="136">
        <f t="shared" si="69"/>
        <v>0</v>
      </c>
      <c r="AM331" s="136">
        <f t="shared" si="69"/>
        <v>0</v>
      </c>
      <c r="AN331" s="136">
        <f t="shared" si="69"/>
        <v>0</v>
      </c>
      <c r="AO331" s="136">
        <f t="shared" si="69"/>
        <v>0</v>
      </c>
      <c r="AP331" s="136">
        <f t="shared" si="69"/>
        <v>0</v>
      </c>
      <c r="AQ331" s="136">
        <f t="shared" si="69"/>
        <v>0</v>
      </c>
      <c r="AR331" s="136">
        <f t="shared" ref="AR331:BG346" si="73">AR158-DJ158</f>
        <v>0</v>
      </c>
      <c r="AS331" s="136">
        <f t="shared" si="73"/>
        <v>0</v>
      </c>
      <c r="AT331" s="136">
        <f t="shared" si="73"/>
        <v>0</v>
      </c>
      <c r="AU331" s="136">
        <f t="shared" si="73"/>
        <v>0</v>
      </c>
      <c r="AV331" s="136">
        <f t="shared" si="73"/>
        <v>0</v>
      </c>
      <c r="AW331" s="136">
        <f t="shared" si="73"/>
        <v>0</v>
      </c>
      <c r="AX331" s="136">
        <f t="shared" si="73"/>
        <v>0</v>
      </c>
      <c r="AY331" s="136">
        <f t="shared" si="73"/>
        <v>0</v>
      </c>
      <c r="AZ331" s="136">
        <f t="shared" si="73"/>
        <v>0</v>
      </c>
      <c r="BA331" s="136">
        <f t="shared" si="73"/>
        <v>0</v>
      </c>
      <c r="BB331" s="136">
        <f t="shared" si="73"/>
        <v>0</v>
      </c>
      <c r="BC331" s="136">
        <f t="shared" si="73"/>
        <v>0</v>
      </c>
      <c r="BD331" s="136">
        <f t="shared" si="73"/>
        <v>0</v>
      </c>
      <c r="BE331" s="136">
        <f t="shared" si="73"/>
        <v>0</v>
      </c>
      <c r="BF331" s="136">
        <f t="shared" si="73"/>
        <v>0</v>
      </c>
      <c r="BG331" s="136">
        <f t="shared" si="72"/>
        <v>0</v>
      </c>
      <c r="BH331" s="136">
        <f t="shared" si="71"/>
        <v>0</v>
      </c>
      <c r="BI331" s="136">
        <f t="shared" si="71"/>
        <v>0</v>
      </c>
      <c r="BJ331" s="136">
        <f t="shared" si="71"/>
        <v>0</v>
      </c>
      <c r="BK331" s="136">
        <f t="shared" si="71"/>
        <v>0</v>
      </c>
      <c r="BL331" s="136">
        <f t="shared" si="71"/>
        <v>0</v>
      </c>
      <c r="BM331" s="136">
        <f t="shared" si="71"/>
        <v>0</v>
      </c>
      <c r="BN331" s="136">
        <f t="shared" si="71"/>
        <v>0</v>
      </c>
      <c r="BO331" s="136">
        <f t="shared" si="71"/>
        <v>0</v>
      </c>
      <c r="BU331" s="136">
        <f t="shared" si="67"/>
        <v>0</v>
      </c>
      <c r="BV331" s="136">
        <f t="shared" si="67"/>
        <v>0</v>
      </c>
      <c r="BW331" s="136">
        <f t="shared" si="67"/>
        <v>0</v>
      </c>
      <c r="BX331" s="136">
        <f t="shared" si="67"/>
        <v>0</v>
      </c>
      <c r="BZ331" s="136">
        <f t="shared" si="68"/>
        <v>0</v>
      </c>
      <c r="CA331" s="136">
        <f t="shared" si="68"/>
        <v>0</v>
      </c>
    </row>
    <row r="332" spans="12:79" hidden="1" x14ac:dyDescent="0.3">
      <c r="L332" s="136">
        <f t="shared" si="70"/>
        <v>0</v>
      </c>
      <c r="M332" s="136">
        <f t="shared" si="70"/>
        <v>0</v>
      </c>
      <c r="N332" s="136">
        <f t="shared" si="70"/>
        <v>0</v>
      </c>
      <c r="O332" s="136">
        <f t="shared" si="70"/>
        <v>0</v>
      </c>
      <c r="P332" s="136">
        <f t="shared" si="70"/>
        <v>0</v>
      </c>
      <c r="Q332" s="136">
        <f t="shared" si="70"/>
        <v>0</v>
      </c>
      <c r="R332" s="136">
        <f t="shared" si="70"/>
        <v>0</v>
      </c>
      <c r="S332" s="136">
        <f t="shared" si="70"/>
        <v>0</v>
      </c>
      <c r="T332" s="136">
        <f t="shared" si="70"/>
        <v>0</v>
      </c>
      <c r="U332" s="136">
        <f t="shared" si="70"/>
        <v>0</v>
      </c>
      <c r="V332" s="136">
        <f t="shared" si="70"/>
        <v>0</v>
      </c>
      <c r="W332" s="136">
        <f t="shared" si="70"/>
        <v>0</v>
      </c>
      <c r="X332" s="136">
        <f t="shared" si="70"/>
        <v>0</v>
      </c>
      <c r="Y332" s="136">
        <f t="shared" si="70"/>
        <v>0</v>
      </c>
      <c r="Z332" s="136">
        <f t="shared" si="70"/>
        <v>0</v>
      </c>
      <c r="AA332" s="136">
        <f t="shared" si="69"/>
        <v>0</v>
      </c>
      <c r="AB332" s="136">
        <f t="shared" si="69"/>
        <v>0</v>
      </c>
      <c r="AC332" s="136">
        <f t="shared" si="69"/>
        <v>0</v>
      </c>
      <c r="AD332" s="136">
        <f t="shared" si="69"/>
        <v>0</v>
      </c>
      <c r="AE332" s="136">
        <f t="shared" si="69"/>
        <v>0</v>
      </c>
      <c r="AF332" s="136">
        <f t="shared" si="69"/>
        <v>0</v>
      </c>
      <c r="AG332" s="136">
        <f t="shared" si="69"/>
        <v>0</v>
      </c>
      <c r="AH332" s="136">
        <f t="shared" si="69"/>
        <v>0</v>
      </c>
      <c r="AI332" s="136">
        <f t="shared" si="69"/>
        <v>0</v>
      </c>
      <c r="AJ332" s="136">
        <f t="shared" si="69"/>
        <v>0</v>
      </c>
      <c r="AK332" s="136">
        <f t="shared" si="69"/>
        <v>0</v>
      </c>
      <c r="AL332" s="136">
        <f t="shared" si="69"/>
        <v>0</v>
      </c>
      <c r="AM332" s="136">
        <f t="shared" si="69"/>
        <v>0</v>
      </c>
      <c r="AN332" s="136">
        <f t="shared" si="69"/>
        <v>0</v>
      </c>
      <c r="AO332" s="136">
        <f t="shared" si="69"/>
        <v>0</v>
      </c>
      <c r="AP332" s="136">
        <f t="shared" si="69"/>
        <v>0</v>
      </c>
      <c r="AQ332" s="136">
        <f t="shared" si="69"/>
        <v>0</v>
      </c>
      <c r="AR332" s="136">
        <f t="shared" si="73"/>
        <v>0</v>
      </c>
      <c r="AS332" s="136">
        <f t="shared" si="73"/>
        <v>0</v>
      </c>
      <c r="AT332" s="136">
        <f t="shared" si="73"/>
        <v>0</v>
      </c>
      <c r="AU332" s="136">
        <f t="shared" si="73"/>
        <v>0</v>
      </c>
      <c r="AV332" s="136">
        <f t="shared" si="73"/>
        <v>0</v>
      </c>
      <c r="AW332" s="136">
        <f t="shared" si="73"/>
        <v>0</v>
      </c>
      <c r="AX332" s="136">
        <f t="shared" si="73"/>
        <v>0</v>
      </c>
      <c r="AY332" s="136">
        <f t="shared" si="73"/>
        <v>0</v>
      </c>
      <c r="AZ332" s="136">
        <f t="shared" si="73"/>
        <v>0</v>
      </c>
      <c r="BA332" s="136">
        <f t="shared" si="73"/>
        <v>0</v>
      </c>
      <c r="BB332" s="136">
        <f t="shared" si="73"/>
        <v>0</v>
      </c>
      <c r="BC332" s="136">
        <f t="shared" si="73"/>
        <v>0</v>
      </c>
      <c r="BD332" s="136">
        <f t="shared" si="73"/>
        <v>0</v>
      </c>
      <c r="BE332" s="136">
        <f t="shared" si="73"/>
        <v>0</v>
      </c>
      <c r="BF332" s="136">
        <f t="shared" si="73"/>
        <v>0</v>
      </c>
      <c r="BG332" s="136">
        <f t="shared" si="72"/>
        <v>0</v>
      </c>
      <c r="BH332" s="136">
        <f t="shared" si="71"/>
        <v>0</v>
      </c>
      <c r="BI332" s="136">
        <f t="shared" si="71"/>
        <v>0</v>
      </c>
      <c r="BJ332" s="136">
        <f t="shared" si="71"/>
        <v>0</v>
      </c>
      <c r="BK332" s="136">
        <f t="shared" si="71"/>
        <v>0</v>
      </c>
      <c r="BL332" s="136">
        <f t="shared" si="71"/>
        <v>0</v>
      </c>
      <c r="BM332" s="136">
        <f t="shared" si="71"/>
        <v>0</v>
      </c>
      <c r="BN332" s="136">
        <f t="shared" si="71"/>
        <v>0</v>
      </c>
      <c r="BO332" s="136">
        <f t="shared" si="71"/>
        <v>0</v>
      </c>
      <c r="BU332" s="136">
        <f t="shared" si="67"/>
        <v>0</v>
      </c>
      <c r="BV332" s="136">
        <f t="shared" si="67"/>
        <v>0</v>
      </c>
      <c r="BW332" s="136">
        <f t="shared" si="67"/>
        <v>0</v>
      </c>
      <c r="BX332" s="136">
        <f t="shared" si="67"/>
        <v>0</v>
      </c>
      <c r="BZ332" s="136">
        <f t="shared" si="68"/>
        <v>0</v>
      </c>
      <c r="CA332" s="136">
        <f t="shared" si="68"/>
        <v>0</v>
      </c>
    </row>
    <row r="333" spans="12:79" hidden="1" x14ac:dyDescent="0.3">
      <c r="L333" s="136">
        <f t="shared" si="70"/>
        <v>0</v>
      </c>
      <c r="M333" s="136">
        <f t="shared" si="70"/>
        <v>0</v>
      </c>
      <c r="N333" s="136">
        <f t="shared" si="70"/>
        <v>0</v>
      </c>
      <c r="O333" s="136">
        <f t="shared" si="70"/>
        <v>0</v>
      </c>
      <c r="P333" s="136">
        <f t="shared" si="70"/>
        <v>0</v>
      </c>
      <c r="Q333" s="136">
        <f t="shared" si="70"/>
        <v>0</v>
      </c>
      <c r="R333" s="136">
        <f t="shared" si="70"/>
        <v>0</v>
      </c>
      <c r="S333" s="136">
        <f t="shared" si="70"/>
        <v>0</v>
      </c>
      <c r="T333" s="136">
        <f t="shared" si="70"/>
        <v>0</v>
      </c>
      <c r="U333" s="136">
        <f t="shared" si="70"/>
        <v>0</v>
      </c>
      <c r="V333" s="136">
        <f t="shared" si="70"/>
        <v>0</v>
      </c>
      <c r="W333" s="136">
        <f t="shared" si="70"/>
        <v>0</v>
      </c>
      <c r="X333" s="136">
        <f t="shared" si="70"/>
        <v>0</v>
      </c>
      <c r="Y333" s="136">
        <f t="shared" si="70"/>
        <v>0</v>
      </c>
      <c r="Z333" s="136">
        <f t="shared" si="70"/>
        <v>0</v>
      </c>
      <c r="AA333" s="136">
        <f t="shared" si="69"/>
        <v>0</v>
      </c>
      <c r="AB333" s="136">
        <f t="shared" si="69"/>
        <v>0</v>
      </c>
      <c r="AC333" s="136">
        <f t="shared" si="69"/>
        <v>0</v>
      </c>
      <c r="AD333" s="136">
        <f t="shared" si="69"/>
        <v>0</v>
      </c>
      <c r="AE333" s="136">
        <f t="shared" si="69"/>
        <v>0</v>
      </c>
      <c r="AF333" s="136">
        <f t="shared" si="69"/>
        <v>0</v>
      </c>
      <c r="AG333" s="136">
        <f t="shared" si="69"/>
        <v>0</v>
      </c>
      <c r="AH333" s="136">
        <f t="shared" si="69"/>
        <v>0</v>
      </c>
      <c r="AI333" s="136">
        <f t="shared" si="69"/>
        <v>0</v>
      </c>
      <c r="AJ333" s="136">
        <f t="shared" si="69"/>
        <v>0</v>
      </c>
      <c r="AK333" s="136">
        <f t="shared" si="69"/>
        <v>0</v>
      </c>
      <c r="AL333" s="136">
        <f t="shared" si="69"/>
        <v>0</v>
      </c>
      <c r="AM333" s="136">
        <f t="shared" si="69"/>
        <v>0</v>
      </c>
      <c r="AN333" s="136">
        <f t="shared" si="69"/>
        <v>0</v>
      </c>
      <c r="AO333" s="136">
        <f t="shared" si="69"/>
        <v>0</v>
      </c>
      <c r="AP333" s="136">
        <f t="shared" si="69"/>
        <v>0</v>
      </c>
      <c r="AQ333" s="136">
        <f t="shared" si="69"/>
        <v>0</v>
      </c>
      <c r="AR333" s="136">
        <f t="shared" si="73"/>
        <v>0</v>
      </c>
      <c r="AS333" s="136">
        <f t="shared" si="73"/>
        <v>0</v>
      </c>
      <c r="AT333" s="136">
        <f t="shared" si="73"/>
        <v>0</v>
      </c>
      <c r="AU333" s="136">
        <f t="shared" si="73"/>
        <v>0</v>
      </c>
      <c r="AV333" s="136">
        <f t="shared" si="73"/>
        <v>0</v>
      </c>
      <c r="AW333" s="136">
        <f t="shared" si="73"/>
        <v>0</v>
      </c>
      <c r="AX333" s="136">
        <f t="shared" si="73"/>
        <v>0</v>
      </c>
      <c r="AY333" s="136">
        <f t="shared" si="73"/>
        <v>0</v>
      </c>
      <c r="AZ333" s="136">
        <f t="shared" si="73"/>
        <v>0</v>
      </c>
      <c r="BA333" s="136">
        <f t="shared" si="73"/>
        <v>0</v>
      </c>
      <c r="BB333" s="136">
        <f t="shared" si="73"/>
        <v>0</v>
      </c>
      <c r="BC333" s="136">
        <f t="shared" si="73"/>
        <v>0</v>
      </c>
      <c r="BD333" s="136">
        <f t="shared" si="73"/>
        <v>0</v>
      </c>
      <c r="BE333" s="136">
        <f t="shared" si="73"/>
        <v>0</v>
      </c>
      <c r="BF333" s="136">
        <f t="shared" si="73"/>
        <v>0</v>
      </c>
      <c r="BG333" s="136">
        <f t="shared" si="72"/>
        <v>0</v>
      </c>
      <c r="BH333" s="136">
        <f t="shared" si="71"/>
        <v>0</v>
      </c>
      <c r="BI333" s="136">
        <f t="shared" si="71"/>
        <v>0</v>
      </c>
      <c r="BJ333" s="136">
        <f t="shared" si="71"/>
        <v>0</v>
      </c>
      <c r="BK333" s="136">
        <f t="shared" si="71"/>
        <v>0</v>
      </c>
      <c r="BL333" s="136">
        <f t="shared" si="71"/>
        <v>0</v>
      </c>
      <c r="BM333" s="136">
        <f t="shared" si="71"/>
        <v>0</v>
      </c>
      <c r="BN333" s="136">
        <f t="shared" si="71"/>
        <v>0</v>
      </c>
      <c r="BO333" s="136">
        <f t="shared" si="71"/>
        <v>0</v>
      </c>
      <c r="BU333" s="136">
        <f t="shared" ref="BU333:BX348" si="74">BU168-EM168</f>
        <v>0</v>
      </c>
      <c r="BV333" s="136">
        <f t="shared" si="74"/>
        <v>0</v>
      </c>
      <c r="BW333" s="136">
        <f t="shared" si="74"/>
        <v>0</v>
      </c>
      <c r="BX333" s="136">
        <f t="shared" si="74"/>
        <v>0</v>
      </c>
      <c r="BZ333" s="136">
        <f t="shared" ref="BZ333:CA348" si="75">BZ168-ER168</f>
        <v>0</v>
      </c>
      <c r="CA333" s="136">
        <f t="shared" si="75"/>
        <v>0</v>
      </c>
    </row>
    <row r="334" spans="12:79" hidden="1" x14ac:dyDescent="0.3">
      <c r="L334" s="136">
        <f t="shared" si="70"/>
        <v>0</v>
      </c>
      <c r="M334" s="136">
        <f t="shared" si="70"/>
        <v>0</v>
      </c>
      <c r="N334" s="136">
        <f t="shared" si="70"/>
        <v>0</v>
      </c>
      <c r="O334" s="136">
        <f t="shared" si="70"/>
        <v>0</v>
      </c>
      <c r="P334" s="136">
        <f t="shared" si="70"/>
        <v>0</v>
      </c>
      <c r="Q334" s="136">
        <f t="shared" si="70"/>
        <v>0</v>
      </c>
      <c r="R334" s="136">
        <f t="shared" si="70"/>
        <v>0</v>
      </c>
      <c r="S334" s="136">
        <f t="shared" si="70"/>
        <v>0</v>
      </c>
      <c r="T334" s="136">
        <f t="shared" si="70"/>
        <v>0</v>
      </c>
      <c r="U334" s="136">
        <f t="shared" si="70"/>
        <v>0</v>
      </c>
      <c r="V334" s="136">
        <f t="shared" si="70"/>
        <v>0</v>
      </c>
      <c r="W334" s="136">
        <f t="shared" si="70"/>
        <v>0</v>
      </c>
      <c r="X334" s="136">
        <f t="shared" si="70"/>
        <v>0</v>
      </c>
      <c r="Y334" s="136">
        <f t="shared" si="70"/>
        <v>0</v>
      </c>
      <c r="Z334" s="136">
        <f t="shared" si="70"/>
        <v>0</v>
      </c>
      <c r="AA334" s="136">
        <f t="shared" si="69"/>
        <v>0</v>
      </c>
      <c r="AB334" s="136">
        <f t="shared" si="69"/>
        <v>0</v>
      </c>
      <c r="AC334" s="136">
        <f t="shared" si="69"/>
        <v>0</v>
      </c>
      <c r="AD334" s="136">
        <f t="shared" si="69"/>
        <v>0</v>
      </c>
      <c r="AE334" s="136">
        <f t="shared" si="69"/>
        <v>0</v>
      </c>
      <c r="AF334" s="136">
        <f t="shared" si="69"/>
        <v>0</v>
      </c>
      <c r="AG334" s="136">
        <f t="shared" si="69"/>
        <v>0</v>
      </c>
      <c r="AH334" s="136">
        <f t="shared" si="69"/>
        <v>0</v>
      </c>
      <c r="AI334" s="136">
        <f t="shared" si="69"/>
        <v>0</v>
      </c>
      <c r="AJ334" s="136">
        <f t="shared" si="69"/>
        <v>0</v>
      </c>
      <c r="AK334" s="136">
        <f t="shared" si="69"/>
        <v>0</v>
      </c>
      <c r="AL334" s="136">
        <f t="shared" si="69"/>
        <v>0</v>
      </c>
      <c r="AM334" s="136">
        <f t="shared" si="69"/>
        <v>0</v>
      </c>
      <c r="AN334" s="136">
        <f t="shared" si="69"/>
        <v>0</v>
      </c>
      <c r="AO334" s="136">
        <f t="shared" si="69"/>
        <v>0</v>
      </c>
      <c r="AP334" s="136">
        <f t="shared" si="69"/>
        <v>0</v>
      </c>
      <c r="AQ334" s="136">
        <f t="shared" si="69"/>
        <v>0</v>
      </c>
      <c r="AR334" s="136">
        <f t="shared" si="73"/>
        <v>0</v>
      </c>
      <c r="AS334" s="136">
        <f t="shared" si="73"/>
        <v>0</v>
      </c>
      <c r="AT334" s="136">
        <f t="shared" si="73"/>
        <v>0</v>
      </c>
      <c r="AU334" s="136">
        <f t="shared" si="73"/>
        <v>0</v>
      </c>
      <c r="AV334" s="136">
        <f t="shared" si="73"/>
        <v>0</v>
      </c>
      <c r="AW334" s="136">
        <f t="shared" si="73"/>
        <v>0</v>
      </c>
      <c r="AX334" s="136">
        <f t="shared" si="73"/>
        <v>0</v>
      </c>
      <c r="AY334" s="136">
        <f t="shared" si="73"/>
        <v>0</v>
      </c>
      <c r="AZ334" s="136">
        <f t="shared" si="73"/>
        <v>0</v>
      </c>
      <c r="BA334" s="136">
        <f t="shared" si="73"/>
        <v>0</v>
      </c>
      <c r="BB334" s="136">
        <f t="shared" si="73"/>
        <v>0</v>
      </c>
      <c r="BC334" s="136">
        <f t="shared" si="73"/>
        <v>0</v>
      </c>
      <c r="BD334" s="136">
        <f t="shared" si="73"/>
        <v>0</v>
      </c>
      <c r="BE334" s="136">
        <f t="shared" si="73"/>
        <v>0</v>
      </c>
      <c r="BF334" s="136">
        <f t="shared" si="73"/>
        <v>0</v>
      </c>
      <c r="BG334" s="136">
        <f t="shared" si="72"/>
        <v>0</v>
      </c>
      <c r="BH334" s="136">
        <f t="shared" si="71"/>
        <v>0</v>
      </c>
      <c r="BI334" s="136">
        <f t="shared" si="71"/>
        <v>0</v>
      </c>
      <c r="BJ334" s="136">
        <f t="shared" si="71"/>
        <v>0</v>
      </c>
      <c r="BK334" s="136">
        <f t="shared" si="71"/>
        <v>0</v>
      </c>
      <c r="BL334" s="136">
        <f t="shared" si="71"/>
        <v>0</v>
      </c>
      <c r="BM334" s="136">
        <f t="shared" si="71"/>
        <v>0</v>
      </c>
      <c r="BN334" s="136">
        <f t="shared" si="71"/>
        <v>0</v>
      </c>
      <c r="BO334" s="136">
        <f t="shared" si="71"/>
        <v>0</v>
      </c>
      <c r="BU334" s="136">
        <f t="shared" si="74"/>
        <v>0</v>
      </c>
      <c r="BV334" s="136">
        <f t="shared" si="74"/>
        <v>0</v>
      </c>
      <c r="BW334" s="136">
        <f t="shared" si="74"/>
        <v>0</v>
      </c>
      <c r="BX334" s="136">
        <f t="shared" si="74"/>
        <v>0</v>
      </c>
      <c r="BZ334" s="136">
        <f t="shared" si="75"/>
        <v>0</v>
      </c>
      <c r="CA334" s="136">
        <f t="shared" si="75"/>
        <v>0</v>
      </c>
    </row>
    <row r="335" spans="12:79" hidden="1" x14ac:dyDescent="0.3">
      <c r="L335" s="136">
        <f t="shared" si="70"/>
        <v>0</v>
      </c>
      <c r="M335" s="136">
        <f t="shared" si="70"/>
        <v>0</v>
      </c>
      <c r="N335" s="136">
        <f t="shared" si="70"/>
        <v>0</v>
      </c>
      <c r="O335" s="136">
        <f t="shared" si="70"/>
        <v>0</v>
      </c>
      <c r="P335" s="136">
        <f t="shared" si="70"/>
        <v>0</v>
      </c>
      <c r="Q335" s="136">
        <f t="shared" si="70"/>
        <v>0</v>
      </c>
      <c r="R335" s="136">
        <f t="shared" si="70"/>
        <v>0</v>
      </c>
      <c r="S335" s="136">
        <f t="shared" si="70"/>
        <v>0</v>
      </c>
      <c r="T335" s="136">
        <f t="shared" si="70"/>
        <v>0</v>
      </c>
      <c r="U335" s="136">
        <f t="shared" si="70"/>
        <v>0</v>
      </c>
      <c r="V335" s="136">
        <f t="shared" si="70"/>
        <v>0</v>
      </c>
      <c r="W335" s="136">
        <f t="shared" si="70"/>
        <v>0</v>
      </c>
      <c r="X335" s="136">
        <f t="shared" si="70"/>
        <v>0</v>
      </c>
      <c r="Y335" s="136">
        <f t="shared" si="70"/>
        <v>0</v>
      </c>
      <c r="Z335" s="136">
        <f t="shared" si="70"/>
        <v>0</v>
      </c>
      <c r="AA335" s="136">
        <f t="shared" si="69"/>
        <v>0</v>
      </c>
      <c r="AB335" s="136">
        <f t="shared" si="69"/>
        <v>0</v>
      </c>
      <c r="AC335" s="136">
        <f t="shared" si="69"/>
        <v>0</v>
      </c>
      <c r="AD335" s="136">
        <f t="shared" si="69"/>
        <v>0</v>
      </c>
      <c r="AE335" s="136">
        <f t="shared" si="69"/>
        <v>0</v>
      </c>
      <c r="AF335" s="136">
        <f t="shared" si="69"/>
        <v>0</v>
      </c>
      <c r="AG335" s="136">
        <f t="shared" si="69"/>
        <v>0</v>
      </c>
      <c r="AH335" s="136">
        <f t="shared" si="69"/>
        <v>0</v>
      </c>
      <c r="AI335" s="136">
        <f t="shared" si="69"/>
        <v>0</v>
      </c>
      <c r="AJ335" s="136">
        <f t="shared" si="69"/>
        <v>0</v>
      </c>
      <c r="AK335" s="136">
        <f t="shared" si="69"/>
        <v>0</v>
      </c>
      <c r="AL335" s="136">
        <f t="shared" si="69"/>
        <v>0</v>
      </c>
      <c r="AM335" s="136">
        <f t="shared" si="69"/>
        <v>0</v>
      </c>
      <c r="AN335" s="136">
        <f t="shared" si="69"/>
        <v>0</v>
      </c>
      <c r="AO335" s="136">
        <f t="shared" si="69"/>
        <v>0</v>
      </c>
      <c r="AP335" s="136">
        <f t="shared" si="69"/>
        <v>0</v>
      </c>
      <c r="AQ335" s="136">
        <f t="shared" si="69"/>
        <v>0</v>
      </c>
      <c r="AR335" s="136">
        <f t="shared" si="73"/>
        <v>0</v>
      </c>
      <c r="AS335" s="136">
        <f t="shared" si="73"/>
        <v>0</v>
      </c>
      <c r="AT335" s="136">
        <f t="shared" si="73"/>
        <v>0</v>
      </c>
      <c r="AU335" s="136">
        <f t="shared" si="73"/>
        <v>0</v>
      </c>
      <c r="AV335" s="136">
        <f t="shared" si="73"/>
        <v>0</v>
      </c>
      <c r="AW335" s="136">
        <f t="shared" si="73"/>
        <v>0</v>
      </c>
      <c r="AX335" s="136">
        <f t="shared" si="73"/>
        <v>0</v>
      </c>
      <c r="AY335" s="136">
        <f t="shared" si="73"/>
        <v>0</v>
      </c>
      <c r="AZ335" s="136">
        <f t="shared" si="73"/>
        <v>0</v>
      </c>
      <c r="BA335" s="136">
        <f t="shared" si="73"/>
        <v>0</v>
      </c>
      <c r="BB335" s="136">
        <f t="shared" si="73"/>
        <v>0</v>
      </c>
      <c r="BC335" s="136">
        <f t="shared" si="73"/>
        <v>0</v>
      </c>
      <c r="BD335" s="136">
        <f t="shared" si="73"/>
        <v>0</v>
      </c>
      <c r="BE335" s="136">
        <f t="shared" si="73"/>
        <v>0</v>
      </c>
      <c r="BF335" s="136">
        <f t="shared" si="73"/>
        <v>0</v>
      </c>
      <c r="BG335" s="136">
        <f t="shared" si="72"/>
        <v>0</v>
      </c>
      <c r="BH335" s="136">
        <f t="shared" si="71"/>
        <v>0</v>
      </c>
      <c r="BI335" s="136">
        <f t="shared" si="71"/>
        <v>0</v>
      </c>
      <c r="BJ335" s="136">
        <f t="shared" si="71"/>
        <v>0</v>
      </c>
      <c r="BK335" s="136">
        <f t="shared" si="71"/>
        <v>0</v>
      </c>
      <c r="BL335" s="136">
        <f t="shared" si="71"/>
        <v>0</v>
      </c>
      <c r="BM335" s="136">
        <f t="shared" si="71"/>
        <v>0</v>
      </c>
      <c r="BN335" s="136">
        <f t="shared" si="71"/>
        <v>0</v>
      </c>
      <c r="BO335" s="136">
        <f t="shared" si="71"/>
        <v>0</v>
      </c>
      <c r="BU335" s="136">
        <f t="shared" si="74"/>
        <v>0</v>
      </c>
      <c r="BV335" s="136">
        <f t="shared" si="74"/>
        <v>0</v>
      </c>
      <c r="BW335" s="136">
        <f t="shared" si="74"/>
        <v>0</v>
      </c>
      <c r="BX335" s="136">
        <f t="shared" si="74"/>
        <v>0</v>
      </c>
      <c r="BZ335" s="136">
        <f t="shared" si="75"/>
        <v>0</v>
      </c>
      <c r="CA335" s="136">
        <f t="shared" si="75"/>
        <v>0</v>
      </c>
    </row>
    <row r="336" spans="12:79" hidden="1" x14ac:dyDescent="0.3">
      <c r="L336" s="136">
        <f t="shared" si="70"/>
        <v>0</v>
      </c>
      <c r="M336" s="136">
        <f t="shared" si="70"/>
        <v>0</v>
      </c>
      <c r="N336" s="136">
        <f t="shared" si="70"/>
        <v>0</v>
      </c>
      <c r="O336" s="136">
        <f t="shared" si="70"/>
        <v>0</v>
      </c>
      <c r="P336" s="136">
        <f t="shared" si="70"/>
        <v>0</v>
      </c>
      <c r="Q336" s="136">
        <f t="shared" si="70"/>
        <v>0</v>
      </c>
      <c r="R336" s="136">
        <f t="shared" si="70"/>
        <v>0</v>
      </c>
      <c r="S336" s="136">
        <f t="shared" si="70"/>
        <v>0</v>
      </c>
      <c r="T336" s="136">
        <f t="shared" si="70"/>
        <v>0</v>
      </c>
      <c r="U336" s="136">
        <f t="shared" si="70"/>
        <v>0</v>
      </c>
      <c r="V336" s="136">
        <f t="shared" si="70"/>
        <v>0</v>
      </c>
      <c r="W336" s="136">
        <f t="shared" si="70"/>
        <v>0</v>
      </c>
      <c r="X336" s="136">
        <f t="shared" si="70"/>
        <v>0</v>
      </c>
      <c r="Y336" s="136">
        <f t="shared" si="70"/>
        <v>0</v>
      </c>
      <c r="Z336" s="136">
        <f t="shared" si="70"/>
        <v>0</v>
      </c>
      <c r="AA336" s="136">
        <f t="shared" si="69"/>
        <v>0</v>
      </c>
      <c r="AB336" s="136">
        <f t="shared" si="69"/>
        <v>0</v>
      </c>
      <c r="AC336" s="136">
        <f t="shared" si="69"/>
        <v>0</v>
      </c>
      <c r="AD336" s="136">
        <f t="shared" si="69"/>
        <v>0</v>
      </c>
      <c r="AE336" s="136">
        <f t="shared" si="69"/>
        <v>0</v>
      </c>
      <c r="AF336" s="136">
        <f t="shared" si="69"/>
        <v>0</v>
      </c>
      <c r="AG336" s="136">
        <f t="shared" si="69"/>
        <v>0</v>
      </c>
      <c r="AH336" s="136">
        <f t="shared" si="69"/>
        <v>0</v>
      </c>
      <c r="AI336" s="136">
        <f t="shared" si="69"/>
        <v>0</v>
      </c>
      <c r="AJ336" s="136">
        <f t="shared" si="69"/>
        <v>0</v>
      </c>
      <c r="AK336" s="136">
        <f t="shared" si="69"/>
        <v>0</v>
      </c>
      <c r="AL336" s="136">
        <f t="shared" si="69"/>
        <v>0</v>
      </c>
      <c r="AM336" s="136">
        <f t="shared" si="69"/>
        <v>0</v>
      </c>
      <c r="AN336" s="136">
        <f t="shared" si="69"/>
        <v>0</v>
      </c>
      <c r="AO336" s="136">
        <f t="shared" si="69"/>
        <v>0</v>
      </c>
      <c r="AP336" s="136">
        <f t="shared" si="69"/>
        <v>0</v>
      </c>
      <c r="AQ336" s="136">
        <f t="shared" si="69"/>
        <v>0</v>
      </c>
      <c r="AR336" s="136">
        <f t="shared" si="73"/>
        <v>0</v>
      </c>
      <c r="AS336" s="136">
        <f t="shared" si="73"/>
        <v>0</v>
      </c>
      <c r="AT336" s="136">
        <f t="shared" si="73"/>
        <v>0</v>
      </c>
      <c r="AU336" s="136">
        <f t="shared" si="73"/>
        <v>0</v>
      </c>
      <c r="AV336" s="136">
        <f t="shared" si="73"/>
        <v>0</v>
      </c>
      <c r="AW336" s="136">
        <f t="shared" si="73"/>
        <v>0</v>
      </c>
      <c r="AX336" s="136">
        <f t="shared" si="73"/>
        <v>0</v>
      </c>
      <c r="AY336" s="136">
        <f t="shared" si="73"/>
        <v>0</v>
      </c>
      <c r="AZ336" s="136">
        <f t="shared" si="73"/>
        <v>0</v>
      </c>
      <c r="BA336" s="136">
        <f t="shared" si="73"/>
        <v>0</v>
      </c>
      <c r="BB336" s="136">
        <f t="shared" si="73"/>
        <v>0</v>
      </c>
      <c r="BC336" s="136">
        <f t="shared" si="73"/>
        <v>0</v>
      </c>
      <c r="BD336" s="136">
        <f t="shared" si="73"/>
        <v>0</v>
      </c>
      <c r="BE336" s="136">
        <f t="shared" si="73"/>
        <v>0</v>
      </c>
      <c r="BF336" s="136">
        <f t="shared" si="73"/>
        <v>0</v>
      </c>
      <c r="BG336" s="136">
        <f t="shared" si="72"/>
        <v>0</v>
      </c>
      <c r="BH336" s="136">
        <f t="shared" si="71"/>
        <v>0</v>
      </c>
      <c r="BI336" s="136">
        <f t="shared" si="71"/>
        <v>0</v>
      </c>
      <c r="BJ336" s="136">
        <f t="shared" si="71"/>
        <v>0</v>
      </c>
      <c r="BK336" s="136">
        <f t="shared" si="71"/>
        <v>0</v>
      </c>
      <c r="BL336" s="136">
        <f t="shared" si="71"/>
        <v>0</v>
      </c>
      <c r="BM336" s="136">
        <f t="shared" si="71"/>
        <v>0</v>
      </c>
      <c r="BN336" s="136">
        <f t="shared" si="71"/>
        <v>0</v>
      </c>
      <c r="BO336" s="136">
        <f t="shared" si="71"/>
        <v>0</v>
      </c>
      <c r="BU336" s="136">
        <f t="shared" si="74"/>
        <v>0</v>
      </c>
      <c r="BV336" s="136">
        <f t="shared" si="74"/>
        <v>0</v>
      </c>
      <c r="BW336" s="136">
        <f t="shared" si="74"/>
        <v>0</v>
      </c>
      <c r="BX336" s="136">
        <f t="shared" si="74"/>
        <v>0</v>
      </c>
      <c r="BZ336" s="136">
        <f t="shared" si="75"/>
        <v>0</v>
      </c>
      <c r="CA336" s="136">
        <f t="shared" si="75"/>
        <v>0</v>
      </c>
    </row>
    <row r="337" spans="12:79" hidden="1" x14ac:dyDescent="0.3">
      <c r="L337" s="136">
        <f t="shared" si="70"/>
        <v>0</v>
      </c>
      <c r="M337" s="136">
        <f t="shared" si="70"/>
        <v>0</v>
      </c>
      <c r="N337" s="136">
        <f t="shared" si="70"/>
        <v>0</v>
      </c>
      <c r="O337" s="136">
        <f t="shared" si="70"/>
        <v>0</v>
      </c>
      <c r="P337" s="136">
        <f t="shared" si="70"/>
        <v>0</v>
      </c>
      <c r="Q337" s="136">
        <f t="shared" si="70"/>
        <v>0</v>
      </c>
      <c r="R337" s="136">
        <f t="shared" si="70"/>
        <v>0</v>
      </c>
      <c r="S337" s="136">
        <f t="shared" si="70"/>
        <v>0</v>
      </c>
      <c r="T337" s="136">
        <f t="shared" si="70"/>
        <v>0</v>
      </c>
      <c r="U337" s="136">
        <f t="shared" si="70"/>
        <v>0</v>
      </c>
      <c r="V337" s="136">
        <f t="shared" si="70"/>
        <v>0</v>
      </c>
      <c r="W337" s="136">
        <f t="shared" si="70"/>
        <v>0</v>
      </c>
      <c r="X337" s="136">
        <f t="shared" si="70"/>
        <v>0</v>
      </c>
      <c r="Y337" s="136">
        <f t="shared" si="70"/>
        <v>0</v>
      </c>
      <c r="Z337" s="136">
        <f t="shared" si="70"/>
        <v>0</v>
      </c>
      <c r="AA337" s="136">
        <f t="shared" si="70"/>
        <v>0</v>
      </c>
      <c r="AB337" s="136">
        <f t="shared" ref="AB337:AQ352" si="76">AB164-CT164</f>
        <v>0</v>
      </c>
      <c r="AC337" s="136">
        <f t="shared" si="76"/>
        <v>0</v>
      </c>
      <c r="AD337" s="136">
        <f t="shared" si="76"/>
        <v>0</v>
      </c>
      <c r="AE337" s="136">
        <f t="shared" si="76"/>
        <v>0</v>
      </c>
      <c r="AF337" s="136">
        <f t="shared" si="76"/>
        <v>0</v>
      </c>
      <c r="AG337" s="136">
        <f t="shared" si="76"/>
        <v>0</v>
      </c>
      <c r="AH337" s="136">
        <f t="shared" si="76"/>
        <v>0</v>
      </c>
      <c r="AI337" s="136">
        <f t="shared" si="76"/>
        <v>0</v>
      </c>
      <c r="AJ337" s="136">
        <f t="shared" si="76"/>
        <v>0</v>
      </c>
      <c r="AK337" s="136">
        <f t="shared" si="76"/>
        <v>0</v>
      </c>
      <c r="AL337" s="136">
        <f t="shared" si="76"/>
        <v>0</v>
      </c>
      <c r="AM337" s="136">
        <f t="shared" si="76"/>
        <v>0</v>
      </c>
      <c r="AN337" s="136">
        <f t="shared" si="76"/>
        <v>0</v>
      </c>
      <c r="AO337" s="136">
        <f t="shared" si="76"/>
        <v>0</v>
      </c>
      <c r="AP337" s="136">
        <f t="shared" si="76"/>
        <v>0</v>
      </c>
      <c r="AQ337" s="136">
        <f t="shared" si="76"/>
        <v>0</v>
      </c>
      <c r="AR337" s="136">
        <f t="shared" si="73"/>
        <v>0</v>
      </c>
      <c r="AS337" s="136">
        <f t="shared" si="73"/>
        <v>0</v>
      </c>
      <c r="AT337" s="136">
        <f t="shared" si="73"/>
        <v>0</v>
      </c>
      <c r="AU337" s="136">
        <f t="shared" si="73"/>
        <v>0</v>
      </c>
      <c r="AV337" s="136">
        <f t="shared" si="73"/>
        <v>0</v>
      </c>
      <c r="AW337" s="136">
        <f t="shared" si="73"/>
        <v>0</v>
      </c>
      <c r="AX337" s="136">
        <f t="shared" si="73"/>
        <v>0</v>
      </c>
      <c r="AY337" s="136">
        <f t="shared" si="73"/>
        <v>0</v>
      </c>
      <c r="AZ337" s="136">
        <f t="shared" si="73"/>
        <v>0</v>
      </c>
      <c r="BA337" s="136">
        <f t="shared" si="73"/>
        <v>0</v>
      </c>
      <c r="BB337" s="136">
        <f t="shared" si="73"/>
        <v>0</v>
      </c>
      <c r="BC337" s="136">
        <f t="shared" si="73"/>
        <v>0</v>
      </c>
      <c r="BD337" s="136">
        <f t="shared" si="73"/>
        <v>0</v>
      </c>
      <c r="BE337" s="136">
        <f t="shared" si="73"/>
        <v>0</v>
      </c>
      <c r="BF337" s="136">
        <f t="shared" si="73"/>
        <v>0</v>
      </c>
      <c r="BG337" s="136">
        <f t="shared" si="72"/>
        <v>0</v>
      </c>
      <c r="BH337" s="136">
        <f t="shared" si="71"/>
        <v>0</v>
      </c>
      <c r="BI337" s="136">
        <f t="shared" si="71"/>
        <v>0</v>
      </c>
      <c r="BJ337" s="136">
        <f t="shared" si="71"/>
        <v>0</v>
      </c>
      <c r="BK337" s="136">
        <f t="shared" si="71"/>
        <v>0</v>
      </c>
      <c r="BL337" s="136">
        <f t="shared" si="71"/>
        <v>0</v>
      </c>
      <c r="BM337" s="136">
        <f t="shared" si="71"/>
        <v>0</v>
      </c>
      <c r="BN337" s="136">
        <f t="shared" si="71"/>
        <v>0</v>
      </c>
      <c r="BO337" s="136">
        <f t="shared" si="71"/>
        <v>0</v>
      </c>
      <c r="BU337" s="136">
        <f t="shared" si="74"/>
        <v>0</v>
      </c>
      <c r="BV337" s="136">
        <f t="shared" si="74"/>
        <v>0</v>
      </c>
      <c r="BW337" s="136">
        <f t="shared" si="74"/>
        <v>0</v>
      </c>
      <c r="BX337" s="136">
        <f t="shared" si="74"/>
        <v>0</v>
      </c>
      <c r="BZ337" s="136">
        <f t="shared" si="75"/>
        <v>0</v>
      </c>
      <c r="CA337" s="136">
        <f t="shared" si="75"/>
        <v>0</v>
      </c>
    </row>
    <row r="338" spans="12:79" hidden="1" x14ac:dyDescent="0.3">
      <c r="L338" s="136">
        <f t="shared" si="70"/>
        <v>0</v>
      </c>
      <c r="M338" s="136">
        <f t="shared" si="70"/>
        <v>0</v>
      </c>
      <c r="N338" s="136">
        <f t="shared" si="70"/>
        <v>0</v>
      </c>
      <c r="O338" s="136">
        <f t="shared" si="70"/>
        <v>0</v>
      </c>
      <c r="P338" s="136">
        <f t="shared" si="70"/>
        <v>0</v>
      </c>
      <c r="Q338" s="136">
        <f t="shared" si="70"/>
        <v>0</v>
      </c>
      <c r="R338" s="136">
        <f t="shared" si="70"/>
        <v>0</v>
      </c>
      <c r="S338" s="136">
        <f t="shared" si="70"/>
        <v>0</v>
      </c>
      <c r="T338" s="136">
        <f t="shared" si="70"/>
        <v>0</v>
      </c>
      <c r="U338" s="136">
        <f t="shared" si="70"/>
        <v>0</v>
      </c>
      <c r="V338" s="136">
        <f t="shared" si="70"/>
        <v>0</v>
      </c>
      <c r="W338" s="136">
        <f t="shared" si="70"/>
        <v>0</v>
      </c>
      <c r="X338" s="136">
        <f t="shared" si="70"/>
        <v>0</v>
      </c>
      <c r="Y338" s="136">
        <f t="shared" si="70"/>
        <v>0</v>
      </c>
      <c r="Z338" s="136">
        <f t="shared" si="70"/>
        <v>0</v>
      </c>
      <c r="AA338" s="136">
        <f t="shared" si="70"/>
        <v>0</v>
      </c>
      <c r="AB338" s="136">
        <f t="shared" si="76"/>
        <v>0</v>
      </c>
      <c r="AC338" s="136">
        <f t="shared" si="76"/>
        <v>0</v>
      </c>
      <c r="AD338" s="136">
        <f t="shared" si="76"/>
        <v>0</v>
      </c>
      <c r="AE338" s="136">
        <f t="shared" si="76"/>
        <v>0</v>
      </c>
      <c r="AF338" s="136">
        <f t="shared" si="76"/>
        <v>0</v>
      </c>
      <c r="AG338" s="136">
        <f t="shared" si="76"/>
        <v>0</v>
      </c>
      <c r="AH338" s="136">
        <f t="shared" si="76"/>
        <v>0</v>
      </c>
      <c r="AI338" s="136">
        <f t="shared" si="76"/>
        <v>0</v>
      </c>
      <c r="AJ338" s="136">
        <f t="shared" si="76"/>
        <v>0</v>
      </c>
      <c r="AK338" s="136">
        <f t="shared" si="76"/>
        <v>0</v>
      </c>
      <c r="AL338" s="136">
        <f t="shared" si="76"/>
        <v>0</v>
      </c>
      <c r="AM338" s="136">
        <f t="shared" si="76"/>
        <v>0</v>
      </c>
      <c r="AN338" s="136">
        <f t="shared" si="76"/>
        <v>0</v>
      </c>
      <c r="AO338" s="136">
        <f t="shared" si="76"/>
        <v>0</v>
      </c>
      <c r="AP338" s="136">
        <f t="shared" si="76"/>
        <v>0</v>
      </c>
      <c r="AQ338" s="136">
        <f t="shared" si="76"/>
        <v>0</v>
      </c>
      <c r="AR338" s="136">
        <f t="shared" si="73"/>
        <v>0</v>
      </c>
      <c r="AS338" s="136">
        <f t="shared" si="73"/>
        <v>0</v>
      </c>
      <c r="AT338" s="136">
        <f t="shared" si="73"/>
        <v>0</v>
      </c>
      <c r="AU338" s="136">
        <f t="shared" si="73"/>
        <v>0</v>
      </c>
      <c r="AV338" s="136">
        <f t="shared" si="73"/>
        <v>0</v>
      </c>
      <c r="AW338" s="136">
        <f t="shared" si="73"/>
        <v>0</v>
      </c>
      <c r="AX338" s="136">
        <f t="shared" si="73"/>
        <v>0</v>
      </c>
      <c r="AY338" s="136">
        <f t="shared" si="73"/>
        <v>0</v>
      </c>
      <c r="AZ338" s="136">
        <f t="shared" si="73"/>
        <v>0</v>
      </c>
      <c r="BA338" s="136">
        <f t="shared" si="73"/>
        <v>0</v>
      </c>
      <c r="BB338" s="136">
        <f t="shared" si="73"/>
        <v>0</v>
      </c>
      <c r="BC338" s="136">
        <f t="shared" si="73"/>
        <v>0</v>
      </c>
      <c r="BD338" s="136">
        <f t="shared" si="73"/>
        <v>0</v>
      </c>
      <c r="BE338" s="136">
        <f t="shared" si="73"/>
        <v>0</v>
      </c>
      <c r="BF338" s="136">
        <f t="shared" si="73"/>
        <v>0</v>
      </c>
      <c r="BG338" s="136">
        <f t="shared" si="72"/>
        <v>0</v>
      </c>
      <c r="BH338" s="136">
        <f t="shared" si="71"/>
        <v>0</v>
      </c>
      <c r="BI338" s="136">
        <f t="shared" si="71"/>
        <v>0</v>
      </c>
      <c r="BJ338" s="136">
        <f t="shared" si="71"/>
        <v>0</v>
      </c>
      <c r="BK338" s="136">
        <f t="shared" si="71"/>
        <v>0</v>
      </c>
      <c r="BL338" s="136">
        <f t="shared" si="71"/>
        <v>0</v>
      </c>
      <c r="BM338" s="136">
        <f t="shared" si="71"/>
        <v>0</v>
      </c>
      <c r="BN338" s="136">
        <f t="shared" si="71"/>
        <v>0</v>
      </c>
      <c r="BO338" s="136">
        <f t="shared" si="71"/>
        <v>0</v>
      </c>
      <c r="BU338" s="136">
        <f t="shared" si="74"/>
        <v>0</v>
      </c>
      <c r="BV338" s="136">
        <f t="shared" si="74"/>
        <v>0</v>
      </c>
      <c r="BW338" s="136">
        <f t="shared" si="74"/>
        <v>0</v>
      </c>
      <c r="BX338" s="136">
        <f t="shared" si="74"/>
        <v>0</v>
      </c>
      <c r="BZ338" s="136">
        <f t="shared" si="75"/>
        <v>0</v>
      </c>
      <c r="CA338" s="136">
        <f t="shared" si="75"/>
        <v>0</v>
      </c>
    </row>
    <row r="339" spans="12:79" hidden="1" x14ac:dyDescent="0.3">
      <c r="L339" s="136">
        <f t="shared" ref="L339:AA354" si="77">L166-CD166</f>
        <v>0</v>
      </c>
      <c r="M339" s="136">
        <f t="shared" si="77"/>
        <v>0</v>
      </c>
      <c r="N339" s="136">
        <f t="shared" si="77"/>
        <v>0</v>
      </c>
      <c r="O339" s="136">
        <f t="shared" si="77"/>
        <v>0</v>
      </c>
      <c r="P339" s="136">
        <f t="shared" si="77"/>
        <v>0</v>
      </c>
      <c r="Q339" s="136">
        <f t="shared" si="77"/>
        <v>0</v>
      </c>
      <c r="R339" s="136">
        <f t="shared" si="77"/>
        <v>0</v>
      </c>
      <c r="S339" s="136">
        <f t="shared" si="77"/>
        <v>0</v>
      </c>
      <c r="T339" s="136">
        <f t="shared" si="77"/>
        <v>0</v>
      </c>
      <c r="U339" s="136">
        <f t="shared" si="77"/>
        <v>0</v>
      </c>
      <c r="V339" s="136">
        <f t="shared" si="77"/>
        <v>0</v>
      </c>
      <c r="W339" s="136">
        <f t="shared" si="77"/>
        <v>0</v>
      </c>
      <c r="X339" s="136">
        <f t="shared" si="77"/>
        <v>0</v>
      </c>
      <c r="Y339" s="136">
        <f t="shared" si="77"/>
        <v>0</v>
      </c>
      <c r="Z339" s="136">
        <f t="shared" si="77"/>
        <v>0</v>
      </c>
      <c r="AA339" s="136">
        <f t="shared" si="77"/>
        <v>0</v>
      </c>
      <c r="AB339" s="136">
        <f t="shared" si="76"/>
        <v>0</v>
      </c>
      <c r="AC339" s="136">
        <f t="shared" si="76"/>
        <v>0</v>
      </c>
      <c r="AD339" s="136">
        <f t="shared" si="76"/>
        <v>0</v>
      </c>
      <c r="AE339" s="136">
        <f t="shared" si="76"/>
        <v>0</v>
      </c>
      <c r="AF339" s="136">
        <f t="shared" si="76"/>
        <v>0</v>
      </c>
      <c r="AG339" s="136">
        <f t="shared" si="76"/>
        <v>0</v>
      </c>
      <c r="AH339" s="136">
        <f t="shared" si="76"/>
        <v>0</v>
      </c>
      <c r="AI339" s="136">
        <f t="shared" si="76"/>
        <v>0</v>
      </c>
      <c r="AJ339" s="136">
        <f t="shared" si="76"/>
        <v>0</v>
      </c>
      <c r="AK339" s="136">
        <f t="shared" si="76"/>
        <v>0</v>
      </c>
      <c r="AL339" s="136">
        <f t="shared" si="76"/>
        <v>0</v>
      </c>
      <c r="AM339" s="136">
        <f t="shared" si="76"/>
        <v>0</v>
      </c>
      <c r="AN339" s="136">
        <f t="shared" si="76"/>
        <v>0</v>
      </c>
      <c r="AO339" s="136">
        <f t="shared" si="76"/>
        <v>0</v>
      </c>
      <c r="AP339" s="136">
        <f t="shared" si="76"/>
        <v>0</v>
      </c>
      <c r="AQ339" s="136">
        <f t="shared" si="76"/>
        <v>0</v>
      </c>
      <c r="AR339" s="136">
        <f t="shared" si="73"/>
        <v>0</v>
      </c>
      <c r="AS339" s="136">
        <f t="shared" si="73"/>
        <v>0</v>
      </c>
      <c r="AT339" s="136">
        <f t="shared" si="73"/>
        <v>0</v>
      </c>
      <c r="AU339" s="136">
        <f t="shared" si="73"/>
        <v>0</v>
      </c>
      <c r="AV339" s="136">
        <f t="shared" si="73"/>
        <v>0</v>
      </c>
      <c r="AW339" s="136">
        <f t="shared" si="73"/>
        <v>0</v>
      </c>
      <c r="AX339" s="136">
        <f t="shared" si="73"/>
        <v>0</v>
      </c>
      <c r="AY339" s="136">
        <f t="shared" si="73"/>
        <v>0</v>
      </c>
      <c r="AZ339" s="136">
        <f t="shared" si="73"/>
        <v>0</v>
      </c>
      <c r="BA339" s="136">
        <f t="shared" si="73"/>
        <v>0</v>
      </c>
      <c r="BB339" s="136">
        <f t="shared" si="73"/>
        <v>0</v>
      </c>
      <c r="BC339" s="136">
        <f t="shared" si="73"/>
        <v>0</v>
      </c>
      <c r="BD339" s="136">
        <f t="shared" si="73"/>
        <v>0</v>
      </c>
      <c r="BE339" s="136">
        <f t="shared" si="73"/>
        <v>0</v>
      </c>
      <c r="BF339" s="136">
        <f t="shared" si="73"/>
        <v>0</v>
      </c>
      <c r="BG339" s="136">
        <f t="shared" si="72"/>
        <v>0</v>
      </c>
      <c r="BH339" s="136">
        <f t="shared" si="71"/>
        <v>0</v>
      </c>
      <c r="BI339" s="136">
        <f t="shared" si="71"/>
        <v>0</v>
      </c>
      <c r="BJ339" s="136">
        <f t="shared" si="71"/>
        <v>0</v>
      </c>
      <c r="BK339" s="136">
        <f t="shared" si="71"/>
        <v>0</v>
      </c>
      <c r="BL339" s="136">
        <f t="shared" si="71"/>
        <v>0</v>
      </c>
      <c r="BM339" s="136">
        <f t="shared" si="71"/>
        <v>0</v>
      </c>
      <c r="BN339" s="136">
        <f t="shared" si="71"/>
        <v>0</v>
      </c>
      <c r="BO339" s="136">
        <f t="shared" si="71"/>
        <v>0</v>
      </c>
      <c r="BU339" s="136">
        <f t="shared" si="74"/>
        <v>0</v>
      </c>
      <c r="BV339" s="136">
        <f t="shared" si="74"/>
        <v>0</v>
      </c>
      <c r="BW339" s="136">
        <f t="shared" si="74"/>
        <v>0</v>
      </c>
      <c r="BX339" s="136">
        <f t="shared" si="74"/>
        <v>0</v>
      </c>
      <c r="BZ339" s="136">
        <f t="shared" si="75"/>
        <v>0</v>
      </c>
      <c r="CA339" s="136">
        <f t="shared" si="75"/>
        <v>0</v>
      </c>
    </row>
    <row r="340" spans="12:79" hidden="1" x14ac:dyDescent="0.3">
      <c r="L340" s="136">
        <f t="shared" si="77"/>
        <v>0</v>
      </c>
      <c r="M340" s="136">
        <f t="shared" si="77"/>
        <v>0</v>
      </c>
      <c r="N340" s="136">
        <f t="shared" si="77"/>
        <v>0</v>
      </c>
      <c r="O340" s="136">
        <f t="shared" si="77"/>
        <v>0</v>
      </c>
      <c r="P340" s="136">
        <f t="shared" si="77"/>
        <v>0</v>
      </c>
      <c r="Q340" s="136">
        <f t="shared" si="77"/>
        <v>0</v>
      </c>
      <c r="R340" s="136">
        <f t="shared" si="77"/>
        <v>0</v>
      </c>
      <c r="S340" s="136">
        <f t="shared" si="77"/>
        <v>0</v>
      </c>
      <c r="T340" s="136">
        <f t="shared" si="77"/>
        <v>0</v>
      </c>
      <c r="U340" s="136">
        <f t="shared" si="77"/>
        <v>0</v>
      </c>
      <c r="V340" s="136">
        <f t="shared" si="77"/>
        <v>0</v>
      </c>
      <c r="W340" s="136">
        <f t="shared" si="77"/>
        <v>0</v>
      </c>
      <c r="X340" s="136">
        <f t="shared" si="77"/>
        <v>0</v>
      </c>
      <c r="Y340" s="136">
        <f t="shared" si="77"/>
        <v>0</v>
      </c>
      <c r="Z340" s="136">
        <f t="shared" si="77"/>
        <v>0</v>
      </c>
      <c r="AA340" s="136">
        <f t="shared" si="77"/>
        <v>0</v>
      </c>
      <c r="AB340" s="136">
        <f t="shared" si="76"/>
        <v>0</v>
      </c>
      <c r="AC340" s="136">
        <f t="shared" si="76"/>
        <v>0</v>
      </c>
      <c r="AD340" s="136">
        <f t="shared" si="76"/>
        <v>0</v>
      </c>
      <c r="AE340" s="136">
        <f t="shared" si="76"/>
        <v>0</v>
      </c>
      <c r="AF340" s="136">
        <f t="shared" si="76"/>
        <v>0</v>
      </c>
      <c r="AG340" s="136">
        <f t="shared" si="76"/>
        <v>0</v>
      </c>
      <c r="AH340" s="136">
        <f t="shared" si="76"/>
        <v>0</v>
      </c>
      <c r="AI340" s="136">
        <f t="shared" si="76"/>
        <v>0</v>
      </c>
      <c r="AJ340" s="136">
        <f t="shared" si="76"/>
        <v>0</v>
      </c>
      <c r="AK340" s="136">
        <f t="shared" si="76"/>
        <v>0</v>
      </c>
      <c r="AL340" s="136">
        <f t="shared" si="76"/>
        <v>0</v>
      </c>
      <c r="AM340" s="136">
        <f t="shared" si="76"/>
        <v>0</v>
      </c>
      <c r="AN340" s="136">
        <f t="shared" si="76"/>
        <v>0</v>
      </c>
      <c r="AO340" s="136">
        <f t="shared" si="76"/>
        <v>0</v>
      </c>
      <c r="AP340" s="136">
        <f t="shared" si="76"/>
        <v>0</v>
      </c>
      <c r="AQ340" s="136">
        <f t="shared" si="76"/>
        <v>0</v>
      </c>
      <c r="AR340" s="136">
        <f t="shared" si="73"/>
        <v>0</v>
      </c>
      <c r="AS340" s="136">
        <f t="shared" si="73"/>
        <v>0</v>
      </c>
      <c r="AT340" s="136">
        <f t="shared" si="73"/>
        <v>0</v>
      </c>
      <c r="AU340" s="136">
        <f t="shared" si="73"/>
        <v>0</v>
      </c>
      <c r="AV340" s="136">
        <f t="shared" si="73"/>
        <v>0</v>
      </c>
      <c r="AW340" s="136">
        <f t="shared" si="73"/>
        <v>0</v>
      </c>
      <c r="AX340" s="136">
        <f t="shared" si="73"/>
        <v>0</v>
      </c>
      <c r="AY340" s="136">
        <f t="shared" si="73"/>
        <v>0</v>
      </c>
      <c r="AZ340" s="136">
        <f t="shared" si="73"/>
        <v>0</v>
      </c>
      <c r="BA340" s="136">
        <f t="shared" si="73"/>
        <v>0</v>
      </c>
      <c r="BB340" s="136">
        <f t="shared" si="73"/>
        <v>0</v>
      </c>
      <c r="BC340" s="136">
        <f t="shared" si="73"/>
        <v>0</v>
      </c>
      <c r="BD340" s="136">
        <f t="shared" si="73"/>
        <v>0</v>
      </c>
      <c r="BE340" s="136">
        <f t="shared" si="73"/>
        <v>0</v>
      </c>
      <c r="BF340" s="136">
        <f t="shared" si="73"/>
        <v>0</v>
      </c>
      <c r="BG340" s="136">
        <f t="shared" si="72"/>
        <v>0</v>
      </c>
      <c r="BH340" s="136">
        <f t="shared" si="72"/>
        <v>0</v>
      </c>
      <c r="BI340" s="136">
        <f t="shared" si="72"/>
        <v>0</v>
      </c>
      <c r="BJ340" s="136">
        <f t="shared" si="72"/>
        <v>0</v>
      </c>
      <c r="BK340" s="136">
        <f t="shared" si="72"/>
        <v>0</v>
      </c>
      <c r="BL340" s="136">
        <f t="shared" si="72"/>
        <v>0</v>
      </c>
      <c r="BM340" s="136">
        <f t="shared" si="72"/>
        <v>0</v>
      </c>
      <c r="BN340" s="136">
        <f t="shared" si="72"/>
        <v>0</v>
      </c>
      <c r="BO340" s="136">
        <f t="shared" si="72"/>
        <v>0</v>
      </c>
      <c r="BU340" s="136">
        <f t="shared" si="74"/>
        <v>0</v>
      </c>
      <c r="BV340" s="136">
        <f t="shared" si="74"/>
        <v>0</v>
      </c>
      <c r="BW340" s="136">
        <f t="shared" si="74"/>
        <v>0</v>
      </c>
      <c r="BX340" s="136">
        <f t="shared" si="74"/>
        <v>0</v>
      </c>
      <c r="BZ340" s="136">
        <f t="shared" si="75"/>
        <v>0</v>
      </c>
      <c r="CA340" s="136">
        <f t="shared" si="75"/>
        <v>0</v>
      </c>
    </row>
    <row r="341" spans="12:79" hidden="1" x14ac:dyDescent="0.3">
      <c r="L341" s="136">
        <f t="shared" si="77"/>
        <v>0</v>
      </c>
      <c r="M341" s="136">
        <f t="shared" si="77"/>
        <v>0</v>
      </c>
      <c r="N341" s="136">
        <f t="shared" si="77"/>
        <v>0</v>
      </c>
      <c r="O341" s="136">
        <f t="shared" si="77"/>
        <v>0</v>
      </c>
      <c r="P341" s="136">
        <f t="shared" si="77"/>
        <v>0</v>
      </c>
      <c r="Q341" s="136">
        <f t="shared" si="77"/>
        <v>0</v>
      </c>
      <c r="R341" s="136">
        <f t="shared" si="77"/>
        <v>0</v>
      </c>
      <c r="S341" s="136">
        <f t="shared" si="77"/>
        <v>0</v>
      </c>
      <c r="T341" s="136">
        <f t="shared" si="77"/>
        <v>0</v>
      </c>
      <c r="U341" s="136">
        <f t="shared" si="77"/>
        <v>0</v>
      </c>
      <c r="V341" s="136">
        <f t="shared" si="77"/>
        <v>0</v>
      </c>
      <c r="W341" s="136">
        <f t="shared" si="77"/>
        <v>0</v>
      </c>
      <c r="X341" s="136">
        <f t="shared" si="77"/>
        <v>0</v>
      </c>
      <c r="Y341" s="136">
        <f t="shared" si="77"/>
        <v>0</v>
      </c>
      <c r="Z341" s="136">
        <f t="shared" si="77"/>
        <v>0</v>
      </c>
      <c r="AA341" s="136">
        <f t="shared" si="77"/>
        <v>0</v>
      </c>
      <c r="AB341" s="136">
        <f t="shared" si="76"/>
        <v>0</v>
      </c>
      <c r="AC341" s="136">
        <f t="shared" si="76"/>
        <v>0</v>
      </c>
      <c r="AD341" s="136">
        <f t="shared" si="76"/>
        <v>0</v>
      </c>
      <c r="AE341" s="136">
        <f t="shared" si="76"/>
        <v>0</v>
      </c>
      <c r="AF341" s="136">
        <f t="shared" si="76"/>
        <v>0</v>
      </c>
      <c r="AG341" s="136">
        <f t="shared" si="76"/>
        <v>0</v>
      </c>
      <c r="AH341" s="136">
        <f t="shared" si="76"/>
        <v>0</v>
      </c>
      <c r="AI341" s="136">
        <f t="shared" si="76"/>
        <v>0</v>
      </c>
      <c r="AJ341" s="136">
        <f t="shared" si="76"/>
        <v>0</v>
      </c>
      <c r="AK341" s="136">
        <f t="shared" si="76"/>
        <v>0</v>
      </c>
      <c r="AL341" s="136">
        <f t="shared" si="76"/>
        <v>0</v>
      </c>
      <c r="AM341" s="136">
        <f t="shared" si="76"/>
        <v>0</v>
      </c>
      <c r="AN341" s="136">
        <f t="shared" si="76"/>
        <v>0</v>
      </c>
      <c r="AO341" s="136">
        <f t="shared" si="76"/>
        <v>0</v>
      </c>
      <c r="AP341" s="136">
        <f t="shared" si="76"/>
        <v>0</v>
      </c>
      <c r="AQ341" s="136">
        <f t="shared" si="76"/>
        <v>0</v>
      </c>
      <c r="AR341" s="136">
        <f t="shared" si="73"/>
        <v>0</v>
      </c>
      <c r="AS341" s="136">
        <f t="shared" si="73"/>
        <v>0</v>
      </c>
      <c r="AT341" s="136">
        <f t="shared" si="73"/>
        <v>0</v>
      </c>
      <c r="AU341" s="136">
        <f t="shared" si="73"/>
        <v>0</v>
      </c>
      <c r="AV341" s="136">
        <f t="shared" si="73"/>
        <v>0</v>
      </c>
      <c r="AW341" s="136">
        <f t="shared" si="73"/>
        <v>0</v>
      </c>
      <c r="AX341" s="136">
        <f t="shared" si="73"/>
        <v>0</v>
      </c>
      <c r="AY341" s="136">
        <f t="shared" si="73"/>
        <v>0</v>
      </c>
      <c r="AZ341" s="136">
        <f t="shared" si="73"/>
        <v>0</v>
      </c>
      <c r="BA341" s="136">
        <f t="shared" si="73"/>
        <v>0</v>
      </c>
      <c r="BB341" s="136">
        <f t="shared" si="73"/>
        <v>0</v>
      </c>
      <c r="BC341" s="136">
        <f t="shared" si="73"/>
        <v>0</v>
      </c>
      <c r="BD341" s="136">
        <f t="shared" si="73"/>
        <v>0</v>
      </c>
      <c r="BE341" s="136">
        <f t="shared" si="73"/>
        <v>0</v>
      </c>
      <c r="BF341" s="136">
        <f t="shared" si="73"/>
        <v>0</v>
      </c>
      <c r="BG341" s="136">
        <f t="shared" si="72"/>
        <v>0</v>
      </c>
      <c r="BH341" s="136">
        <f t="shared" si="72"/>
        <v>0</v>
      </c>
      <c r="BI341" s="136">
        <f t="shared" si="72"/>
        <v>0</v>
      </c>
      <c r="BJ341" s="136">
        <f t="shared" si="72"/>
        <v>0</v>
      </c>
      <c r="BK341" s="136">
        <f t="shared" si="72"/>
        <v>0</v>
      </c>
      <c r="BL341" s="136">
        <f t="shared" si="72"/>
        <v>0</v>
      </c>
      <c r="BM341" s="136">
        <f t="shared" si="72"/>
        <v>0</v>
      </c>
      <c r="BN341" s="136">
        <f t="shared" si="72"/>
        <v>0</v>
      </c>
      <c r="BO341" s="136">
        <f t="shared" si="72"/>
        <v>0</v>
      </c>
      <c r="BU341" s="136">
        <f t="shared" si="74"/>
        <v>0</v>
      </c>
      <c r="BV341" s="136">
        <f t="shared" si="74"/>
        <v>0</v>
      </c>
      <c r="BW341" s="136">
        <f t="shared" si="74"/>
        <v>0</v>
      </c>
      <c r="BX341" s="136">
        <f t="shared" si="74"/>
        <v>0</v>
      </c>
      <c r="BZ341" s="136">
        <f t="shared" si="75"/>
        <v>0</v>
      </c>
      <c r="CA341" s="136">
        <f t="shared" si="75"/>
        <v>0</v>
      </c>
    </row>
    <row r="342" spans="12:79" hidden="1" x14ac:dyDescent="0.3">
      <c r="L342" s="136">
        <f t="shared" si="77"/>
        <v>0</v>
      </c>
      <c r="M342" s="136">
        <f t="shared" si="77"/>
        <v>0</v>
      </c>
      <c r="N342" s="136">
        <f t="shared" si="77"/>
        <v>0</v>
      </c>
      <c r="O342" s="136">
        <f t="shared" si="77"/>
        <v>0</v>
      </c>
      <c r="P342" s="136">
        <f t="shared" si="77"/>
        <v>0</v>
      </c>
      <c r="Q342" s="136">
        <f t="shared" si="77"/>
        <v>0</v>
      </c>
      <c r="R342" s="136">
        <f t="shared" si="77"/>
        <v>0</v>
      </c>
      <c r="S342" s="136">
        <f t="shared" si="77"/>
        <v>0</v>
      </c>
      <c r="T342" s="136">
        <f t="shared" si="77"/>
        <v>0</v>
      </c>
      <c r="U342" s="136">
        <f t="shared" si="77"/>
        <v>0</v>
      </c>
      <c r="V342" s="136">
        <f t="shared" si="77"/>
        <v>0</v>
      </c>
      <c r="W342" s="136">
        <f t="shared" si="77"/>
        <v>0</v>
      </c>
      <c r="X342" s="136">
        <f t="shared" si="77"/>
        <v>0</v>
      </c>
      <c r="Y342" s="136">
        <f t="shared" si="77"/>
        <v>0</v>
      </c>
      <c r="Z342" s="136">
        <f t="shared" si="77"/>
        <v>0</v>
      </c>
      <c r="AA342" s="136">
        <f t="shared" si="77"/>
        <v>0</v>
      </c>
      <c r="AB342" s="136">
        <f t="shared" si="76"/>
        <v>0</v>
      </c>
      <c r="AC342" s="136">
        <f t="shared" si="76"/>
        <v>0</v>
      </c>
      <c r="AD342" s="136">
        <f t="shared" si="76"/>
        <v>0</v>
      </c>
      <c r="AE342" s="136">
        <f t="shared" si="76"/>
        <v>0</v>
      </c>
      <c r="AF342" s="136">
        <f t="shared" si="76"/>
        <v>0</v>
      </c>
      <c r="AG342" s="136">
        <f t="shared" si="76"/>
        <v>0</v>
      </c>
      <c r="AH342" s="136">
        <f t="shared" si="76"/>
        <v>0</v>
      </c>
      <c r="AI342" s="136">
        <f t="shared" si="76"/>
        <v>0</v>
      </c>
      <c r="AJ342" s="136">
        <f t="shared" si="76"/>
        <v>0</v>
      </c>
      <c r="AK342" s="136">
        <f t="shared" si="76"/>
        <v>0</v>
      </c>
      <c r="AL342" s="136">
        <f t="shared" si="76"/>
        <v>0</v>
      </c>
      <c r="AM342" s="136">
        <f t="shared" si="76"/>
        <v>0</v>
      </c>
      <c r="AN342" s="136">
        <f t="shared" si="76"/>
        <v>0</v>
      </c>
      <c r="AO342" s="136">
        <f t="shared" si="76"/>
        <v>0</v>
      </c>
      <c r="AP342" s="136">
        <f t="shared" si="76"/>
        <v>0</v>
      </c>
      <c r="AQ342" s="136">
        <f t="shared" si="76"/>
        <v>0</v>
      </c>
      <c r="AR342" s="136">
        <f t="shared" si="73"/>
        <v>0</v>
      </c>
      <c r="AS342" s="136">
        <f t="shared" si="73"/>
        <v>0</v>
      </c>
      <c r="AT342" s="136">
        <f t="shared" si="73"/>
        <v>0</v>
      </c>
      <c r="AU342" s="136">
        <f t="shared" si="73"/>
        <v>0</v>
      </c>
      <c r="AV342" s="136">
        <f t="shared" si="73"/>
        <v>0</v>
      </c>
      <c r="AW342" s="136">
        <f t="shared" si="73"/>
        <v>0</v>
      </c>
      <c r="AX342" s="136">
        <f t="shared" si="73"/>
        <v>0</v>
      </c>
      <c r="AY342" s="136">
        <f t="shared" si="73"/>
        <v>0</v>
      </c>
      <c r="AZ342" s="136">
        <f t="shared" si="73"/>
        <v>0</v>
      </c>
      <c r="BA342" s="136">
        <f t="shared" si="73"/>
        <v>0</v>
      </c>
      <c r="BB342" s="136">
        <f t="shared" si="73"/>
        <v>0</v>
      </c>
      <c r="BC342" s="136">
        <f t="shared" si="73"/>
        <v>0</v>
      </c>
      <c r="BD342" s="136">
        <f t="shared" si="73"/>
        <v>0</v>
      </c>
      <c r="BE342" s="136">
        <f t="shared" si="73"/>
        <v>0</v>
      </c>
      <c r="BF342" s="136">
        <f t="shared" si="73"/>
        <v>0</v>
      </c>
      <c r="BG342" s="136">
        <f t="shared" si="72"/>
        <v>0</v>
      </c>
      <c r="BH342" s="136">
        <f t="shared" si="72"/>
        <v>0</v>
      </c>
      <c r="BI342" s="136">
        <f t="shared" si="72"/>
        <v>0</v>
      </c>
      <c r="BJ342" s="136">
        <f t="shared" si="72"/>
        <v>0</v>
      </c>
      <c r="BK342" s="136">
        <f t="shared" si="72"/>
        <v>0</v>
      </c>
      <c r="BL342" s="136">
        <f t="shared" si="72"/>
        <v>0</v>
      </c>
      <c r="BM342" s="136">
        <f t="shared" si="72"/>
        <v>0</v>
      </c>
      <c r="BN342" s="136">
        <f t="shared" si="72"/>
        <v>0</v>
      </c>
      <c r="BO342" s="136">
        <f t="shared" si="72"/>
        <v>0</v>
      </c>
      <c r="BU342" s="136">
        <f t="shared" si="74"/>
        <v>0</v>
      </c>
      <c r="BV342" s="136">
        <f t="shared" si="74"/>
        <v>0</v>
      </c>
      <c r="BW342" s="136">
        <f t="shared" si="74"/>
        <v>0</v>
      </c>
      <c r="BX342" s="136">
        <f t="shared" si="74"/>
        <v>0</v>
      </c>
      <c r="BZ342" s="136">
        <f t="shared" si="75"/>
        <v>0</v>
      </c>
      <c r="CA342" s="136">
        <f t="shared" si="75"/>
        <v>0</v>
      </c>
    </row>
    <row r="343" spans="12:79" hidden="1" x14ac:dyDescent="0.3">
      <c r="L343" s="136">
        <f t="shared" si="77"/>
        <v>0</v>
      </c>
      <c r="M343" s="136">
        <f t="shared" si="77"/>
        <v>0</v>
      </c>
      <c r="N343" s="136">
        <f t="shared" si="77"/>
        <v>0</v>
      </c>
      <c r="O343" s="136">
        <f t="shared" si="77"/>
        <v>0</v>
      </c>
      <c r="P343" s="136">
        <f t="shared" si="77"/>
        <v>0</v>
      </c>
      <c r="Q343" s="136">
        <f t="shared" si="77"/>
        <v>0</v>
      </c>
      <c r="R343" s="136">
        <f t="shared" si="77"/>
        <v>0</v>
      </c>
      <c r="S343" s="136">
        <f t="shared" si="77"/>
        <v>0</v>
      </c>
      <c r="T343" s="136">
        <f t="shared" si="77"/>
        <v>0</v>
      </c>
      <c r="U343" s="136">
        <f t="shared" si="77"/>
        <v>0</v>
      </c>
      <c r="V343" s="136">
        <f t="shared" si="77"/>
        <v>0</v>
      </c>
      <c r="W343" s="136">
        <f t="shared" si="77"/>
        <v>0</v>
      </c>
      <c r="X343" s="136">
        <f t="shared" si="77"/>
        <v>0</v>
      </c>
      <c r="Y343" s="136">
        <f t="shared" si="77"/>
        <v>0</v>
      </c>
      <c r="Z343" s="136">
        <f t="shared" si="77"/>
        <v>0</v>
      </c>
      <c r="AA343" s="136">
        <f t="shared" si="77"/>
        <v>0</v>
      </c>
      <c r="AB343" s="136">
        <f t="shared" si="76"/>
        <v>0</v>
      </c>
      <c r="AC343" s="136">
        <f t="shared" si="76"/>
        <v>0</v>
      </c>
      <c r="AD343" s="136">
        <f t="shared" si="76"/>
        <v>0</v>
      </c>
      <c r="AE343" s="136">
        <f t="shared" si="76"/>
        <v>0</v>
      </c>
      <c r="AF343" s="136">
        <f t="shared" si="76"/>
        <v>0</v>
      </c>
      <c r="AG343" s="136">
        <f t="shared" si="76"/>
        <v>0</v>
      </c>
      <c r="AH343" s="136">
        <f t="shared" si="76"/>
        <v>0</v>
      </c>
      <c r="AI343" s="136">
        <f t="shared" si="76"/>
        <v>0</v>
      </c>
      <c r="AJ343" s="136">
        <f t="shared" si="76"/>
        <v>0</v>
      </c>
      <c r="AK343" s="136">
        <f t="shared" si="76"/>
        <v>0</v>
      </c>
      <c r="AL343" s="136">
        <f t="shared" si="76"/>
        <v>0</v>
      </c>
      <c r="AM343" s="136">
        <f t="shared" si="76"/>
        <v>0</v>
      </c>
      <c r="AN343" s="136">
        <f t="shared" si="76"/>
        <v>0</v>
      </c>
      <c r="AO343" s="136">
        <f t="shared" si="76"/>
        <v>0</v>
      </c>
      <c r="AP343" s="136">
        <f t="shared" si="76"/>
        <v>0</v>
      </c>
      <c r="AQ343" s="136">
        <f t="shared" si="76"/>
        <v>0</v>
      </c>
      <c r="AR343" s="136">
        <f t="shared" si="73"/>
        <v>0</v>
      </c>
      <c r="AS343" s="136">
        <f t="shared" si="73"/>
        <v>0</v>
      </c>
      <c r="AT343" s="136">
        <f t="shared" si="73"/>
        <v>0</v>
      </c>
      <c r="AU343" s="136">
        <f t="shared" si="73"/>
        <v>0</v>
      </c>
      <c r="AV343" s="136">
        <f t="shared" si="73"/>
        <v>0</v>
      </c>
      <c r="AW343" s="136">
        <f t="shared" si="73"/>
        <v>0</v>
      </c>
      <c r="AX343" s="136">
        <f t="shared" si="73"/>
        <v>0</v>
      </c>
      <c r="AY343" s="136">
        <f t="shared" si="73"/>
        <v>0</v>
      </c>
      <c r="AZ343" s="136">
        <f t="shared" si="73"/>
        <v>0</v>
      </c>
      <c r="BA343" s="136">
        <f t="shared" si="73"/>
        <v>0</v>
      </c>
      <c r="BB343" s="136">
        <f t="shared" si="73"/>
        <v>0</v>
      </c>
      <c r="BC343" s="136">
        <f t="shared" si="73"/>
        <v>0</v>
      </c>
      <c r="BD343" s="136">
        <f t="shared" si="73"/>
        <v>0</v>
      </c>
      <c r="BE343" s="136">
        <f t="shared" si="73"/>
        <v>0</v>
      </c>
      <c r="BF343" s="136">
        <f t="shared" si="73"/>
        <v>0</v>
      </c>
      <c r="BG343" s="136">
        <f t="shared" si="72"/>
        <v>0</v>
      </c>
      <c r="BH343" s="136">
        <f t="shared" si="72"/>
        <v>0</v>
      </c>
      <c r="BI343" s="136">
        <f t="shared" si="72"/>
        <v>0</v>
      </c>
      <c r="BJ343" s="136">
        <f t="shared" si="72"/>
        <v>0</v>
      </c>
      <c r="BK343" s="136">
        <f t="shared" si="72"/>
        <v>0</v>
      </c>
      <c r="BL343" s="136">
        <f t="shared" si="72"/>
        <v>0</v>
      </c>
      <c r="BM343" s="136">
        <f t="shared" si="72"/>
        <v>0</v>
      </c>
      <c r="BN343" s="136">
        <f t="shared" si="72"/>
        <v>0</v>
      </c>
      <c r="BO343" s="136">
        <f t="shared" si="72"/>
        <v>0</v>
      </c>
      <c r="BU343" s="136">
        <f t="shared" si="74"/>
        <v>0</v>
      </c>
      <c r="BV343" s="136">
        <f t="shared" si="74"/>
        <v>0</v>
      </c>
      <c r="BW343" s="136">
        <f t="shared" si="74"/>
        <v>0</v>
      </c>
      <c r="BX343" s="136">
        <f t="shared" si="74"/>
        <v>0</v>
      </c>
      <c r="BZ343" s="136">
        <f t="shared" si="75"/>
        <v>0</v>
      </c>
      <c r="CA343" s="136">
        <f t="shared" si="75"/>
        <v>0</v>
      </c>
    </row>
    <row r="344" spans="12:79" hidden="1" x14ac:dyDescent="0.3">
      <c r="L344" s="136">
        <f t="shared" si="77"/>
        <v>0</v>
      </c>
      <c r="M344" s="136">
        <f t="shared" si="77"/>
        <v>0</v>
      </c>
      <c r="N344" s="136">
        <f t="shared" si="77"/>
        <v>0</v>
      </c>
      <c r="O344" s="136">
        <f t="shared" si="77"/>
        <v>0</v>
      </c>
      <c r="P344" s="136">
        <f t="shared" si="77"/>
        <v>0</v>
      </c>
      <c r="Q344" s="136">
        <f t="shared" si="77"/>
        <v>0</v>
      </c>
      <c r="R344" s="136">
        <f t="shared" si="77"/>
        <v>0</v>
      </c>
      <c r="S344" s="136">
        <f t="shared" si="77"/>
        <v>0</v>
      </c>
      <c r="T344" s="136">
        <f t="shared" si="77"/>
        <v>0</v>
      </c>
      <c r="U344" s="136">
        <f t="shared" si="77"/>
        <v>0</v>
      </c>
      <c r="V344" s="136">
        <f t="shared" si="77"/>
        <v>0</v>
      </c>
      <c r="W344" s="136">
        <f t="shared" si="77"/>
        <v>0</v>
      </c>
      <c r="X344" s="136">
        <f t="shared" si="77"/>
        <v>0</v>
      </c>
      <c r="Y344" s="136">
        <f t="shared" si="77"/>
        <v>0</v>
      </c>
      <c r="Z344" s="136">
        <f t="shared" si="77"/>
        <v>0</v>
      </c>
      <c r="AA344" s="136">
        <f t="shared" si="77"/>
        <v>0</v>
      </c>
      <c r="AB344" s="136">
        <f t="shared" si="76"/>
        <v>0</v>
      </c>
      <c r="AC344" s="136">
        <f t="shared" si="76"/>
        <v>0</v>
      </c>
      <c r="AD344" s="136">
        <f t="shared" si="76"/>
        <v>0</v>
      </c>
      <c r="AE344" s="136">
        <f t="shared" si="76"/>
        <v>0</v>
      </c>
      <c r="AF344" s="136">
        <f t="shared" si="76"/>
        <v>0</v>
      </c>
      <c r="AG344" s="136">
        <f t="shared" si="76"/>
        <v>0</v>
      </c>
      <c r="AH344" s="136">
        <f t="shared" si="76"/>
        <v>0</v>
      </c>
      <c r="AI344" s="136">
        <f t="shared" si="76"/>
        <v>0</v>
      </c>
      <c r="AJ344" s="136">
        <f t="shared" si="76"/>
        <v>0</v>
      </c>
      <c r="AK344" s="136">
        <f t="shared" si="76"/>
        <v>0</v>
      </c>
      <c r="AL344" s="136">
        <f t="shared" si="76"/>
        <v>0</v>
      </c>
      <c r="AM344" s="136">
        <f t="shared" si="76"/>
        <v>0</v>
      </c>
      <c r="AN344" s="136">
        <f t="shared" si="76"/>
        <v>0</v>
      </c>
      <c r="AO344" s="136">
        <f t="shared" si="76"/>
        <v>0</v>
      </c>
      <c r="AP344" s="136">
        <f t="shared" si="76"/>
        <v>0</v>
      </c>
      <c r="AQ344" s="136">
        <f t="shared" si="76"/>
        <v>0</v>
      </c>
      <c r="AR344" s="136">
        <f t="shared" si="73"/>
        <v>0</v>
      </c>
      <c r="AS344" s="136">
        <f t="shared" si="73"/>
        <v>0</v>
      </c>
      <c r="AT344" s="136">
        <f t="shared" si="73"/>
        <v>0</v>
      </c>
      <c r="AU344" s="136">
        <f t="shared" si="73"/>
        <v>0</v>
      </c>
      <c r="AV344" s="136">
        <f t="shared" si="73"/>
        <v>0</v>
      </c>
      <c r="AW344" s="136">
        <f t="shared" si="73"/>
        <v>0</v>
      </c>
      <c r="AX344" s="136">
        <f t="shared" si="73"/>
        <v>0</v>
      </c>
      <c r="AY344" s="136">
        <f t="shared" si="73"/>
        <v>0</v>
      </c>
      <c r="AZ344" s="136">
        <f t="shared" si="73"/>
        <v>0</v>
      </c>
      <c r="BA344" s="136">
        <f t="shared" si="73"/>
        <v>0</v>
      </c>
      <c r="BB344" s="136">
        <f t="shared" si="73"/>
        <v>0</v>
      </c>
      <c r="BC344" s="136">
        <f t="shared" si="73"/>
        <v>0</v>
      </c>
      <c r="BD344" s="136">
        <f t="shared" si="73"/>
        <v>0</v>
      </c>
      <c r="BE344" s="136">
        <f t="shared" si="73"/>
        <v>0</v>
      </c>
      <c r="BF344" s="136">
        <f t="shared" si="73"/>
        <v>0</v>
      </c>
      <c r="BG344" s="136">
        <f t="shared" si="72"/>
        <v>0</v>
      </c>
      <c r="BH344" s="136">
        <f t="shared" si="72"/>
        <v>0</v>
      </c>
      <c r="BI344" s="136">
        <f t="shared" si="72"/>
        <v>0</v>
      </c>
      <c r="BJ344" s="136">
        <f t="shared" si="72"/>
        <v>0</v>
      </c>
      <c r="BK344" s="136">
        <f t="shared" si="72"/>
        <v>0</v>
      </c>
      <c r="BL344" s="136">
        <f t="shared" si="72"/>
        <v>0</v>
      </c>
      <c r="BM344" s="136">
        <f t="shared" si="72"/>
        <v>0</v>
      </c>
      <c r="BN344" s="136">
        <f t="shared" si="72"/>
        <v>0</v>
      </c>
      <c r="BO344" s="136">
        <f t="shared" si="72"/>
        <v>0</v>
      </c>
      <c r="BU344" s="136">
        <f t="shared" si="74"/>
        <v>0</v>
      </c>
      <c r="BV344" s="136">
        <f t="shared" si="74"/>
        <v>0</v>
      </c>
      <c r="BW344" s="136">
        <f t="shared" si="74"/>
        <v>0</v>
      </c>
      <c r="BX344" s="136">
        <f t="shared" si="74"/>
        <v>0</v>
      </c>
      <c r="BZ344" s="136">
        <f t="shared" si="75"/>
        <v>0</v>
      </c>
      <c r="CA344" s="136">
        <f t="shared" si="75"/>
        <v>0</v>
      </c>
    </row>
    <row r="345" spans="12:79" hidden="1" x14ac:dyDescent="0.3">
      <c r="L345" s="136">
        <f t="shared" si="77"/>
        <v>0</v>
      </c>
      <c r="M345" s="136">
        <f t="shared" si="77"/>
        <v>0</v>
      </c>
      <c r="N345" s="136">
        <f t="shared" si="77"/>
        <v>0</v>
      </c>
      <c r="O345" s="136">
        <f t="shared" si="77"/>
        <v>0</v>
      </c>
      <c r="P345" s="136">
        <f t="shared" si="77"/>
        <v>0</v>
      </c>
      <c r="Q345" s="136">
        <f t="shared" si="77"/>
        <v>0</v>
      </c>
      <c r="R345" s="136">
        <f t="shared" si="77"/>
        <v>0</v>
      </c>
      <c r="S345" s="136">
        <f t="shared" si="77"/>
        <v>0</v>
      </c>
      <c r="T345" s="136">
        <f t="shared" si="77"/>
        <v>0</v>
      </c>
      <c r="U345" s="136">
        <f t="shared" si="77"/>
        <v>0</v>
      </c>
      <c r="V345" s="136">
        <f t="shared" si="77"/>
        <v>0</v>
      </c>
      <c r="W345" s="136">
        <f t="shared" si="77"/>
        <v>0</v>
      </c>
      <c r="X345" s="136">
        <f t="shared" si="77"/>
        <v>0</v>
      </c>
      <c r="Y345" s="136">
        <f t="shared" si="77"/>
        <v>0</v>
      </c>
      <c r="Z345" s="136">
        <f t="shared" si="77"/>
        <v>0</v>
      </c>
      <c r="AA345" s="136">
        <f t="shared" si="77"/>
        <v>0</v>
      </c>
      <c r="AB345" s="136">
        <f t="shared" si="76"/>
        <v>0</v>
      </c>
      <c r="AC345" s="136">
        <f t="shared" si="76"/>
        <v>0</v>
      </c>
      <c r="AD345" s="136">
        <f t="shared" si="76"/>
        <v>0</v>
      </c>
      <c r="AE345" s="136">
        <f t="shared" si="76"/>
        <v>0</v>
      </c>
      <c r="AF345" s="136">
        <f t="shared" si="76"/>
        <v>0</v>
      </c>
      <c r="AG345" s="136">
        <f t="shared" si="76"/>
        <v>0</v>
      </c>
      <c r="AH345" s="136">
        <f t="shared" si="76"/>
        <v>0</v>
      </c>
      <c r="AI345" s="136">
        <f t="shared" si="76"/>
        <v>0</v>
      </c>
      <c r="AJ345" s="136">
        <f t="shared" si="76"/>
        <v>0</v>
      </c>
      <c r="AK345" s="136">
        <f t="shared" si="76"/>
        <v>0</v>
      </c>
      <c r="AL345" s="136">
        <f t="shared" si="76"/>
        <v>0</v>
      </c>
      <c r="AM345" s="136">
        <f t="shared" si="76"/>
        <v>0</v>
      </c>
      <c r="AN345" s="136">
        <f t="shared" si="76"/>
        <v>0</v>
      </c>
      <c r="AO345" s="136">
        <f t="shared" si="76"/>
        <v>0</v>
      </c>
      <c r="AP345" s="136">
        <f t="shared" si="76"/>
        <v>0</v>
      </c>
      <c r="AQ345" s="136">
        <f t="shared" si="76"/>
        <v>0</v>
      </c>
      <c r="AR345" s="136">
        <f t="shared" si="73"/>
        <v>0</v>
      </c>
      <c r="AS345" s="136">
        <f t="shared" si="73"/>
        <v>0</v>
      </c>
      <c r="AT345" s="136">
        <f t="shared" si="73"/>
        <v>0</v>
      </c>
      <c r="AU345" s="136">
        <f t="shared" si="73"/>
        <v>0</v>
      </c>
      <c r="AV345" s="136">
        <f t="shared" si="73"/>
        <v>0</v>
      </c>
      <c r="AW345" s="136">
        <f t="shared" si="73"/>
        <v>0</v>
      </c>
      <c r="AX345" s="136">
        <f t="shared" si="73"/>
        <v>0</v>
      </c>
      <c r="AY345" s="136">
        <f t="shared" si="73"/>
        <v>0</v>
      </c>
      <c r="AZ345" s="136">
        <f t="shared" si="73"/>
        <v>0</v>
      </c>
      <c r="BA345" s="136">
        <f t="shared" si="73"/>
        <v>0</v>
      </c>
      <c r="BB345" s="136">
        <f t="shared" si="73"/>
        <v>0</v>
      </c>
      <c r="BC345" s="136">
        <f t="shared" si="73"/>
        <v>0</v>
      </c>
      <c r="BD345" s="136">
        <f t="shared" si="73"/>
        <v>0</v>
      </c>
      <c r="BE345" s="136">
        <f t="shared" si="73"/>
        <v>0</v>
      </c>
      <c r="BF345" s="136">
        <f t="shared" si="73"/>
        <v>0</v>
      </c>
      <c r="BG345" s="136">
        <f t="shared" si="72"/>
        <v>0</v>
      </c>
      <c r="BH345" s="136">
        <f t="shared" si="72"/>
        <v>0</v>
      </c>
      <c r="BI345" s="136">
        <f t="shared" si="72"/>
        <v>0</v>
      </c>
      <c r="BJ345" s="136">
        <f t="shared" si="72"/>
        <v>0</v>
      </c>
      <c r="BK345" s="136">
        <f t="shared" si="72"/>
        <v>0</v>
      </c>
      <c r="BL345" s="136">
        <f t="shared" si="72"/>
        <v>0</v>
      </c>
      <c r="BM345" s="136">
        <f t="shared" si="72"/>
        <v>0</v>
      </c>
      <c r="BN345" s="136">
        <f t="shared" si="72"/>
        <v>0</v>
      </c>
      <c r="BO345" s="136">
        <f t="shared" si="72"/>
        <v>0</v>
      </c>
      <c r="BU345" s="136">
        <f t="shared" si="74"/>
        <v>0</v>
      </c>
      <c r="BV345" s="136">
        <f t="shared" si="74"/>
        <v>0</v>
      </c>
      <c r="BW345" s="136">
        <f t="shared" si="74"/>
        <v>0</v>
      </c>
      <c r="BX345" s="136">
        <f t="shared" si="74"/>
        <v>0</v>
      </c>
      <c r="BZ345" s="136">
        <f t="shared" si="75"/>
        <v>0</v>
      </c>
      <c r="CA345" s="136">
        <f t="shared" si="75"/>
        <v>0</v>
      </c>
    </row>
    <row r="346" spans="12:79" hidden="1" x14ac:dyDescent="0.3">
      <c r="L346" s="136">
        <f t="shared" si="77"/>
        <v>0</v>
      </c>
      <c r="M346" s="136">
        <f t="shared" si="77"/>
        <v>0</v>
      </c>
      <c r="N346" s="136">
        <f t="shared" si="77"/>
        <v>0</v>
      </c>
      <c r="O346" s="136">
        <f t="shared" si="77"/>
        <v>0</v>
      </c>
      <c r="P346" s="136">
        <f t="shared" si="77"/>
        <v>0</v>
      </c>
      <c r="Q346" s="136">
        <f t="shared" si="77"/>
        <v>0</v>
      </c>
      <c r="R346" s="136">
        <f t="shared" si="77"/>
        <v>0</v>
      </c>
      <c r="S346" s="136">
        <f t="shared" si="77"/>
        <v>0</v>
      </c>
      <c r="T346" s="136">
        <f t="shared" si="77"/>
        <v>0</v>
      </c>
      <c r="U346" s="136">
        <f t="shared" si="77"/>
        <v>0</v>
      </c>
      <c r="V346" s="136">
        <f t="shared" si="77"/>
        <v>0</v>
      </c>
      <c r="W346" s="136">
        <f t="shared" si="77"/>
        <v>0</v>
      </c>
      <c r="X346" s="136">
        <f t="shared" si="77"/>
        <v>0</v>
      </c>
      <c r="Y346" s="136">
        <f t="shared" si="77"/>
        <v>0</v>
      </c>
      <c r="Z346" s="136">
        <f t="shared" si="77"/>
        <v>0</v>
      </c>
      <c r="AA346" s="136">
        <f t="shared" si="77"/>
        <v>0</v>
      </c>
      <c r="AB346" s="136">
        <f t="shared" si="76"/>
        <v>0</v>
      </c>
      <c r="AC346" s="136">
        <f t="shared" si="76"/>
        <v>0</v>
      </c>
      <c r="AD346" s="136">
        <f t="shared" si="76"/>
        <v>0</v>
      </c>
      <c r="AE346" s="136">
        <f t="shared" si="76"/>
        <v>0</v>
      </c>
      <c r="AF346" s="136">
        <f t="shared" si="76"/>
        <v>0</v>
      </c>
      <c r="AG346" s="136">
        <f t="shared" si="76"/>
        <v>0</v>
      </c>
      <c r="AH346" s="136">
        <f t="shared" si="76"/>
        <v>0</v>
      </c>
      <c r="AI346" s="136">
        <f t="shared" si="76"/>
        <v>0</v>
      </c>
      <c r="AJ346" s="136">
        <f t="shared" si="76"/>
        <v>0</v>
      </c>
      <c r="AK346" s="136">
        <f t="shared" si="76"/>
        <v>0</v>
      </c>
      <c r="AL346" s="136">
        <f t="shared" si="76"/>
        <v>0</v>
      </c>
      <c r="AM346" s="136">
        <f t="shared" si="76"/>
        <v>0</v>
      </c>
      <c r="AN346" s="136">
        <f t="shared" si="76"/>
        <v>0</v>
      </c>
      <c r="AO346" s="136">
        <f t="shared" si="76"/>
        <v>0</v>
      </c>
      <c r="AP346" s="136">
        <f t="shared" si="76"/>
        <v>0</v>
      </c>
      <c r="AQ346" s="136">
        <f t="shared" si="76"/>
        <v>0</v>
      </c>
      <c r="AR346" s="136">
        <f t="shared" si="73"/>
        <v>0</v>
      </c>
      <c r="AS346" s="136">
        <f t="shared" si="73"/>
        <v>0</v>
      </c>
      <c r="AT346" s="136">
        <f t="shared" si="73"/>
        <v>0</v>
      </c>
      <c r="AU346" s="136">
        <f t="shared" si="73"/>
        <v>0</v>
      </c>
      <c r="AV346" s="136">
        <f t="shared" si="73"/>
        <v>0</v>
      </c>
      <c r="AW346" s="136">
        <f t="shared" si="73"/>
        <v>0</v>
      </c>
      <c r="AX346" s="136">
        <f t="shared" si="73"/>
        <v>0</v>
      </c>
      <c r="AY346" s="136">
        <f t="shared" si="73"/>
        <v>0</v>
      </c>
      <c r="AZ346" s="136">
        <f t="shared" si="73"/>
        <v>0</v>
      </c>
      <c r="BA346" s="136">
        <f t="shared" si="73"/>
        <v>0</v>
      </c>
      <c r="BB346" s="136">
        <f t="shared" si="73"/>
        <v>0</v>
      </c>
      <c r="BC346" s="136">
        <f t="shared" si="73"/>
        <v>0</v>
      </c>
      <c r="BD346" s="136">
        <f t="shared" si="73"/>
        <v>0</v>
      </c>
      <c r="BE346" s="136">
        <f t="shared" si="73"/>
        <v>0</v>
      </c>
      <c r="BF346" s="136">
        <f t="shared" si="73"/>
        <v>0</v>
      </c>
      <c r="BG346" s="136">
        <f t="shared" si="73"/>
        <v>0</v>
      </c>
      <c r="BH346" s="136">
        <f t="shared" ref="BH346:BO361" si="78">BH173-DZ173</f>
        <v>0</v>
      </c>
      <c r="BI346" s="136">
        <f t="shared" si="78"/>
        <v>0</v>
      </c>
      <c r="BJ346" s="136">
        <f t="shared" si="78"/>
        <v>0</v>
      </c>
      <c r="BK346" s="136">
        <f t="shared" si="78"/>
        <v>0</v>
      </c>
      <c r="BL346" s="136">
        <f t="shared" si="78"/>
        <v>0</v>
      </c>
      <c r="BM346" s="136">
        <f t="shared" si="78"/>
        <v>0</v>
      </c>
      <c r="BN346" s="136">
        <f t="shared" si="78"/>
        <v>0</v>
      </c>
      <c r="BO346" s="136">
        <f t="shared" si="78"/>
        <v>0</v>
      </c>
      <c r="BU346" s="136">
        <f t="shared" si="74"/>
        <v>0</v>
      </c>
      <c r="BV346" s="136">
        <f t="shared" si="74"/>
        <v>0</v>
      </c>
      <c r="BW346" s="136">
        <f t="shared" si="74"/>
        <v>0</v>
      </c>
      <c r="BX346" s="136">
        <f t="shared" si="74"/>
        <v>0</v>
      </c>
      <c r="BZ346" s="136">
        <f t="shared" si="75"/>
        <v>0</v>
      </c>
      <c r="CA346" s="136">
        <f t="shared" si="75"/>
        <v>0</v>
      </c>
    </row>
    <row r="347" spans="12:79" hidden="1" x14ac:dyDescent="0.3">
      <c r="L347" s="136">
        <f t="shared" si="77"/>
        <v>0</v>
      </c>
      <c r="M347" s="136">
        <f t="shared" si="77"/>
        <v>0</v>
      </c>
      <c r="N347" s="136">
        <f t="shared" si="77"/>
        <v>0</v>
      </c>
      <c r="O347" s="136">
        <f t="shared" si="77"/>
        <v>0</v>
      </c>
      <c r="P347" s="136">
        <f t="shared" si="77"/>
        <v>0</v>
      </c>
      <c r="Q347" s="136">
        <f t="shared" si="77"/>
        <v>0</v>
      </c>
      <c r="R347" s="136">
        <f t="shared" si="77"/>
        <v>0</v>
      </c>
      <c r="S347" s="136">
        <f t="shared" si="77"/>
        <v>0</v>
      </c>
      <c r="T347" s="136">
        <f t="shared" si="77"/>
        <v>0</v>
      </c>
      <c r="U347" s="136">
        <f t="shared" si="77"/>
        <v>0</v>
      </c>
      <c r="V347" s="136">
        <f t="shared" si="77"/>
        <v>0</v>
      </c>
      <c r="W347" s="136">
        <f t="shared" si="77"/>
        <v>0</v>
      </c>
      <c r="X347" s="136">
        <f t="shared" si="77"/>
        <v>0</v>
      </c>
      <c r="Y347" s="136">
        <f t="shared" si="77"/>
        <v>0</v>
      </c>
      <c r="Z347" s="136">
        <f t="shared" si="77"/>
        <v>0</v>
      </c>
      <c r="AA347" s="136">
        <f t="shared" si="77"/>
        <v>0</v>
      </c>
      <c r="AB347" s="136">
        <f t="shared" si="76"/>
        <v>0</v>
      </c>
      <c r="AC347" s="136">
        <f t="shared" si="76"/>
        <v>0</v>
      </c>
      <c r="AD347" s="136">
        <f t="shared" si="76"/>
        <v>0</v>
      </c>
      <c r="AE347" s="136">
        <f t="shared" si="76"/>
        <v>0</v>
      </c>
      <c r="AF347" s="136">
        <f t="shared" si="76"/>
        <v>0</v>
      </c>
      <c r="AG347" s="136">
        <f t="shared" si="76"/>
        <v>0</v>
      </c>
      <c r="AH347" s="136">
        <f t="shared" si="76"/>
        <v>0</v>
      </c>
      <c r="AI347" s="136">
        <f t="shared" si="76"/>
        <v>0</v>
      </c>
      <c r="AJ347" s="136">
        <f t="shared" si="76"/>
        <v>0</v>
      </c>
      <c r="AK347" s="136">
        <f t="shared" si="76"/>
        <v>0</v>
      </c>
      <c r="AL347" s="136">
        <f t="shared" si="76"/>
        <v>0</v>
      </c>
      <c r="AM347" s="136">
        <f t="shared" si="76"/>
        <v>0</v>
      </c>
      <c r="AN347" s="136">
        <f t="shared" si="76"/>
        <v>0</v>
      </c>
      <c r="AO347" s="136">
        <f t="shared" si="76"/>
        <v>0</v>
      </c>
      <c r="AP347" s="136">
        <f t="shared" si="76"/>
        <v>0</v>
      </c>
      <c r="AQ347" s="136">
        <f t="shared" si="76"/>
        <v>0</v>
      </c>
      <c r="AR347" s="136">
        <f t="shared" ref="AR347:BG362" si="79">AR174-DJ174</f>
        <v>0</v>
      </c>
      <c r="AS347" s="136">
        <f t="shared" si="79"/>
        <v>0</v>
      </c>
      <c r="AT347" s="136">
        <f t="shared" si="79"/>
        <v>0</v>
      </c>
      <c r="AU347" s="136">
        <f t="shared" si="79"/>
        <v>0</v>
      </c>
      <c r="AV347" s="136">
        <f t="shared" si="79"/>
        <v>0</v>
      </c>
      <c r="AW347" s="136">
        <f t="shared" si="79"/>
        <v>0</v>
      </c>
      <c r="AX347" s="136">
        <f t="shared" si="79"/>
        <v>0</v>
      </c>
      <c r="AY347" s="136">
        <f t="shared" si="79"/>
        <v>0</v>
      </c>
      <c r="AZ347" s="136">
        <f t="shared" si="79"/>
        <v>0</v>
      </c>
      <c r="BA347" s="136">
        <f t="shared" si="79"/>
        <v>0</v>
      </c>
      <c r="BB347" s="136">
        <f t="shared" si="79"/>
        <v>0</v>
      </c>
      <c r="BC347" s="136">
        <f t="shared" si="79"/>
        <v>0</v>
      </c>
      <c r="BD347" s="136">
        <f t="shared" si="79"/>
        <v>0</v>
      </c>
      <c r="BE347" s="136">
        <f t="shared" si="79"/>
        <v>0</v>
      </c>
      <c r="BF347" s="136">
        <f t="shared" si="79"/>
        <v>0</v>
      </c>
      <c r="BG347" s="136">
        <f t="shared" si="79"/>
        <v>0</v>
      </c>
      <c r="BH347" s="136">
        <f t="shared" si="78"/>
        <v>0</v>
      </c>
      <c r="BI347" s="136">
        <f t="shared" si="78"/>
        <v>0</v>
      </c>
      <c r="BJ347" s="136">
        <f t="shared" si="78"/>
        <v>0</v>
      </c>
      <c r="BK347" s="136">
        <f t="shared" si="78"/>
        <v>0</v>
      </c>
      <c r="BL347" s="136">
        <f t="shared" si="78"/>
        <v>0</v>
      </c>
      <c r="BM347" s="136">
        <f t="shared" si="78"/>
        <v>0</v>
      </c>
      <c r="BN347" s="136">
        <f t="shared" si="78"/>
        <v>0</v>
      </c>
      <c r="BO347" s="136">
        <f t="shared" si="78"/>
        <v>0</v>
      </c>
      <c r="BU347" s="136">
        <f t="shared" si="74"/>
        <v>0</v>
      </c>
      <c r="BV347" s="136">
        <f t="shared" si="74"/>
        <v>0</v>
      </c>
      <c r="BW347" s="136">
        <f t="shared" si="74"/>
        <v>0</v>
      </c>
      <c r="BX347" s="136">
        <f t="shared" si="74"/>
        <v>0</v>
      </c>
      <c r="BZ347" s="136">
        <f t="shared" si="75"/>
        <v>0</v>
      </c>
      <c r="CA347" s="136">
        <f t="shared" si="75"/>
        <v>0</v>
      </c>
    </row>
    <row r="348" spans="12:79" hidden="1" x14ac:dyDescent="0.3">
      <c r="L348" s="136">
        <f t="shared" si="77"/>
        <v>0</v>
      </c>
      <c r="M348" s="136">
        <f t="shared" si="77"/>
        <v>0</v>
      </c>
      <c r="N348" s="136">
        <f t="shared" si="77"/>
        <v>0</v>
      </c>
      <c r="O348" s="136">
        <f t="shared" si="77"/>
        <v>0</v>
      </c>
      <c r="P348" s="136">
        <f t="shared" si="77"/>
        <v>0</v>
      </c>
      <c r="Q348" s="136">
        <f t="shared" si="77"/>
        <v>0</v>
      </c>
      <c r="R348" s="136">
        <f t="shared" si="77"/>
        <v>0</v>
      </c>
      <c r="S348" s="136">
        <f t="shared" si="77"/>
        <v>0</v>
      </c>
      <c r="T348" s="136">
        <f t="shared" si="77"/>
        <v>0</v>
      </c>
      <c r="U348" s="136">
        <f t="shared" si="77"/>
        <v>0</v>
      </c>
      <c r="V348" s="136">
        <f t="shared" si="77"/>
        <v>0</v>
      </c>
      <c r="W348" s="136">
        <f t="shared" si="77"/>
        <v>0</v>
      </c>
      <c r="X348" s="136">
        <f t="shared" si="77"/>
        <v>0</v>
      </c>
      <c r="Y348" s="136">
        <f t="shared" si="77"/>
        <v>0</v>
      </c>
      <c r="Z348" s="136">
        <f t="shared" si="77"/>
        <v>0</v>
      </c>
      <c r="AA348" s="136">
        <f t="shared" si="77"/>
        <v>0</v>
      </c>
      <c r="AB348" s="136">
        <f t="shared" si="76"/>
        <v>0</v>
      </c>
      <c r="AC348" s="136">
        <f t="shared" si="76"/>
        <v>0</v>
      </c>
      <c r="AD348" s="136">
        <f t="shared" si="76"/>
        <v>0</v>
      </c>
      <c r="AE348" s="136">
        <f t="shared" si="76"/>
        <v>0</v>
      </c>
      <c r="AF348" s="136">
        <f t="shared" si="76"/>
        <v>0</v>
      </c>
      <c r="AG348" s="136">
        <f t="shared" si="76"/>
        <v>0</v>
      </c>
      <c r="AH348" s="136">
        <f t="shared" si="76"/>
        <v>0</v>
      </c>
      <c r="AI348" s="136">
        <f t="shared" si="76"/>
        <v>0</v>
      </c>
      <c r="AJ348" s="136">
        <f t="shared" si="76"/>
        <v>0</v>
      </c>
      <c r="AK348" s="136">
        <f t="shared" si="76"/>
        <v>0</v>
      </c>
      <c r="AL348" s="136">
        <f t="shared" si="76"/>
        <v>0</v>
      </c>
      <c r="AM348" s="136">
        <f t="shared" si="76"/>
        <v>0</v>
      </c>
      <c r="AN348" s="136">
        <f t="shared" si="76"/>
        <v>0</v>
      </c>
      <c r="AO348" s="136">
        <f t="shared" si="76"/>
        <v>0</v>
      </c>
      <c r="AP348" s="136">
        <f t="shared" si="76"/>
        <v>0</v>
      </c>
      <c r="AQ348" s="136">
        <f t="shared" si="76"/>
        <v>0</v>
      </c>
      <c r="AR348" s="136">
        <f t="shared" si="79"/>
        <v>0</v>
      </c>
      <c r="AS348" s="136">
        <f t="shared" si="79"/>
        <v>0</v>
      </c>
      <c r="AT348" s="136">
        <f t="shared" si="79"/>
        <v>0</v>
      </c>
      <c r="AU348" s="136">
        <f t="shared" si="79"/>
        <v>0</v>
      </c>
      <c r="AV348" s="136">
        <f t="shared" si="79"/>
        <v>0</v>
      </c>
      <c r="AW348" s="136">
        <f t="shared" si="79"/>
        <v>0</v>
      </c>
      <c r="AX348" s="136">
        <f t="shared" si="79"/>
        <v>0</v>
      </c>
      <c r="AY348" s="136">
        <f t="shared" si="79"/>
        <v>0</v>
      </c>
      <c r="AZ348" s="136">
        <f t="shared" si="79"/>
        <v>0</v>
      </c>
      <c r="BA348" s="136">
        <f t="shared" si="79"/>
        <v>0</v>
      </c>
      <c r="BB348" s="136">
        <f t="shared" si="79"/>
        <v>0</v>
      </c>
      <c r="BC348" s="136">
        <f t="shared" si="79"/>
        <v>0</v>
      </c>
      <c r="BD348" s="136">
        <f t="shared" si="79"/>
        <v>0</v>
      </c>
      <c r="BE348" s="136">
        <f t="shared" si="79"/>
        <v>0</v>
      </c>
      <c r="BF348" s="136">
        <f t="shared" si="79"/>
        <v>0</v>
      </c>
      <c r="BG348" s="136">
        <f t="shared" si="79"/>
        <v>0</v>
      </c>
      <c r="BH348" s="136">
        <f t="shared" si="78"/>
        <v>0</v>
      </c>
      <c r="BI348" s="136">
        <f t="shared" si="78"/>
        <v>0</v>
      </c>
      <c r="BJ348" s="136">
        <f t="shared" si="78"/>
        <v>0</v>
      </c>
      <c r="BK348" s="136">
        <f t="shared" si="78"/>
        <v>0</v>
      </c>
      <c r="BL348" s="136">
        <f t="shared" si="78"/>
        <v>0</v>
      </c>
      <c r="BM348" s="136">
        <f t="shared" si="78"/>
        <v>0</v>
      </c>
      <c r="BN348" s="136">
        <f t="shared" si="78"/>
        <v>0</v>
      </c>
      <c r="BO348" s="136">
        <f t="shared" si="78"/>
        <v>0</v>
      </c>
      <c r="BU348" s="136">
        <f t="shared" si="74"/>
        <v>0</v>
      </c>
      <c r="BV348" s="136">
        <f t="shared" si="74"/>
        <v>0</v>
      </c>
      <c r="BW348" s="136">
        <f t="shared" si="74"/>
        <v>0</v>
      </c>
      <c r="BX348" s="136">
        <f t="shared" si="74"/>
        <v>0</v>
      </c>
      <c r="BZ348" s="136">
        <f t="shared" si="75"/>
        <v>0</v>
      </c>
      <c r="CA348" s="136">
        <f t="shared" si="75"/>
        <v>0</v>
      </c>
    </row>
    <row r="349" spans="12:79" hidden="1" x14ac:dyDescent="0.3">
      <c r="L349" s="136">
        <f t="shared" si="77"/>
        <v>0</v>
      </c>
      <c r="M349" s="136">
        <f t="shared" si="77"/>
        <v>0</v>
      </c>
      <c r="N349" s="136">
        <f t="shared" si="77"/>
        <v>0</v>
      </c>
      <c r="O349" s="136">
        <f t="shared" si="77"/>
        <v>0</v>
      </c>
      <c r="P349" s="136">
        <f t="shared" si="77"/>
        <v>0</v>
      </c>
      <c r="Q349" s="136">
        <f t="shared" si="77"/>
        <v>0</v>
      </c>
      <c r="R349" s="136">
        <f t="shared" si="77"/>
        <v>0</v>
      </c>
      <c r="S349" s="136">
        <f t="shared" si="77"/>
        <v>0</v>
      </c>
      <c r="T349" s="136">
        <f t="shared" si="77"/>
        <v>0</v>
      </c>
      <c r="U349" s="136">
        <f t="shared" si="77"/>
        <v>0</v>
      </c>
      <c r="V349" s="136">
        <f t="shared" si="77"/>
        <v>0</v>
      </c>
      <c r="W349" s="136">
        <f t="shared" si="77"/>
        <v>0</v>
      </c>
      <c r="X349" s="136">
        <f t="shared" si="77"/>
        <v>0</v>
      </c>
      <c r="Y349" s="136">
        <f t="shared" si="77"/>
        <v>0</v>
      </c>
      <c r="Z349" s="136">
        <f t="shared" si="77"/>
        <v>0</v>
      </c>
      <c r="AA349" s="136">
        <f t="shared" si="77"/>
        <v>0</v>
      </c>
      <c r="AB349" s="136">
        <f t="shared" si="76"/>
        <v>0</v>
      </c>
      <c r="AC349" s="136">
        <f t="shared" si="76"/>
        <v>0</v>
      </c>
      <c r="AD349" s="136">
        <f t="shared" si="76"/>
        <v>0</v>
      </c>
      <c r="AE349" s="136">
        <f t="shared" si="76"/>
        <v>0</v>
      </c>
      <c r="AF349" s="136">
        <f t="shared" si="76"/>
        <v>0</v>
      </c>
      <c r="AG349" s="136">
        <f t="shared" si="76"/>
        <v>0</v>
      </c>
      <c r="AH349" s="136">
        <f t="shared" si="76"/>
        <v>0</v>
      </c>
      <c r="AI349" s="136">
        <f t="shared" si="76"/>
        <v>0</v>
      </c>
      <c r="AJ349" s="136">
        <f t="shared" si="76"/>
        <v>0</v>
      </c>
      <c r="AK349" s="136">
        <f t="shared" si="76"/>
        <v>0</v>
      </c>
      <c r="AL349" s="136">
        <f t="shared" si="76"/>
        <v>0</v>
      </c>
      <c r="AM349" s="136">
        <f t="shared" si="76"/>
        <v>0</v>
      </c>
      <c r="AN349" s="136">
        <f t="shared" si="76"/>
        <v>0</v>
      </c>
      <c r="AO349" s="136">
        <f t="shared" si="76"/>
        <v>0</v>
      </c>
      <c r="AP349" s="136">
        <f t="shared" si="76"/>
        <v>0</v>
      </c>
      <c r="AQ349" s="136">
        <f t="shared" si="76"/>
        <v>0</v>
      </c>
      <c r="AR349" s="136">
        <f t="shared" si="79"/>
        <v>0</v>
      </c>
      <c r="AS349" s="136">
        <f t="shared" si="79"/>
        <v>0</v>
      </c>
      <c r="AT349" s="136">
        <f t="shared" si="79"/>
        <v>0</v>
      </c>
      <c r="AU349" s="136">
        <f t="shared" si="79"/>
        <v>0</v>
      </c>
      <c r="AV349" s="136">
        <f t="shared" si="79"/>
        <v>0</v>
      </c>
      <c r="AW349" s="136">
        <f t="shared" si="79"/>
        <v>0</v>
      </c>
      <c r="AX349" s="136">
        <f t="shared" si="79"/>
        <v>0</v>
      </c>
      <c r="AY349" s="136">
        <f t="shared" si="79"/>
        <v>0</v>
      </c>
      <c r="AZ349" s="136">
        <f t="shared" si="79"/>
        <v>0</v>
      </c>
      <c r="BA349" s="136">
        <f t="shared" si="79"/>
        <v>0</v>
      </c>
      <c r="BB349" s="136">
        <f t="shared" si="79"/>
        <v>0</v>
      </c>
      <c r="BC349" s="136">
        <f t="shared" si="79"/>
        <v>0</v>
      </c>
      <c r="BD349" s="136">
        <f t="shared" si="79"/>
        <v>0</v>
      </c>
      <c r="BE349" s="136">
        <f t="shared" si="79"/>
        <v>0</v>
      </c>
      <c r="BF349" s="136">
        <f t="shared" si="79"/>
        <v>0</v>
      </c>
      <c r="BG349" s="136">
        <f t="shared" si="79"/>
        <v>0</v>
      </c>
      <c r="BH349" s="136">
        <f t="shared" si="78"/>
        <v>0</v>
      </c>
      <c r="BI349" s="136">
        <f t="shared" si="78"/>
        <v>0</v>
      </c>
      <c r="BJ349" s="136">
        <f t="shared" si="78"/>
        <v>0</v>
      </c>
      <c r="BK349" s="136">
        <f t="shared" si="78"/>
        <v>0</v>
      </c>
      <c r="BL349" s="136">
        <f t="shared" si="78"/>
        <v>0</v>
      </c>
      <c r="BM349" s="136">
        <f t="shared" si="78"/>
        <v>0</v>
      </c>
      <c r="BN349" s="136">
        <f t="shared" si="78"/>
        <v>0</v>
      </c>
      <c r="BO349" s="136">
        <f t="shared" si="78"/>
        <v>0</v>
      </c>
      <c r="BU349" s="136">
        <f t="shared" ref="BU349:BX364" si="80">BU184-EM184</f>
        <v>0</v>
      </c>
      <c r="BV349" s="136">
        <f t="shared" si="80"/>
        <v>0</v>
      </c>
      <c r="BW349" s="136">
        <f t="shared" si="80"/>
        <v>0</v>
      </c>
      <c r="BX349" s="136">
        <f t="shared" si="80"/>
        <v>0</v>
      </c>
      <c r="BZ349" s="136">
        <f t="shared" ref="BZ349:CA364" si="81">BZ184-ER184</f>
        <v>0</v>
      </c>
      <c r="CA349" s="136">
        <f t="shared" si="81"/>
        <v>0</v>
      </c>
    </row>
    <row r="350" spans="12:79" hidden="1" x14ac:dyDescent="0.3">
      <c r="L350" s="136">
        <f t="shared" si="77"/>
        <v>0</v>
      </c>
      <c r="M350" s="136">
        <f t="shared" si="77"/>
        <v>0</v>
      </c>
      <c r="N350" s="136">
        <f t="shared" si="77"/>
        <v>0</v>
      </c>
      <c r="O350" s="136">
        <f t="shared" si="77"/>
        <v>0</v>
      </c>
      <c r="P350" s="136">
        <f t="shared" si="77"/>
        <v>0</v>
      </c>
      <c r="Q350" s="136">
        <f t="shared" si="77"/>
        <v>0</v>
      </c>
      <c r="R350" s="136">
        <f t="shared" si="77"/>
        <v>0</v>
      </c>
      <c r="S350" s="136">
        <f t="shared" si="77"/>
        <v>0</v>
      </c>
      <c r="T350" s="136">
        <f t="shared" si="77"/>
        <v>0</v>
      </c>
      <c r="U350" s="136">
        <f t="shared" si="77"/>
        <v>0</v>
      </c>
      <c r="V350" s="136">
        <f t="shared" si="77"/>
        <v>0</v>
      </c>
      <c r="W350" s="136">
        <f t="shared" si="77"/>
        <v>0</v>
      </c>
      <c r="X350" s="136">
        <f t="shared" si="77"/>
        <v>0</v>
      </c>
      <c r="Y350" s="136">
        <f t="shared" si="77"/>
        <v>0</v>
      </c>
      <c r="Z350" s="136">
        <f t="shared" si="77"/>
        <v>0</v>
      </c>
      <c r="AA350" s="136">
        <f t="shared" si="77"/>
        <v>0</v>
      </c>
      <c r="AB350" s="136">
        <f t="shared" si="76"/>
        <v>0</v>
      </c>
      <c r="AC350" s="136">
        <f t="shared" si="76"/>
        <v>0</v>
      </c>
      <c r="AD350" s="136">
        <f t="shared" si="76"/>
        <v>0</v>
      </c>
      <c r="AE350" s="136">
        <f t="shared" si="76"/>
        <v>0</v>
      </c>
      <c r="AF350" s="136">
        <f t="shared" si="76"/>
        <v>0</v>
      </c>
      <c r="AG350" s="136">
        <f t="shared" si="76"/>
        <v>0</v>
      </c>
      <c r="AH350" s="136">
        <f t="shared" si="76"/>
        <v>0</v>
      </c>
      <c r="AI350" s="136">
        <f t="shared" si="76"/>
        <v>0</v>
      </c>
      <c r="AJ350" s="136">
        <f t="shared" si="76"/>
        <v>0</v>
      </c>
      <c r="AK350" s="136">
        <f t="shared" si="76"/>
        <v>0</v>
      </c>
      <c r="AL350" s="136">
        <f t="shared" si="76"/>
        <v>0</v>
      </c>
      <c r="AM350" s="136">
        <f t="shared" si="76"/>
        <v>0</v>
      </c>
      <c r="AN350" s="136">
        <f t="shared" si="76"/>
        <v>0</v>
      </c>
      <c r="AO350" s="136">
        <f t="shared" si="76"/>
        <v>0</v>
      </c>
      <c r="AP350" s="136">
        <f t="shared" si="76"/>
        <v>0</v>
      </c>
      <c r="AQ350" s="136">
        <f t="shared" si="76"/>
        <v>0</v>
      </c>
      <c r="AR350" s="136">
        <f t="shared" si="79"/>
        <v>0</v>
      </c>
      <c r="AS350" s="136">
        <f t="shared" si="79"/>
        <v>0</v>
      </c>
      <c r="AT350" s="136">
        <f t="shared" si="79"/>
        <v>0</v>
      </c>
      <c r="AU350" s="136">
        <f t="shared" si="79"/>
        <v>0</v>
      </c>
      <c r="AV350" s="136">
        <f t="shared" si="79"/>
        <v>0</v>
      </c>
      <c r="AW350" s="136">
        <f t="shared" si="79"/>
        <v>0</v>
      </c>
      <c r="AX350" s="136">
        <f t="shared" si="79"/>
        <v>0</v>
      </c>
      <c r="AY350" s="136">
        <f t="shared" si="79"/>
        <v>0</v>
      </c>
      <c r="AZ350" s="136">
        <f t="shared" si="79"/>
        <v>0</v>
      </c>
      <c r="BA350" s="136">
        <f t="shared" si="79"/>
        <v>0</v>
      </c>
      <c r="BB350" s="136">
        <f t="shared" si="79"/>
        <v>0</v>
      </c>
      <c r="BC350" s="136">
        <f t="shared" si="79"/>
        <v>0</v>
      </c>
      <c r="BD350" s="136">
        <f t="shared" si="79"/>
        <v>0</v>
      </c>
      <c r="BE350" s="136">
        <f t="shared" si="79"/>
        <v>0</v>
      </c>
      <c r="BF350" s="136">
        <f t="shared" si="79"/>
        <v>0</v>
      </c>
      <c r="BG350" s="136">
        <f t="shared" si="79"/>
        <v>0</v>
      </c>
      <c r="BH350" s="136">
        <f t="shared" si="78"/>
        <v>0</v>
      </c>
      <c r="BI350" s="136">
        <f t="shared" si="78"/>
        <v>0</v>
      </c>
      <c r="BJ350" s="136">
        <f t="shared" si="78"/>
        <v>0</v>
      </c>
      <c r="BK350" s="136">
        <f t="shared" si="78"/>
        <v>0</v>
      </c>
      <c r="BL350" s="136">
        <f t="shared" si="78"/>
        <v>0</v>
      </c>
      <c r="BM350" s="136">
        <f t="shared" si="78"/>
        <v>0</v>
      </c>
      <c r="BN350" s="136">
        <f t="shared" si="78"/>
        <v>0</v>
      </c>
      <c r="BO350" s="136">
        <f t="shared" si="78"/>
        <v>0</v>
      </c>
      <c r="BU350" s="136">
        <f t="shared" si="80"/>
        <v>0</v>
      </c>
      <c r="BV350" s="136">
        <f t="shared" si="80"/>
        <v>0</v>
      </c>
      <c r="BW350" s="136">
        <f t="shared" si="80"/>
        <v>0</v>
      </c>
      <c r="BX350" s="136">
        <f t="shared" si="80"/>
        <v>0</v>
      </c>
      <c r="BZ350" s="136">
        <f t="shared" si="81"/>
        <v>0</v>
      </c>
      <c r="CA350" s="136">
        <f t="shared" si="81"/>
        <v>0</v>
      </c>
    </row>
    <row r="351" spans="12:79" hidden="1" x14ac:dyDescent="0.3">
      <c r="L351" s="136">
        <f t="shared" si="77"/>
        <v>0</v>
      </c>
      <c r="M351" s="136">
        <f t="shared" si="77"/>
        <v>0</v>
      </c>
      <c r="N351" s="136">
        <f t="shared" si="77"/>
        <v>0</v>
      </c>
      <c r="O351" s="136">
        <f t="shared" si="77"/>
        <v>0</v>
      </c>
      <c r="P351" s="136">
        <f t="shared" si="77"/>
        <v>0</v>
      </c>
      <c r="Q351" s="136">
        <f t="shared" si="77"/>
        <v>0</v>
      </c>
      <c r="R351" s="136">
        <f t="shared" si="77"/>
        <v>0</v>
      </c>
      <c r="S351" s="136">
        <f t="shared" si="77"/>
        <v>0</v>
      </c>
      <c r="T351" s="136">
        <f t="shared" si="77"/>
        <v>0</v>
      </c>
      <c r="U351" s="136">
        <f t="shared" si="77"/>
        <v>0</v>
      </c>
      <c r="V351" s="136">
        <f t="shared" si="77"/>
        <v>0</v>
      </c>
      <c r="W351" s="136">
        <f t="shared" si="77"/>
        <v>0</v>
      </c>
      <c r="X351" s="136">
        <f t="shared" si="77"/>
        <v>0</v>
      </c>
      <c r="Y351" s="136">
        <f t="shared" si="77"/>
        <v>0</v>
      </c>
      <c r="Z351" s="136">
        <f t="shared" si="77"/>
        <v>0</v>
      </c>
      <c r="AA351" s="136">
        <f t="shared" si="77"/>
        <v>0</v>
      </c>
      <c r="AB351" s="136">
        <f t="shared" si="76"/>
        <v>0</v>
      </c>
      <c r="AC351" s="136">
        <f t="shared" si="76"/>
        <v>0</v>
      </c>
      <c r="AD351" s="136">
        <f t="shared" si="76"/>
        <v>0</v>
      </c>
      <c r="AE351" s="136">
        <f t="shared" si="76"/>
        <v>0</v>
      </c>
      <c r="AF351" s="136">
        <f t="shared" si="76"/>
        <v>0</v>
      </c>
      <c r="AG351" s="136">
        <f t="shared" si="76"/>
        <v>0</v>
      </c>
      <c r="AH351" s="136">
        <f t="shared" si="76"/>
        <v>0</v>
      </c>
      <c r="AI351" s="136">
        <f t="shared" si="76"/>
        <v>0</v>
      </c>
      <c r="AJ351" s="136">
        <f t="shared" si="76"/>
        <v>0</v>
      </c>
      <c r="AK351" s="136">
        <f t="shared" si="76"/>
        <v>0</v>
      </c>
      <c r="AL351" s="136">
        <f t="shared" si="76"/>
        <v>0</v>
      </c>
      <c r="AM351" s="136">
        <f t="shared" si="76"/>
        <v>0</v>
      </c>
      <c r="AN351" s="136">
        <f t="shared" si="76"/>
        <v>0</v>
      </c>
      <c r="AO351" s="136">
        <f t="shared" si="76"/>
        <v>0</v>
      </c>
      <c r="AP351" s="136">
        <f t="shared" si="76"/>
        <v>0</v>
      </c>
      <c r="AQ351" s="136">
        <f t="shared" si="76"/>
        <v>0</v>
      </c>
      <c r="AR351" s="136">
        <f t="shared" si="79"/>
        <v>0</v>
      </c>
      <c r="AS351" s="136">
        <f t="shared" si="79"/>
        <v>0</v>
      </c>
      <c r="AT351" s="136">
        <f t="shared" si="79"/>
        <v>0</v>
      </c>
      <c r="AU351" s="136">
        <f t="shared" si="79"/>
        <v>0</v>
      </c>
      <c r="AV351" s="136">
        <f t="shared" si="79"/>
        <v>0</v>
      </c>
      <c r="AW351" s="136">
        <f t="shared" si="79"/>
        <v>0</v>
      </c>
      <c r="AX351" s="136">
        <f t="shared" si="79"/>
        <v>0</v>
      </c>
      <c r="AY351" s="136">
        <f t="shared" si="79"/>
        <v>0</v>
      </c>
      <c r="AZ351" s="136">
        <f t="shared" si="79"/>
        <v>0</v>
      </c>
      <c r="BA351" s="136">
        <f t="shared" si="79"/>
        <v>0</v>
      </c>
      <c r="BB351" s="136">
        <f t="shared" si="79"/>
        <v>0</v>
      </c>
      <c r="BC351" s="136">
        <f t="shared" si="79"/>
        <v>0</v>
      </c>
      <c r="BD351" s="136">
        <f t="shared" si="79"/>
        <v>0</v>
      </c>
      <c r="BE351" s="136">
        <f t="shared" si="79"/>
        <v>0</v>
      </c>
      <c r="BF351" s="136">
        <f t="shared" si="79"/>
        <v>0</v>
      </c>
      <c r="BG351" s="136">
        <f t="shared" si="79"/>
        <v>0</v>
      </c>
      <c r="BH351" s="136">
        <f t="shared" si="78"/>
        <v>0</v>
      </c>
      <c r="BI351" s="136">
        <f t="shared" si="78"/>
        <v>0</v>
      </c>
      <c r="BJ351" s="136">
        <f t="shared" si="78"/>
        <v>0</v>
      </c>
      <c r="BK351" s="136">
        <f t="shared" si="78"/>
        <v>0</v>
      </c>
      <c r="BL351" s="136">
        <f t="shared" si="78"/>
        <v>0</v>
      </c>
      <c r="BM351" s="136">
        <f t="shared" si="78"/>
        <v>0</v>
      </c>
      <c r="BN351" s="136">
        <f t="shared" si="78"/>
        <v>0</v>
      </c>
      <c r="BO351" s="136">
        <f t="shared" si="78"/>
        <v>0</v>
      </c>
      <c r="BU351" s="136">
        <f t="shared" si="80"/>
        <v>0</v>
      </c>
      <c r="BV351" s="136">
        <f t="shared" si="80"/>
        <v>0</v>
      </c>
      <c r="BW351" s="136">
        <f t="shared" si="80"/>
        <v>0</v>
      </c>
      <c r="BX351" s="136">
        <f t="shared" si="80"/>
        <v>0</v>
      </c>
      <c r="BZ351" s="136">
        <f t="shared" si="81"/>
        <v>0</v>
      </c>
      <c r="CA351" s="136">
        <f t="shared" si="81"/>
        <v>0</v>
      </c>
    </row>
    <row r="352" spans="12:79" hidden="1" x14ac:dyDescent="0.3">
      <c r="L352" s="136">
        <f t="shared" si="77"/>
        <v>0</v>
      </c>
      <c r="M352" s="136">
        <f t="shared" si="77"/>
        <v>0</v>
      </c>
      <c r="N352" s="136">
        <f t="shared" si="77"/>
        <v>0</v>
      </c>
      <c r="O352" s="136">
        <f t="shared" si="77"/>
        <v>0</v>
      </c>
      <c r="P352" s="136">
        <f t="shared" si="77"/>
        <v>0</v>
      </c>
      <c r="Q352" s="136">
        <f t="shared" si="77"/>
        <v>0</v>
      </c>
      <c r="R352" s="136">
        <f t="shared" si="77"/>
        <v>0</v>
      </c>
      <c r="S352" s="136">
        <f t="shared" si="77"/>
        <v>0</v>
      </c>
      <c r="T352" s="136">
        <f t="shared" si="77"/>
        <v>0</v>
      </c>
      <c r="U352" s="136">
        <f t="shared" si="77"/>
        <v>0</v>
      </c>
      <c r="V352" s="136">
        <f t="shared" si="77"/>
        <v>0</v>
      </c>
      <c r="W352" s="136">
        <f t="shared" si="77"/>
        <v>0</v>
      </c>
      <c r="X352" s="136">
        <f t="shared" si="77"/>
        <v>0</v>
      </c>
      <c r="Y352" s="136">
        <f t="shared" si="77"/>
        <v>0</v>
      </c>
      <c r="Z352" s="136">
        <f t="shared" si="77"/>
        <v>0</v>
      </c>
      <c r="AA352" s="136">
        <f t="shared" si="77"/>
        <v>0</v>
      </c>
      <c r="AB352" s="136">
        <f t="shared" si="76"/>
        <v>0</v>
      </c>
      <c r="AC352" s="136">
        <f t="shared" si="76"/>
        <v>0</v>
      </c>
      <c r="AD352" s="136">
        <f t="shared" si="76"/>
        <v>0</v>
      </c>
      <c r="AE352" s="136">
        <f t="shared" si="76"/>
        <v>0</v>
      </c>
      <c r="AF352" s="136">
        <f t="shared" si="76"/>
        <v>0</v>
      </c>
      <c r="AG352" s="136">
        <f t="shared" si="76"/>
        <v>0</v>
      </c>
      <c r="AH352" s="136">
        <f t="shared" si="76"/>
        <v>0</v>
      </c>
      <c r="AI352" s="136">
        <f t="shared" si="76"/>
        <v>0</v>
      </c>
      <c r="AJ352" s="136">
        <f t="shared" si="76"/>
        <v>0</v>
      </c>
      <c r="AK352" s="136">
        <f t="shared" si="76"/>
        <v>0</v>
      </c>
      <c r="AL352" s="136">
        <f t="shared" si="76"/>
        <v>0</v>
      </c>
      <c r="AM352" s="136">
        <f t="shared" si="76"/>
        <v>0</v>
      </c>
      <c r="AN352" s="136">
        <f t="shared" si="76"/>
        <v>0</v>
      </c>
      <c r="AO352" s="136">
        <f t="shared" si="76"/>
        <v>0</v>
      </c>
      <c r="AP352" s="136">
        <f t="shared" si="76"/>
        <v>0</v>
      </c>
      <c r="AQ352" s="136">
        <f t="shared" ref="AQ352:BF367" si="82">AQ179-DI179</f>
        <v>0</v>
      </c>
      <c r="AR352" s="136">
        <f t="shared" si="79"/>
        <v>0</v>
      </c>
      <c r="AS352" s="136">
        <f t="shared" si="79"/>
        <v>0</v>
      </c>
      <c r="AT352" s="136">
        <f t="shared" si="79"/>
        <v>0</v>
      </c>
      <c r="AU352" s="136">
        <f t="shared" si="79"/>
        <v>0</v>
      </c>
      <c r="AV352" s="136">
        <f t="shared" si="79"/>
        <v>0</v>
      </c>
      <c r="AW352" s="136">
        <f t="shared" si="79"/>
        <v>0</v>
      </c>
      <c r="AX352" s="136">
        <f t="shared" si="79"/>
        <v>0</v>
      </c>
      <c r="AY352" s="136">
        <f t="shared" si="79"/>
        <v>0</v>
      </c>
      <c r="AZ352" s="136">
        <f t="shared" si="79"/>
        <v>0</v>
      </c>
      <c r="BA352" s="136">
        <f t="shared" si="79"/>
        <v>0</v>
      </c>
      <c r="BB352" s="136">
        <f t="shared" si="79"/>
        <v>0</v>
      </c>
      <c r="BC352" s="136">
        <f t="shared" si="79"/>
        <v>0</v>
      </c>
      <c r="BD352" s="136">
        <f t="shared" si="79"/>
        <v>0</v>
      </c>
      <c r="BE352" s="136">
        <f t="shared" si="79"/>
        <v>0</v>
      </c>
      <c r="BF352" s="136">
        <f t="shared" si="79"/>
        <v>0</v>
      </c>
      <c r="BG352" s="136">
        <f t="shared" si="79"/>
        <v>0</v>
      </c>
      <c r="BH352" s="136">
        <f t="shared" si="78"/>
        <v>0</v>
      </c>
      <c r="BI352" s="136">
        <f t="shared" si="78"/>
        <v>0</v>
      </c>
      <c r="BJ352" s="136">
        <f t="shared" si="78"/>
        <v>0</v>
      </c>
      <c r="BK352" s="136">
        <f t="shared" si="78"/>
        <v>0</v>
      </c>
      <c r="BL352" s="136">
        <f t="shared" si="78"/>
        <v>0</v>
      </c>
      <c r="BM352" s="136">
        <f t="shared" si="78"/>
        <v>0</v>
      </c>
      <c r="BN352" s="136">
        <f t="shared" si="78"/>
        <v>0</v>
      </c>
      <c r="BO352" s="136">
        <f t="shared" si="78"/>
        <v>0</v>
      </c>
      <c r="BU352" s="136">
        <f t="shared" si="80"/>
        <v>0</v>
      </c>
      <c r="BV352" s="136">
        <f t="shared" si="80"/>
        <v>0</v>
      </c>
      <c r="BW352" s="136">
        <f t="shared" si="80"/>
        <v>0</v>
      </c>
      <c r="BX352" s="136">
        <f t="shared" si="80"/>
        <v>0</v>
      </c>
      <c r="BZ352" s="136">
        <f t="shared" si="81"/>
        <v>0</v>
      </c>
      <c r="CA352" s="136">
        <f t="shared" si="81"/>
        <v>0</v>
      </c>
    </row>
    <row r="353" spans="12:79" hidden="1" x14ac:dyDescent="0.3">
      <c r="L353" s="136">
        <f t="shared" si="77"/>
        <v>0</v>
      </c>
      <c r="M353" s="136">
        <f t="shared" si="77"/>
        <v>0</v>
      </c>
      <c r="N353" s="136">
        <f t="shared" si="77"/>
        <v>0</v>
      </c>
      <c r="O353" s="136">
        <f t="shared" si="77"/>
        <v>0</v>
      </c>
      <c r="P353" s="136">
        <f t="shared" si="77"/>
        <v>0</v>
      </c>
      <c r="Q353" s="136">
        <f t="shared" si="77"/>
        <v>0</v>
      </c>
      <c r="R353" s="136">
        <f t="shared" si="77"/>
        <v>0</v>
      </c>
      <c r="S353" s="136">
        <f t="shared" si="77"/>
        <v>0</v>
      </c>
      <c r="T353" s="136">
        <f t="shared" si="77"/>
        <v>0</v>
      </c>
      <c r="U353" s="136">
        <f t="shared" si="77"/>
        <v>0</v>
      </c>
      <c r="V353" s="136">
        <f t="shared" si="77"/>
        <v>0</v>
      </c>
      <c r="W353" s="136">
        <f t="shared" si="77"/>
        <v>0</v>
      </c>
      <c r="X353" s="136">
        <f t="shared" si="77"/>
        <v>0</v>
      </c>
      <c r="Y353" s="136">
        <f t="shared" si="77"/>
        <v>0</v>
      </c>
      <c r="Z353" s="136">
        <f t="shared" si="77"/>
        <v>0</v>
      </c>
      <c r="AA353" s="136">
        <f t="shared" si="77"/>
        <v>0</v>
      </c>
      <c r="AB353" s="136">
        <f t="shared" ref="AB353:AQ368" si="83">AB180-CT180</f>
        <v>0</v>
      </c>
      <c r="AC353" s="136">
        <f t="shared" si="83"/>
        <v>0</v>
      </c>
      <c r="AD353" s="136">
        <f t="shared" si="83"/>
        <v>0</v>
      </c>
      <c r="AE353" s="136">
        <f t="shared" si="83"/>
        <v>0</v>
      </c>
      <c r="AF353" s="136">
        <f t="shared" si="83"/>
        <v>0</v>
      </c>
      <c r="AG353" s="136">
        <f t="shared" si="83"/>
        <v>0</v>
      </c>
      <c r="AH353" s="136">
        <f t="shared" si="83"/>
        <v>0</v>
      </c>
      <c r="AI353" s="136">
        <f t="shared" si="83"/>
        <v>0</v>
      </c>
      <c r="AJ353" s="136">
        <f t="shared" si="83"/>
        <v>0</v>
      </c>
      <c r="AK353" s="136">
        <f t="shared" si="83"/>
        <v>0</v>
      </c>
      <c r="AL353" s="136">
        <f t="shared" si="83"/>
        <v>0</v>
      </c>
      <c r="AM353" s="136">
        <f t="shared" si="83"/>
        <v>0</v>
      </c>
      <c r="AN353" s="136">
        <f t="shared" si="83"/>
        <v>0</v>
      </c>
      <c r="AO353" s="136">
        <f t="shared" si="83"/>
        <v>0</v>
      </c>
      <c r="AP353" s="136">
        <f t="shared" si="83"/>
        <v>0</v>
      </c>
      <c r="AQ353" s="136">
        <f t="shared" si="82"/>
        <v>0</v>
      </c>
      <c r="AR353" s="136">
        <f t="shared" si="79"/>
        <v>0</v>
      </c>
      <c r="AS353" s="136">
        <f t="shared" si="79"/>
        <v>0</v>
      </c>
      <c r="AT353" s="136">
        <f t="shared" si="79"/>
        <v>0</v>
      </c>
      <c r="AU353" s="136">
        <f t="shared" si="79"/>
        <v>0</v>
      </c>
      <c r="AV353" s="136">
        <f t="shared" si="79"/>
        <v>0</v>
      </c>
      <c r="AW353" s="136">
        <f t="shared" si="79"/>
        <v>0</v>
      </c>
      <c r="AX353" s="136">
        <f t="shared" si="79"/>
        <v>0</v>
      </c>
      <c r="AY353" s="136">
        <f t="shared" si="79"/>
        <v>0</v>
      </c>
      <c r="AZ353" s="136">
        <f t="shared" si="79"/>
        <v>0</v>
      </c>
      <c r="BA353" s="136">
        <f t="shared" si="79"/>
        <v>0</v>
      </c>
      <c r="BB353" s="136">
        <f t="shared" si="79"/>
        <v>0</v>
      </c>
      <c r="BC353" s="136">
        <f t="shared" si="79"/>
        <v>0</v>
      </c>
      <c r="BD353" s="136">
        <f t="shared" si="79"/>
        <v>0</v>
      </c>
      <c r="BE353" s="136">
        <f t="shared" si="79"/>
        <v>0</v>
      </c>
      <c r="BF353" s="136">
        <f t="shared" si="79"/>
        <v>0</v>
      </c>
      <c r="BG353" s="136">
        <f t="shared" si="79"/>
        <v>0</v>
      </c>
      <c r="BH353" s="136">
        <f t="shared" si="78"/>
        <v>0</v>
      </c>
      <c r="BI353" s="136">
        <f t="shared" si="78"/>
        <v>0</v>
      </c>
      <c r="BJ353" s="136">
        <f t="shared" si="78"/>
        <v>0</v>
      </c>
      <c r="BK353" s="136">
        <f t="shared" si="78"/>
        <v>0</v>
      </c>
      <c r="BL353" s="136">
        <f t="shared" si="78"/>
        <v>0</v>
      </c>
      <c r="BM353" s="136">
        <f t="shared" si="78"/>
        <v>0</v>
      </c>
      <c r="BN353" s="136">
        <f t="shared" si="78"/>
        <v>0</v>
      </c>
      <c r="BO353" s="136">
        <f t="shared" si="78"/>
        <v>0</v>
      </c>
      <c r="BU353" s="136">
        <f t="shared" si="80"/>
        <v>0</v>
      </c>
      <c r="BV353" s="136">
        <f t="shared" si="80"/>
        <v>0</v>
      </c>
      <c r="BW353" s="136">
        <f t="shared" si="80"/>
        <v>0</v>
      </c>
      <c r="BX353" s="136">
        <f t="shared" si="80"/>
        <v>0</v>
      </c>
      <c r="BZ353" s="136">
        <f t="shared" si="81"/>
        <v>0</v>
      </c>
      <c r="CA353" s="136">
        <f t="shared" si="81"/>
        <v>0</v>
      </c>
    </row>
    <row r="354" spans="12:79" hidden="1" x14ac:dyDescent="0.3">
      <c r="L354" s="136">
        <f t="shared" si="77"/>
        <v>0</v>
      </c>
      <c r="M354" s="136">
        <f t="shared" si="77"/>
        <v>0</v>
      </c>
      <c r="N354" s="136">
        <f t="shared" si="77"/>
        <v>0</v>
      </c>
      <c r="O354" s="136">
        <f t="shared" si="77"/>
        <v>0</v>
      </c>
      <c r="P354" s="136">
        <f t="shared" si="77"/>
        <v>0</v>
      </c>
      <c r="Q354" s="136">
        <f t="shared" si="77"/>
        <v>0</v>
      </c>
      <c r="R354" s="136">
        <f t="shared" si="77"/>
        <v>0</v>
      </c>
      <c r="S354" s="136">
        <f t="shared" si="77"/>
        <v>0</v>
      </c>
      <c r="T354" s="136">
        <f t="shared" si="77"/>
        <v>0</v>
      </c>
      <c r="U354" s="136">
        <f t="shared" si="77"/>
        <v>0</v>
      </c>
      <c r="V354" s="136">
        <f t="shared" si="77"/>
        <v>0</v>
      </c>
      <c r="W354" s="136">
        <f t="shared" si="77"/>
        <v>0</v>
      </c>
      <c r="X354" s="136">
        <f t="shared" si="77"/>
        <v>0</v>
      </c>
      <c r="Y354" s="136">
        <f t="shared" si="77"/>
        <v>0</v>
      </c>
      <c r="Z354" s="136">
        <f t="shared" si="77"/>
        <v>0</v>
      </c>
      <c r="AA354" s="136">
        <f t="shared" ref="AA354:AP369" si="84">AA181-CS181</f>
        <v>0</v>
      </c>
      <c r="AB354" s="136">
        <f t="shared" si="83"/>
        <v>0</v>
      </c>
      <c r="AC354" s="136">
        <f t="shared" si="83"/>
        <v>0</v>
      </c>
      <c r="AD354" s="136">
        <f t="shared" si="83"/>
        <v>0</v>
      </c>
      <c r="AE354" s="136">
        <f t="shared" si="83"/>
        <v>0</v>
      </c>
      <c r="AF354" s="136">
        <f t="shared" si="83"/>
        <v>0</v>
      </c>
      <c r="AG354" s="136">
        <f t="shared" si="83"/>
        <v>0</v>
      </c>
      <c r="AH354" s="136">
        <f t="shared" si="83"/>
        <v>0</v>
      </c>
      <c r="AI354" s="136">
        <f t="shared" si="83"/>
        <v>0</v>
      </c>
      <c r="AJ354" s="136">
        <f t="shared" si="83"/>
        <v>0</v>
      </c>
      <c r="AK354" s="136">
        <f t="shared" si="83"/>
        <v>0</v>
      </c>
      <c r="AL354" s="136">
        <f t="shared" si="83"/>
        <v>0</v>
      </c>
      <c r="AM354" s="136">
        <f t="shared" si="83"/>
        <v>0</v>
      </c>
      <c r="AN354" s="136">
        <f t="shared" si="83"/>
        <v>0</v>
      </c>
      <c r="AO354" s="136">
        <f t="shared" si="83"/>
        <v>0</v>
      </c>
      <c r="AP354" s="136">
        <f t="shared" si="83"/>
        <v>0</v>
      </c>
      <c r="AQ354" s="136">
        <f t="shared" si="82"/>
        <v>0</v>
      </c>
      <c r="AR354" s="136">
        <f t="shared" si="79"/>
        <v>0</v>
      </c>
      <c r="AS354" s="136">
        <f t="shared" si="79"/>
        <v>0</v>
      </c>
      <c r="AT354" s="136">
        <f t="shared" si="79"/>
        <v>0</v>
      </c>
      <c r="AU354" s="136">
        <f t="shared" si="79"/>
        <v>0</v>
      </c>
      <c r="AV354" s="136">
        <f t="shared" si="79"/>
        <v>0</v>
      </c>
      <c r="AW354" s="136">
        <f t="shared" si="79"/>
        <v>0</v>
      </c>
      <c r="AX354" s="136">
        <f t="shared" si="79"/>
        <v>0</v>
      </c>
      <c r="AY354" s="136">
        <f t="shared" si="79"/>
        <v>0</v>
      </c>
      <c r="AZ354" s="136">
        <f t="shared" si="79"/>
        <v>0</v>
      </c>
      <c r="BA354" s="136">
        <f t="shared" si="79"/>
        <v>0</v>
      </c>
      <c r="BB354" s="136">
        <f t="shared" si="79"/>
        <v>0</v>
      </c>
      <c r="BC354" s="136">
        <f t="shared" si="79"/>
        <v>0</v>
      </c>
      <c r="BD354" s="136">
        <f t="shared" si="79"/>
        <v>0</v>
      </c>
      <c r="BE354" s="136">
        <f t="shared" si="79"/>
        <v>0</v>
      </c>
      <c r="BF354" s="136">
        <f t="shared" si="79"/>
        <v>0</v>
      </c>
      <c r="BG354" s="136">
        <f t="shared" si="79"/>
        <v>0</v>
      </c>
      <c r="BH354" s="136">
        <f t="shared" si="78"/>
        <v>0</v>
      </c>
      <c r="BI354" s="136">
        <f t="shared" si="78"/>
        <v>0</v>
      </c>
      <c r="BJ354" s="136">
        <f t="shared" si="78"/>
        <v>0</v>
      </c>
      <c r="BK354" s="136">
        <f t="shared" si="78"/>
        <v>0</v>
      </c>
      <c r="BL354" s="136">
        <f t="shared" si="78"/>
        <v>0</v>
      </c>
      <c r="BM354" s="136">
        <f t="shared" si="78"/>
        <v>0</v>
      </c>
      <c r="BN354" s="136">
        <f t="shared" si="78"/>
        <v>0</v>
      </c>
      <c r="BO354" s="136">
        <f t="shared" si="78"/>
        <v>0</v>
      </c>
      <c r="BU354" s="136">
        <f t="shared" si="80"/>
        <v>0</v>
      </c>
      <c r="BV354" s="136">
        <f t="shared" si="80"/>
        <v>0</v>
      </c>
      <c r="BW354" s="136">
        <f t="shared" si="80"/>
        <v>0</v>
      </c>
      <c r="BX354" s="136">
        <f t="shared" si="80"/>
        <v>0</v>
      </c>
      <c r="BZ354" s="136">
        <f t="shared" si="81"/>
        <v>0</v>
      </c>
      <c r="CA354" s="136">
        <f t="shared" si="81"/>
        <v>0</v>
      </c>
    </row>
    <row r="355" spans="12:79" hidden="1" x14ac:dyDescent="0.3">
      <c r="L355" s="136">
        <f t="shared" ref="L355:AA370" si="85">L182-CD182</f>
        <v>0</v>
      </c>
      <c r="M355" s="136">
        <f t="shared" si="85"/>
        <v>0</v>
      </c>
      <c r="N355" s="136">
        <f t="shared" si="85"/>
        <v>0</v>
      </c>
      <c r="O355" s="136">
        <f t="shared" si="85"/>
        <v>0</v>
      </c>
      <c r="P355" s="136">
        <f t="shared" si="85"/>
        <v>0</v>
      </c>
      <c r="Q355" s="136">
        <f t="shared" si="85"/>
        <v>0</v>
      </c>
      <c r="R355" s="136">
        <f t="shared" si="85"/>
        <v>0</v>
      </c>
      <c r="S355" s="136">
        <f t="shared" si="85"/>
        <v>0</v>
      </c>
      <c r="T355" s="136">
        <f t="shared" si="85"/>
        <v>0</v>
      </c>
      <c r="U355" s="136">
        <f t="shared" si="85"/>
        <v>0</v>
      </c>
      <c r="V355" s="136">
        <f t="shared" si="85"/>
        <v>0</v>
      </c>
      <c r="W355" s="136">
        <f t="shared" si="85"/>
        <v>0</v>
      </c>
      <c r="X355" s="136">
        <f t="shared" si="85"/>
        <v>0</v>
      </c>
      <c r="Y355" s="136">
        <f t="shared" si="85"/>
        <v>0</v>
      </c>
      <c r="Z355" s="136">
        <f t="shared" si="85"/>
        <v>0</v>
      </c>
      <c r="AA355" s="136">
        <f t="shared" si="84"/>
        <v>0</v>
      </c>
      <c r="AB355" s="136">
        <f t="shared" si="83"/>
        <v>0</v>
      </c>
      <c r="AC355" s="136">
        <f t="shared" si="83"/>
        <v>0</v>
      </c>
      <c r="AD355" s="136">
        <f t="shared" si="83"/>
        <v>0</v>
      </c>
      <c r="AE355" s="136">
        <f t="shared" si="83"/>
        <v>0</v>
      </c>
      <c r="AF355" s="136">
        <f t="shared" si="83"/>
        <v>0</v>
      </c>
      <c r="AG355" s="136">
        <f t="shared" si="83"/>
        <v>0</v>
      </c>
      <c r="AH355" s="136">
        <f t="shared" si="83"/>
        <v>0</v>
      </c>
      <c r="AI355" s="136">
        <f t="shared" si="83"/>
        <v>0</v>
      </c>
      <c r="AJ355" s="136">
        <f t="shared" si="83"/>
        <v>0</v>
      </c>
      <c r="AK355" s="136">
        <f t="shared" si="83"/>
        <v>0</v>
      </c>
      <c r="AL355" s="136">
        <f t="shared" si="83"/>
        <v>0</v>
      </c>
      <c r="AM355" s="136">
        <f t="shared" si="83"/>
        <v>0</v>
      </c>
      <c r="AN355" s="136">
        <f t="shared" si="83"/>
        <v>0</v>
      </c>
      <c r="AO355" s="136">
        <f t="shared" si="83"/>
        <v>0</v>
      </c>
      <c r="AP355" s="136">
        <f t="shared" si="83"/>
        <v>0</v>
      </c>
      <c r="AQ355" s="136">
        <f t="shared" si="82"/>
        <v>0</v>
      </c>
      <c r="AR355" s="136">
        <f t="shared" si="79"/>
        <v>0</v>
      </c>
      <c r="AS355" s="136">
        <f t="shared" si="79"/>
        <v>0</v>
      </c>
      <c r="AT355" s="136">
        <f t="shared" si="79"/>
        <v>0</v>
      </c>
      <c r="AU355" s="136">
        <f t="shared" si="79"/>
        <v>0</v>
      </c>
      <c r="AV355" s="136">
        <f t="shared" si="79"/>
        <v>0</v>
      </c>
      <c r="AW355" s="136">
        <f t="shared" si="79"/>
        <v>0</v>
      </c>
      <c r="AX355" s="136">
        <f t="shared" si="79"/>
        <v>0</v>
      </c>
      <c r="AY355" s="136">
        <f t="shared" si="79"/>
        <v>0</v>
      </c>
      <c r="AZ355" s="136">
        <f t="shared" si="79"/>
        <v>0</v>
      </c>
      <c r="BA355" s="136">
        <f t="shared" si="79"/>
        <v>0</v>
      </c>
      <c r="BB355" s="136">
        <f t="shared" si="79"/>
        <v>0</v>
      </c>
      <c r="BC355" s="136">
        <f t="shared" si="79"/>
        <v>0</v>
      </c>
      <c r="BD355" s="136">
        <f t="shared" si="79"/>
        <v>0</v>
      </c>
      <c r="BE355" s="136">
        <f t="shared" si="79"/>
        <v>0</v>
      </c>
      <c r="BF355" s="136">
        <f t="shared" si="79"/>
        <v>0</v>
      </c>
      <c r="BG355" s="136">
        <f t="shared" si="79"/>
        <v>0</v>
      </c>
      <c r="BH355" s="136">
        <f t="shared" si="78"/>
        <v>0</v>
      </c>
      <c r="BI355" s="136">
        <f t="shared" si="78"/>
        <v>0</v>
      </c>
      <c r="BJ355" s="136">
        <f t="shared" si="78"/>
        <v>0</v>
      </c>
      <c r="BK355" s="136">
        <f t="shared" si="78"/>
        <v>0</v>
      </c>
      <c r="BL355" s="136">
        <f t="shared" si="78"/>
        <v>0</v>
      </c>
      <c r="BM355" s="136">
        <f t="shared" si="78"/>
        <v>0</v>
      </c>
      <c r="BN355" s="136">
        <f t="shared" si="78"/>
        <v>0</v>
      </c>
      <c r="BO355" s="136">
        <f t="shared" si="78"/>
        <v>0</v>
      </c>
      <c r="BU355" s="136">
        <f t="shared" si="80"/>
        <v>0</v>
      </c>
      <c r="BV355" s="136">
        <f t="shared" si="80"/>
        <v>0</v>
      </c>
      <c r="BW355" s="136">
        <f t="shared" si="80"/>
        <v>0</v>
      </c>
      <c r="BX355" s="136">
        <f t="shared" si="80"/>
        <v>0</v>
      </c>
      <c r="BZ355" s="136">
        <f t="shared" si="81"/>
        <v>0</v>
      </c>
      <c r="CA355" s="136">
        <f t="shared" si="81"/>
        <v>0</v>
      </c>
    </row>
    <row r="356" spans="12:79" hidden="1" x14ac:dyDescent="0.3">
      <c r="L356" s="136">
        <f t="shared" si="85"/>
        <v>0</v>
      </c>
      <c r="M356" s="136">
        <f t="shared" si="85"/>
        <v>0</v>
      </c>
      <c r="N356" s="136">
        <f t="shared" si="85"/>
        <v>0</v>
      </c>
      <c r="O356" s="136">
        <f t="shared" si="85"/>
        <v>0</v>
      </c>
      <c r="P356" s="136">
        <f t="shared" si="85"/>
        <v>0</v>
      </c>
      <c r="Q356" s="136">
        <f t="shared" si="85"/>
        <v>0</v>
      </c>
      <c r="R356" s="136">
        <f t="shared" si="85"/>
        <v>0</v>
      </c>
      <c r="S356" s="136">
        <f t="shared" si="85"/>
        <v>0</v>
      </c>
      <c r="T356" s="136">
        <f t="shared" si="85"/>
        <v>0</v>
      </c>
      <c r="U356" s="136">
        <f t="shared" si="85"/>
        <v>0</v>
      </c>
      <c r="V356" s="136">
        <f t="shared" si="85"/>
        <v>0</v>
      </c>
      <c r="W356" s="136">
        <f t="shared" si="85"/>
        <v>0</v>
      </c>
      <c r="X356" s="136">
        <f t="shared" si="85"/>
        <v>0</v>
      </c>
      <c r="Y356" s="136">
        <f t="shared" si="85"/>
        <v>0</v>
      </c>
      <c r="Z356" s="136">
        <f t="shared" si="85"/>
        <v>0</v>
      </c>
      <c r="AA356" s="136">
        <f t="shared" si="84"/>
        <v>0</v>
      </c>
      <c r="AB356" s="136">
        <f t="shared" si="83"/>
        <v>0</v>
      </c>
      <c r="AC356" s="136">
        <f t="shared" si="83"/>
        <v>0</v>
      </c>
      <c r="AD356" s="136">
        <f t="shared" si="83"/>
        <v>0</v>
      </c>
      <c r="AE356" s="136">
        <f t="shared" si="83"/>
        <v>0</v>
      </c>
      <c r="AF356" s="136">
        <f t="shared" si="83"/>
        <v>0</v>
      </c>
      <c r="AG356" s="136">
        <f t="shared" si="83"/>
        <v>0</v>
      </c>
      <c r="AH356" s="136">
        <f t="shared" si="83"/>
        <v>0</v>
      </c>
      <c r="AI356" s="136">
        <f t="shared" si="83"/>
        <v>0</v>
      </c>
      <c r="AJ356" s="136">
        <f t="shared" si="83"/>
        <v>0</v>
      </c>
      <c r="AK356" s="136">
        <f t="shared" si="83"/>
        <v>0</v>
      </c>
      <c r="AL356" s="136">
        <f t="shared" si="83"/>
        <v>0</v>
      </c>
      <c r="AM356" s="136">
        <f t="shared" si="83"/>
        <v>0</v>
      </c>
      <c r="AN356" s="136">
        <f t="shared" si="83"/>
        <v>0</v>
      </c>
      <c r="AO356" s="136">
        <f t="shared" si="83"/>
        <v>0</v>
      </c>
      <c r="AP356" s="136">
        <f t="shared" si="83"/>
        <v>0</v>
      </c>
      <c r="AQ356" s="136">
        <f t="shared" si="82"/>
        <v>0</v>
      </c>
      <c r="AR356" s="136">
        <f t="shared" si="79"/>
        <v>0</v>
      </c>
      <c r="AS356" s="136">
        <f t="shared" si="79"/>
        <v>0</v>
      </c>
      <c r="AT356" s="136">
        <f t="shared" si="79"/>
        <v>0</v>
      </c>
      <c r="AU356" s="136">
        <f t="shared" si="79"/>
        <v>0</v>
      </c>
      <c r="AV356" s="136">
        <f t="shared" si="79"/>
        <v>0</v>
      </c>
      <c r="AW356" s="136">
        <f t="shared" si="79"/>
        <v>0</v>
      </c>
      <c r="AX356" s="136">
        <f t="shared" si="79"/>
        <v>0</v>
      </c>
      <c r="AY356" s="136">
        <f t="shared" si="79"/>
        <v>0</v>
      </c>
      <c r="AZ356" s="136">
        <f t="shared" si="79"/>
        <v>0</v>
      </c>
      <c r="BA356" s="136">
        <f t="shared" si="79"/>
        <v>0</v>
      </c>
      <c r="BB356" s="136">
        <f t="shared" si="79"/>
        <v>0</v>
      </c>
      <c r="BC356" s="136">
        <f t="shared" si="79"/>
        <v>0</v>
      </c>
      <c r="BD356" s="136">
        <f t="shared" si="79"/>
        <v>0</v>
      </c>
      <c r="BE356" s="136">
        <f t="shared" si="79"/>
        <v>0</v>
      </c>
      <c r="BF356" s="136">
        <f t="shared" si="79"/>
        <v>0</v>
      </c>
      <c r="BG356" s="136">
        <f t="shared" si="79"/>
        <v>0</v>
      </c>
      <c r="BH356" s="136">
        <f t="shared" si="78"/>
        <v>0</v>
      </c>
      <c r="BI356" s="136">
        <f t="shared" si="78"/>
        <v>0</v>
      </c>
      <c r="BJ356" s="136">
        <f t="shared" si="78"/>
        <v>0</v>
      </c>
      <c r="BK356" s="136">
        <f t="shared" si="78"/>
        <v>0</v>
      </c>
      <c r="BL356" s="136">
        <f t="shared" si="78"/>
        <v>0</v>
      </c>
      <c r="BM356" s="136">
        <f t="shared" si="78"/>
        <v>0</v>
      </c>
      <c r="BN356" s="136">
        <f t="shared" si="78"/>
        <v>0</v>
      </c>
      <c r="BO356" s="136">
        <f t="shared" si="78"/>
        <v>0</v>
      </c>
      <c r="BU356" s="136">
        <f t="shared" si="80"/>
        <v>0</v>
      </c>
      <c r="BV356" s="136">
        <f t="shared" si="80"/>
        <v>0</v>
      </c>
      <c r="BW356" s="136">
        <f t="shared" si="80"/>
        <v>0</v>
      </c>
      <c r="BX356" s="136">
        <f t="shared" si="80"/>
        <v>0</v>
      </c>
      <c r="BZ356" s="136">
        <f t="shared" si="81"/>
        <v>0</v>
      </c>
      <c r="CA356" s="136">
        <f t="shared" si="81"/>
        <v>0</v>
      </c>
    </row>
    <row r="357" spans="12:79" hidden="1" x14ac:dyDescent="0.3">
      <c r="L357" s="136">
        <f t="shared" si="85"/>
        <v>0</v>
      </c>
      <c r="M357" s="136">
        <f t="shared" si="85"/>
        <v>0</v>
      </c>
      <c r="N357" s="136">
        <f t="shared" si="85"/>
        <v>0</v>
      </c>
      <c r="O357" s="136">
        <f t="shared" si="85"/>
        <v>0</v>
      </c>
      <c r="P357" s="136">
        <f t="shared" si="85"/>
        <v>0</v>
      </c>
      <c r="Q357" s="136">
        <f t="shared" si="85"/>
        <v>0</v>
      </c>
      <c r="R357" s="136">
        <f t="shared" si="85"/>
        <v>0</v>
      </c>
      <c r="S357" s="136">
        <f t="shared" si="85"/>
        <v>0</v>
      </c>
      <c r="T357" s="136">
        <f t="shared" si="85"/>
        <v>0</v>
      </c>
      <c r="U357" s="136">
        <f t="shared" si="85"/>
        <v>0</v>
      </c>
      <c r="V357" s="136">
        <f t="shared" si="85"/>
        <v>0</v>
      </c>
      <c r="W357" s="136">
        <f t="shared" si="85"/>
        <v>0</v>
      </c>
      <c r="X357" s="136">
        <f t="shared" si="85"/>
        <v>0</v>
      </c>
      <c r="Y357" s="136">
        <f t="shared" si="85"/>
        <v>0</v>
      </c>
      <c r="Z357" s="136">
        <f t="shared" si="85"/>
        <v>0</v>
      </c>
      <c r="AA357" s="136">
        <f t="shared" si="84"/>
        <v>0</v>
      </c>
      <c r="AB357" s="136">
        <f t="shared" si="83"/>
        <v>0</v>
      </c>
      <c r="AC357" s="136">
        <f t="shared" si="83"/>
        <v>0</v>
      </c>
      <c r="AD357" s="136">
        <f t="shared" si="83"/>
        <v>0</v>
      </c>
      <c r="AE357" s="136">
        <f t="shared" si="83"/>
        <v>0</v>
      </c>
      <c r="AF357" s="136">
        <f t="shared" si="83"/>
        <v>0</v>
      </c>
      <c r="AG357" s="136">
        <f t="shared" si="83"/>
        <v>0</v>
      </c>
      <c r="AH357" s="136">
        <f t="shared" si="83"/>
        <v>0</v>
      </c>
      <c r="AI357" s="136">
        <f t="shared" si="83"/>
        <v>0</v>
      </c>
      <c r="AJ357" s="136">
        <f t="shared" si="83"/>
        <v>0</v>
      </c>
      <c r="AK357" s="136">
        <f t="shared" si="83"/>
        <v>0</v>
      </c>
      <c r="AL357" s="136">
        <f t="shared" si="83"/>
        <v>0</v>
      </c>
      <c r="AM357" s="136">
        <f t="shared" si="83"/>
        <v>0</v>
      </c>
      <c r="AN357" s="136">
        <f t="shared" si="83"/>
        <v>0</v>
      </c>
      <c r="AO357" s="136">
        <f t="shared" si="83"/>
        <v>0</v>
      </c>
      <c r="AP357" s="136">
        <f t="shared" si="83"/>
        <v>0</v>
      </c>
      <c r="AQ357" s="136">
        <f t="shared" si="82"/>
        <v>0</v>
      </c>
      <c r="AR357" s="136">
        <f t="shared" si="79"/>
        <v>0</v>
      </c>
      <c r="AS357" s="136">
        <f t="shared" si="79"/>
        <v>0</v>
      </c>
      <c r="AT357" s="136">
        <f t="shared" si="79"/>
        <v>0</v>
      </c>
      <c r="AU357" s="136">
        <f t="shared" si="79"/>
        <v>0</v>
      </c>
      <c r="AV357" s="136">
        <f t="shared" si="79"/>
        <v>0</v>
      </c>
      <c r="AW357" s="136">
        <f t="shared" si="79"/>
        <v>0</v>
      </c>
      <c r="AX357" s="136">
        <f t="shared" si="79"/>
        <v>0</v>
      </c>
      <c r="AY357" s="136">
        <f t="shared" si="79"/>
        <v>0</v>
      </c>
      <c r="AZ357" s="136">
        <f t="shared" si="79"/>
        <v>0</v>
      </c>
      <c r="BA357" s="136">
        <f t="shared" si="79"/>
        <v>0</v>
      </c>
      <c r="BB357" s="136">
        <f t="shared" si="79"/>
        <v>0</v>
      </c>
      <c r="BC357" s="136">
        <f t="shared" si="79"/>
        <v>0</v>
      </c>
      <c r="BD357" s="136">
        <f t="shared" si="79"/>
        <v>0</v>
      </c>
      <c r="BE357" s="136">
        <f t="shared" si="79"/>
        <v>0</v>
      </c>
      <c r="BF357" s="136">
        <f t="shared" si="79"/>
        <v>0</v>
      </c>
      <c r="BG357" s="136">
        <f t="shared" si="79"/>
        <v>0</v>
      </c>
      <c r="BH357" s="136">
        <f t="shared" si="78"/>
        <v>0</v>
      </c>
      <c r="BI357" s="136">
        <f t="shared" si="78"/>
        <v>0</v>
      </c>
      <c r="BJ357" s="136">
        <f t="shared" si="78"/>
        <v>0</v>
      </c>
      <c r="BK357" s="136">
        <f t="shared" si="78"/>
        <v>0</v>
      </c>
      <c r="BL357" s="136">
        <f t="shared" si="78"/>
        <v>0</v>
      </c>
      <c r="BM357" s="136">
        <f t="shared" si="78"/>
        <v>0</v>
      </c>
      <c r="BN357" s="136">
        <f t="shared" si="78"/>
        <v>0</v>
      </c>
      <c r="BO357" s="136">
        <f t="shared" si="78"/>
        <v>0</v>
      </c>
      <c r="BU357" s="136">
        <f t="shared" si="80"/>
        <v>0</v>
      </c>
      <c r="BV357" s="136">
        <f t="shared" si="80"/>
        <v>0</v>
      </c>
      <c r="BW357" s="136">
        <f t="shared" si="80"/>
        <v>0</v>
      </c>
      <c r="BX357" s="136">
        <f t="shared" si="80"/>
        <v>0</v>
      </c>
      <c r="BZ357" s="136">
        <f t="shared" si="81"/>
        <v>0</v>
      </c>
      <c r="CA357" s="136">
        <f t="shared" si="81"/>
        <v>0</v>
      </c>
    </row>
    <row r="358" spans="12:79" hidden="1" x14ac:dyDescent="0.3">
      <c r="L358" s="136">
        <f t="shared" si="85"/>
        <v>0</v>
      </c>
      <c r="M358" s="136">
        <f t="shared" si="85"/>
        <v>0</v>
      </c>
      <c r="N358" s="136">
        <f t="shared" si="85"/>
        <v>0</v>
      </c>
      <c r="O358" s="136">
        <f t="shared" si="85"/>
        <v>0</v>
      </c>
      <c r="P358" s="136">
        <f t="shared" si="85"/>
        <v>0</v>
      </c>
      <c r="Q358" s="136">
        <f t="shared" si="85"/>
        <v>0</v>
      </c>
      <c r="R358" s="136">
        <f t="shared" si="85"/>
        <v>0</v>
      </c>
      <c r="S358" s="136">
        <f t="shared" si="85"/>
        <v>0</v>
      </c>
      <c r="T358" s="136">
        <f t="shared" si="85"/>
        <v>0</v>
      </c>
      <c r="U358" s="136">
        <f t="shared" si="85"/>
        <v>0</v>
      </c>
      <c r="V358" s="136">
        <f t="shared" si="85"/>
        <v>0</v>
      </c>
      <c r="W358" s="136">
        <f t="shared" si="85"/>
        <v>0</v>
      </c>
      <c r="X358" s="136">
        <f t="shared" si="85"/>
        <v>0</v>
      </c>
      <c r="Y358" s="136">
        <f t="shared" si="85"/>
        <v>0</v>
      </c>
      <c r="Z358" s="136">
        <f t="shared" si="85"/>
        <v>0</v>
      </c>
      <c r="AA358" s="136">
        <f t="shared" si="84"/>
        <v>0</v>
      </c>
      <c r="AB358" s="136">
        <f t="shared" si="83"/>
        <v>0</v>
      </c>
      <c r="AC358" s="136">
        <f t="shared" si="83"/>
        <v>0</v>
      </c>
      <c r="AD358" s="136">
        <f t="shared" si="83"/>
        <v>0</v>
      </c>
      <c r="AE358" s="136">
        <f t="shared" si="83"/>
        <v>0</v>
      </c>
      <c r="AF358" s="136">
        <f t="shared" si="83"/>
        <v>0</v>
      </c>
      <c r="AG358" s="136">
        <f t="shared" si="83"/>
        <v>0</v>
      </c>
      <c r="AH358" s="136">
        <f t="shared" si="83"/>
        <v>0</v>
      </c>
      <c r="AI358" s="136">
        <f t="shared" si="83"/>
        <v>0</v>
      </c>
      <c r="AJ358" s="136">
        <f t="shared" si="83"/>
        <v>0</v>
      </c>
      <c r="AK358" s="136">
        <f t="shared" si="83"/>
        <v>0</v>
      </c>
      <c r="AL358" s="136">
        <f t="shared" si="83"/>
        <v>0</v>
      </c>
      <c r="AM358" s="136">
        <f t="shared" si="83"/>
        <v>0</v>
      </c>
      <c r="AN358" s="136">
        <f t="shared" si="83"/>
        <v>0</v>
      </c>
      <c r="AO358" s="136">
        <f t="shared" si="83"/>
        <v>0</v>
      </c>
      <c r="AP358" s="136">
        <f t="shared" si="83"/>
        <v>0</v>
      </c>
      <c r="AQ358" s="136">
        <f t="shared" si="82"/>
        <v>0</v>
      </c>
      <c r="AR358" s="136">
        <f t="shared" si="79"/>
        <v>0</v>
      </c>
      <c r="AS358" s="136">
        <f t="shared" si="79"/>
        <v>0</v>
      </c>
      <c r="AT358" s="136">
        <f t="shared" si="79"/>
        <v>0</v>
      </c>
      <c r="AU358" s="136">
        <f t="shared" si="79"/>
        <v>0</v>
      </c>
      <c r="AV358" s="136">
        <f t="shared" si="79"/>
        <v>0</v>
      </c>
      <c r="AW358" s="136">
        <f t="shared" si="79"/>
        <v>0</v>
      </c>
      <c r="AX358" s="136">
        <f t="shared" si="79"/>
        <v>0</v>
      </c>
      <c r="AY358" s="136">
        <f t="shared" si="79"/>
        <v>0</v>
      </c>
      <c r="AZ358" s="136">
        <f t="shared" si="79"/>
        <v>0</v>
      </c>
      <c r="BA358" s="136">
        <f t="shared" si="79"/>
        <v>0</v>
      </c>
      <c r="BB358" s="136">
        <f t="shared" si="79"/>
        <v>0</v>
      </c>
      <c r="BC358" s="136">
        <f t="shared" si="79"/>
        <v>0</v>
      </c>
      <c r="BD358" s="136">
        <f t="shared" si="79"/>
        <v>0</v>
      </c>
      <c r="BE358" s="136">
        <f t="shared" si="79"/>
        <v>0</v>
      </c>
      <c r="BF358" s="136">
        <f t="shared" si="79"/>
        <v>0</v>
      </c>
      <c r="BG358" s="136">
        <f t="shared" si="79"/>
        <v>0</v>
      </c>
      <c r="BH358" s="136">
        <f t="shared" si="78"/>
        <v>0</v>
      </c>
      <c r="BI358" s="136">
        <f t="shared" si="78"/>
        <v>0</v>
      </c>
      <c r="BJ358" s="136">
        <f t="shared" si="78"/>
        <v>0</v>
      </c>
      <c r="BK358" s="136">
        <f t="shared" si="78"/>
        <v>0</v>
      </c>
      <c r="BL358" s="136">
        <f t="shared" si="78"/>
        <v>0</v>
      </c>
      <c r="BM358" s="136">
        <f t="shared" si="78"/>
        <v>0</v>
      </c>
      <c r="BN358" s="136">
        <f t="shared" si="78"/>
        <v>0</v>
      </c>
      <c r="BO358" s="136">
        <f t="shared" si="78"/>
        <v>0</v>
      </c>
      <c r="BU358" s="136">
        <f t="shared" si="80"/>
        <v>0</v>
      </c>
      <c r="BV358" s="136">
        <f t="shared" si="80"/>
        <v>0</v>
      </c>
      <c r="BW358" s="136">
        <f t="shared" si="80"/>
        <v>0</v>
      </c>
      <c r="BX358" s="136">
        <f t="shared" si="80"/>
        <v>0</v>
      </c>
      <c r="BZ358" s="136">
        <f t="shared" si="81"/>
        <v>0</v>
      </c>
      <c r="CA358" s="136">
        <f t="shared" si="81"/>
        <v>0</v>
      </c>
    </row>
    <row r="359" spans="12:79" hidden="1" x14ac:dyDescent="0.3">
      <c r="L359" s="136">
        <f t="shared" si="85"/>
        <v>0</v>
      </c>
      <c r="M359" s="136">
        <f t="shared" si="85"/>
        <v>0</v>
      </c>
      <c r="N359" s="136">
        <f t="shared" si="85"/>
        <v>0</v>
      </c>
      <c r="O359" s="136">
        <f t="shared" si="85"/>
        <v>0</v>
      </c>
      <c r="P359" s="136">
        <f t="shared" si="85"/>
        <v>0</v>
      </c>
      <c r="Q359" s="136">
        <f t="shared" si="85"/>
        <v>0</v>
      </c>
      <c r="R359" s="136">
        <f t="shared" si="85"/>
        <v>0</v>
      </c>
      <c r="S359" s="136">
        <f t="shared" si="85"/>
        <v>0</v>
      </c>
      <c r="T359" s="136">
        <f t="shared" si="85"/>
        <v>0</v>
      </c>
      <c r="U359" s="136">
        <f t="shared" si="85"/>
        <v>0</v>
      </c>
      <c r="V359" s="136">
        <f t="shared" si="85"/>
        <v>0</v>
      </c>
      <c r="W359" s="136">
        <f t="shared" si="85"/>
        <v>0</v>
      </c>
      <c r="X359" s="136">
        <f t="shared" si="85"/>
        <v>0</v>
      </c>
      <c r="Y359" s="136">
        <f t="shared" si="85"/>
        <v>0</v>
      </c>
      <c r="Z359" s="136">
        <f t="shared" si="85"/>
        <v>0</v>
      </c>
      <c r="AA359" s="136">
        <f t="shared" si="84"/>
        <v>0</v>
      </c>
      <c r="AB359" s="136">
        <f t="shared" si="83"/>
        <v>0</v>
      </c>
      <c r="AC359" s="136">
        <f t="shared" si="83"/>
        <v>0</v>
      </c>
      <c r="AD359" s="136">
        <f t="shared" si="83"/>
        <v>0</v>
      </c>
      <c r="AE359" s="136">
        <f t="shared" si="83"/>
        <v>0</v>
      </c>
      <c r="AF359" s="136">
        <f t="shared" si="83"/>
        <v>0</v>
      </c>
      <c r="AG359" s="136">
        <f t="shared" si="83"/>
        <v>0</v>
      </c>
      <c r="AH359" s="136">
        <f t="shared" si="83"/>
        <v>0</v>
      </c>
      <c r="AI359" s="136">
        <f t="shared" si="83"/>
        <v>0</v>
      </c>
      <c r="AJ359" s="136">
        <f t="shared" si="83"/>
        <v>0</v>
      </c>
      <c r="AK359" s="136">
        <f t="shared" si="83"/>
        <v>0</v>
      </c>
      <c r="AL359" s="136">
        <f t="shared" si="83"/>
        <v>0</v>
      </c>
      <c r="AM359" s="136">
        <f t="shared" si="83"/>
        <v>0</v>
      </c>
      <c r="AN359" s="136">
        <f t="shared" si="83"/>
        <v>0</v>
      </c>
      <c r="AO359" s="136">
        <f t="shared" si="83"/>
        <v>0</v>
      </c>
      <c r="AP359" s="136">
        <f t="shared" si="83"/>
        <v>0</v>
      </c>
      <c r="AQ359" s="136">
        <f t="shared" si="82"/>
        <v>0</v>
      </c>
      <c r="AR359" s="136">
        <f t="shared" si="79"/>
        <v>0</v>
      </c>
      <c r="AS359" s="136">
        <f t="shared" si="79"/>
        <v>0</v>
      </c>
      <c r="AT359" s="136">
        <f t="shared" si="79"/>
        <v>0</v>
      </c>
      <c r="AU359" s="136">
        <f t="shared" si="79"/>
        <v>0</v>
      </c>
      <c r="AV359" s="136">
        <f t="shared" si="79"/>
        <v>0</v>
      </c>
      <c r="AW359" s="136">
        <f t="shared" si="79"/>
        <v>0</v>
      </c>
      <c r="AX359" s="136">
        <f t="shared" si="79"/>
        <v>0</v>
      </c>
      <c r="AY359" s="136">
        <f t="shared" si="79"/>
        <v>0</v>
      </c>
      <c r="AZ359" s="136">
        <f t="shared" si="79"/>
        <v>0</v>
      </c>
      <c r="BA359" s="136">
        <f t="shared" si="79"/>
        <v>0</v>
      </c>
      <c r="BB359" s="136">
        <f t="shared" si="79"/>
        <v>0</v>
      </c>
      <c r="BC359" s="136">
        <f t="shared" si="79"/>
        <v>0</v>
      </c>
      <c r="BD359" s="136">
        <f t="shared" si="79"/>
        <v>0</v>
      </c>
      <c r="BE359" s="136">
        <f t="shared" si="79"/>
        <v>0</v>
      </c>
      <c r="BF359" s="136">
        <f t="shared" si="79"/>
        <v>0</v>
      </c>
      <c r="BG359" s="136">
        <f t="shared" si="79"/>
        <v>0</v>
      </c>
      <c r="BH359" s="136">
        <f t="shared" si="78"/>
        <v>0</v>
      </c>
      <c r="BI359" s="136">
        <f t="shared" si="78"/>
        <v>0</v>
      </c>
      <c r="BJ359" s="136">
        <f t="shared" si="78"/>
        <v>0</v>
      </c>
      <c r="BK359" s="136">
        <f t="shared" si="78"/>
        <v>0</v>
      </c>
      <c r="BL359" s="136">
        <f t="shared" si="78"/>
        <v>0</v>
      </c>
      <c r="BM359" s="136">
        <f t="shared" si="78"/>
        <v>0</v>
      </c>
      <c r="BN359" s="136">
        <f t="shared" si="78"/>
        <v>0</v>
      </c>
      <c r="BO359" s="136">
        <f t="shared" si="78"/>
        <v>0</v>
      </c>
      <c r="BU359" s="136">
        <f t="shared" si="80"/>
        <v>0</v>
      </c>
      <c r="BV359" s="136">
        <f t="shared" si="80"/>
        <v>0</v>
      </c>
      <c r="BW359" s="136">
        <f t="shared" si="80"/>
        <v>0</v>
      </c>
      <c r="BX359" s="136">
        <f t="shared" si="80"/>
        <v>0</v>
      </c>
      <c r="BZ359" s="136">
        <f t="shared" si="81"/>
        <v>0</v>
      </c>
      <c r="CA359" s="136">
        <f t="shared" si="81"/>
        <v>0</v>
      </c>
    </row>
    <row r="360" spans="12:79" hidden="1" x14ac:dyDescent="0.3">
      <c r="L360" s="136">
        <f t="shared" si="85"/>
        <v>0</v>
      </c>
      <c r="M360" s="136">
        <f t="shared" si="85"/>
        <v>0</v>
      </c>
      <c r="N360" s="136">
        <f t="shared" si="85"/>
        <v>0</v>
      </c>
      <c r="O360" s="136">
        <f t="shared" si="85"/>
        <v>0</v>
      </c>
      <c r="P360" s="136">
        <f t="shared" si="85"/>
        <v>0</v>
      </c>
      <c r="Q360" s="136">
        <f t="shared" si="85"/>
        <v>0</v>
      </c>
      <c r="R360" s="136">
        <f t="shared" si="85"/>
        <v>0</v>
      </c>
      <c r="S360" s="136">
        <f t="shared" si="85"/>
        <v>0</v>
      </c>
      <c r="T360" s="136">
        <f t="shared" si="85"/>
        <v>0</v>
      </c>
      <c r="U360" s="136">
        <f t="shared" si="85"/>
        <v>0</v>
      </c>
      <c r="V360" s="136">
        <f t="shared" si="85"/>
        <v>0</v>
      </c>
      <c r="W360" s="136">
        <f t="shared" si="85"/>
        <v>0</v>
      </c>
      <c r="X360" s="136">
        <f t="shared" si="85"/>
        <v>0</v>
      </c>
      <c r="Y360" s="136">
        <f t="shared" si="85"/>
        <v>0</v>
      </c>
      <c r="Z360" s="136">
        <f t="shared" si="85"/>
        <v>0</v>
      </c>
      <c r="AA360" s="136">
        <f t="shared" si="84"/>
        <v>0</v>
      </c>
      <c r="AB360" s="136">
        <f t="shared" si="83"/>
        <v>0</v>
      </c>
      <c r="AC360" s="136">
        <f t="shared" si="83"/>
        <v>0</v>
      </c>
      <c r="AD360" s="136">
        <f t="shared" si="83"/>
        <v>0</v>
      </c>
      <c r="AE360" s="136">
        <f t="shared" si="83"/>
        <v>0</v>
      </c>
      <c r="AF360" s="136">
        <f t="shared" si="83"/>
        <v>0</v>
      </c>
      <c r="AG360" s="136">
        <f t="shared" si="83"/>
        <v>0</v>
      </c>
      <c r="AH360" s="136">
        <f t="shared" si="83"/>
        <v>0</v>
      </c>
      <c r="AI360" s="136">
        <f t="shared" si="83"/>
        <v>0</v>
      </c>
      <c r="AJ360" s="136">
        <f t="shared" si="83"/>
        <v>0</v>
      </c>
      <c r="AK360" s="136">
        <f t="shared" si="83"/>
        <v>0</v>
      </c>
      <c r="AL360" s="136">
        <f t="shared" si="83"/>
        <v>0</v>
      </c>
      <c r="AM360" s="136">
        <f t="shared" si="83"/>
        <v>0</v>
      </c>
      <c r="AN360" s="136">
        <f t="shared" si="83"/>
        <v>0</v>
      </c>
      <c r="AO360" s="136">
        <f t="shared" si="83"/>
        <v>0</v>
      </c>
      <c r="AP360" s="136">
        <f t="shared" si="83"/>
        <v>0</v>
      </c>
      <c r="AQ360" s="136">
        <f t="shared" si="82"/>
        <v>0</v>
      </c>
      <c r="AR360" s="136">
        <f t="shared" si="79"/>
        <v>0</v>
      </c>
      <c r="AS360" s="136">
        <f t="shared" si="79"/>
        <v>0</v>
      </c>
      <c r="AT360" s="136">
        <f t="shared" si="79"/>
        <v>0</v>
      </c>
      <c r="AU360" s="136">
        <f t="shared" si="79"/>
        <v>0</v>
      </c>
      <c r="AV360" s="136">
        <f t="shared" si="79"/>
        <v>0</v>
      </c>
      <c r="AW360" s="136">
        <f t="shared" si="79"/>
        <v>0</v>
      </c>
      <c r="AX360" s="136">
        <f t="shared" si="79"/>
        <v>0</v>
      </c>
      <c r="AY360" s="136">
        <f t="shared" si="79"/>
        <v>0</v>
      </c>
      <c r="AZ360" s="136">
        <f t="shared" si="79"/>
        <v>0</v>
      </c>
      <c r="BA360" s="136">
        <f t="shared" si="79"/>
        <v>0</v>
      </c>
      <c r="BB360" s="136">
        <f t="shared" si="79"/>
        <v>0</v>
      </c>
      <c r="BC360" s="136">
        <f t="shared" si="79"/>
        <v>0</v>
      </c>
      <c r="BD360" s="136">
        <f t="shared" si="79"/>
        <v>0</v>
      </c>
      <c r="BE360" s="136">
        <f t="shared" si="79"/>
        <v>0</v>
      </c>
      <c r="BF360" s="136">
        <f t="shared" si="79"/>
        <v>0</v>
      </c>
      <c r="BG360" s="136">
        <f t="shared" si="79"/>
        <v>0</v>
      </c>
      <c r="BH360" s="136">
        <f t="shared" si="78"/>
        <v>0</v>
      </c>
      <c r="BI360" s="136">
        <f t="shared" si="78"/>
        <v>0</v>
      </c>
      <c r="BJ360" s="136">
        <f t="shared" si="78"/>
        <v>0</v>
      </c>
      <c r="BK360" s="136">
        <f t="shared" si="78"/>
        <v>0</v>
      </c>
      <c r="BL360" s="136">
        <f t="shared" si="78"/>
        <v>0</v>
      </c>
      <c r="BM360" s="136">
        <f t="shared" si="78"/>
        <v>0</v>
      </c>
      <c r="BN360" s="136">
        <f t="shared" si="78"/>
        <v>0</v>
      </c>
      <c r="BO360" s="136">
        <f t="shared" si="78"/>
        <v>0</v>
      </c>
      <c r="BU360" s="136">
        <f t="shared" si="80"/>
        <v>0</v>
      </c>
      <c r="BV360" s="136">
        <f t="shared" si="80"/>
        <v>0</v>
      </c>
      <c r="BW360" s="136">
        <f t="shared" si="80"/>
        <v>0</v>
      </c>
      <c r="BX360" s="136">
        <f t="shared" si="80"/>
        <v>0</v>
      </c>
      <c r="BZ360" s="136">
        <f t="shared" si="81"/>
        <v>0</v>
      </c>
      <c r="CA360" s="136">
        <f t="shared" si="81"/>
        <v>0</v>
      </c>
    </row>
    <row r="361" spans="12:79" hidden="1" x14ac:dyDescent="0.3">
      <c r="L361" s="136">
        <f t="shared" si="85"/>
        <v>0</v>
      </c>
      <c r="M361" s="136">
        <f t="shared" si="85"/>
        <v>0</v>
      </c>
      <c r="N361" s="136">
        <f t="shared" si="85"/>
        <v>0</v>
      </c>
      <c r="O361" s="136">
        <f t="shared" si="85"/>
        <v>0</v>
      </c>
      <c r="P361" s="136">
        <f t="shared" si="85"/>
        <v>0</v>
      </c>
      <c r="Q361" s="136">
        <f t="shared" si="85"/>
        <v>0</v>
      </c>
      <c r="R361" s="136">
        <f t="shared" si="85"/>
        <v>0</v>
      </c>
      <c r="S361" s="136">
        <f t="shared" si="85"/>
        <v>0</v>
      </c>
      <c r="T361" s="136">
        <f t="shared" si="85"/>
        <v>0</v>
      </c>
      <c r="U361" s="136">
        <f t="shared" si="85"/>
        <v>0</v>
      </c>
      <c r="V361" s="136">
        <f t="shared" si="85"/>
        <v>0</v>
      </c>
      <c r="W361" s="136">
        <f t="shared" si="85"/>
        <v>0</v>
      </c>
      <c r="X361" s="136">
        <f t="shared" si="85"/>
        <v>0</v>
      </c>
      <c r="Y361" s="136">
        <f t="shared" si="85"/>
        <v>0</v>
      </c>
      <c r="Z361" s="136">
        <f t="shared" si="85"/>
        <v>0</v>
      </c>
      <c r="AA361" s="136">
        <f t="shared" si="84"/>
        <v>0</v>
      </c>
      <c r="AB361" s="136">
        <f t="shared" si="83"/>
        <v>0</v>
      </c>
      <c r="AC361" s="136">
        <f t="shared" si="83"/>
        <v>0</v>
      </c>
      <c r="AD361" s="136">
        <f t="shared" si="83"/>
        <v>0</v>
      </c>
      <c r="AE361" s="136">
        <f t="shared" si="83"/>
        <v>0</v>
      </c>
      <c r="AF361" s="136">
        <f t="shared" si="83"/>
        <v>0</v>
      </c>
      <c r="AG361" s="136">
        <f t="shared" si="83"/>
        <v>0</v>
      </c>
      <c r="AH361" s="136">
        <f t="shared" si="83"/>
        <v>0</v>
      </c>
      <c r="AI361" s="136">
        <f t="shared" si="83"/>
        <v>0</v>
      </c>
      <c r="AJ361" s="136">
        <f t="shared" si="83"/>
        <v>0</v>
      </c>
      <c r="AK361" s="136">
        <f t="shared" si="83"/>
        <v>0</v>
      </c>
      <c r="AL361" s="136">
        <f t="shared" si="83"/>
        <v>0</v>
      </c>
      <c r="AM361" s="136">
        <f t="shared" si="83"/>
        <v>0</v>
      </c>
      <c r="AN361" s="136">
        <f t="shared" si="83"/>
        <v>0</v>
      </c>
      <c r="AO361" s="136">
        <f t="shared" si="83"/>
        <v>0</v>
      </c>
      <c r="AP361" s="136">
        <f t="shared" si="83"/>
        <v>0</v>
      </c>
      <c r="AQ361" s="136">
        <f t="shared" si="82"/>
        <v>0</v>
      </c>
      <c r="AR361" s="136">
        <f t="shared" si="79"/>
        <v>0</v>
      </c>
      <c r="AS361" s="136">
        <f t="shared" si="79"/>
        <v>0</v>
      </c>
      <c r="AT361" s="136">
        <f t="shared" si="79"/>
        <v>0</v>
      </c>
      <c r="AU361" s="136">
        <f t="shared" si="79"/>
        <v>0</v>
      </c>
      <c r="AV361" s="136">
        <f t="shared" si="79"/>
        <v>0</v>
      </c>
      <c r="AW361" s="136">
        <f t="shared" si="79"/>
        <v>0</v>
      </c>
      <c r="AX361" s="136">
        <f t="shared" si="79"/>
        <v>0</v>
      </c>
      <c r="AY361" s="136">
        <f t="shared" si="79"/>
        <v>0</v>
      </c>
      <c r="AZ361" s="136">
        <f t="shared" si="79"/>
        <v>0</v>
      </c>
      <c r="BA361" s="136">
        <f t="shared" si="79"/>
        <v>0</v>
      </c>
      <c r="BB361" s="136">
        <f t="shared" si="79"/>
        <v>0</v>
      </c>
      <c r="BC361" s="136">
        <f t="shared" si="79"/>
        <v>0</v>
      </c>
      <c r="BD361" s="136">
        <f t="shared" si="79"/>
        <v>0</v>
      </c>
      <c r="BE361" s="136">
        <f t="shared" si="79"/>
        <v>0</v>
      </c>
      <c r="BF361" s="136">
        <f t="shared" si="79"/>
        <v>0</v>
      </c>
      <c r="BG361" s="136">
        <f t="shared" si="79"/>
        <v>0</v>
      </c>
      <c r="BH361" s="136">
        <f t="shared" si="78"/>
        <v>0</v>
      </c>
      <c r="BI361" s="136">
        <f t="shared" si="78"/>
        <v>0</v>
      </c>
      <c r="BJ361" s="136">
        <f t="shared" si="78"/>
        <v>0</v>
      </c>
      <c r="BK361" s="136">
        <f t="shared" si="78"/>
        <v>0</v>
      </c>
      <c r="BL361" s="136">
        <f t="shared" si="78"/>
        <v>0</v>
      </c>
      <c r="BM361" s="136">
        <f t="shared" si="78"/>
        <v>0</v>
      </c>
      <c r="BN361" s="136">
        <f t="shared" si="78"/>
        <v>0</v>
      </c>
      <c r="BO361" s="136">
        <f t="shared" si="78"/>
        <v>0</v>
      </c>
      <c r="BU361" s="136">
        <f t="shared" si="80"/>
        <v>0</v>
      </c>
      <c r="BV361" s="136">
        <f t="shared" si="80"/>
        <v>0</v>
      </c>
      <c r="BW361" s="136">
        <f t="shared" si="80"/>
        <v>0</v>
      </c>
      <c r="BX361" s="136">
        <f t="shared" si="80"/>
        <v>0</v>
      </c>
      <c r="BZ361" s="136">
        <f t="shared" si="81"/>
        <v>0</v>
      </c>
      <c r="CA361" s="136">
        <f t="shared" si="81"/>
        <v>0</v>
      </c>
    </row>
    <row r="362" spans="12:79" hidden="1" x14ac:dyDescent="0.3">
      <c r="L362" s="136">
        <f t="shared" si="85"/>
        <v>0</v>
      </c>
      <c r="M362" s="136">
        <f t="shared" si="85"/>
        <v>0</v>
      </c>
      <c r="N362" s="136">
        <f t="shared" si="85"/>
        <v>0</v>
      </c>
      <c r="O362" s="136">
        <f t="shared" si="85"/>
        <v>0</v>
      </c>
      <c r="P362" s="136">
        <f t="shared" si="85"/>
        <v>0</v>
      </c>
      <c r="Q362" s="136">
        <f t="shared" si="85"/>
        <v>0</v>
      </c>
      <c r="R362" s="136">
        <f t="shared" si="85"/>
        <v>0</v>
      </c>
      <c r="S362" s="136">
        <f t="shared" si="85"/>
        <v>0</v>
      </c>
      <c r="T362" s="136">
        <f t="shared" si="85"/>
        <v>0</v>
      </c>
      <c r="U362" s="136">
        <f t="shared" si="85"/>
        <v>0</v>
      </c>
      <c r="V362" s="136">
        <f t="shared" si="85"/>
        <v>0</v>
      </c>
      <c r="W362" s="136">
        <f t="shared" si="85"/>
        <v>0</v>
      </c>
      <c r="X362" s="136">
        <f t="shared" si="85"/>
        <v>0</v>
      </c>
      <c r="Y362" s="136">
        <f t="shared" si="85"/>
        <v>0</v>
      </c>
      <c r="Z362" s="136">
        <f t="shared" si="85"/>
        <v>0</v>
      </c>
      <c r="AA362" s="136">
        <f t="shared" si="84"/>
        <v>0</v>
      </c>
      <c r="AB362" s="136">
        <f t="shared" si="83"/>
        <v>0</v>
      </c>
      <c r="AC362" s="136">
        <f t="shared" si="83"/>
        <v>0</v>
      </c>
      <c r="AD362" s="136">
        <f t="shared" si="83"/>
        <v>0</v>
      </c>
      <c r="AE362" s="136">
        <f t="shared" si="83"/>
        <v>0</v>
      </c>
      <c r="AF362" s="136">
        <f t="shared" si="83"/>
        <v>0</v>
      </c>
      <c r="AG362" s="136">
        <f t="shared" si="83"/>
        <v>0</v>
      </c>
      <c r="AH362" s="136">
        <f t="shared" si="83"/>
        <v>0</v>
      </c>
      <c r="AI362" s="136">
        <f t="shared" si="83"/>
        <v>0</v>
      </c>
      <c r="AJ362" s="136">
        <f t="shared" si="83"/>
        <v>0</v>
      </c>
      <c r="AK362" s="136">
        <f t="shared" si="83"/>
        <v>0</v>
      </c>
      <c r="AL362" s="136">
        <f t="shared" si="83"/>
        <v>0</v>
      </c>
      <c r="AM362" s="136">
        <f t="shared" si="83"/>
        <v>0</v>
      </c>
      <c r="AN362" s="136">
        <f t="shared" si="83"/>
        <v>0</v>
      </c>
      <c r="AO362" s="136">
        <f t="shared" si="83"/>
        <v>0</v>
      </c>
      <c r="AP362" s="136">
        <f t="shared" si="83"/>
        <v>0</v>
      </c>
      <c r="AQ362" s="136">
        <f t="shared" si="82"/>
        <v>0</v>
      </c>
      <c r="AR362" s="136">
        <f t="shared" si="79"/>
        <v>0</v>
      </c>
      <c r="AS362" s="136">
        <f t="shared" si="79"/>
        <v>0</v>
      </c>
      <c r="AT362" s="136">
        <f t="shared" si="79"/>
        <v>0</v>
      </c>
      <c r="AU362" s="136">
        <f t="shared" si="79"/>
        <v>0</v>
      </c>
      <c r="AV362" s="136">
        <f t="shared" si="79"/>
        <v>0</v>
      </c>
      <c r="AW362" s="136">
        <f t="shared" si="79"/>
        <v>0</v>
      </c>
      <c r="AX362" s="136">
        <f t="shared" si="79"/>
        <v>0</v>
      </c>
      <c r="AY362" s="136">
        <f t="shared" si="79"/>
        <v>0</v>
      </c>
      <c r="AZ362" s="136">
        <f t="shared" si="79"/>
        <v>0</v>
      </c>
      <c r="BA362" s="136">
        <f t="shared" si="79"/>
        <v>0</v>
      </c>
      <c r="BB362" s="136">
        <f t="shared" si="79"/>
        <v>0</v>
      </c>
      <c r="BC362" s="136">
        <f t="shared" si="79"/>
        <v>0</v>
      </c>
      <c r="BD362" s="136">
        <f t="shared" si="79"/>
        <v>0</v>
      </c>
      <c r="BE362" s="136">
        <f t="shared" si="79"/>
        <v>0</v>
      </c>
      <c r="BF362" s="136">
        <f t="shared" si="79"/>
        <v>0</v>
      </c>
      <c r="BG362" s="136">
        <f t="shared" ref="BG362:BO371" si="86">BG189-DY189</f>
        <v>0</v>
      </c>
      <c r="BH362" s="136">
        <f t="shared" si="86"/>
        <v>0</v>
      </c>
      <c r="BI362" s="136">
        <f t="shared" si="86"/>
        <v>0</v>
      </c>
      <c r="BJ362" s="136">
        <f t="shared" si="86"/>
        <v>0</v>
      </c>
      <c r="BK362" s="136">
        <f t="shared" si="86"/>
        <v>0</v>
      </c>
      <c r="BL362" s="136">
        <f t="shared" si="86"/>
        <v>0</v>
      </c>
      <c r="BM362" s="136">
        <f t="shared" si="86"/>
        <v>0</v>
      </c>
      <c r="BN362" s="136">
        <f t="shared" si="86"/>
        <v>0</v>
      </c>
      <c r="BO362" s="136">
        <f>BO189-EG189</f>
        <v>0</v>
      </c>
      <c r="BU362" s="136">
        <f t="shared" si="80"/>
        <v>0</v>
      </c>
      <c r="BV362" s="136">
        <f t="shared" si="80"/>
        <v>0</v>
      </c>
      <c r="BW362" s="136">
        <f t="shared" si="80"/>
        <v>0</v>
      </c>
      <c r="BX362" s="136">
        <f t="shared" si="80"/>
        <v>0</v>
      </c>
      <c r="BZ362" s="136">
        <f t="shared" si="81"/>
        <v>0</v>
      </c>
      <c r="CA362" s="136">
        <f t="shared" si="81"/>
        <v>0</v>
      </c>
    </row>
    <row r="363" spans="12:79" hidden="1" x14ac:dyDescent="0.3">
      <c r="L363" s="136">
        <f t="shared" si="85"/>
        <v>0</v>
      </c>
      <c r="M363" s="136">
        <f t="shared" si="85"/>
        <v>0</v>
      </c>
      <c r="N363" s="136">
        <f t="shared" si="85"/>
        <v>0</v>
      </c>
      <c r="O363" s="136">
        <f t="shared" si="85"/>
        <v>0</v>
      </c>
      <c r="P363" s="136">
        <f t="shared" si="85"/>
        <v>0</v>
      </c>
      <c r="Q363" s="136">
        <f t="shared" si="85"/>
        <v>0</v>
      </c>
      <c r="R363" s="136">
        <f t="shared" si="85"/>
        <v>0</v>
      </c>
      <c r="S363" s="136">
        <f t="shared" si="85"/>
        <v>0</v>
      </c>
      <c r="T363" s="136">
        <f t="shared" si="85"/>
        <v>0</v>
      </c>
      <c r="U363" s="136">
        <f t="shared" si="85"/>
        <v>0</v>
      </c>
      <c r="V363" s="136">
        <f t="shared" si="85"/>
        <v>0</v>
      </c>
      <c r="W363" s="136">
        <f t="shared" si="85"/>
        <v>0</v>
      </c>
      <c r="X363" s="136">
        <f t="shared" si="85"/>
        <v>0</v>
      </c>
      <c r="Y363" s="136">
        <f t="shared" si="85"/>
        <v>0</v>
      </c>
      <c r="Z363" s="136">
        <f t="shared" si="85"/>
        <v>0</v>
      </c>
      <c r="AA363" s="136">
        <f t="shared" si="84"/>
        <v>0</v>
      </c>
      <c r="AB363" s="136">
        <f t="shared" si="83"/>
        <v>0</v>
      </c>
      <c r="AC363" s="136">
        <f t="shared" si="83"/>
        <v>0</v>
      </c>
      <c r="AD363" s="136">
        <f t="shared" si="83"/>
        <v>0</v>
      </c>
      <c r="AE363" s="136">
        <f t="shared" si="83"/>
        <v>0</v>
      </c>
      <c r="AF363" s="136">
        <f t="shared" si="83"/>
        <v>0</v>
      </c>
      <c r="AG363" s="136">
        <f t="shared" si="83"/>
        <v>0</v>
      </c>
      <c r="AH363" s="136">
        <f t="shared" si="83"/>
        <v>0</v>
      </c>
      <c r="AI363" s="136">
        <f t="shared" si="83"/>
        <v>0</v>
      </c>
      <c r="AJ363" s="136">
        <f t="shared" si="83"/>
        <v>0</v>
      </c>
      <c r="AK363" s="136">
        <f t="shared" si="83"/>
        <v>0</v>
      </c>
      <c r="AL363" s="136">
        <f t="shared" si="83"/>
        <v>0</v>
      </c>
      <c r="AM363" s="136">
        <f t="shared" si="83"/>
        <v>0</v>
      </c>
      <c r="AN363" s="136">
        <f t="shared" si="83"/>
        <v>0</v>
      </c>
      <c r="AO363" s="136">
        <f t="shared" si="83"/>
        <v>0</v>
      </c>
      <c r="AP363" s="136">
        <f t="shared" si="83"/>
        <v>0</v>
      </c>
      <c r="AQ363" s="136">
        <f t="shared" si="82"/>
        <v>0</v>
      </c>
      <c r="AR363" s="136">
        <f t="shared" si="82"/>
        <v>0</v>
      </c>
      <c r="AS363" s="136">
        <f t="shared" si="82"/>
        <v>0</v>
      </c>
      <c r="AT363" s="136">
        <f t="shared" si="82"/>
        <v>0</v>
      </c>
      <c r="AU363" s="136">
        <f t="shared" si="82"/>
        <v>0</v>
      </c>
      <c r="AV363" s="136">
        <f t="shared" si="82"/>
        <v>0</v>
      </c>
      <c r="AW363" s="136">
        <f t="shared" si="82"/>
        <v>0</v>
      </c>
      <c r="AX363" s="136">
        <f t="shared" si="82"/>
        <v>0</v>
      </c>
      <c r="AY363" s="136">
        <f t="shared" si="82"/>
        <v>0</v>
      </c>
      <c r="AZ363" s="136">
        <f t="shared" si="82"/>
        <v>0</v>
      </c>
      <c r="BA363" s="136">
        <f t="shared" si="82"/>
        <v>0</v>
      </c>
      <c r="BB363" s="136">
        <f t="shared" si="82"/>
        <v>0</v>
      </c>
      <c r="BC363" s="136">
        <f t="shared" si="82"/>
        <v>0</v>
      </c>
      <c r="BD363" s="136">
        <f t="shared" si="82"/>
        <v>0</v>
      </c>
      <c r="BE363" s="136">
        <f t="shared" si="82"/>
        <v>0</v>
      </c>
      <c r="BF363" s="136">
        <f t="shared" si="82"/>
        <v>0</v>
      </c>
      <c r="BG363" s="136">
        <f t="shared" si="86"/>
        <v>0</v>
      </c>
      <c r="BH363" s="136">
        <f t="shared" si="86"/>
        <v>0</v>
      </c>
      <c r="BI363" s="136">
        <f t="shared" si="86"/>
        <v>0</v>
      </c>
      <c r="BJ363" s="136">
        <f t="shared" si="86"/>
        <v>0</v>
      </c>
      <c r="BK363" s="136">
        <f t="shared" si="86"/>
        <v>0</v>
      </c>
      <c r="BL363" s="136">
        <f t="shared" si="86"/>
        <v>0</v>
      </c>
      <c r="BM363" s="136">
        <f t="shared" si="86"/>
        <v>0</v>
      </c>
      <c r="BN363" s="136">
        <f t="shared" si="86"/>
        <v>0</v>
      </c>
      <c r="BO363" s="136">
        <f t="shared" si="86"/>
        <v>0</v>
      </c>
      <c r="BU363" s="136">
        <f t="shared" si="80"/>
        <v>0</v>
      </c>
      <c r="BV363" s="136">
        <f t="shared" si="80"/>
        <v>0</v>
      </c>
      <c r="BW363" s="136">
        <f t="shared" si="80"/>
        <v>0</v>
      </c>
      <c r="BX363" s="136">
        <f t="shared" si="80"/>
        <v>0</v>
      </c>
      <c r="BZ363" s="136">
        <f t="shared" si="81"/>
        <v>0</v>
      </c>
      <c r="CA363" s="136">
        <f t="shared" si="81"/>
        <v>0</v>
      </c>
    </row>
    <row r="364" spans="12:79" hidden="1" x14ac:dyDescent="0.3">
      <c r="L364" s="136">
        <f t="shared" si="85"/>
        <v>0</v>
      </c>
      <c r="M364" s="136">
        <f t="shared" si="85"/>
        <v>0</v>
      </c>
      <c r="N364" s="136">
        <f t="shared" si="85"/>
        <v>0</v>
      </c>
      <c r="O364" s="136">
        <f t="shared" si="85"/>
        <v>0</v>
      </c>
      <c r="P364" s="136">
        <f t="shared" si="85"/>
        <v>0</v>
      </c>
      <c r="Q364" s="136">
        <f t="shared" si="85"/>
        <v>0</v>
      </c>
      <c r="R364" s="136">
        <f t="shared" si="85"/>
        <v>0</v>
      </c>
      <c r="S364" s="136">
        <f t="shared" si="85"/>
        <v>0</v>
      </c>
      <c r="T364" s="136">
        <f t="shared" si="85"/>
        <v>0</v>
      </c>
      <c r="U364" s="136">
        <f t="shared" si="85"/>
        <v>0</v>
      </c>
      <c r="V364" s="136">
        <f t="shared" si="85"/>
        <v>0</v>
      </c>
      <c r="W364" s="136">
        <f t="shared" si="85"/>
        <v>0</v>
      </c>
      <c r="X364" s="136">
        <f t="shared" si="85"/>
        <v>0</v>
      </c>
      <c r="Y364" s="136">
        <f t="shared" si="85"/>
        <v>0</v>
      </c>
      <c r="Z364" s="136">
        <f t="shared" si="85"/>
        <v>0</v>
      </c>
      <c r="AA364" s="136">
        <f t="shared" si="84"/>
        <v>0</v>
      </c>
      <c r="AB364" s="136">
        <f t="shared" si="83"/>
        <v>0</v>
      </c>
      <c r="AC364" s="136">
        <f t="shared" si="83"/>
        <v>0</v>
      </c>
      <c r="AD364" s="136">
        <f t="shared" si="83"/>
        <v>0</v>
      </c>
      <c r="AE364" s="136">
        <f t="shared" si="83"/>
        <v>0</v>
      </c>
      <c r="AF364" s="136">
        <f t="shared" si="83"/>
        <v>0</v>
      </c>
      <c r="AG364" s="136">
        <f t="shared" si="83"/>
        <v>0</v>
      </c>
      <c r="AH364" s="136">
        <f t="shared" si="83"/>
        <v>0</v>
      </c>
      <c r="AI364" s="136">
        <f t="shared" si="83"/>
        <v>0</v>
      </c>
      <c r="AJ364" s="136">
        <f t="shared" si="83"/>
        <v>0</v>
      </c>
      <c r="AK364" s="136">
        <f t="shared" si="83"/>
        <v>0</v>
      </c>
      <c r="AL364" s="136">
        <f t="shared" si="83"/>
        <v>0</v>
      </c>
      <c r="AM364" s="136">
        <f t="shared" si="83"/>
        <v>0</v>
      </c>
      <c r="AN364" s="136">
        <f t="shared" si="83"/>
        <v>0</v>
      </c>
      <c r="AO364" s="136">
        <f t="shared" si="83"/>
        <v>0</v>
      </c>
      <c r="AP364" s="136">
        <f t="shared" si="83"/>
        <v>0</v>
      </c>
      <c r="AQ364" s="136">
        <f t="shared" si="82"/>
        <v>0</v>
      </c>
      <c r="AR364" s="136">
        <f t="shared" si="82"/>
        <v>0</v>
      </c>
      <c r="AS364" s="136">
        <f t="shared" si="82"/>
        <v>0</v>
      </c>
      <c r="AT364" s="136">
        <f t="shared" si="82"/>
        <v>0</v>
      </c>
      <c r="AU364" s="136">
        <f t="shared" si="82"/>
        <v>0</v>
      </c>
      <c r="AV364" s="136">
        <f t="shared" si="82"/>
        <v>0</v>
      </c>
      <c r="AW364" s="136">
        <f t="shared" si="82"/>
        <v>0</v>
      </c>
      <c r="AX364" s="136">
        <f t="shared" si="82"/>
        <v>0</v>
      </c>
      <c r="AY364" s="136">
        <f t="shared" si="82"/>
        <v>0</v>
      </c>
      <c r="AZ364" s="136">
        <f t="shared" si="82"/>
        <v>0</v>
      </c>
      <c r="BA364" s="136">
        <f t="shared" si="82"/>
        <v>0</v>
      </c>
      <c r="BB364" s="136">
        <f t="shared" si="82"/>
        <v>0</v>
      </c>
      <c r="BC364" s="136">
        <f t="shared" si="82"/>
        <v>0</v>
      </c>
      <c r="BD364" s="136">
        <f t="shared" si="82"/>
        <v>0</v>
      </c>
      <c r="BE364" s="136">
        <f t="shared" si="82"/>
        <v>0</v>
      </c>
      <c r="BF364" s="136">
        <f t="shared" si="82"/>
        <v>0</v>
      </c>
      <c r="BG364" s="136">
        <f t="shared" si="86"/>
        <v>0</v>
      </c>
      <c r="BH364" s="136">
        <f t="shared" si="86"/>
        <v>0</v>
      </c>
      <c r="BI364" s="136">
        <f t="shared" si="86"/>
        <v>0</v>
      </c>
      <c r="BJ364" s="136">
        <f t="shared" si="86"/>
        <v>0</v>
      </c>
      <c r="BK364" s="136">
        <f t="shared" si="86"/>
        <v>0</v>
      </c>
      <c r="BL364" s="136">
        <f t="shared" si="86"/>
        <v>0</v>
      </c>
      <c r="BM364" s="136">
        <f t="shared" si="86"/>
        <v>0</v>
      </c>
      <c r="BN364" s="136">
        <f t="shared" si="86"/>
        <v>0</v>
      </c>
      <c r="BO364" s="136">
        <f t="shared" si="86"/>
        <v>0</v>
      </c>
      <c r="BU364" s="136">
        <f t="shared" si="80"/>
        <v>0</v>
      </c>
      <c r="BV364" s="136">
        <f t="shared" si="80"/>
        <v>0</v>
      </c>
      <c r="BW364" s="136">
        <f t="shared" si="80"/>
        <v>0</v>
      </c>
      <c r="BX364" s="136">
        <f t="shared" si="80"/>
        <v>0</v>
      </c>
      <c r="BZ364" s="136">
        <f t="shared" si="81"/>
        <v>0</v>
      </c>
      <c r="CA364" s="136">
        <f t="shared" si="81"/>
        <v>0</v>
      </c>
    </row>
    <row r="365" spans="12:79" hidden="1" x14ac:dyDescent="0.3">
      <c r="L365" s="136">
        <f t="shared" si="85"/>
        <v>0</v>
      </c>
      <c r="M365" s="136">
        <f t="shared" si="85"/>
        <v>0</v>
      </c>
      <c r="N365" s="136">
        <f t="shared" si="85"/>
        <v>0</v>
      </c>
      <c r="O365" s="136">
        <f t="shared" si="85"/>
        <v>0</v>
      </c>
      <c r="P365" s="136">
        <f t="shared" si="85"/>
        <v>0</v>
      </c>
      <c r="Q365" s="136">
        <f t="shared" si="85"/>
        <v>0</v>
      </c>
      <c r="R365" s="136">
        <f t="shared" si="85"/>
        <v>0</v>
      </c>
      <c r="S365" s="136">
        <f t="shared" si="85"/>
        <v>0</v>
      </c>
      <c r="T365" s="136">
        <f t="shared" si="85"/>
        <v>0</v>
      </c>
      <c r="U365" s="136">
        <f t="shared" si="85"/>
        <v>0</v>
      </c>
      <c r="V365" s="136">
        <f t="shared" si="85"/>
        <v>0</v>
      </c>
      <c r="W365" s="136">
        <f t="shared" si="85"/>
        <v>0</v>
      </c>
      <c r="X365" s="136">
        <f t="shared" si="85"/>
        <v>0</v>
      </c>
      <c r="Y365" s="136">
        <f t="shared" si="85"/>
        <v>0</v>
      </c>
      <c r="Z365" s="136">
        <f t="shared" si="85"/>
        <v>0</v>
      </c>
      <c r="AA365" s="136">
        <f t="shared" si="84"/>
        <v>0</v>
      </c>
      <c r="AB365" s="136">
        <f t="shared" si="83"/>
        <v>0</v>
      </c>
      <c r="AC365" s="136">
        <f t="shared" si="83"/>
        <v>0</v>
      </c>
      <c r="AD365" s="136">
        <f t="shared" si="83"/>
        <v>0</v>
      </c>
      <c r="AE365" s="136">
        <f t="shared" si="83"/>
        <v>0</v>
      </c>
      <c r="AF365" s="136">
        <f t="shared" si="83"/>
        <v>0</v>
      </c>
      <c r="AG365" s="136">
        <f t="shared" si="83"/>
        <v>0</v>
      </c>
      <c r="AH365" s="136">
        <f t="shared" si="83"/>
        <v>0</v>
      </c>
      <c r="AI365" s="136">
        <f t="shared" si="83"/>
        <v>0</v>
      </c>
      <c r="AJ365" s="136">
        <f t="shared" si="83"/>
        <v>0</v>
      </c>
      <c r="AK365" s="136">
        <f t="shared" si="83"/>
        <v>0</v>
      </c>
      <c r="AL365" s="136">
        <f t="shared" si="83"/>
        <v>0</v>
      </c>
      <c r="AM365" s="136">
        <f t="shared" si="83"/>
        <v>0</v>
      </c>
      <c r="AN365" s="136">
        <f t="shared" si="83"/>
        <v>0</v>
      </c>
      <c r="AO365" s="136">
        <f t="shared" si="83"/>
        <v>0</v>
      </c>
      <c r="AP365" s="136">
        <f t="shared" si="83"/>
        <v>0</v>
      </c>
      <c r="AQ365" s="136">
        <f t="shared" si="82"/>
        <v>0</v>
      </c>
      <c r="AR365" s="136">
        <f t="shared" si="82"/>
        <v>0</v>
      </c>
      <c r="AS365" s="136">
        <f t="shared" si="82"/>
        <v>0</v>
      </c>
      <c r="AT365" s="136">
        <f t="shared" si="82"/>
        <v>0</v>
      </c>
      <c r="AU365" s="136">
        <f t="shared" si="82"/>
        <v>0</v>
      </c>
      <c r="AV365" s="136">
        <f t="shared" si="82"/>
        <v>0</v>
      </c>
      <c r="AW365" s="136">
        <f t="shared" si="82"/>
        <v>0</v>
      </c>
      <c r="AX365" s="136">
        <f t="shared" si="82"/>
        <v>0</v>
      </c>
      <c r="AY365" s="136">
        <f t="shared" si="82"/>
        <v>0</v>
      </c>
      <c r="AZ365" s="136">
        <f t="shared" si="82"/>
        <v>0</v>
      </c>
      <c r="BA365" s="136">
        <f t="shared" si="82"/>
        <v>0</v>
      </c>
      <c r="BB365" s="136">
        <f t="shared" si="82"/>
        <v>0</v>
      </c>
      <c r="BC365" s="136">
        <f t="shared" si="82"/>
        <v>0</v>
      </c>
      <c r="BD365" s="136">
        <f t="shared" si="82"/>
        <v>0</v>
      </c>
      <c r="BE365" s="136">
        <f t="shared" si="82"/>
        <v>0</v>
      </c>
      <c r="BF365" s="136">
        <f t="shared" si="82"/>
        <v>0</v>
      </c>
      <c r="BG365" s="136">
        <f t="shared" si="86"/>
        <v>0</v>
      </c>
      <c r="BH365" s="136">
        <f t="shared" si="86"/>
        <v>0</v>
      </c>
      <c r="BI365" s="136">
        <f t="shared" si="86"/>
        <v>0</v>
      </c>
      <c r="BJ365" s="136">
        <f t="shared" si="86"/>
        <v>0</v>
      </c>
      <c r="BK365" s="136">
        <f t="shared" si="86"/>
        <v>0</v>
      </c>
      <c r="BL365" s="136">
        <f t="shared" si="86"/>
        <v>0</v>
      </c>
      <c r="BM365" s="136">
        <f t="shared" si="86"/>
        <v>0</v>
      </c>
      <c r="BN365" s="136">
        <f t="shared" si="86"/>
        <v>0</v>
      </c>
      <c r="BO365" s="136">
        <f t="shared" si="86"/>
        <v>0</v>
      </c>
      <c r="BU365" s="136">
        <f t="shared" ref="BU365:BX366" si="87">BU200-EM200</f>
        <v>0</v>
      </c>
      <c r="BV365" s="136">
        <f t="shared" si="87"/>
        <v>0</v>
      </c>
      <c r="BW365" s="136">
        <f t="shared" si="87"/>
        <v>0</v>
      </c>
      <c r="BX365" s="136">
        <f t="shared" si="87"/>
        <v>0</v>
      </c>
      <c r="BZ365" s="136">
        <f t="shared" ref="BZ365:CA366" si="88">BZ200-ER200</f>
        <v>0</v>
      </c>
      <c r="CA365" s="136">
        <f t="shared" si="88"/>
        <v>0</v>
      </c>
    </row>
    <row r="366" spans="12:79" hidden="1" x14ac:dyDescent="0.3">
      <c r="L366" s="136">
        <f t="shared" si="85"/>
        <v>0</v>
      </c>
      <c r="M366" s="136">
        <f t="shared" si="85"/>
        <v>0</v>
      </c>
      <c r="N366" s="136">
        <f t="shared" si="85"/>
        <v>0</v>
      </c>
      <c r="O366" s="136">
        <f t="shared" si="85"/>
        <v>0</v>
      </c>
      <c r="P366" s="136">
        <f t="shared" si="85"/>
        <v>0</v>
      </c>
      <c r="Q366" s="136">
        <f t="shared" si="85"/>
        <v>0</v>
      </c>
      <c r="R366" s="136">
        <f t="shared" si="85"/>
        <v>0</v>
      </c>
      <c r="S366" s="136">
        <f t="shared" si="85"/>
        <v>0</v>
      </c>
      <c r="T366" s="136">
        <f t="shared" si="85"/>
        <v>0</v>
      </c>
      <c r="U366" s="136">
        <f t="shared" si="85"/>
        <v>0</v>
      </c>
      <c r="V366" s="136">
        <f t="shared" si="85"/>
        <v>0</v>
      </c>
      <c r="W366" s="136">
        <f t="shared" si="85"/>
        <v>0</v>
      </c>
      <c r="X366" s="136">
        <f t="shared" si="85"/>
        <v>0</v>
      </c>
      <c r="Y366" s="136">
        <f t="shared" si="85"/>
        <v>0</v>
      </c>
      <c r="Z366" s="136">
        <f t="shared" si="85"/>
        <v>0</v>
      </c>
      <c r="AA366" s="136">
        <f t="shared" si="84"/>
        <v>0</v>
      </c>
      <c r="AB366" s="136">
        <f t="shared" si="83"/>
        <v>0</v>
      </c>
      <c r="AC366" s="136">
        <f t="shared" si="83"/>
        <v>0</v>
      </c>
      <c r="AD366" s="136">
        <f t="shared" si="83"/>
        <v>0</v>
      </c>
      <c r="AE366" s="136">
        <f t="shared" si="83"/>
        <v>0</v>
      </c>
      <c r="AF366" s="136">
        <f t="shared" si="83"/>
        <v>0</v>
      </c>
      <c r="AG366" s="136">
        <f t="shared" si="83"/>
        <v>0</v>
      </c>
      <c r="AH366" s="136">
        <f t="shared" si="83"/>
        <v>0</v>
      </c>
      <c r="AI366" s="136">
        <f t="shared" si="83"/>
        <v>0</v>
      </c>
      <c r="AJ366" s="136">
        <f t="shared" si="83"/>
        <v>0</v>
      </c>
      <c r="AK366" s="136">
        <f t="shared" si="83"/>
        <v>0</v>
      </c>
      <c r="AL366" s="136">
        <f t="shared" si="83"/>
        <v>0</v>
      </c>
      <c r="AM366" s="136">
        <f t="shared" si="83"/>
        <v>0</v>
      </c>
      <c r="AN366" s="136">
        <f t="shared" si="83"/>
        <v>0</v>
      </c>
      <c r="AO366" s="136">
        <f t="shared" si="83"/>
        <v>0</v>
      </c>
      <c r="AP366" s="136">
        <f t="shared" si="83"/>
        <v>0</v>
      </c>
      <c r="AQ366" s="136">
        <f t="shared" si="82"/>
        <v>0</v>
      </c>
      <c r="AR366" s="136">
        <f t="shared" si="82"/>
        <v>0</v>
      </c>
      <c r="AS366" s="136">
        <f t="shared" si="82"/>
        <v>0</v>
      </c>
      <c r="AT366" s="136">
        <f t="shared" si="82"/>
        <v>0</v>
      </c>
      <c r="AU366" s="136">
        <f t="shared" si="82"/>
        <v>0</v>
      </c>
      <c r="AV366" s="136">
        <f t="shared" si="82"/>
        <v>0</v>
      </c>
      <c r="AW366" s="136">
        <f t="shared" si="82"/>
        <v>0</v>
      </c>
      <c r="AX366" s="136">
        <f t="shared" si="82"/>
        <v>0</v>
      </c>
      <c r="AY366" s="136">
        <f t="shared" si="82"/>
        <v>0</v>
      </c>
      <c r="AZ366" s="136">
        <f t="shared" si="82"/>
        <v>0</v>
      </c>
      <c r="BA366" s="136">
        <f t="shared" si="82"/>
        <v>0</v>
      </c>
      <c r="BB366" s="136">
        <f t="shared" si="82"/>
        <v>0</v>
      </c>
      <c r="BC366" s="136">
        <f t="shared" si="82"/>
        <v>0</v>
      </c>
      <c r="BD366" s="136">
        <f t="shared" si="82"/>
        <v>0</v>
      </c>
      <c r="BE366" s="136">
        <f t="shared" si="82"/>
        <v>0</v>
      </c>
      <c r="BF366" s="136">
        <f t="shared" si="82"/>
        <v>0</v>
      </c>
      <c r="BG366" s="136">
        <f t="shared" si="86"/>
        <v>0</v>
      </c>
      <c r="BH366" s="136">
        <f t="shared" si="86"/>
        <v>0</v>
      </c>
      <c r="BI366" s="136">
        <f t="shared" si="86"/>
        <v>0</v>
      </c>
      <c r="BJ366" s="136">
        <f t="shared" si="86"/>
        <v>0</v>
      </c>
      <c r="BK366" s="136">
        <f t="shared" si="86"/>
        <v>0</v>
      </c>
      <c r="BL366" s="136">
        <f t="shared" si="86"/>
        <v>0</v>
      </c>
      <c r="BM366" s="136">
        <f t="shared" si="86"/>
        <v>0</v>
      </c>
      <c r="BN366" s="136">
        <f t="shared" si="86"/>
        <v>0</v>
      </c>
      <c r="BO366" s="136">
        <f t="shared" si="86"/>
        <v>0</v>
      </c>
      <c r="BU366" s="136">
        <f t="shared" si="87"/>
        <v>0</v>
      </c>
      <c r="BV366" s="136">
        <f t="shared" si="87"/>
        <v>0</v>
      </c>
      <c r="BW366" s="136">
        <f t="shared" si="87"/>
        <v>0</v>
      </c>
      <c r="BX366" s="136">
        <f t="shared" si="87"/>
        <v>0</v>
      </c>
      <c r="BZ366" s="136">
        <f t="shared" si="88"/>
        <v>0</v>
      </c>
      <c r="CA366" s="136">
        <f t="shared" si="88"/>
        <v>0</v>
      </c>
    </row>
    <row r="367" spans="12:79" hidden="1" x14ac:dyDescent="0.3">
      <c r="L367" s="136">
        <f t="shared" si="85"/>
        <v>0</v>
      </c>
      <c r="M367" s="136">
        <f t="shared" si="85"/>
        <v>0</v>
      </c>
      <c r="N367" s="136">
        <f t="shared" si="85"/>
        <v>0</v>
      </c>
      <c r="O367" s="136">
        <f t="shared" si="85"/>
        <v>0</v>
      </c>
      <c r="P367" s="136">
        <f t="shared" si="85"/>
        <v>0</v>
      </c>
      <c r="Q367" s="136">
        <f t="shared" si="85"/>
        <v>0</v>
      </c>
      <c r="R367" s="136">
        <f t="shared" si="85"/>
        <v>0</v>
      </c>
      <c r="S367" s="136">
        <f t="shared" si="85"/>
        <v>0</v>
      </c>
      <c r="T367" s="136">
        <f t="shared" si="85"/>
        <v>0</v>
      </c>
      <c r="U367" s="136">
        <f t="shared" si="85"/>
        <v>0</v>
      </c>
      <c r="V367" s="136">
        <f t="shared" si="85"/>
        <v>0</v>
      </c>
      <c r="W367" s="136">
        <f t="shared" si="85"/>
        <v>0</v>
      </c>
      <c r="X367" s="136">
        <f t="shared" si="85"/>
        <v>0</v>
      </c>
      <c r="Y367" s="136">
        <f t="shared" si="85"/>
        <v>0</v>
      </c>
      <c r="Z367" s="136">
        <f t="shared" si="85"/>
        <v>0</v>
      </c>
      <c r="AA367" s="136">
        <f t="shared" si="84"/>
        <v>0</v>
      </c>
      <c r="AB367" s="136">
        <f t="shared" si="83"/>
        <v>0</v>
      </c>
      <c r="AC367" s="136">
        <f t="shared" si="83"/>
        <v>0</v>
      </c>
      <c r="AD367" s="136">
        <f t="shared" si="83"/>
        <v>0</v>
      </c>
      <c r="AE367" s="136">
        <f t="shared" si="83"/>
        <v>0</v>
      </c>
      <c r="AF367" s="136">
        <f t="shared" si="83"/>
        <v>0</v>
      </c>
      <c r="AG367" s="136">
        <f t="shared" si="83"/>
        <v>0</v>
      </c>
      <c r="AH367" s="136">
        <f t="shared" si="83"/>
        <v>0</v>
      </c>
      <c r="AI367" s="136">
        <f t="shared" si="83"/>
        <v>0</v>
      </c>
      <c r="AJ367" s="136">
        <f t="shared" si="83"/>
        <v>0</v>
      </c>
      <c r="AK367" s="136">
        <f t="shared" si="83"/>
        <v>0</v>
      </c>
      <c r="AL367" s="136">
        <f t="shared" si="83"/>
        <v>0</v>
      </c>
      <c r="AM367" s="136">
        <f t="shared" si="83"/>
        <v>0</v>
      </c>
      <c r="AN367" s="136">
        <f t="shared" si="83"/>
        <v>0</v>
      </c>
      <c r="AO367" s="136">
        <f t="shared" si="83"/>
        <v>0</v>
      </c>
      <c r="AP367" s="136">
        <f t="shared" si="83"/>
        <v>0</v>
      </c>
      <c r="AQ367" s="136">
        <f t="shared" si="82"/>
        <v>0</v>
      </c>
      <c r="AR367" s="136">
        <f t="shared" si="82"/>
        <v>0</v>
      </c>
      <c r="AS367" s="136">
        <f t="shared" si="82"/>
        <v>0</v>
      </c>
      <c r="AT367" s="136">
        <f t="shared" si="82"/>
        <v>0</v>
      </c>
      <c r="AU367" s="136">
        <f t="shared" si="82"/>
        <v>0</v>
      </c>
      <c r="AV367" s="136">
        <f t="shared" si="82"/>
        <v>0</v>
      </c>
      <c r="AW367" s="136">
        <f t="shared" si="82"/>
        <v>0</v>
      </c>
      <c r="AX367" s="136">
        <f t="shared" si="82"/>
        <v>0</v>
      </c>
      <c r="AY367" s="136">
        <f t="shared" si="82"/>
        <v>0</v>
      </c>
      <c r="AZ367" s="136">
        <f t="shared" si="82"/>
        <v>0</v>
      </c>
      <c r="BA367" s="136">
        <f t="shared" si="82"/>
        <v>0</v>
      </c>
      <c r="BB367" s="136">
        <f t="shared" si="82"/>
        <v>0</v>
      </c>
      <c r="BC367" s="136">
        <f t="shared" si="82"/>
        <v>0</v>
      </c>
      <c r="BD367" s="136">
        <f t="shared" si="82"/>
        <v>0</v>
      </c>
      <c r="BE367" s="136">
        <f t="shared" si="82"/>
        <v>0</v>
      </c>
      <c r="BF367" s="136">
        <f t="shared" si="82"/>
        <v>0</v>
      </c>
      <c r="BG367" s="136">
        <f t="shared" si="86"/>
        <v>0</v>
      </c>
      <c r="BH367" s="136">
        <f t="shared" si="86"/>
        <v>0</v>
      </c>
      <c r="BI367" s="136">
        <f t="shared" si="86"/>
        <v>0</v>
      </c>
      <c r="BJ367" s="136">
        <f t="shared" si="86"/>
        <v>0</v>
      </c>
      <c r="BK367" s="136">
        <f t="shared" si="86"/>
        <v>0</v>
      </c>
      <c r="BL367" s="136">
        <f t="shared" si="86"/>
        <v>0</v>
      </c>
      <c r="BM367" s="136">
        <f t="shared" si="86"/>
        <v>0</v>
      </c>
      <c r="BN367" s="136">
        <f t="shared" si="86"/>
        <v>0</v>
      </c>
      <c r="BO367" s="136">
        <f t="shared" si="86"/>
        <v>0</v>
      </c>
    </row>
    <row r="368" spans="12:79" hidden="1" x14ac:dyDescent="0.3">
      <c r="L368" s="136">
        <f t="shared" si="85"/>
        <v>0</v>
      </c>
      <c r="M368" s="136">
        <f t="shared" si="85"/>
        <v>0</v>
      </c>
      <c r="N368" s="136">
        <f t="shared" si="85"/>
        <v>0</v>
      </c>
      <c r="O368" s="136">
        <f t="shared" si="85"/>
        <v>0</v>
      </c>
      <c r="P368" s="136">
        <f t="shared" si="85"/>
        <v>0</v>
      </c>
      <c r="Q368" s="136">
        <f t="shared" si="85"/>
        <v>0</v>
      </c>
      <c r="R368" s="136">
        <f t="shared" si="85"/>
        <v>0</v>
      </c>
      <c r="S368" s="136">
        <f t="shared" si="85"/>
        <v>0</v>
      </c>
      <c r="T368" s="136">
        <f t="shared" si="85"/>
        <v>0</v>
      </c>
      <c r="U368" s="136">
        <f t="shared" si="85"/>
        <v>0</v>
      </c>
      <c r="V368" s="136">
        <f t="shared" si="85"/>
        <v>0</v>
      </c>
      <c r="W368" s="136">
        <f t="shared" si="85"/>
        <v>0</v>
      </c>
      <c r="X368" s="136">
        <f t="shared" si="85"/>
        <v>0</v>
      </c>
      <c r="Y368" s="136">
        <f t="shared" si="85"/>
        <v>0</v>
      </c>
      <c r="Z368" s="136">
        <f t="shared" si="85"/>
        <v>0</v>
      </c>
      <c r="AA368" s="136">
        <f t="shared" si="84"/>
        <v>0</v>
      </c>
      <c r="AB368" s="136">
        <f t="shared" si="83"/>
        <v>0</v>
      </c>
      <c r="AC368" s="136">
        <f t="shared" si="83"/>
        <v>0</v>
      </c>
      <c r="AD368" s="136">
        <f t="shared" si="83"/>
        <v>0</v>
      </c>
      <c r="AE368" s="136">
        <f t="shared" si="83"/>
        <v>0</v>
      </c>
      <c r="AF368" s="136">
        <f t="shared" si="83"/>
        <v>0</v>
      </c>
      <c r="AG368" s="136">
        <f t="shared" si="83"/>
        <v>0</v>
      </c>
      <c r="AH368" s="136">
        <f t="shared" si="83"/>
        <v>0</v>
      </c>
      <c r="AI368" s="136">
        <f t="shared" si="83"/>
        <v>0</v>
      </c>
      <c r="AJ368" s="136">
        <f t="shared" si="83"/>
        <v>0</v>
      </c>
      <c r="AK368" s="136">
        <f t="shared" si="83"/>
        <v>0</v>
      </c>
      <c r="AL368" s="136">
        <f t="shared" si="83"/>
        <v>0</v>
      </c>
      <c r="AM368" s="136">
        <f t="shared" si="83"/>
        <v>0</v>
      </c>
      <c r="AN368" s="136">
        <f t="shared" si="83"/>
        <v>0</v>
      </c>
      <c r="AO368" s="136">
        <f t="shared" si="83"/>
        <v>0</v>
      </c>
      <c r="AP368" s="136">
        <f t="shared" si="83"/>
        <v>0</v>
      </c>
      <c r="AQ368" s="136">
        <f t="shared" si="83"/>
        <v>0</v>
      </c>
      <c r="AR368" s="136">
        <f t="shared" ref="AR368:BF371" si="89">AR195-DJ195</f>
        <v>0</v>
      </c>
      <c r="AS368" s="136">
        <f t="shared" si="89"/>
        <v>0</v>
      </c>
      <c r="AT368" s="136">
        <f t="shared" si="89"/>
        <v>0</v>
      </c>
      <c r="AU368" s="136">
        <f t="shared" si="89"/>
        <v>0</v>
      </c>
      <c r="AV368" s="136">
        <f t="shared" si="89"/>
        <v>0</v>
      </c>
      <c r="AW368" s="136">
        <f t="shared" si="89"/>
        <v>0</v>
      </c>
      <c r="AX368" s="136">
        <f t="shared" si="89"/>
        <v>0</v>
      </c>
      <c r="AY368" s="136">
        <f t="shared" si="89"/>
        <v>0</v>
      </c>
      <c r="AZ368" s="136">
        <f t="shared" si="89"/>
        <v>0</v>
      </c>
      <c r="BA368" s="136">
        <f t="shared" si="89"/>
        <v>0</v>
      </c>
      <c r="BB368" s="136">
        <f t="shared" si="89"/>
        <v>0</v>
      </c>
      <c r="BC368" s="136">
        <f t="shared" si="89"/>
        <v>0</v>
      </c>
      <c r="BD368" s="136">
        <f t="shared" si="89"/>
        <v>0</v>
      </c>
      <c r="BE368" s="136">
        <f t="shared" si="89"/>
        <v>0</v>
      </c>
      <c r="BF368" s="136">
        <f t="shared" si="89"/>
        <v>0</v>
      </c>
      <c r="BG368" s="136">
        <f t="shared" si="86"/>
        <v>0</v>
      </c>
      <c r="BH368" s="136">
        <f t="shared" si="86"/>
        <v>0</v>
      </c>
      <c r="BI368" s="136">
        <f t="shared" si="86"/>
        <v>0</v>
      </c>
      <c r="BJ368" s="136">
        <f t="shared" si="86"/>
        <v>0</v>
      </c>
      <c r="BK368" s="136">
        <f t="shared" si="86"/>
        <v>0</v>
      </c>
      <c r="BL368" s="136">
        <f t="shared" si="86"/>
        <v>0</v>
      </c>
      <c r="BM368" s="136">
        <f t="shared" si="86"/>
        <v>0</v>
      </c>
      <c r="BN368" s="136">
        <f t="shared" si="86"/>
        <v>0</v>
      </c>
      <c r="BO368" s="136">
        <f t="shared" si="86"/>
        <v>0</v>
      </c>
    </row>
    <row r="369" spans="12:67" hidden="1" x14ac:dyDescent="0.3">
      <c r="L369" s="136">
        <f t="shared" si="85"/>
        <v>0</v>
      </c>
      <c r="M369" s="136">
        <f t="shared" si="85"/>
        <v>0</v>
      </c>
      <c r="N369" s="136">
        <f t="shared" si="85"/>
        <v>0</v>
      </c>
      <c r="O369" s="136">
        <f t="shared" si="85"/>
        <v>0</v>
      </c>
      <c r="P369" s="136">
        <f t="shared" si="85"/>
        <v>0</v>
      </c>
      <c r="Q369" s="136">
        <f t="shared" si="85"/>
        <v>0</v>
      </c>
      <c r="R369" s="136">
        <f t="shared" si="85"/>
        <v>0</v>
      </c>
      <c r="S369" s="136">
        <f t="shared" si="85"/>
        <v>0</v>
      </c>
      <c r="T369" s="136">
        <f t="shared" si="85"/>
        <v>0</v>
      </c>
      <c r="U369" s="136">
        <f t="shared" si="85"/>
        <v>0</v>
      </c>
      <c r="V369" s="136">
        <f t="shared" si="85"/>
        <v>0</v>
      </c>
      <c r="W369" s="136">
        <f t="shared" si="85"/>
        <v>0</v>
      </c>
      <c r="X369" s="136">
        <f t="shared" si="85"/>
        <v>0</v>
      </c>
      <c r="Y369" s="136">
        <f t="shared" si="85"/>
        <v>0</v>
      </c>
      <c r="Z369" s="136">
        <f t="shared" si="85"/>
        <v>0</v>
      </c>
      <c r="AA369" s="136">
        <f t="shared" si="84"/>
        <v>0</v>
      </c>
      <c r="AB369" s="136">
        <f t="shared" si="84"/>
        <v>0</v>
      </c>
      <c r="AC369" s="136">
        <f t="shared" si="84"/>
        <v>0</v>
      </c>
      <c r="AD369" s="136">
        <f t="shared" si="84"/>
        <v>0</v>
      </c>
      <c r="AE369" s="136">
        <f t="shared" si="84"/>
        <v>0</v>
      </c>
      <c r="AF369" s="136">
        <f t="shared" si="84"/>
        <v>0</v>
      </c>
      <c r="AG369" s="136">
        <f t="shared" si="84"/>
        <v>0</v>
      </c>
      <c r="AH369" s="136">
        <f t="shared" si="84"/>
        <v>0</v>
      </c>
      <c r="AI369" s="136">
        <f t="shared" si="84"/>
        <v>0</v>
      </c>
      <c r="AJ369" s="136">
        <f t="shared" si="84"/>
        <v>0</v>
      </c>
      <c r="AK369" s="136">
        <f t="shared" si="84"/>
        <v>0</v>
      </c>
      <c r="AL369" s="136">
        <f t="shared" si="84"/>
        <v>0</v>
      </c>
      <c r="AM369" s="136">
        <f t="shared" si="84"/>
        <v>0</v>
      </c>
      <c r="AN369" s="136">
        <f t="shared" si="84"/>
        <v>0</v>
      </c>
      <c r="AO369" s="136">
        <f t="shared" si="84"/>
        <v>0</v>
      </c>
      <c r="AP369" s="136">
        <f t="shared" si="84"/>
        <v>0</v>
      </c>
      <c r="AQ369" s="136">
        <f t="shared" ref="AQ369:AQ371" si="90">AQ196-DI196</f>
        <v>0</v>
      </c>
      <c r="AR369" s="136">
        <f t="shared" si="89"/>
        <v>0</v>
      </c>
      <c r="AS369" s="136">
        <f t="shared" si="89"/>
        <v>0</v>
      </c>
      <c r="AT369" s="136">
        <f t="shared" si="89"/>
        <v>0</v>
      </c>
      <c r="AU369" s="136">
        <f t="shared" si="89"/>
        <v>0</v>
      </c>
      <c r="AV369" s="136">
        <f t="shared" si="89"/>
        <v>0</v>
      </c>
      <c r="AW369" s="136">
        <f t="shared" si="89"/>
        <v>0</v>
      </c>
      <c r="AX369" s="136">
        <f t="shared" si="89"/>
        <v>0</v>
      </c>
      <c r="AY369" s="136">
        <f t="shared" si="89"/>
        <v>0</v>
      </c>
      <c r="AZ369" s="136">
        <f t="shared" si="89"/>
        <v>0</v>
      </c>
      <c r="BA369" s="136">
        <f t="shared" si="89"/>
        <v>0</v>
      </c>
      <c r="BB369" s="136">
        <f t="shared" si="89"/>
        <v>0</v>
      </c>
      <c r="BC369" s="136">
        <f t="shared" si="89"/>
        <v>0</v>
      </c>
      <c r="BD369" s="136">
        <f t="shared" si="89"/>
        <v>0</v>
      </c>
      <c r="BE369" s="136">
        <f t="shared" si="89"/>
        <v>0</v>
      </c>
      <c r="BF369" s="136">
        <f t="shared" si="89"/>
        <v>0</v>
      </c>
      <c r="BG369" s="136">
        <f t="shared" si="86"/>
        <v>0</v>
      </c>
      <c r="BH369" s="136">
        <f t="shared" si="86"/>
        <v>0</v>
      </c>
      <c r="BI369" s="136">
        <f t="shared" si="86"/>
        <v>0</v>
      </c>
      <c r="BJ369" s="136">
        <f t="shared" si="86"/>
        <v>0</v>
      </c>
      <c r="BK369" s="136">
        <f t="shared" si="86"/>
        <v>0</v>
      </c>
      <c r="BL369" s="136">
        <f t="shared" si="86"/>
        <v>0</v>
      </c>
      <c r="BM369" s="136">
        <f t="shared" si="86"/>
        <v>0</v>
      </c>
      <c r="BN369" s="136">
        <f t="shared" si="86"/>
        <v>0</v>
      </c>
      <c r="BO369" s="136">
        <f t="shared" si="86"/>
        <v>0</v>
      </c>
    </row>
    <row r="370" spans="12:67" hidden="1" x14ac:dyDescent="0.3">
      <c r="L370" s="136">
        <f t="shared" si="85"/>
        <v>0</v>
      </c>
      <c r="M370" s="136">
        <f t="shared" si="85"/>
        <v>0</v>
      </c>
      <c r="N370" s="136">
        <f t="shared" si="85"/>
        <v>0</v>
      </c>
      <c r="O370" s="136">
        <f t="shared" si="85"/>
        <v>0</v>
      </c>
      <c r="P370" s="136">
        <f t="shared" si="85"/>
        <v>0</v>
      </c>
      <c r="Q370" s="136">
        <f t="shared" si="85"/>
        <v>0</v>
      </c>
      <c r="R370" s="136">
        <f t="shared" si="85"/>
        <v>0</v>
      </c>
      <c r="S370" s="136">
        <f t="shared" si="85"/>
        <v>0</v>
      </c>
      <c r="T370" s="136">
        <f t="shared" si="85"/>
        <v>0</v>
      </c>
      <c r="U370" s="136">
        <f t="shared" si="85"/>
        <v>0</v>
      </c>
      <c r="V370" s="136">
        <f t="shared" si="85"/>
        <v>0</v>
      </c>
      <c r="W370" s="136">
        <f t="shared" si="85"/>
        <v>0</v>
      </c>
      <c r="X370" s="136">
        <f t="shared" si="85"/>
        <v>0</v>
      </c>
      <c r="Y370" s="136">
        <f t="shared" si="85"/>
        <v>0</v>
      </c>
      <c r="Z370" s="136">
        <f t="shared" si="85"/>
        <v>0</v>
      </c>
      <c r="AA370" s="136">
        <f t="shared" si="85"/>
        <v>0</v>
      </c>
      <c r="AB370" s="136">
        <f t="shared" ref="AB370:AP371" si="91">AB197-CT197</f>
        <v>0</v>
      </c>
      <c r="AC370" s="136">
        <f t="shared" si="91"/>
        <v>0</v>
      </c>
      <c r="AD370" s="136">
        <f t="shared" si="91"/>
        <v>0</v>
      </c>
      <c r="AE370" s="136">
        <f t="shared" si="91"/>
        <v>0</v>
      </c>
      <c r="AF370" s="136">
        <f t="shared" si="91"/>
        <v>0</v>
      </c>
      <c r="AG370" s="136">
        <f t="shared" si="91"/>
        <v>0</v>
      </c>
      <c r="AH370" s="136">
        <f t="shared" si="91"/>
        <v>0</v>
      </c>
      <c r="AI370" s="136">
        <f t="shared" si="91"/>
        <v>0</v>
      </c>
      <c r="AJ370" s="136">
        <f t="shared" si="91"/>
        <v>0</v>
      </c>
      <c r="AK370" s="136">
        <f t="shared" si="91"/>
        <v>0</v>
      </c>
      <c r="AL370" s="136">
        <f t="shared" si="91"/>
        <v>0</v>
      </c>
      <c r="AM370" s="136">
        <f t="shared" si="91"/>
        <v>0</v>
      </c>
      <c r="AN370" s="136">
        <f t="shared" si="91"/>
        <v>0</v>
      </c>
      <c r="AO370" s="136">
        <f t="shared" si="91"/>
        <v>0</v>
      </c>
      <c r="AP370" s="136">
        <f t="shared" si="91"/>
        <v>0</v>
      </c>
      <c r="AQ370" s="136">
        <f t="shared" si="90"/>
        <v>0</v>
      </c>
      <c r="AR370" s="136">
        <f t="shared" si="89"/>
        <v>0</v>
      </c>
      <c r="AS370" s="136">
        <f t="shared" si="89"/>
        <v>0</v>
      </c>
      <c r="AT370" s="136">
        <f t="shared" si="89"/>
        <v>0</v>
      </c>
      <c r="AU370" s="136">
        <f t="shared" si="89"/>
        <v>0</v>
      </c>
      <c r="AV370" s="136">
        <f t="shared" si="89"/>
        <v>0</v>
      </c>
      <c r="AW370" s="136">
        <f t="shared" si="89"/>
        <v>0</v>
      </c>
      <c r="AX370" s="136">
        <f t="shared" si="89"/>
        <v>0</v>
      </c>
      <c r="AY370" s="136">
        <f t="shared" si="89"/>
        <v>0</v>
      </c>
      <c r="AZ370" s="136">
        <f t="shared" si="89"/>
        <v>0</v>
      </c>
      <c r="BA370" s="136">
        <f t="shared" si="89"/>
        <v>0</v>
      </c>
      <c r="BB370" s="136">
        <f t="shared" si="89"/>
        <v>0</v>
      </c>
      <c r="BC370" s="136">
        <f t="shared" si="89"/>
        <v>0</v>
      </c>
      <c r="BD370" s="136">
        <f t="shared" si="89"/>
        <v>0</v>
      </c>
      <c r="BE370" s="136">
        <f t="shared" si="89"/>
        <v>0</v>
      </c>
      <c r="BF370" s="136">
        <f t="shared" si="89"/>
        <v>0</v>
      </c>
      <c r="BG370" s="136">
        <f t="shared" si="86"/>
        <v>0</v>
      </c>
      <c r="BH370" s="136">
        <f t="shared" si="86"/>
        <v>0</v>
      </c>
      <c r="BI370" s="136">
        <f t="shared" si="86"/>
        <v>0</v>
      </c>
      <c r="BJ370" s="136">
        <f t="shared" si="86"/>
        <v>0</v>
      </c>
      <c r="BK370" s="136">
        <f t="shared" si="86"/>
        <v>0</v>
      </c>
      <c r="BL370" s="136">
        <f t="shared" si="86"/>
        <v>0</v>
      </c>
      <c r="BM370" s="136">
        <f t="shared" si="86"/>
        <v>0</v>
      </c>
      <c r="BN370" s="136">
        <f t="shared" si="86"/>
        <v>0</v>
      </c>
      <c r="BO370" s="136">
        <f t="shared" si="86"/>
        <v>0</v>
      </c>
    </row>
    <row r="371" spans="12:67" hidden="1" x14ac:dyDescent="0.3">
      <c r="L371" s="136">
        <f>L198-CD198</f>
        <v>0</v>
      </c>
      <c r="M371" s="136">
        <f t="shared" ref="M371:AA371" si="92">M198-CE198</f>
        <v>0</v>
      </c>
      <c r="N371" s="136">
        <f t="shared" si="92"/>
        <v>0</v>
      </c>
      <c r="O371" s="136">
        <f t="shared" si="92"/>
        <v>0</v>
      </c>
      <c r="P371" s="136">
        <f t="shared" si="92"/>
        <v>0</v>
      </c>
      <c r="Q371" s="136">
        <f t="shared" si="92"/>
        <v>0</v>
      </c>
      <c r="R371" s="136">
        <f t="shared" si="92"/>
        <v>0</v>
      </c>
      <c r="S371" s="136">
        <f t="shared" si="92"/>
        <v>0</v>
      </c>
      <c r="T371" s="136">
        <f t="shared" si="92"/>
        <v>0</v>
      </c>
      <c r="U371" s="136">
        <f t="shared" si="92"/>
        <v>0</v>
      </c>
      <c r="V371" s="136">
        <f t="shared" si="92"/>
        <v>0</v>
      </c>
      <c r="W371" s="136">
        <f t="shared" si="92"/>
        <v>0</v>
      </c>
      <c r="X371" s="136">
        <f t="shared" si="92"/>
        <v>0</v>
      </c>
      <c r="Y371" s="136">
        <f t="shared" si="92"/>
        <v>0</v>
      </c>
      <c r="Z371" s="136">
        <f t="shared" si="92"/>
        <v>0</v>
      </c>
      <c r="AA371" s="136">
        <f t="shared" si="92"/>
        <v>0</v>
      </c>
      <c r="AB371" s="136">
        <f t="shared" si="91"/>
        <v>0</v>
      </c>
      <c r="AC371" s="136">
        <f t="shared" si="91"/>
        <v>0</v>
      </c>
      <c r="AD371" s="136">
        <f t="shared" si="91"/>
        <v>0</v>
      </c>
      <c r="AE371" s="136">
        <f t="shared" si="91"/>
        <v>0</v>
      </c>
      <c r="AF371" s="136">
        <f t="shared" si="91"/>
        <v>0</v>
      </c>
      <c r="AG371" s="136">
        <f t="shared" si="91"/>
        <v>0</v>
      </c>
      <c r="AH371" s="136">
        <f t="shared" si="91"/>
        <v>0</v>
      </c>
      <c r="AI371" s="136">
        <f t="shared" si="91"/>
        <v>0</v>
      </c>
      <c r="AJ371" s="136">
        <f t="shared" si="91"/>
        <v>0</v>
      </c>
      <c r="AK371" s="136">
        <f t="shared" si="91"/>
        <v>0</v>
      </c>
      <c r="AL371" s="136">
        <f t="shared" si="91"/>
        <v>0</v>
      </c>
      <c r="AM371" s="136">
        <f t="shared" si="91"/>
        <v>0</v>
      </c>
      <c r="AN371" s="136">
        <f t="shared" si="91"/>
        <v>0</v>
      </c>
      <c r="AO371" s="136">
        <f t="shared" si="91"/>
        <v>0</v>
      </c>
      <c r="AP371" s="136">
        <f t="shared" si="91"/>
        <v>0</v>
      </c>
      <c r="AQ371" s="136">
        <f t="shared" si="90"/>
        <v>0</v>
      </c>
      <c r="AR371" s="136">
        <f t="shared" si="89"/>
        <v>0</v>
      </c>
      <c r="AS371" s="136">
        <f t="shared" si="89"/>
        <v>0</v>
      </c>
      <c r="AT371" s="136">
        <f t="shared" si="89"/>
        <v>0</v>
      </c>
      <c r="AU371" s="136">
        <f t="shared" si="89"/>
        <v>0</v>
      </c>
      <c r="AV371" s="136">
        <f t="shared" si="89"/>
        <v>0</v>
      </c>
      <c r="AW371" s="136">
        <f t="shared" si="89"/>
        <v>0</v>
      </c>
      <c r="AX371" s="136">
        <f t="shared" si="89"/>
        <v>0</v>
      </c>
      <c r="AY371" s="136">
        <f t="shared" si="89"/>
        <v>0</v>
      </c>
      <c r="AZ371" s="136">
        <f t="shared" si="89"/>
        <v>0</v>
      </c>
      <c r="BA371" s="136">
        <f t="shared" si="89"/>
        <v>0</v>
      </c>
      <c r="BB371" s="136">
        <f t="shared" si="89"/>
        <v>0</v>
      </c>
      <c r="BC371" s="136">
        <f t="shared" si="89"/>
        <v>0</v>
      </c>
      <c r="BD371" s="136">
        <f t="shared" si="89"/>
        <v>0</v>
      </c>
      <c r="BE371" s="136">
        <f t="shared" si="89"/>
        <v>0</v>
      </c>
      <c r="BF371" s="136">
        <f t="shared" si="89"/>
        <v>0</v>
      </c>
      <c r="BG371" s="136">
        <f t="shared" si="86"/>
        <v>0</v>
      </c>
      <c r="BH371" s="136">
        <f t="shared" si="86"/>
        <v>0</v>
      </c>
      <c r="BI371" s="136">
        <f t="shared" si="86"/>
        <v>0</v>
      </c>
      <c r="BJ371" s="136">
        <f t="shared" si="86"/>
        <v>0</v>
      </c>
      <c r="BK371" s="136">
        <f t="shared" si="86"/>
        <v>0</v>
      </c>
      <c r="BL371" s="136">
        <f t="shared" si="86"/>
        <v>0</v>
      </c>
      <c r="BM371" s="136">
        <f t="shared" si="86"/>
        <v>0</v>
      </c>
      <c r="BN371" s="136">
        <f t="shared" si="86"/>
        <v>0</v>
      </c>
      <c r="BO371" s="136">
        <f t="shared" si="86"/>
        <v>0</v>
      </c>
    </row>
    <row r="372" spans="12:67" hidden="1" x14ac:dyDescent="0.3"/>
    <row r="373" spans="12:67" hidden="1" x14ac:dyDescent="0.3"/>
    <row r="374" spans="12:67" hidden="1" x14ac:dyDescent="0.3"/>
    <row r="375" spans="12:67" hidden="1" x14ac:dyDescent="0.3"/>
    <row r="376" spans="12:67" hidden="1" x14ac:dyDescent="0.3"/>
    <row r="377" spans="12:67" hidden="1" x14ac:dyDescent="0.3"/>
    <row r="378" spans="12:67" hidden="1" x14ac:dyDescent="0.3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colBreaks count="2" manualBreakCount="2">
    <brk id="141" max="196" man="1"/>
    <brk id="14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D896-8F9D-4AB3-ACD0-66A12C2D070B}">
  <dimension ref="A2:EX104"/>
  <sheetViews>
    <sheetView view="pageBreakPreview" topLeftCell="D1" zoomScale="120" zoomScaleNormal="100" zoomScaleSheetLayoutView="120" workbookViewId="0">
      <selection activeCell="DV35" sqref="DV35"/>
    </sheetView>
  </sheetViews>
  <sheetFormatPr defaultColWidth="9.54296875" defaultRowHeight="13" x14ac:dyDescent="0.3"/>
  <cols>
    <col min="1" max="1" width="1.7265625" style="136" hidden="1" customWidth="1"/>
    <col min="2" max="3" width="0.81640625" style="136" hidden="1" customWidth="1"/>
    <col min="4" max="4" width="61.90625" style="136" customWidth="1"/>
    <col min="5" max="5" width="6.6328125" style="199" customWidth="1"/>
    <col min="6" max="7" width="0.90625" style="136" customWidth="1"/>
    <col min="8" max="8" width="17" style="136" customWidth="1"/>
    <col min="9" max="9" width="0.90625" style="136" customWidth="1"/>
    <col min="10" max="10" width="0.81640625" style="136" customWidth="1"/>
    <col min="11" max="11" width="0.81640625" style="136" hidden="1" customWidth="1"/>
    <col min="12" max="12" width="0.90625" style="136" hidden="1" customWidth="1"/>
    <col min="13" max="13" width="16.453125" style="136" hidden="1" customWidth="1"/>
    <col min="14" max="17" width="0.90625" style="136" hidden="1" customWidth="1"/>
    <col min="18" max="18" width="17" style="136" hidden="1" customWidth="1"/>
    <col min="19" max="22" width="0.90625" style="136" hidden="1" customWidth="1"/>
    <col min="23" max="23" width="17" style="136" hidden="1" customWidth="1"/>
    <col min="24" max="27" width="0.90625" style="136" hidden="1" customWidth="1"/>
    <col min="28" max="28" width="17" style="136" hidden="1" customWidth="1"/>
    <col min="29" max="32" width="0.90625" style="136" hidden="1" customWidth="1"/>
    <col min="33" max="33" width="17" style="136" hidden="1" customWidth="1"/>
    <col min="34" max="37" width="0.90625" style="136" hidden="1" customWidth="1"/>
    <col min="38" max="38" width="17" style="136" hidden="1" customWidth="1"/>
    <col min="39" max="40" width="0.90625" style="136" hidden="1" customWidth="1"/>
    <col min="41" max="41" width="1.1796875" style="136" hidden="1" customWidth="1"/>
    <col min="42" max="42" width="0.90625" style="136" hidden="1" customWidth="1"/>
    <col min="43" max="43" width="17" style="136" hidden="1" customWidth="1"/>
    <col min="44" max="47" width="0.90625" style="136" hidden="1" customWidth="1"/>
    <col min="48" max="48" width="17" style="136" hidden="1" customWidth="1"/>
    <col min="49" max="52" width="0.90625" style="136" hidden="1" customWidth="1"/>
    <col min="53" max="53" width="17" style="136" hidden="1" customWidth="1"/>
    <col min="54" max="55" width="0.90625" style="136" hidden="1" customWidth="1"/>
    <col min="56" max="57" width="0.90625" style="136" customWidth="1"/>
    <col min="58" max="58" width="17" style="136" customWidth="1"/>
    <col min="59" max="60" width="0.90625" style="136" customWidth="1"/>
    <col min="61" max="62" width="0.90625" style="136" hidden="1" customWidth="1"/>
    <col min="63" max="63" width="17" style="136" hidden="1" customWidth="1"/>
    <col min="64" max="67" width="0.90625" style="136" hidden="1" customWidth="1"/>
    <col min="68" max="68" width="17" style="136" hidden="1" customWidth="1"/>
    <col min="69" max="70" width="0.90625" style="136" hidden="1" customWidth="1"/>
    <col min="71" max="71" width="1.453125" style="136" customWidth="1"/>
    <col min="72" max="72" width="0.90625" style="136" customWidth="1"/>
    <col min="73" max="73" width="17" style="136" customWidth="1"/>
    <col min="74" max="77" width="0.90625" style="136" customWidth="1"/>
    <col min="78" max="78" width="17" style="136" customWidth="1"/>
    <col min="79" max="79" width="0.6328125" style="136" customWidth="1"/>
    <col min="80" max="80" width="0.90625" style="136" customWidth="1"/>
    <col min="81" max="81" width="1.36328125" style="136" hidden="1" customWidth="1"/>
    <col min="82" max="82" width="0.90625" style="136" hidden="1" customWidth="1"/>
    <col min="83" max="83" width="16.453125" style="136" hidden="1" customWidth="1"/>
    <col min="84" max="84" width="2" style="136" hidden="1" customWidth="1"/>
    <col min="85" max="87" width="0.90625" style="136" hidden="1" customWidth="1"/>
    <col min="88" max="88" width="12.54296875" style="136" hidden="1" customWidth="1"/>
    <col min="89" max="89" width="0.90625" style="136" hidden="1" customWidth="1"/>
    <col min="90" max="90" width="1.453125" style="136" hidden="1" customWidth="1"/>
    <col min="91" max="92" width="0.90625" style="136" hidden="1" customWidth="1"/>
    <col min="93" max="93" width="17" style="136" hidden="1" customWidth="1"/>
    <col min="94" max="95" width="0.90625" style="136" hidden="1" customWidth="1"/>
    <col min="96" max="96" width="0.81640625" style="136" hidden="1" customWidth="1"/>
    <col min="97" max="97" width="1.08984375" style="136" hidden="1" customWidth="1"/>
    <col min="98" max="98" width="17" style="136" hidden="1" customWidth="1"/>
    <col min="99" max="102" width="0.90625" style="136" hidden="1" customWidth="1"/>
    <col min="103" max="103" width="17" style="136" hidden="1" customWidth="1"/>
    <col min="104" max="107" width="0.90625" style="136" hidden="1" customWidth="1"/>
    <col min="108" max="108" width="17" style="136" hidden="1" customWidth="1"/>
    <col min="109" max="112" width="0.90625" style="136" hidden="1" customWidth="1"/>
    <col min="113" max="113" width="14" style="136" hidden="1" customWidth="1"/>
    <col min="114" max="114" width="0.90625" style="136" hidden="1" customWidth="1"/>
    <col min="115" max="115" width="0.6328125" style="136" hidden="1" customWidth="1"/>
    <col min="116" max="116" width="1.6328125" style="136" hidden="1" customWidth="1"/>
    <col min="117" max="117" width="0.90625" style="136" hidden="1" customWidth="1"/>
    <col min="118" max="118" width="12.90625" style="136" hidden="1" customWidth="1"/>
    <col min="119" max="122" width="0.90625" style="136" hidden="1" customWidth="1"/>
    <col min="123" max="123" width="17" style="136" hidden="1" customWidth="1"/>
    <col min="124" max="125" width="0.90625" style="136" hidden="1" customWidth="1"/>
    <col min="126" max="127" width="0.90625" style="136" customWidth="1"/>
    <col min="128" max="128" width="13.6328125" style="136" customWidth="1"/>
    <col min="129" max="130" width="0.90625" style="136" customWidth="1"/>
    <col min="131" max="132" width="0.90625" style="136" hidden="1" customWidth="1"/>
    <col min="133" max="133" width="12.81640625" style="136" hidden="1" customWidth="1"/>
    <col min="134" max="137" width="0.90625" style="136" hidden="1" customWidth="1"/>
    <col min="138" max="138" width="16.08984375" style="136" hidden="1" customWidth="1"/>
    <col min="139" max="139" width="0.90625" style="136" hidden="1" customWidth="1"/>
    <col min="140" max="140" width="2.26953125" style="136" hidden="1" customWidth="1"/>
    <col min="141" max="142" width="0.90625" style="136" customWidth="1"/>
    <col min="143" max="143" width="17" style="136" customWidth="1"/>
    <col min="144" max="146" width="0.90625" style="136" customWidth="1"/>
    <col min="147" max="147" width="1.7265625" style="136" customWidth="1"/>
    <col min="148" max="148" width="11.1796875" style="136" customWidth="1"/>
    <col min="149" max="149" width="10.7265625" style="136" customWidth="1"/>
    <col min="150" max="150" width="9.90625" style="136" bestFit="1" customWidth="1"/>
    <col min="151" max="153" width="9.54296875" style="136"/>
    <col min="154" max="154" width="12.81640625" style="136" bestFit="1" customWidth="1"/>
    <col min="155" max="16384" width="9.54296875" style="136"/>
  </cols>
  <sheetData>
    <row r="2" spans="4:149" ht="3" customHeight="1" x14ac:dyDescent="0.3"/>
    <row r="4" spans="4:149" x14ac:dyDescent="0.3">
      <c r="D4" s="42"/>
      <c r="E4" s="663"/>
      <c r="F4" s="42"/>
      <c r="G4" s="42"/>
    </row>
    <row r="5" spans="4:149" x14ac:dyDescent="0.3">
      <c r="E5" s="663"/>
      <c r="F5" s="42"/>
      <c r="G5" s="42"/>
    </row>
    <row r="7" spans="4:149" ht="15.75" customHeight="1" x14ac:dyDescent="0.35">
      <c r="D7" s="589" t="s">
        <v>467</v>
      </c>
      <c r="E7" s="663"/>
      <c r="F7" s="42"/>
      <c r="G7" s="42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EM7" s="138"/>
    </row>
    <row r="8" spans="4:149" ht="12.75" customHeight="1" x14ac:dyDescent="0.3">
      <c r="D8" s="262"/>
      <c r="E8" s="664"/>
      <c r="F8" s="665"/>
      <c r="G8" s="263"/>
      <c r="H8" s="666" t="str">
        <f>[40]Summary!H8</f>
        <v>2022/23</v>
      </c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8"/>
      <c r="BW8" s="668"/>
      <c r="BX8" s="669"/>
      <c r="BY8" s="668"/>
      <c r="BZ8" s="575" t="str">
        <f>[40]Summary!BZ8</f>
        <v>2021/22</v>
      </c>
      <c r="CA8" s="588"/>
      <c r="CB8" s="588"/>
      <c r="CC8" s="588"/>
      <c r="CD8" s="588"/>
      <c r="CE8" s="588"/>
      <c r="CF8" s="588"/>
      <c r="CG8" s="588"/>
      <c r="CH8" s="588"/>
      <c r="CI8" s="588"/>
      <c r="CJ8" s="588"/>
      <c r="CK8" s="588"/>
      <c r="CL8" s="588"/>
      <c r="CM8" s="588"/>
      <c r="CN8" s="588"/>
      <c r="CO8" s="588"/>
      <c r="CP8" s="588"/>
      <c r="CQ8" s="588"/>
      <c r="CR8" s="588"/>
      <c r="CS8" s="588"/>
      <c r="CT8" s="588"/>
      <c r="CU8" s="588"/>
      <c r="CV8" s="588"/>
      <c r="CW8" s="588"/>
      <c r="CX8" s="588"/>
      <c r="CY8" s="588"/>
      <c r="CZ8" s="588"/>
      <c r="DA8" s="588"/>
      <c r="DB8" s="588"/>
      <c r="DC8" s="588"/>
      <c r="DD8" s="588"/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B8" s="588"/>
      <c r="EC8" s="588"/>
      <c r="ED8" s="588"/>
      <c r="EE8" s="588"/>
      <c r="EF8" s="588"/>
      <c r="EG8" s="588"/>
      <c r="EH8" s="588"/>
      <c r="EI8" s="588"/>
      <c r="EJ8" s="588"/>
      <c r="EK8" s="588"/>
      <c r="EL8" s="588"/>
      <c r="EM8" s="588"/>
      <c r="EN8" s="668"/>
      <c r="EO8" s="670"/>
      <c r="EP8" s="623"/>
    </row>
    <row r="9" spans="4:149" ht="12.75" customHeight="1" x14ac:dyDescent="0.3">
      <c r="D9" s="234"/>
      <c r="E9" s="663"/>
      <c r="F9" s="539"/>
      <c r="G9" s="213"/>
      <c r="H9" s="148" t="str">
        <f>[40]Foreigndebt!G9</f>
        <v>Revised</v>
      </c>
      <c r="I9" s="148"/>
      <c r="J9" s="148"/>
      <c r="K9" s="537"/>
      <c r="L9" s="148"/>
      <c r="M9" s="148" t="s">
        <v>4</v>
      </c>
      <c r="N9" s="148"/>
      <c r="O9" s="148"/>
      <c r="P9" s="474"/>
      <c r="Q9" s="148"/>
      <c r="R9" s="148" t="s">
        <v>5</v>
      </c>
      <c r="S9" s="148"/>
      <c r="T9" s="148"/>
      <c r="U9" s="474"/>
      <c r="V9" s="148"/>
      <c r="W9" s="148" t="s">
        <v>6</v>
      </c>
      <c r="X9" s="148"/>
      <c r="Y9" s="148"/>
      <c r="Z9" s="474"/>
      <c r="AA9" s="148"/>
      <c r="AB9" s="148" t="s">
        <v>7</v>
      </c>
      <c r="AC9" s="148"/>
      <c r="AD9" s="148"/>
      <c r="AE9" s="474"/>
      <c r="AF9" s="148"/>
      <c r="AG9" s="148" t="s">
        <v>8</v>
      </c>
      <c r="AH9" s="148"/>
      <c r="AI9" s="148"/>
      <c r="AJ9" s="474"/>
      <c r="AK9" s="148"/>
      <c r="AL9" s="148" t="s">
        <v>9</v>
      </c>
      <c r="AM9" s="148"/>
      <c r="AN9" s="148"/>
      <c r="AO9" s="474"/>
      <c r="AP9" s="148"/>
      <c r="AQ9" s="148" t="s">
        <v>10</v>
      </c>
      <c r="AR9" s="148"/>
      <c r="AS9" s="148"/>
      <c r="AT9" s="474"/>
      <c r="AU9" s="148"/>
      <c r="AV9" s="148" t="s">
        <v>11</v>
      </c>
      <c r="AW9" s="148"/>
      <c r="AX9" s="148"/>
      <c r="AY9" s="474"/>
      <c r="AZ9" s="148"/>
      <c r="BA9" s="148" t="s">
        <v>12</v>
      </c>
      <c r="BB9" s="148"/>
      <c r="BC9" s="148"/>
      <c r="BD9" s="474"/>
      <c r="BE9" s="148"/>
      <c r="BF9" s="148" t="s">
        <v>13</v>
      </c>
      <c r="BG9" s="148"/>
      <c r="BH9" s="148"/>
      <c r="BI9" s="474"/>
      <c r="BJ9" s="148"/>
      <c r="BK9" s="148" t="s">
        <v>14</v>
      </c>
      <c r="BL9" s="148"/>
      <c r="BM9" s="148"/>
      <c r="BN9" s="474"/>
      <c r="BO9" s="148"/>
      <c r="BP9" s="148" t="s">
        <v>15</v>
      </c>
      <c r="BQ9" s="148"/>
      <c r="BR9" s="148"/>
      <c r="BS9" s="474"/>
      <c r="BT9" s="148"/>
      <c r="BU9" s="148" t="s">
        <v>16</v>
      </c>
      <c r="BV9" s="148"/>
      <c r="BW9" s="148"/>
      <c r="BX9" s="474"/>
      <c r="BY9" s="148"/>
      <c r="BZ9" s="148" t="str">
        <f>[40]Foreigndebt!BY9</f>
        <v>Audited</v>
      </c>
      <c r="CA9" s="148"/>
      <c r="CB9" s="148"/>
      <c r="CC9" s="474"/>
      <c r="CD9" s="148"/>
      <c r="CE9" s="148" t="s">
        <v>4</v>
      </c>
      <c r="CF9" s="148"/>
      <c r="CG9" s="148"/>
      <c r="CH9" s="474"/>
      <c r="CI9" s="148"/>
      <c r="CJ9" s="148" t="s">
        <v>5</v>
      </c>
      <c r="CK9" s="148"/>
      <c r="CL9" s="148"/>
      <c r="CM9" s="474"/>
      <c r="CN9" s="148"/>
      <c r="CO9" s="148" t="s">
        <v>6</v>
      </c>
      <c r="CP9" s="148"/>
      <c r="CQ9" s="148"/>
      <c r="CR9" s="474"/>
      <c r="CS9" s="148"/>
      <c r="CT9" s="148" t="s">
        <v>7</v>
      </c>
      <c r="CU9" s="148"/>
      <c r="CV9" s="148"/>
      <c r="CW9" s="474"/>
      <c r="CX9" s="148"/>
      <c r="CY9" s="148" t="s">
        <v>8</v>
      </c>
      <c r="CZ9" s="148"/>
      <c r="DA9" s="148"/>
      <c r="DB9" s="474"/>
      <c r="DC9" s="148"/>
      <c r="DD9" s="148" t="s">
        <v>9</v>
      </c>
      <c r="DE9" s="148"/>
      <c r="DF9" s="148"/>
      <c r="DG9" s="474"/>
      <c r="DH9" s="148"/>
      <c r="DI9" s="148" t="s">
        <v>10</v>
      </c>
      <c r="DJ9" s="148"/>
      <c r="DK9" s="148"/>
      <c r="DL9" s="474"/>
      <c r="DM9" s="148"/>
      <c r="DN9" s="148" t="s">
        <v>11</v>
      </c>
      <c r="DO9" s="148"/>
      <c r="DP9" s="148"/>
      <c r="DQ9" s="474"/>
      <c r="DR9" s="148"/>
      <c r="DS9" s="148" t="s">
        <v>12</v>
      </c>
      <c r="DT9" s="148"/>
      <c r="DU9" s="148"/>
      <c r="DV9" s="474"/>
      <c r="DW9" s="148"/>
      <c r="DX9" s="148" t="s">
        <v>13</v>
      </c>
      <c r="DY9" s="148"/>
      <c r="DZ9" s="148"/>
      <c r="EA9" s="474"/>
      <c r="EB9" s="148"/>
      <c r="EC9" s="148" t="s">
        <v>14</v>
      </c>
      <c r="ED9" s="148"/>
      <c r="EE9" s="148"/>
      <c r="EF9" s="474"/>
      <c r="EG9" s="148"/>
      <c r="EH9" s="148" t="s">
        <v>15</v>
      </c>
      <c r="EI9" s="148"/>
      <c r="EJ9" s="148"/>
      <c r="EK9" s="474"/>
      <c r="EL9" s="148"/>
      <c r="EM9" s="148" t="s">
        <v>16</v>
      </c>
      <c r="EN9" s="148"/>
      <c r="EO9" s="671"/>
      <c r="EP9" s="672"/>
    </row>
    <row r="10" spans="4:149" ht="12.75" customHeight="1" x14ac:dyDescent="0.3">
      <c r="D10" s="489" t="s">
        <v>18</v>
      </c>
      <c r="E10" s="673"/>
      <c r="F10" s="599"/>
      <c r="G10" s="277"/>
      <c r="H10" s="491" t="s">
        <v>20</v>
      </c>
      <c r="I10" s="491"/>
      <c r="J10" s="152"/>
      <c r="K10" s="220"/>
      <c r="L10" s="491"/>
      <c r="M10" s="490"/>
      <c r="N10" s="490"/>
      <c r="O10" s="490"/>
      <c r="P10" s="599"/>
      <c r="Q10" s="490"/>
      <c r="R10" s="490"/>
      <c r="S10" s="490"/>
      <c r="T10" s="490"/>
      <c r="U10" s="599"/>
      <c r="V10" s="490"/>
      <c r="W10" s="490"/>
      <c r="X10" s="490"/>
      <c r="Y10" s="490"/>
      <c r="Z10" s="599"/>
      <c r="AA10" s="490"/>
      <c r="AB10" s="490"/>
      <c r="AC10" s="490"/>
      <c r="AD10" s="490"/>
      <c r="AE10" s="599"/>
      <c r="AF10" s="490"/>
      <c r="AG10" s="490"/>
      <c r="AH10" s="490"/>
      <c r="AI10" s="490"/>
      <c r="AJ10" s="599"/>
      <c r="AK10" s="490"/>
      <c r="AL10" s="490"/>
      <c r="AM10" s="490"/>
      <c r="AN10" s="490"/>
      <c r="AO10" s="599"/>
      <c r="AP10" s="490"/>
      <c r="AQ10" s="490"/>
      <c r="AR10" s="490"/>
      <c r="AS10" s="490"/>
      <c r="AT10" s="599"/>
      <c r="AU10" s="490"/>
      <c r="AV10" s="490"/>
      <c r="AW10" s="490"/>
      <c r="AX10" s="490"/>
      <c r="AY10" s="599"/>
      <c r="AZ10" s="490"/>
      <c r="BA10" s="490"/>
      <c r="BB10" s="490"/>
      <c r="BC10" s="490"/>
      <c r="BD10" s="599"/>
      <c r="BE10" s="490"/>
      <c r="BF10" s="490"/>
      <c r="BG10" s="490"/>
      <c r="BH10" s="490"/>
      <c r="BI10" s="599"/>
      <c r="BJ10" s="490"/>
      <c r="BK10" s="490"/>
      <c r="BL10" s="490"/>
      <c r="BM10" s="490"/>
      <c r="BN10" s="599"/>
      <c r="BO10" s="490"/>
      <c r="BP10" s="490"/>
      <c r="BQ10" s="490"/>
      <c r="BR10" s="490"/>
      <c r="BS10" s="599"/>
      <c r="BT10" s="490"/>
      <c r="BU10" s="490"/>
      <c r="BV10" s="490"/>
      <c r="BW10" s="490"/>
      <c r="BX10" s="599"/>
      <c r="BY10" s="490"/>
      <c r="BZ10" s="491" t="s">
        <v>45</v>
      </c>
      <c r="CA10" s="491"/>
      <c r="CB10" s="491"/>
      <c r="CC10" s="220"/>
      <c r="CD10" s="491"/>
      <c r="CE10" s="490"/>
      <c r="CF10" s="490"/>
      <c r="CG10" s="490"/>
      <c r="CH10" s="599"/>
      <c r="CI10" s="490"/>
      <c r="CJ10" s="490"/>
      <c r="CK10" s="490"/>
      <c r="CL10" s="490"/>
      <c r="CM10" s="599"/>
      <c r="CN10" s="490"/>
      <c r="CO10" s="490"/>
      <c r="CP10" s="490"/>
      <c r="CQ10" s="490"/>
      <c r="CR10" s="599"/>
      <c r="CS10" s="490"/>
      <c r="CT10" s="490"/>
      <c r="CU10" s="490"/>
      <c r="CV10" s="490"/>
      <c r="CW10" s="599"/>
      <c r="CX10" s="490"/>
      <c r="CY10" s="490"/>
      <c r="CZ10" s="490"/>
      <c r="DA10" s="490"/>
      <c r="DB10" s="599"/>
      <c r="DC10" s="490"/>
      <c r="DD10" s="490"/>
      <c r="DE10" s="490"/>
      <c r="DF10" s="490"/>
      <c r="DG10" s="599"/>
      <c r="DH10" s="490"/>
      <c r="DI10" s="490"/>
      <c r="DJ10" s="490"/>
      <c r="DK10" s="490"/>
      <c r="DL10" s="599"/>
      <c r="DM10" s="490"/>
      <c r="DN10" s="490"/>
      <c r="DO10" s="490"/>
      <c r="DP10" s="490"/>
      <c r="DQ10" s="599"/>
      <c r="DR10" s="490"/>
      <c r="DS10" s="490"/>
      <c r="DT10" s="490"/>
      <c r="DU10" s="490"/>
      <c r="DV10" s="599"/>
      <c r="DW10" s="490"/>
      <c r="DX10" s="490"/>
      <c r="DY10" s="490"/>
      <c r="DZ10" s="490"/>
      <c r="EA10" s="599"/>
      <c r="EB10" s="490"/>
      <c r="EC10" s="490"/>
      <c r="ED10" s="490"/>
      <c r="EE10" s="490"/>
      <c r="EF10" s="599"/>
      <c r="EG10" s="490"/>
      <c r="EH10" s="490"/>
      <c r="EI10" s="490"/>
      <c r="EJ10" s="490"/>
      <c r="EK10" s="599"/>
      <c r="EL10" s="490"/>
      <c r="EM10" s="490"/>
      <c r="EN10" s="490"/>
      <c r="EO10" s="661"/>
      <c r="EP10" s="623"/>
    </row>
    <row r="11" spans="4:149" x14ac:dyDescent="0.3">
      <c r="D11" s="144"/>
      <c r="F11" s="494"/>
      <c r="K11" s="494"/>
      <c r="P11" s="494"/>
      <c r="U11" s="494"/>
      <c r="Z11" s="494"/>
      <c r="AE11" s="494"/>
      <c r="AJ11" s="494"/>
      <c r="AO11" s="494"/>
      <c r="AT11" s="494"/>
      <c r="AY11" s="494"/>
      <c r="BD11" s="494"/>
      <c r="BI11" s="494"/>
      <c r="BN11" s="494"/>
      <c r="BS11" s="494"/>
      <c r="BX11" s="494"/>
      <c r="CC11" s="494"/>
      <c r="CH11" s="494"/>
      <c r="CM11" s="494"/>
      <c r="CR11" s="494"/>
      <c r="CW11" s="494"/>
      <c r="DB11" s="494"/>
      <c r="DG11" s="494"/>
      <c r="DL11" s="494"/>
      <c r="DQ11" s="494"/>
      <c r="DV11" s="494"/>
      <c r="EA11" s="494"/>
      <c r="EF11" s="494"/>
      <c r="EK11" s="494"/>
      <c r="EM11" s="214"/>
      <c r="EP11" s="144"/>
    </row>
    <row r="12" spans="4:149" s="42" customFormat="1" x14ac:dyDescent="0.3">
      <c r="D12" s="234" t="s">
        <v>468</v>
      </c>
      <c r="E12" s="199" t="s">
        <v>70</v>
      </c>
      <c r="F12" s="494"/>
      <c r="G12" s="136"/>
      <c r="H12" s="64">
        <f>+H13-H18</f>
        <v>42077879</v>
      </c>
      <c r="I12" s="64"/>
      <c r="J12" s="64"/>
      <c r="K12" s="651"/>
      <c r="L12" s="64"/>
      <c r="M12" s="64">
        <f>+M13-M18</f>
        <v>-23712019</v>
      </c>
      <c r="N12" s="64"/>
      <c r="O12" s="64"/>
      <c r="P12" s="651"/>
      <c r="Q12" s="64"/>
      <c r="R12" s="64">
        <f>+R13-R18</f>
        <v>9974227</v>
      </c>
      <c r="S12" s="64"/>
      <c r="T12" s="64"/>
      <c r="U12" s="651"/>
      <c r="V12" s="64"/>
      <c r="W12" s="64">
        <f>+W13-W18</f>
        <v>-108076143</v>
      </c>
      <c r="X12" s="64"/>
      <c r="Y12" s="64"/>
      <c r="Z12" s="651"/>
      <c r="AA12" s="64"/>
      <c r="AB12" s="64">
        <f>+AB13-AB18</f>
        <v>35166890</v>
      </c>
      <c r="AC12" s="64"/>
      <c r="AD12" s="64"/>
      <c r="AE12" s="651"/>
      <c r="AF12" s="64"/>
      <c r="AG12" s="64">
        <f>+AG13-AG18</f>
        <v>62591281</v>
      </c>
      <c r="AH12" s="64"/>
      <c r="AI12" s="64"/>
      <c r="AJ12" s="651"/>
      <c r="AK12" s="64"/>
      <c r="AL12" s="64">
        <f>+AL13-AL18</f>
        <v>-29962642</v>
      </c>
      <c r="AM12" s="64"/>
      <c r="AN12" s="64"/>
      <c r="AO12" s="651"/>
      <c r="AP12" s="64"/>
      <c r="AQ12" s="64">
        <f>+AQ13-AQ18</f>
        <v>16575160</v>
      </c>
      <c r="AR12" s="64"/>
      <c r="AS12" s="64"/>
      <c r="AT12" s="651"/>
      <c r="AU12" s="64"/>
      <c r="AV12" s="64">
        <f>+AV13-AV18</f>
        <v>3030911</v>
      </c>
      <c r="AW12" s="64"/>
      <c r="AX12" s="64"/>
      <c r="AY12" s="651"/>
      <c r="AZ12" s="64"/>
      <c r="BA12" s="64">
        <f>+BA13-BA18</f>
        <v>-56031570</v>
      </c>
      <c r="BB12" s="64"/>
      <c r="BC12" s="64"/>
      <c r="BD12" s="651"/>
      <c r="BE12" s="64"/>
      <c r="BF12" s="64">
        <f>+BF13-BF18</f>
        <v>74466214</v>
      </c>
      <c r="BG12" s="64"/>
      <c r="BH12" s="64"/>
      <c r="BI12" s="651"/>
      <c r="BJ12" s="64"/>
      <c r="BK12" s="64">
        <f>+BK13-BK18</f>
        <v>289962570</v>
      </c>
      <c r="BL12" s="64"/>
      <c r="BM12" s="64"/>
      <c r="BN12" s="651"/>
      <c r="BO12" s="64"/>
      <c r="BP12" s="64">
        <f>+BP13-BP18</f>
        <v>0</v>
      </c>
      <c r="BQ12" s="64"/>
      <c r="BR12" s="64"/>
      <c r="BS12" s="651"/>
      <c r="BT12" s="64"/>
      <c r="BU12" s="64">
        <f>+BU13-BU18</f>
        <v>-15977691</v>
      </c>
      <c r="BV12" s="64"/>
      <c r="BW12" s="64"/>
      <c r="BX12" s="651"/>
      <c r="BY12" s="64"/>
      <c r="BZ12" s="64">
        <f>+BZ13-BZ18</f>
        <v>63618801</v>
      </c>
      <c r="CA12" s="64"/>
      <c r="CB12" s="64"/>
      <c r="CC12" s="651"/>
      <c r="CD12" s="64"/>
      <c r="CE12" s="64">
        <f>+CE13-CE18</f>
        <v>46082220</v>
      </c>
      <c r="CF12" s="64"/>
      <c r="CG12" s="64"/>
      <c r="CH12" s="651"/>
      <c r="CI12" s="64"/>
      <c r="CJ12" s="64">
        <f>+CJ13-CJ18</f>
        <v>-13324945</v>
      </c>
      <c r="CK12" s="64"/>
      <c r="CL12" s="64"/>
      <c r="CM12" s="651"/>
      <c r="CN12" s="64"/>
      <c r="CO12" s="64">
        <f>+CO13-CO18</f>
        <v>-108017275</v>
      </c>
      <c r="CP12" s="64"/>
      <c r="CQ12" s="64"/>
      <c r="CR12" s="651"/>
      <c r="CS12" s="64"/>
      <c r="CT12" s="64">
        <f>+CT13-CT18</f>
        <v>112130563</v>
      </c>
      <c r="CU12" s="64"/>
      <c r="CV12" s="64"/>
      <c r="CW12" s="651"/>
      <c r="CX12" s="64"/>
      <c r="CY12" s="64">
        <f>+CY13-CY18</f>
        <v>19378870</v>
      </c>
      <c r="CZ12" s="64"/>
      <c r="DA12" s="64"/>
      <c r="DB12" s="651"/>
      <c r="DC12" s="64"/>
      <c r="DD12" s="64">
        <f>+DD13-DD18</f>
        <v>-9089134</v>
      </c>
      <c r="DE12" s="64"/>
      <c r="DF12" s="64"/>
      <c r="DG12" s="651"/>
      <c r="DH12" s="64"/>
      <c r="DI12" s="64">
        <f>+DI13-DI18</f>
        <v>8656413</v>
      </c>
      <c r="DJ12" s="64"/>
      <c r="DK12" s="64"/>
      <c r="DL12" s="651"/>
      <c r="DM12" s="64"/>
      <c r="DN12" s="64">
        <f>+DN13-DN18</f>
        <v>-11758617</v>
      </c>
      <c r="DO12" s="64"/>
      <c r="DP12" s="64"/>
      <c r="DQ12" s="651"/>
      <c r="DR12" s="64"/>
      <c r="DS12" s="64">
        <f>+DS13-DS18</f>
        <v>-63824067</v>
      </c>
      <c r="DT12" s="64"/>
      <c r="DU12" s="64"/>
      <c r="DV12" s="651"/>
      <c r="DW12" s="64"/>
      <c r="DX12" s="64">
        <f>+DX13-DX18</f>
        <v>109696169</v>
      </c>
      <c r="DY12" s="64"/>
      <c r="DZ12" s="64"/>
      <c r="EA12" s="651"/>
      <c r="EB12" s="64"/>
      <c r="EC12" s="64">
        <f>+EC13-EC18</f>
        <v>-26342016</v>
      </c>
      <c r="ED12" s="64"/>
      <c r="EE12" s="64"/>
      <c r="EF12" s="651"/>
      <c r="EG12" s="64"/>
      <c r="EH12" s="64">
        <f>+EH13-EH18</f>
        <v>30620</v>
      </c>
      <c r="EI12" s="64"/>
      <c r="EJ12" s="64"/>
      <c r="EK12" s="651"/>
      <c r="EL12" s="64"/>
      <c r="EM12" s="674">
        <f>+EM13-EM18</f>
        <v>89930197</v>
      </c>
      <c r="EN12" s="64"/>
      <c r="EO12" s="64"/>
      <c r="EP12" s="675"/>
    </row>
    <row r="13" spans="4:149" x14ac:dyDescent="0.3">
      <c r="D13" s="144" t="s">
        <v>469</v>
      </c>
      <c r="F13" s="494"/>
      <c r="G13" s="500"/>
      <c r="H13" s="676">
        <f>SUM(H14:H16)</f>
        <v>273984879</v>
      </c>
      <c r="I13" s="677"/>
      <c r="J13" s="95"/>
      <c r="K13" s="652"/>
      <c r="L13" s="678"/>
      <c r="M13" s="676">
        <f>SUM(M14:M16)</f>
        <v>273984879</v>
      </c>
      <c r="N13" s="677"/>
      <c r="O13" s="95"/>
      <c r="P13" s="652"/>
      <c r="Q13" s="678"/>
      <c r="R13" s="676">
        <f>SUM(R14:R16)</f>
        <v>297696898</v>
      </c>
      <c r="S13" s="677"/>
      <c r="T13" s="95"/>
      <c r="U13" s="652"/>
      <c r="V13" s="678"/>
      <c r="W13" s="676">
        <f>SUM(W14:W16)</f>
        <v>287722671</v>
      </c>
      <c r="X13" s="677"/>
      <c r="Y13" s="95"/>
      <c r="Z13" s="652"/>
      <c r="AA13" s="678"/>
      <c r="AB13" s="676">
        <f>SUM(AB14:AB16)</f>
        <v>395798814</v>
      </c>
      <c r="AC13" s="677"/>
      <c r="AD13" s="95"/>
      <c r="AE13" s="652"/>
      <c r="AF13" s="678"/>
      <c r="AG13" s="676">
        <f>SUM(AG14:AG16)</f>
        <v>360631924</v>
      </c>
      <c r="AH13" s="677"/>
      <c r="AI13" s="95"/>
      <c r="AJ13" s="652"/>
      <c r="AK13" s="678"/>
      <c r="AL13" s="676">
        <f>SUM(AL14:AL16)</f>
        <v>298040643</v>
      </c>
      <c r="AM13" s="677"/>
      <c r="AN13" s="95"/>
      <c r="AO13" s="652"/>
      <c r="AP13" s="678"/>
      <c r="AQ13" s="676">
        <f>SUM(AQ14:AQ16)</f>
        <v>328003285</v>
      </c>
      <c r="AR13" s="677"/>
      <c r="AS13" s="95"/>
      <c r="AT13" s="652"/>
      <c r="AU13" s="678"/>
      <c r="AV13" s="676">
        <f>SUM(AV14:AV16)</f>
        <v>311428125</v>
      </c>
      <c r="AW13" s="677"/>
      <c r="AX13" s="95"/>
      <c r="AY13" s="652"/>
      <c r="AZ13" s="678"/>
      <c r="BA13" s="676">
        <f>SUM(BA14:BA16)</f>
        <v>308397214</v>
      </c>
      <c r="BB13" s="677"/>
      <c r="BC13" s="95"/>
      <c r="BD13" s="652"/>
      <c r="BE13" s="678"/>
      <c r="BF13" s="676">
        <f>SUM(BF14:BF16)</f>
        <v>364428784</v>
      </c>
      <c r="BG13" s="677"/>
      <c r="BH13" s="95"/>
      <c r="BI13" s="652"/>
      <c r="BJ13" s="678"/>
      <c r="BK13" s="676">
        <f>SUM(BK14:BK16)</f>
        <v>289962570</v>
      </c>
      <c r="BL13" s="677"/>
      <c r="BM13" s="95"/>
      <c r="BN13" s="652"/>
      <c r="BO13" s="678"/>
      <c r="BP13" s="676">
        <f>SUM(BP14:BP16)</f>
        <v>0</v>
      </c>
      <c r="BQ13" s="677"/>
      <c r="BR13" s="95"/>
      <c r="BS13" s="652"/>
      <c r="BT13" s="678"/>
      <c r="BU13" s="676">
        <f>SUM(BU14:BU16)</f>
        <v>273984879</v>
      </c>
      <c r="BV13" s="677"/>
      <c r="BW13" s="95"/>
      <c r="BX13" s="652"/>
      <c r="BY13" s="678"/>
      <c r="BZ13" s="676">
        <f>SUM(BZ14:BZ16)</f>
        <v>337603680</v>
      </c>
      <c r="CA13" s="677"/>
      <c r="CB13" s="95"/>
      <c r="CC13" s="652"/>
      <c r="CD13" s="678"/>
      <c r="CE13" s="676">
        <f>SUM(CE14:CE16)</f>
        <v>337603680</v>
      </c>
      <c r="CF13" s="677"/>
      <c r="CG13" s="95"/>
      <c r="CH13" s="652"/>
      <c r="CI13" s="678"/>
      <c r="CJ13" s="676">
        <f>SUM(CJ14:CJ16)</f>
        <v>291521460</v>
      </c>
      <c r="CK13" s="677"/>
      <c r="CL13" s="95"/>
      <c r="CM13" s="652"/>
      <c r="CN13" s="678"/>
      <c r="CO13" s="676">
        <f>SUM(CO14:CO16)</f>
        <v>304846405</v>
      </c>
      <c r="CP13" s="677"/>
      <c r="CQ13" s="95"/>
      <c r="CR13" s="652"/>
      <c r="CS13" s="678"/>
      <c r="CT13" s="676">
        <f>SUM(CT14:CT16)</f>
        <v>412863680</v>
      </c>
      <c r="CU13" s="677"/>
      <c r="CV13" s="95"/>
      <c r="CW13" s="652"/>
      <c r="CX13" s="678"/>
      <c r="CY13" s="676">
        <f>SUM(CY14:CY16)</f>
        <v>300733117</v>
      </c>
      <c r="CZ13" s="677"/>
      <c r="DA13" s="95"/>
      <c r="DB13" s="652"/>
      <c r="DC13" s="678"/>
      <c r="DD13" s="676">
        <f>SUM(DD14:DD16)</f>
        <v>281354247</v>
      </c>
      <c r="DE13" s="677"/>
      <c r="DF13" s="95"/>
      <c r="DG13" s="652"/>
      <c r="DH13" s="678"/>
      <c r="DI13" s="676">
        <f>SUM(DI14:DI16)</f>
        <v>290443381</v>
      </c>
      <c r="DJ13" s="677"/>
      <c r="DK13" s="95"/>
      <c r="DL13" s="652"/>
      <c r="DM13" s="678"/>
      <c r="DN13" s="676">
        <f>SUM(DN14:DN16)</f>
        <v>281786968</v>
      </c>
      <c r="DO13" s="677"/>
      <c r="DP13" s="95"/>
      <c r="DQ13" s="652"/>
      <c r="DR13" s="678"/>
      <c r="DS13" s="676">
        <f>SUM(DS14:DS16)</f>
        <v>293545585</v>
      </c>
      <c r="DT13" s="677"/>
      <c r="DU13" s="95"/>
      <c r="DV13" s="652"/>
      <c r="DW13" s="678"/>
      <c r="DX13" s="676">
        <f>SUM(DX14:DX16)</f>
        <v>357369652</v>
      </c>
      <c r="DY13" s="677"/>
      <c r="DZ13" s="95"/>
      <c r="EA13" s="652"/>
      <c r="EB13" s="678"/>
      <c r="EC13" s="676">
        <f>SUM(EC14:EC16)</f>
        <v>247673483</v>
      </c>
      <c r="ED13" s="677"/>
      <c r="EE13" s="95"/>
      <c r="EF13" s="652"/>
      <c r="EG13" s="678"/>
      <c r="EH13" s="676">
        <f>SUM(EH14:EH16)</f>
        <v>274015499</v>
      </c>
      <c r="EI13" s="677"/>
      <c r="EJ13" s="95"/>
      <c r="EK13" s="652"/>
      <c r="EL13" s="678"/>
      <c r="EM13" s="676">
        <f>SUM(EM14:EM16)</f>
        <v>337603680</v>
      </c>
      <c r="EN13" s="677"/>
      <c r="EO13" s="95"/>
      <c r="EP13" s="679"/>
      <c r="ER13" s="42"/>
      <c r="ES13" s="42"/>
    </row>
    <row r="14" spans="4:149" x14ac:dyDescent="0.3">
      <c r="D14" s="144" t="s">
        <v>470</v>
      </c>
      <c r="F14" s="494"/>
      <c r="G14" s="494"/>
      <c r="H14" s="680">
        <v>145289346</v>
      </c>
      <c r="I14" s="94"/>
      <c r="J14" s="95"/>
      <c r="K14" s="652"/>
      <c r="L14" s="652"/>
      <c r="M14" s="680">
        <v>145289346</v>
      </c>
      <c r="N14" s="94"/>
      <c r="O14" s="95"/>
      <c r="P14" s="652"/>
      <c r="Q14" s="652"/>
      <c r="R14" s="680">
        <f>M19</f>
        <v>189293723</v>
      </c>
      <c r="S14" s="94"/>
      <c r="T14" s="95"/>
      <c r="U14" s="652"/>
      <c r="V14" s="652"/>
      <c r="W14" s="680">
        <f>R19</f>
        <v>172981345</v>
      </c>
      <c r="X14" s="94"/>
      <c r="Y14" s="95"/>
      <c r="Z14" s="652"/>
      <c r="AA14" s="652"/>
      <c r="AB14" s="680">
        <f>W19</f>
        <v>170907699</v>
      </c>
      <c r="AC14" s="94"/>
      <c r="AD14" s="95"/>
      <c r="AE14" s="652"/>
      <c r="AF14" s="652"/>
      <c r="AG14" s="680">
        <f>AB19</f>
        <v>169083708</v>
      </c>
      <c r="AH14" s="94"/>
      <c r="AI14" s="95"/>
      <c r="AJ14" s="652"/>
      <c r="AK14" s="652"/>
      <c r="AL14" s="680">
        <f>AG19</f>
        <v>168176276</v>
      </c>
      <c r="AM14" s="94"/>
      <c r="AN14" s="95"/>
      <c r="AO14" s="652"/>
      <c r="AP14" s="652"/>
      <c r="AQ14" s="680">
        <f>AL19</f>
        <v>169665345</v>
      </c>
      <c r="AR14" s="94"/>
      <c r="AS14" s="95"/>
      <c r="AT14" s="652"/>
      <c r="AU14" s="652"/>
      <c r="AV14" s="680">
        <f>AQ19</f>
        <v>166304630</v>
      </c>
      <c r="AW14" s="94"/>
      <c r="AX14" s="95"/>
      <c r="AY14" s="652"/>
      <c r="AZ14" s="652"/>
      <c r="BA14" s="680">
        <f>AV19</f>
        <v>164446646</v>
      </c>
      <c r="BB14" s="94"/>
      <c r="BC14" s="95"/>
      <c r="BD14" s="652"/>
      <c r="BE14" s="652"/>
      <c r="BF14" s="680">
        <f>BA19</f>
        <v>157446097</v>
      </c>
      <c r="BG14" s="94"/>
      <c r="BH14" s="95"/>
      <c r="BI14" s="652"/>
      <c r="BJ14" s="652"/>
      <c r="BK14" s="680">
        <f>BF19</f>
        <v>161501086</v>
      </c>
      <c r="BL14" s="94"/>
      <c r="BM14" s="95"/>
      <c r="BN14" s="652"/>
      <c r="BO14" s="652"/>
      <c r="BP14" s="680">
        <f>BK19</f>
        <v>0</v>
      </c>
      <c r="BQ14" s="94"/>
      <c r="BR14" s="95"/>
      <c r="BS14" s="652"/>
      <c r="BT14" s="652"/>
      <c r="BU14" s="681">
        <f>M14</f>
        <v>145289346</v>
      </c>
      <c r="BV14" s="94"/>
      <c r="BW14" s="95"/>
      <c r="BX14" s="652"/>
      <c r="BY14" s="652"/>
      <c r="BZ14" s="680">
        <v>139049630</v>
      </c>
      <c r="CA14" s="94"/>
      <c r="CB14" s="95"/>
      <c r="CC14" s="652"/>
      <c r="CD14" s="652"/>
      <c r="CE14" s="680">
        <v>139049630</v>
      </c>
      <c r="CF14" s="94"/>
      <c r="CG14" s="95"/>
      <c r="CH14" s="652"/>
      <c r="CI14" s="652"/>
      <c r="CJ14" s="680">
        <f>CE19</f>
        <v>137054271</v>
      </c>
      <c r="CK14" s="94"/>
      <c r="CL14" s="95"/>
      <c r="CM14" s="652"/>
      <c r="CN14" s="652"/>
      <c r="CO14" s="680">
        <f>CJ19</f>
        <v>136607709</v>
      </c>
      <c r="CP14" s="94"/>
      <c r="CQ14" s="95"/>
      <c r="CR14" s="652"/>
      <c r="CS14" s="652"/>
      <c r="CT14" s="680">
        <f>CO19</f>
        <v>148178204</v>
      </c>
      <c r="CU14" s="94"/>
      <c r="CV14" s="95"/>
      <c r="CW14" s="652"/>
      <c r="CX14" s="652"/>
      <c r="CY14" s="680">
        <f>CT19</f>
        <v>146233206</v>
      </c>
      <c r="CZ14" s="94"/>
      <c r="DA14" s="95"/>
      <c r="DB14" s="652"/>
      <c r="DC14" s="652"/>
      <c r="DD14" s="680">
        <f>CY19</f>
        <v>144539099</v>
      </c>
      <c r="DE14" s="94"/>
      <c r="DF14" s="95"/>
      <c r="DG14" s="652"/>
      <c r="DH14" s="652"/>
      <c r="DI14" s="680">
        <f>DD19</f>
        <v>136722463</v>
      </c>
      <c r="DJ14" s="94"/>
      <c r="DK14" s="95"/>
      <c r="DL14" s="652"/>
      <c r="DM14" s="652"/>
      <c r="DN14" s="680">
        <f>DI19</f>
        <v>134466283</v>
      </c>
      <c r="DO14" s="94"/>
      <c r="DP14" s="95"/>
      <c r="DQ14" s="652"/>
      <c r="DR14" s="652"/>
      <c r="DS14" s="680">
        <f>DN19</f>
        <v>148540639</v>
      </c>
      <c r="DT14" s="94"/>
      <c r="DU14" s="95"/>
      <c r="DV14" s="652"/>
      <c r="DW14" s="652"/>
      <c r="DX14" s="680">
        <f>DS19</f>
        <v>142485704</v>
      </c>
      <c r="DY14" s="94"/>
      <c r="DZ14" s="95"/>
      <c r="EA14" s="652"/>
      <c r="EB14" s="652"/>
      <c r="EC14" s="680">
        <f>DX19</f>
        <v>141049011</v>
      </c>
      <c r="ED14" s="94"/>
      <c r="EE14" s="95"/>
      <c r="EF14" s="652"/>
      <c r="EG14" s="652"/>
      <c r="EH14" s="680">
        <f>EC19</f>
        <v>140242471</v>
      </c>
      <c r="EI14" s="94"/>
      <c r="EJ14" s="95"/>
      <c r="EK14" s="652"/>
      <c r="EL14" s="652"/>
      <c r="EM14" s="680">
        <f>CE14</f>
        <v>139049630</v>
      </c>
      <c r="EN14" s="94"/>
      <c r="EO14" s="95"/>
      <c r="EP14" s="679"/>
      <c r="ES14" s="42"/>
    </row>
    <row r="15" spans="4:149" x14ac:dyDescent="0.3">
      <c r="D15" s="144" t="s">
        <v>471</v>
      </c>
      <c r="F15" s="494"/>
      <c r="G15" s="494"/>
      <c r="H15" s="90">
        <v>0</v>
      </c>
      <c r="I15" s="94"/>
      <c r="J15" s="95"/>
      <c r="K15" s="652"/>
      <c r="L15" s="652"/>
      <c r="M15" s="90">
        <v>0</v>
      </c>
      <c r="N15" s="94"/>
      <c r="O15" s="95"/>
      <c r="P15" s="652"/>
      <c r="Q15" s="652"/>
      <c r="R15" s="90">
        <f>M20</f>
        <v>0</v>
      </c>
      <c r="S15" s="94"/>
      <c r="T15" s="95"/>
      <c r="U15" s="652"/>
      <c r="V15" s="652"/>
      <c r="W15" s="90">
        <f>R20</f>
        <v>0</v>
      </c>
      <c r="X15" s="94"/>
      <c r="Y15" s="95"/>
      <c r="Z15" s="652"/>
      <c r="AA15" s="652"/>
      <c r="AB15" s="90">
        <f>W20</f>
        <v>0</v>
      </c>
      <c r="AC15" s="94"/>
      <c r="AD15" s="95"/>
      <c r="AE15" s="652"/>
      <c r="AF15" s="652"/>
      <c r="AG15" s="90">
        <f>AB20</f>
        <v>0</v>
      </c>
      <c r="AH15" s="94"/>
      <c r="AI15" s="95"/>
      <c r="AJ15" s="652"/>
      <c r="AK15" s="652"/>
      <c r="AL15" s="90">
        <f>AG20</f>
        <v>0</v>
      </c>
      <c r="AM15" s="94"/>
      <c r="AN15" s="95"/>
      <c r="AO15" s="652"/>
      <c r="AP15" s="652"/>
      <c r="AQ15" s="90">
        <f>AL20</f>
        <v>0</v>
      </c>
      <c r="AR15" s="94"/>
      <c r="AS15" s="95"/>
      <c r="AT15" s="652"/>
      <c r="AU15" s="652"/>
      <c r="AV15" s="90">
        <f>AQ20</f>
        <v>0</v>
      </c>
      <c r="AW15" s="94"/>
      <c r="AX15" s="95"/>
      <c r="AY15" s="652"/>
      <c r="AZ15" s="652"/>
      <c r="BA15" s="90">
        <f>AV20</f>
        <v>0</v>
      </c>
      <c r="BB15" s="94"/>
      <c r="BC15" s="95"/>
      <c r="BD15" s="652"/>
      <c r="BE15" s="652"/>
      <c r="BF15" s="90">
        <f>BA20</f>
        <v>30000000</v>
      </c>
      <c r="BG15" s="94"/>
      <c r="BH15" s="95"/>
      <c r="BI15" s="652"/>
      <c r="BJ15" s="652"/>
      <c r="BK15" s="90">
        <f>BF20</f>
        <v>20000000</v>
      </c>
      <c r="BL15" s="94"/>
      <c r="BM15" s="95"/>
      <c r="BN15" s="652"/>
      <c r="BO15" s="652"/>
      <c r="BP15" s="90">
        <f>BK20</f>
        <v>0</v>
      </c>
      <c r="BQ15" s="94"/>
      <c r="BR15" s="95"/>
      <c r="BS15" s="652"/>
      <c r="BT15" s="652"/>
      <c r="BU15" s="52">
        <f>M15</f>
        <v>0</v>
      </c>
      <c r="BV15" s="94"/>
      <c r="BW15" s="95"/>
      <c r="BX15" s="652"/>
      <c r="BY15" s="652"/>
      <c r="BZ15" s="90">
        <v>0</v>
      </c>
      <c r="CA15" s="94"/>
      <c r="CB15" s="95"/>
      <c r="CC15" s="652"/>
      <c r="CD15" s="652"/>
      <c r="CE15" s="90">
        <v>0</v>
      </c>
      <c r="CF15" s="94"/>
      <c r="CG15" s="95"/>
      <c r="CH15" s="652"/>
      <c r="CI15" s="652"/>
      <c r="CJ15" s="90">
        <f>CE20</f>
        <v>0</v>
      </c>
      <c r="CK15" s="94"/>
      <c r="CL15" s="95"/>
      <c r="CM15" s="652"/>
      <c r="CN15" s="652"/>
      <c r="CO15" s="90">
        <f>CJ20</f>
        <v>0</v>
      </c>
      <c r="CP15" s="94"/>
      <c r="CQ15" s="95"/>
      <c r="CR15" s="652"/>
      <c r="CS15" s="652"/>
      <c r="CT15" s="90">
        <f>CO20</f>
        <v>0</v>
      </c>
      <c r="CU15" s="94"/>
      <c r="CV15" s="95"/>
      <c r="CW15" s="652"/>
      <c r="CX15" s="652"/>
      <c r="CY15" s="90">
        <f>CT20</f>
        <v>0</v>
      </c>
      <c r="CZ15" s="94"/>
      <c r="DA15" s="95"/>
      <c r="DB15" s="652"/>
      <c r="DC15" s="652"/>
      <c r="DD15" s="90">
        <f>CY20</f>
        <v>0</v>
      </c>
      <c r="DE15" s="94"/>
      <c r="DF15" s="95"/>
      <c r="DG15" s="652"/>
      <c r="DH15" s="652"/>
      <c r="DI15" s="90">
        <f>DD20</f>
        <v>0</v>
      </c>
      <c r="DJ15" s="94"/>
      <c r="DK15" s="95"/>
      <c r="DL15" s="652"/>
      <c r="DM15" s="652"/>
      <c r="DN15" s="90">
        <f>DI20</f>
        <v>0</v>
      </c>
      <c r="DO15" s="94"/>
      <c r="DP15" s="95"/>
      <c r="DQ15" s="652"/>
      <c r="DR15" s="652"/>
      <c r="DS15" s="90">
        <f>DN20</f>
        <v>0</v>
      </c>
      <c r="DT15" s="94"/>
      <c r="DU15" s="95"/>
      <c r="DV15" s="652"/>
      <c r="DW15" s="652"/>
      <c r="DX15" s="90">
        <f>DS20</f>
        <v>0</v>
      </c>
      <c r="DY15" s="94"/>
      <c r="DZ15" s="95"/>
      <c r="EA15" s="652"/>
      <c r="EB15" s="652"/>
      <c r="EC15" s="90">
        <f>DX20</f>
        <v>0</v>
      </c>
      <c r="ED15" s="94"/>
      <c r="EE15" s="95"/>
      <c r="EF15" s="652"/>
      <c r="EG15" s="652"/>
      <c r="EH15" s="90"/>
      <c r="EI15" s="94"/>
      <c r="EJ15" s="95"/>
      <c r="EK15" s="652"/>
      <c r="EL15" s="652"/>
      <c r="EM15" s="90">
        <f>CE15</f>
        <v>0</v>
      </c>
      <c r="EN15" s="94"/>
      <c r="EO15" s="95"/>
      <c r="EP15" s="679"/>
      <c r="ES15" s="42"/>
    </row>
    <row r="16" spans="4:149" x14ac:dyDescent="0.3">
      <c r="D16" s="144" t="s">
        <v>472</v>
      </c>
      <c r="F16" s="494"/>
      <c r="G16" s="494"/>
      <c r="H16" s="682">
        <v>128695533</v>
      </c>
      <c r="I16" s="94"/>
      <c r="J16" s="95"/>
      <c r="K16" s="652"/>
      <c r="L16" s="652"/>
      <c r="M16" s="682">
        <v>128695533</v>
      </c>
      <c r="N16" s="94"/>
      <c r="O16" s="95"/>
      <c r="P16" s="652"/>
      <c r="Q16" s="652"/>
      <c r="R16" s="682">
        <f>M21</f>
        <v>108403175</v>
      </c>
      <c r="S16" s="94"/>
      <c r="T16" s="95"/>
      <c r="U16" s="652"/>
      <c r="V16" s="652"/>
      <c r="W16" s="682">
        <f>R21</f>
        <v>114741326</v>
      </c>
      <c r="X16" s="94"/>
      <c r="Y16" s="95"/>
      <c r="Z16" s="652"/>
      <c r="AA16" s="652"/>
      <c r="AB16" s="682">
        <f>W21</f>
        <v>224891115</v>
      </c>
      <c r="AC16" s="94"/>
      <c r="AD16" s="95"/>
      <c r="AE16" s="652"/>
      <c r="AF16" s="652"/>
      <c r="AG16" s="682">
        <f>AB21</f>
        <v>191548216</v>
      </c>
      <c r="AH16" s="94"/>
      <c r="AI16" s="95"/>
      <c r="AJ16" s="652"/>
      <c r="AK16" s="652"/>
      <c r="AL16" s="682">
        <f>AG21</f>
        <v>129864367</v>
      </c>
      <c r="AM16" s="94"/>
      <c r="AN16" s="95"/>
      <c r="AO16" s="652"/>
      <c r="AP16" s="652"/>
      <c r="AQ16" s="682">
        <f>AL21</f>
        <v>158337940</v>
      </c>
      <c r="AR16" s="94"/>
      <c r="AS16" s="95"/>
      <c r="AT16" s="652"/>
      <c r="AU16" s="652"/>
      <c r="AV16" s="682">
        <f>AQ21</f>
        <v>145123495</v>
      </c>
      <c r="AW16" s="94"/>
      <c r="AX16" s="95"/>
      <c r="AY16" s="652"/>
      <c r="AZ16" s="652"/>
      <c r="BA16" s="682">
        <f>AV21</f>
        <v>143950568</v>
      </c>
      <c r="BB16" s="94"/>
      <c r="BC16" s="95"/>
      <c r="BD16" s="652"/>
      <c r="BE16" s="652"/>
      <c r="BF16" s="682">
        <f>BA21</f>
        <v>176982687</v>
      </c>
      <c r="BG16" s="94"/>
      <c r="BH16" s="95"/>
      <c r="BI16" s="652"/>
      <c r="BJ16" s="652"/>
      <c r="BK16" s="682">
        <f>BF21</f>
        <v>108461484</v>
      </c>
      <c r="BL16" s="94"/>
      <c r="BM16" s="95"/>
      <c r="BN16" s="652"/>
      <c r="BO16" s="652"/>
      <c r="BP16" s="682">
        <f>BK21</f>
        <v>0</v>
      </c>
      <c r="BQ16" s="94"/>
      <c r="BR16" s="95"/>
      <c r="BS16" s="652"/>
      <c r="BT16" s="652"/>
      <c r="BU16" s="115">
        <f>M16</f>
        <v>128695533</v>
      </c>
      <c r="BV16" s="94"/>
      <c r="BW16" s="95"/>
      <c r="BX16" s="652"/>
      <c r="BY16" s="652"/>
      <c r="BZ16" s="682">
        <v>198554050</v>
      </c>
      <c r="CA16" s="94"/>
      <c r="CB16" s="95"/>
      <c r="CC16" s="652"/>
      <c r="CD16" s="652"/>
      <c r="CE16" s="682">
        <v>198554050</v>
      </c>
      <c r="CF16" s="94"/>
      <c r="CG16" s="95"/>
      <c r="CH16" s="652"/>
      <c r="CI16" s="652"/>
      <c r="CJ16" s="682">
        <f>CE21</f>
        <v>154467189</v>
      </c>
      <c r="CK16" s="94"/>
      <c r="CL16" s="95"/>
      <c r="CM16" s="652"/>
      <c r="CN16" s="652"/>
      <c r="CO16" s="682">
        <f>CJ21</f>
        <v>168238696</v>
      </c>
      <c r="CP16" s="94"/>
      <c r="CQ16" s="95"/>
      <c r="CR16" s="652"/>
      <c r="CS16" s="652"/>
      <c r="CT16" s="682">
        <f>CO21</f>
        <v>264685476</v>
      </c>
      <c r="CU16" s="94"/>
      <c r="CV16" s="95"/>
      <c r="CW16" s="652"/>
      <c r="CX16" s="652"/>
      <c r="CY16" s="682">
        <f>CT21</f>
        <v>154499911</v>
      </c>
      <c r="CZ16" s="94"/>
      <c r="DA16" s="95"/>
      <c r="DB16" s="652"/>
      <c r="DC16" s="652"/>
      <c r="DD16" s="682">
        <f>CY21</f>
        <v>136815148</v>
      </c>
      <c r="DE16" s="94"/>
      <c r="DF16" s="95"/>
      <c r="DG16" s="652"/>
      <c r="DH16" s="652"/>
      <c r="DI16" s="682">
        <f>DD21</f>
        <v>153720918</v>
      </c>
      <c r="DJ16" s="94"/>
      <c r="DK16" s="95"/>
      <c r="DL16" s="652"/>
      <c r="DM16" s="652"/>
      <c r="DN16" s="682">
        <f>DI21</f>
        <v>147320685</v>
      </c>
      <c r="DO16" s="94"/>
      <c r="DP16" s="95"/>
      <c r="DQ16" s="652"/>
      <c r="DR16" s="652"/>
      <c r="DS16" s="682">
        <f>DN21</f>
        <v>145004946</v>
      </c>
      <c r="DT16" s="94"/>
      <c r="DU16" s="95"/>
      <c r="DV16" s="652"/>
      <c r="DW16" s="652"/>
      <c r="DX16" s="682">
        <f>DS21</f>
        <v>214883948</v>
      </c>
      <c r="DY16" s="94"/>
      <c r="DZ16" s="95"/>
      <c r="EA16" s="652"/>
      <c r="EB16" s="652"/>
      <c r="EC16" s="682">
        <f>DX21</f>
        <v>106624472</v>
      </c>
      <c r="ED16" s="94"/>
      <c r="EE16" s="95"/>
      <c r="EF16" s="652"/>
      <c r="EG16" s="652"/>
      <c r="EH16" s="682">
        <f>EC21</f>
        <v>133773028</v>
      </c>
      <c r="EI16" s="94"/>
      <c r="EJ16" s="95"/>
      <c r="EK16" s="652"/>
      <c r="EL16" s="652"/>
      <c r="EM16" s="682">
        <f>CE16</f>
        <v>198554050</v>
      </c>
      <c r="EN16" s="94"/>
      <c r="EO16" s="95"/>
      <c r="EP16" s="679"/>
      <c r="ES16" s="42"/>
    </row>
    <row r="17" spans="4:154" x14ac:dyDescent="0.3">
      <c r="D17" s="144"/>
      <c r="F17" s="494"/>
      <c r="G17" s="494"/>
      <c r="H17" s="95"/>
      <c r="I17" s="94"/>
      <c r="J17" s="95"/>
      <c r="K17" s="652"/>
      <c r="L17" s="652"/>
      <c r="M17" s="95"/>
      <c r="N17" s="94"/>
      <c r="O17" s="95"/>
      <c r="P17" s="652"/>
      <c r="Q17" s="652"/>
      <c r="R17" s="95"/>
      <c r="S17" s="94"/>
      <c r="T17" s="95"/>
      <c r="U17" s="652"/>
      <c r="V17" s="652"/>
      <c r="W17" s="95"/>
      <c r="X17" s="94"/>
      <c r="Y17" s="95"/>
      <c r="Z17" s="652"/>
      <c r="AA17" s="652"/>
      <c r="AB17" s="95"/>
      <c r="AC17" s="94"/>
      <c r="AD17" s="95"/>
      <c r="AE17" s="652"/>
      <c r="AF17" s="652"/>
      <c r="AG17" s="95"/>
      <c r="AH17" s="94"/>
      <c r="AI17" s="95"/>
      <c r="AJ17" s="652"/>
      <c r="AK17" s="652"/>
      <c r="AL17" s="95"/>
      <c r="AM17" s="94"/>
      <c r="AN17" s="95"/>
      <c r="AO17" s="652"/>
      <c r="AP17" s="652"/>
      <c r="AQ17" s="95"/>
      <c r="AR17" s="94"/>
      <c r="AS17" s="95"/>
      <c r="AT17" s="652"/>
      <c r="AU17" s="652"/>
      <c r="AV17" s="95"/>
      <c r="AW17" s="94"/>
      <c r="AX17" s="95"/>
      <c r="AY17" s="652"/>
      <c r="AZ17" s="652"/>
      <c r="BA17" s="95"/>
      <c r="BB17" s="94"/>
      <c r="BC17" s="95"/>
      <c r="BD17" s="652"/>
      <c r="BE17" s="652"/>
      <c r="BF17" s="95"/>
      <c r="BG17" s="94"/>
      <c r="BH17" s="95"/>
      <c r="BI17" s="652"/>
      <c r="BJ17" s="652"/>
      <c r="BK17" s="95"/>
      <c r="BL17" s="94"/>
      <c r="BM17" s="95"/>
      <c r="BN17" s="652"/>
      <c r="BO17" s="652"/>
      <c r="BP17" s="95"/>
      <c r="BQ17" s="94"/>
      <c r="BR17" s="95"/>
      <c r="BS17" s="652"/>
      <c r="BT17" s="652"/>
      <c r="BU17" s="95"/>
      <c r="BV17" s="94"/>
      <c r="BW17" s="95"/>
      <c r="BX17" s="652"/>
      <c r="BY17" s="652"/>
      <c r="BZ17" s="95"/>
      <c r="CA17" s="94"/>
      <c r="CB17" s="95"/>
      <c r="CC17" s="652"/>
      <c r="CD17" s="652"/>
      <c r="CE17" s="95"/>
      <c r="CF17" s="94"/>
      <c r="CG17" s="95"/>
      <c r="CH17" s="652"/>
      <c r="CI17" s="652"/>
      <c r="CJ17" s="95"/>
      <c r="CK17" s="94"/>
      <c r="CL17" s="95"/>
      <c r="CM17" s="652"/>
      <c r="CN17" s="652"/>
      <c r="CO17" s="95"/>
      <c r="CP17" s="94"/>
      <c r="CQ17" s="95"/>
      <c r="CR17" s="652"/>
      <c r="CS17" s="652"/>
      <c r="CT17" s="95"/>
      <c r="CU17" s="94"/>
      <c r="CV17" s="95"/>
      <c r="CW17" s="652"/>
      <c r="CX17" s="652"/>
      <c r="CY17" s="95"/>
      <c r="CZ17" s="94"/>
      <c r="DA17" s="95"/>
      <c r="DB17" s="652"/>
      <c r="DC17" s="652"/>
      <c r="DD17" s="95"/>
      <c r="DE17" s="94"/>
      <c r="DF17" s="95"/>
      <c r="DG17" s="652"/>
      <c r="DH17" s="652"/>
      <c r="DI17" s="95"/>
      <c r="DJ17" s="94"/>
      <c r="DK17" s="95"/>
      <c r="DL17" s="652"/>
      <c r="DM17" s="652"/>
      <c r="DN17" s="95"/>
      <c r="DO17" s="94"/>
      <c r="DP17" s="95"/>
      <c r="DQ17" s="652"/>
      <c r="DR17" s="652"/>
      <c r="DS17" s="95"/>
      <c r="DT17" s="94"/>
      <c r="DU17" s="95"/>
      <c r="DV17" s="652"/>
      <c r="DW17" s="652"/>
      <c r="DX17" s="95"/>
      <c r="DY17" s="94"/>
      <c r="DZ17" s="95"/>
      <c r="EA17" s="652"/>
      <c r="EB17" s="652"/>
      <c r="EC17" s="95"/>
      <c r="ED17" s="94"/>
      <c r="EE17" s="95"/>
      <c r="EF17" s="652"/>
      <c r="EG17" s="652"/>
      <c r="EH17" s="95"/>
      <c r="EI17" s="94"/>
      <c r="EJ17" s="95"/>
      <c r="EK17" s="652"/>
      <c r="EL17" s="652"/>
      <c r="EM17" s="95"/>
      <c r="EN17" s="94"/>
      <c r="EO17" s="95"/>
      <c r="EP17" s="679"/>
      <c r="ER17" s="42"/>
      <c r="ES17" s="42"/>
    </row>
    <row r="18" spans="4:154" x14ac:dyDescent="0.3">
      <c r="D18" s="144" t="s">
        <v>473</v>
      </c>
      <c r="F18" s="494"/>
      <c r="G18" s="494"/>
      <c r="H18" s="95">
        <f>SUM(H19:H21)</f>
        <v>231907000</v>
      </c>
      <c r="I18" s="94"/>
      <c r="J18" s="95"/>
      <c r="K18" s="652"/>
      <c r="L18" s="652"/>
      <c r="M18" s="95">
        <f>SUM(M19:M21)</f>
        <v>297696898</v>
      </c>
      <c r="N18" s="94"/>
      <c r="O18" s="95"/>
      <c r="P18" s="652"/>
      <c r="Q18" s="652"/>
      <c r="R18" s="95">
        <f>SUM(R19:R21)</f>
        <v>287722671</v>
      </c>
      <c r="S18" s="94"/>
      <c r="T18" s="95"/>
      <c r="U18" s="652"/>
      <c r="V18" s="652"/>
      <c r="W18" s="95">
        <f>SUM(W19:W21)</f>
        <v>395798814</v>
      </c>
      <c r="X18" s="94"/>
      <c r="Y18" s="95"/>
      <c r="Z18" s="652"/>
      <c r="AA18" s="652"/>
      <c r="AB18" s="95">
        <f>SUM(AB19:AB21)</f>
        <v>360631924</v>
      </c>
      <c r="AC18" s="94"/>
      <c r="AD18" s="95"/>
      <c r="AE18" s="652"/>
      <c r="AF18" s="652"/>
      <c r="AG18" s="95">
        <f>SUM(AG19:AG21)</f>
        <v>298040643</v>
      </c>
      <c r="AH18" s="94"/>
      <c r="AI18" s="95"/>
      <c r="AJ18" s="652"/>
      <c r="AK18" s="652"/>
      <c r="AL18" s="95">
        <f>SUM(AL19:AL21)</f>
        <v>328003285</v>
      </c>
      <c r="AM18" s="94"/>
      <c r="AN18" s="95"/>
      <c r="AO18" s="652"/>
      <c r="AP18" s="652"/>
      <c r="AQ18" s="95">
        <f>SUM(AQ19:AQ21)</f>
        <v>311428125</v>
      </c>
      <c r="AR18" s="94"/>
      <c r="AS18" s="95"/>
      <c r="AT18" s="652"/>
      <c r="AU18" s="652"/>
      <c r="AV18" s="95">
        <f>SUM(AV19:AV21)</f>
        <v>308397214</v>
      </c>
      <c r="AW18" s="94"/>
      <c r="AX18" s="95"/>
      <c r="AY18" s="652"/>
      <c r="AZ18" s="652"/>
      <c r="BA18" s="95">
        <f>SUM(BA19:BA21)</f>
        <v>364428784</v>
      </c>
      <c r="BB18" s="94"/>
      <c r="BC18" s="95"/>
      <c r="BD18" s="652"/>
      <c r="BE18" s="652"/>
      <c r="BF18" s="95">
        <f>SUM(BF19:BF21)</f>
        <v>289962570</v>
      </c>
      <c r="BG18" s="94"/>
      <c r="BH18" s="95"/>
      <c r="BI18" s="652"/>
      <c r="BJ18" s="652"/>
      <c r="BK18" s="95">
        <f>SUM(BK19:BK21)</f>
        <v>0</v>
      </c>
      <c r="BL18" s="94"/>
      <c r="BM18" s="95"/>
      <c r="BN18" s="652"/>
      <c r="BO18" s="652"/>
      <c r="BP18" s="95">
        <f>SUM(BP19:BP21)</f>
        <v>0</v>
      </c>
      <c r="BQ18" s="94"/>
      <c r="BR18" s="95"/>
      <c r="BS18" s="652"/>
      <c r="BT18" s="652"/>
      <c r="BU18" s="95">
        <f>SUM(BU19:BU21)</f>
        <v>289962570</v>
      </c>
      <c r="BV18" s="94"/>
      <c r="BW18" s="95"/>
      <c r="BX18" s="652"/>
      <c r="BY18" s="652"/>
      <c r="BZ18" s="95">
        <f>SUM(BZ19:BZ21)</f>
        <v>273984879</v>
      </c>
      <c r="CA18" s="94"/>
      <c r="CB18" s="95"/>
      <c r="CC18" s="652"/>
      <c r="CD18" s="652"/>
      <c r="CE18" s="95">
        <f>SUM(CE19:CE21)</f>
        <v>291521460</v>
      </c>
      <c r="CF18" s="94"/>
      <c r="CG18" s="95"/>
      <c r="CH18" s="652"/>
      <c r="CI18" s="652"/>
      <c r="CJ18" s="95">
        <f>SUM(CJ19:CJ21)</f>
        <v>304846405</v>
      </c>
      <c r="CK18" s="94"/>
      <c r="CL18" s="95"/>
      <c r="CM18" s="652"/>
      <c r="CN18" s="652"/>
      <c r="CO18" s="95">
        <f>SUM(CO19:CO21)</f>
        <v>412863680</v>
      </c>
      <c r="CP18" s="94"/>
      <c r="CQ18" s="95"/>
      <c r="CR18" s="652"/>
      <c r="CS18" s="652"/>
      <c r="CT18" s="95">
        <f>SUM(CT19:CT21)</f>
        <v>300733117</v>
      </c>
      <c r="CU18" s="94"/>
      <c r="CV18" s="95"/>
      <c r="CW18" s="652"/>
      <c r="CX18" s="652"/>
      <c r="CY18" s="95">
        <f>SUM(CY19:CY21)</f>
        <v>281354247</v>
      </c>
      <c r="CZ18" s="94"/>
      <c r="DA18" s="95"/>
      <c r="DB18" s="652"/>
      <c r="DC18" s="652"/>
      <c r="DD18" s="95">
        <f>SUM(DD19:DD21)</f>
        <v>290443381</v>
      </c>
      <c r="DE18" s="94"/>
      <c r="DF18" s="95"/>
      <c r="DG18" s="652"/>
      <c r="DH18" s="652"/>
      <c r="DI18" s="95">
        <f>SUM(DI19:DI21)</f>
        <v>281786968</v>
      </c>
      <c r="DJ18" s="94"/>
      <c r="DK18" s="95"/>
      <c r="DL18" s="652"/>
      <c r="DM18" s="652"/>
      <c r="DN18" s="95">
        <f>SUM(DN19:DN21)</f>
        <v>293545585</v>
      </c>
      <c r="DO18" s="94"/>
      <c r="DP18" s="95"/>
      <c r="DQ18" s="652"/>
      <c r="DR18" s="652"/>
      <c r="DS18" s="95">
        <f>SUM(DS19:DS21)</f>
        <v>357369652</v>
      </c>
      <c r="DT18" s="94"/>
      <c r="DU18" s="95"/>
      <c r="DV18" s="652"/>
      <c r="DW18" s="652"/>
      <c r="DX18" s="95">
        <f>SUM(DX19:DX21)</f>
        <v>247673483</v>
      </c>
      <c r="DY18" s="94"/>
      <c r="DZ18" s="95"/>
      <c r="EA18" s="652"/>
      <c r="EB18" s="652"/>
      <c r="EC18" s="95">
        <f>SUM(EC19:EC21)</f>
        <v>274015499</v>
      </c>
      <c r="ED18" s="94"/>
      <c r="EE18" s="95"/>
      <c r="EF18" s="652"/>
      <c r="EG18" s="652"/>
      <c r="EH18" s="95">
        <f>SUM(EH19:EH21)</f>
        <v>273984879</v>
      </c>
      <c r="EI18" s="94"/>
      <c r="EJ18" s="95"/>
      <c r="EK18" s="652"/>
      <c r="EL18" s="652"/>
      <c r="EM18" s="95">
        <f>SUM(EM19:EM21)</f>
        <v>247673483</v>
      </c>
      <c r="EN18" s="94"/>
      <c r="EO18" s="95"/>
      <c r="EP18" s="679"/>
      <c r="ER18" s="42"/>
      <c r="ES18" s="42"/>
    </row>
    <row r="19" spans="4:154" x14ac:dyDescent="0.3">
      <c r="D19" s="144" t="s">
        <v>470</v>
      </c>
      <c r="F19" s="494"/>
      <c r="G19" s="494"/>
      <c r="H19" s="680">
        <v>124462000</v>
      </c>
      <c r="I19" s="94"/>
      <c r="J19" s="95"/>
      <c r="K19" s="652"/>
      <c r="L19" s="652"/>
      <c r="M19" s="680">
        <v>189293723</v>
      </c>
      <c r="N19" s="94"/>
      <c r="O19" s="95"/>
      <c r="P19" s="652"/>
      <c r="Q19" s="652"/>
      <c r="R19" s="680">
        <v>172981345</v>
      </c>
      <c r="S19" s="94"/>
      <c r="T19" s="95"/>
      <c r="U19" s="652"/>
      <c r="V19" s="652"/>
      <c r="W19" s="680">
        <v>170907699</v>
      </c>
      <c r="X19" s="94"/>
      <c r="Y19" s="95"/>
      <c r="Z19" s="652"/>
      <c r="AA19" s="652"/>
      <c r="AB19" s="680">
        <v>169083708</v>
      </c>
      <c r="AC19" s="94"/>
      <c r="AD19" s="95"/>
      <c r="AE19" s="652"/>
      <c r="AF19" s="652"/>
      <c r="AG19" s="680">
        <v>168176276</v>
      </c>
      <c r="AH19" s="94"/>
      <c r="AI19" s="95"/>
      <c r="AJ19" s="652"/>
      <c r="AK19" s="652"/>
      <c r="AL19" s="680">
        <v>169665345</v>
      </c>
      <c r="AM19" s="94"/>
      <c r="AN19" s="95"/>
      <c r="AO19" s="652"/>
      <c r="AP19" s="652"/>
      <c r="AQ19" s="680">
        <v>166304630</v>
      </c>
      <c r="AR19" s="94"/>
      <c r="AS19" s="95"/>
      <c r="AT19" s="652"/>
      <c r="AU19" s="652"/>
      <c r="AV19" s="680">
        <v>164446646</v>
      </c>
      <c r="AW19" s="94"/>
      <c r="AX19" s="95"/>
      <c r="AY19" s="652"/>
      <c r="AZ19" s="652"/>
      <c r="BA19" s="680">
        <v>157446097</v>
      </c>
      <c r="BB19" s="94"/>
      <c r="BC19" s="95"/>
      <c r="BD19" s="652"/>
      <c r="BE19" s="652"/>
      <c r="BF19" s="680">
        <v>161501086</v>
      </c>
      <c r="BG19" s="94"/>
      <c r="BH19" s="95"/>
      <c r="BI19" s="652"/>
      <c r="BJ19" s="652"/>
      <c r="BK19" s="680">
        <v>0</v>
      </c>
      <c r="BL19" s="94"/>
      <c r="BM19" s="95"/>
      <c r="BN19" s="652"/>
      <c r="BO19" s="652"/>
      <c r="BP19" s="680">
        <v>0</v>
      </c>
      <c r="BQ19" s="94"/>
      <c r="BR19" s="95"/>
      <c r="BS19" s="652"/>
      <c r="BT19" s="652"/>
      <c r="BU19" s="680">
        <f>+BF19</f>
        <v>161501086</v>
      </c>
      <c r="BV19" s="94"/>
      <c r="BW19" s="95"/>
      <c r="BX19" s="652"/>
      <c r="BY19" s="652"/>
      <c r="BZ19" s="680">
        <v>145289346</v>
      </c>
      <c r="CA19" s="94"/>
      <c r="CB19" s="95"/>
      <c r="CC19" s="652"/>
      <c r="CD19" s="652"/>
      <c r="CE19" s="680">
        <v>137054271</v>
      </c>
      <c r="CF19" s="94"/>
      <c r="CG19" s="95"/>
      <c r="CH19" s="652"/>
      <c r="CI19" s="652"/>
      <c r="CJ19" s="680">
        <v>136607709</v>
      </c>
      <c r="CK19" s="94"/>
      <c r="CL19" s="95"/>
      <c r="CM19" s="652"/>
      <c r="CN19" s="652"/>
      <c r="CO19" s="680">
        <v>148178204</v>
      </c>
      <c r="CP19" s="94"/>
      <c r="CQ19" s="95"/>
      <c r="CR19" s="652"/>
      <c r="CS19" s="652"/>
      <c r="CT19" s="680">
        <v>146233206</v>
      </c>
      <c r="CU19" s="94"/>
      <c r="CV19" s="95"/>
      <c r="CW19" s="652"/>
      <c r="CX19" s="652"/>
      <c r="CY19" s="680">
        <v>144539099</v>
      </c>
      <c r="CZ19" s="94"/>
      <c r="DA19" s="95"/>
      <c r="DB19" s="652"/>
      <c r="DC19" s="652"/>
      <c r="DD19" s="680">
        <v>136722463</v>
      </c>
      <c r="DE19" s="94"/>
      <c r="DF19" s="95"/>
      <c r="DG19" s="652"/>
      <c r="DH19" s="652"/>
      <c r="DI19" s="680">
        <v>134466283</v>
      </c>
      <c r="DJ19" s="94"/>
      <c r="DK19" s="95"/>
      <c r="DL19" s="652"/>
      <c r="DM19" s="652"/>
      <c r="DN19" s="680">
        <v>148540639</v>
      </c>
      <c r="DO19" s="94"/>
      <c r="DP19" s="95"/>
      <c r="DQ19" s="652"/>
      <c r="DR19" s="652"/>
      <c r="DS19" s="680">
        <v>142485704</v>
      </c>
      <c r="DT19" s="94"/>
      <c r="DU19" s="95"/>
      <c r="DV19" s="652"/>
      <c r="DW19" s="652"/>
      <c r="DX19" s="680">
        <v>141049011</v>
      </c>
      <c r="DY19" s="94"/>
      <c r="DZ19" s="95"/>
      <c r="EA19" s="652"/>
      <c r="EB19" s="652"/>
      <c r="EC19" s="680">
        <v>140242471</v>
      </c>
      <c r="ED19" s="94"/>
      <c r="EE19" s="95"/>
      <c r="EF19" s="652"/>
      <c r="EG19" s="652"/>
      <c r="EH19" s="680">
        <v>145289346</v>
      </c>
      <c r="EI19" s="94"/>
      <c r="EJ19" s="95"/>
      <c r="EK19" s="652"/>
      <c r="EL19" s="652"/>
      <c r="EM19" s="680">
        <f>DX19</f>
        <v>141049011</v>
      </c>
      <c r="EN19" s="94"/>
      <c r="EO19" s="95"/>
      <c r="EP19" s="679"/>
      <c r="ER19" s="42"/>
      <c r="ES19" s="42"/>
    </row>
    <row r="20" spans="4:154" x14ac:dyDescent="0.3">
      <c r="D20" s="144" t="s">
        <v>471</v>
      </c>
      <c r="F20" s="494"/>
      <c r="G20" s="494"/>
      <c r="H20" s="90">
        <v>0</v>
      </c>
      <c r="I20" s="94"/>
      <c r="J20" s="95"/>
      <c r="K20" s="652"/>
      <c r="L20" s="652"/>
      <c r="M20" s="90">
        <v>0</v>
      </c>
      <c r="N20" s="94"/>
      <c r="O20" s="95"/>
      <c r="P20" s="652"/>
      <c r="Q20" s="652"/>
      <c r="R20" s="90">
        <v>0</v>
      </c>
      <c r="S20" s="94"/>
      <c r="T20" s="95"/>
      <c r="U20" s="652"/>
      <c r="V20" s="652"/>
      <c r="W20" s="90">
        <v>0</v>
      </c>
      <c r="X20" s="94"/>
      <c r="Y20" s="95"/>
      <c r="Z20" s="652"/>
      <c r="AA20" s="652"/>
      <c r="AB20" s="90">
        <v>0</v>
      </c>
      <c r="AC20" s="94"/>
      <c r="AD20" s="95"/>
      <c r="AE20" s="652"/>
      <c r="AF20" s="652"/>
      <c r="AG20" s="90">
        <v>0</v>
      </c>
      <c r="AH20" s="94"/>
      <c r="AI20" s="95"/>
      <c r="AJ20" s="652"/>
      <c r="AK20" s="652"/>
      <c r="AL20" s="90">
        <v>0</v>
      </c>
      <c r="AM20" s="94"/>
      <c r="AN20" s="95"/>
      <c r="AO20" s="652"/>
      <c r="AP20" s="652"/>
      <c r="AQ20" s="90">
        <v>0</v>
      </c>
      <c r="AR20" s="94"/>
      <c r="AS20" s="95"/>
      <c r="AT20" s="652"/>
      <c r="AU20" s="652"/>
      <c r="AV20" s="90">
        <v>0</v>
      </c>
      <c r="AW20" s="94"/>
      <c r="AX20" s="95"/>
      <c r="AY20" s="652"/>
      <c r="AZ20" s="652"/>
      <c r="BA20" s="90">
        <v>30000000</v>
      </c>
      <c r="BB20" s="94"/>
      <c r="BC20" s="95"/>
      <c r="BD20" s="652"/>
      <c r="BE20" s="652"/>
      <c r="BF20" s="90">
        <v>20000000</v>
      </c>
      <c r="BG20" s="94"/>
      <c r="BH20" s="95"/>
      <c r="BI20" s="652"/>
      <c r="BJ20" s="652"/>
      <c r="BK20" s="90">
        <v>0</v>
      </c>
      <c r="BL20" s="94"/>
      <c r="BM20" s="95"/>
      <c r="BN20" s="652"/>
      <c r="BO20" s="652"/>
      <c r="BP20" s="90">
        <v>0</v>
      </c>
      <c r="BQ20" s="94"/>
      <c r="BR20" s="95"/>
      <c r="BS20" s="652"/>
      <c r="BT20" s="652"/>
      <c r="BU20" s="90">
        <f t="shared" ref="BU20" si="0">+BF20</f>
        <v>20000000</v>
      </c>
      <c r="BV20" s="94"/>
      <c r="BW20" s="95"/>
      <c r="BX20" s="652"/>
      <c r="BY20" s="652"/>
      <c r="BZ20" s="90">
        <v>0</v>
      </c>
      <c r="CA20" s="94"/>
      <c r="CB20" s="95"/>
      <c r="CC20" s="652"/>
      <c r="CD20" s="652"/>
      <c r="CE20" s="90">
        <v>0</v>
      </c>
      <c r="CF20" s="94"/>
      <c r="CG20" s="95"/>
      <c r="CH20" s="652"/>
      <c r="CI20" s="652"/>
      <c r="CJ20" s="90">
        <v>0</v>
      </c>
      <c r="CK20" s="94"/>
      <c r="CL20" s="95"/>
      <c r="CM20" s="652"/>
      <c r="CN20" s="652"/>
      <c r="CO20" s="90">
        <v>0</v>
      </c>
      <c r="CP20" s="94"/>
      <c r="CQ20" s="95"/>
      <c r="CR20" s="652"/>
      <c r="CS20" s="652"/>
      <c r="CT20" s="90">
        <v>0</v>
      </c>
      <c r="CU20" s="94"/>
      <c r="CV20" s="95"/>
      <c r="CW20" s="652"/>
      <c r="CX20" s="652"/>
      <c r="CY20" s="90">
        <v>0</v>
      </c>
      <c r="CZ20" s="94"/>
      <c r="DA20" s="95"/>
      <c r="DB20" s="652"/>
      <c r="DC20" s="652"/>
      <c r="DD20" s="90">
        <v>0</v>
      </c>
      <c r="DE20" s="94"/>
      <c r="DF20" s="95"/>
      <c r="DG20" s="652"/>
      <c r="DH20" s="652"/>
      <c r="DI20" s="90">
        <v>0</v>
      </c>
      <c r="DJ20" s="94"/>
      <c r="DK20" s="95"/>
      <c r="DL20" s="652"/>
      <c r="DM20" s="652"/>
      <c r="DN20" s="90">
        <v>0</v>
      </c>
      <c r="DO20" s="94"/>
      <c r="DP20" s="95"/>
      <c r="DQ20" s="652"/>
      <c r="DR20" s="652"/>
      <c r="DS20" s="90">
        <v>0</v>
      </c>
      <c r="DT20" s="94"/>
      <c r="DU20" s="95"/>
      <c r="DV20" s="652"/>
      <c r="DW20" s="652"/>
      <c r="DX20" s="90">
        <v>0</v>
      </c>
      <c r="DY20" s="94"/>
      <c r="DZ20" s="95"/>
      <c r="EA20" s="652"/>
      <c r="EB20" s="652"/>
      <c r="EC20" s="90">
        <v>0</v>
      </c>
      <c r="ED20" s="94"/>
      <c r="EE20" s="95"/>
      <c r="EF20" s="652"/>
      <c r="EG20" s="652"/>
      <c r="EH20" s="90">
        <v>0</v>
      </c>
      <c r="EI20" s="94"/>
      <c r="EJ20" s="95"/>
      <c r="EK20" s="652"/>
      <c r="EL20" s="652"/>
      <c r="EM20" s="90">
        <f t="shared" ref="EM20" si="1">DX20</f>
        <v>0</v>
      </c>
      <c r="EN20" s="94"/>
      <c r="EO20" s="95"/>
      <c r="EP20" s="679"/>
      <c r="ER20" s="42"/>
      <c r="ES20" s="42"/>
    </row>
    <row r="21" spans="4:154" x14ac:dyDescent="0.3">
      <c r="D21" s="144" t="s">
        <v>472</v>
      </c>
      <c r="F21" s="494"/>
      <c r="G21" s="494"/>
      <c r="H21" s="682">
        <v>107445000</v>
      </c>
      <c r="I21" s="94"/>
      <c r="J21" s="95"/>
      <c r="K21" s="652"/>
      <c r="L21" s="652"/>
      <c r="M21" s="682">
        <v>108403175</v>
      </c>
      <c r="N21" s="94"/>
      <c r="O21" s="95"/>
      <c r="P21" s="652"/>
      <c r="Q21" s="652"/>
      <c r="R21" s="682">
        <v>114741326</v>
      </c>
      <c r="S21" s="94"/>
      <c r="T21" s="95"/>
      <c r="U21" s="652"/>
      <c r="V21" s="652"/>
      <c r="W21" s="682">
        <v>224891115</v>
      </c>
      <c r="X21" s="94"/>
      <c r="Y21" s="95"/>
      <c r="Z21" s="652"/>
      <c r="AA21" s="652"/>
      <c r="AB21" s="682">
        <v>191548216</v>
      </c>
      <c r="AC21" s="94"/>
      <c r="AD21" s="95"/>
      <c r="AE21" s="652"/>
      <c r="AF21" s="652"/>
      <c r="AG21" s="682">
        <v>129864367</v>
      </c>
      <c r="AH21" s="94"/>
      <c r="AI21" s="95"/>
      <c r="AJ21" s="652"/>
      <c r="AK21" s="652"/>
      <c r="AL21" s="682">
        <v>158337940</v>
      </c>
      <c r="AM21" s="94"/>
      <c r="AN21" s="95"/>
      <c r="AO21" s="652"/>
      <c r="AP21" s="652"/>
      <c r="AQ21" s="682">
        <v>145123495</v>
      </c>
      <c r="AR21" s="94"/>
      <c r="AS21" s="95"/>
      <c r="AT21" s="652"/>
      <c r="AU21" s="652"/>
      <c r="AV21" s="682">
        <v>143950568</v>
      </c>
      <c r="AW21" s="94"/>
      <c r="AX21" s="95"/>
      <c r="AY21" s="652"/>
      <c r="AZ21" s="652"/>
      <c r="BA21" s="682">
        <v>176982687</v>
      </c>
      <c r="BB21" s="94"/>
      <c r="BC21" s="95"/>
      <c r="BD21" s="652"/>
      <c r="BE21" s="652"/>
      <c r="BF21" s="682">
        <v>108461484</v>
      </c>
      <c r="BG21" s="94"/>
      <c r="BH21" s="95"/>
      <c r="BI21" s="652"/>
      <c r="BJ21" s="652"/>
      <c r="BK21" s="682">
        <v>0</v>
      </c>
      <c r="BL21" s="94"/>
      <c r="BM21" s="95"/>
      <c r="BN21" s="652"/>
      <c r="BO21" s="652"/>
      <c r="BP21" s="682">
        <v>0</v>
      </c>
      <c r="BQ21" s="94"/>
      <c r="BR21" s="95"/>
      <c r="BS21" s="652"/>
      <c r="BT21" s="652"/>
      <c r="BU21" s="682">
        <f>+BF21</f>
        <v>108461484</v>
      </c>
      <c r="BV21" s="94"/>
      <c r="BW21" s="95"/>
      <c r="BX21" s="652"/>
      <c r="BY21" s="652"/>
      <c r="BZ21" s="682">
        <v>128695533</v>
      </c>
      <c r="CA21" s="94"/>
      <c r="CB21" s="95"/>
      <c r="CC21" s="652"/>
      <c r="CD21" s="652"/>
      <c r="CE21" s="682">
        <v>154467189</v>
      </c>
      <c r="CF21" s="94"/>
      <c r="CG21" s="95"/>
      <c r="CH21" s="652"/>
      <c r="CI21" s="652"/>
      <c r="CJ21" s="682">
        <v>168238696</v>
      </c>
      <c r="CK21" s="94"/>
      <c r="CL21" s="95"/>
      <c r="CM21" s="652"/>
      <c r="CN21" s="652"/>
      <c r="CO21" s="682">
        <v>264685476</v>
      </c>
      <c r="CP21" s="94"/>
      <c r="CQ21" s="95"/>
      <c r="CR21" s="652"/>
      <c r="CS21" s="652"/>
      <c r="CT21" s="682">
        <v>154499911</v>
      </c>
      <c r="CU21" s="94"/>
      <c r="CV21" s="95"/>
      <c r="CW21" s="652"/>
      <c r="CX21" s="652"/>
      <c r="CY21" s="682">
        <v>136815148</v>
      </c>
      <c r="CZ21" s="94"/>
      <c r="DA21" s="95"/>
      <c r="DB21" s="652"/>
      <c r="DC21" s="652"/>
      <c r="DD21" s="682">
        <v>153720918</v>
      </c>
      <c r="DE21" s="94"/>
      <c r="DF21" s="95"/>
      <c r="DG21" s="652"/>
      <c r="DH21" s="652"/>
      <c r="DI21" s="682">
        <v>147320685</v>
      </c>
      <c r="DJ21" s="94"/>
      <c r="DK21" s="95"/>
      <c r="DL21" s="652"/>
      <c r="DM21" s="652"/>
      <c r="DN21" s="682">
        <v>145004946</v>
      </c>
      <c r="DO21" s="94"/>
      <c r="DP21" s="95"/>
      <c r="DQ21" s="652"/>
      <c r="DR21" s="652"/>
      <c r="DS21" s="682">
        <v>214883948</v>
      </c>
      <c r="DT21" s="94"/>
      <c r="DU21" s="95"/>
      <c r="DV21" s="652"/>
      <c r="DW21" s="652"/>
      <c r="DX21" s="682">
        <v>106624472</v>
      </c>
      <c r="DY21" s="94"/>
      <c r="DZ21" s="95"/>
      <c r="EA21" s="652"/>
      <c r="EB21" s="652"/>
      <c r="EC21" s="682">
        <v>133773028</v>
      </c>
      <c r="ED21" s="94"/>
      <c r="EE21" s="95"/>
      <c r="EF21" s="652"/>
      <c r="EG21" s="652"/>
      <c r="EH21" s="682">
        <v>128695533</v>
      </c>
      <c r="EI21" s="94"/>
      <c r="EJ21" s="95"/>
      <c r="EK21" s="652"/>
      <c r="EL21" s="652"/>
      <c r="EM21" s="682">
        <f>DX21</f>
        <v>106624472</v>
      </c>
      <c r="EN21" s="94"/>
      <c r="EO21" s="95"/>
      <c r="EP21" s="679"/>
      <c r="ER21" s="42"/>
      <c r="ES21" s="42"/>
    </row>
    <row r="22" spans="4:154" x14ac:dyDescent="0.3">
      <c r="D22" s="144"/>
      <c r="F22" s="494"/>
      <c r="G22" s="513"/>
      <c r="H22" s="683"/>
      <c r="I22" s="684"/>
      <c r="J22" s="95"/>
      <c r="K22" s="652"/>
      <c r="L22" s="685"/>
      <c r="M22" s="683"/>
      <c r="N22" s="684"/>
      <c r="O22" s="95"/>
      <c r="P22" s="652"/>
      <c r="Q22" s="685"/>
      <c r="R22" s="683"/>
      <c r="S22" s="684"/>
      <c r="T22" s="95"/>
      <c r="U22" s="652"/>
      <c r="V22" s="685"/>
      <c r="W22" s="683"/>
      <c r="X22" s="684"/>
      <c r="Y22" s="95"/>
      <c r="Z22" s="652"/>
      <c r="AA22" s="685"/>
      <c r="AB22" s="683"/>
      <c r="AC22" s="684"/>
      <c r="AD22" s="95"/>
      <c r="AE22" s="652"/>
      <c r="AF22" s="685"/>
      <c r="AG22" s="683"/>
      <c r="AH22" s="684"/>
      <c r="AI22" s="95"/>
      <c r="AJ22" s="652"/>
      <c r="AK22" s="685"/>
      <c r="AL22" s="683"/>
      <c r="AM22" s="684"/>
      <c r="AN22" s="95"/>
      <c r="AO22" s="652"/>
      <c r="AP22" s="685"/>
      <c r="AQ22" s="683"/>
      <c r="AR22" s="684"/>
      <c r="AS22" s="95"/>
      <c r="AT22" s="652"/>
      <c r="AU22" s="685"/>
      <c r="AV22" s="683"/>
      <c r="AW22" s="684"/>
      <c r="AX22" s="95"/>
      <c r="AY22" s="652"/>
      <c r="AZ22" s="685"/>
      <c r="BA22" s="683"/>
      <c r="BB22" s="684"/>
      <c r="BC22" s="95"/>
      <c r="BD22" s="652"/>
      <c r="BE22" s="685"/>
      <c r="BF22" s="683"/>
      <c r="BG22" s="684"/>
      <c r="BH22" s="95"/>
      <c r="BI22" s="652"/>
      <c r="BJ22" s="685"/>
      <c r="BK22" s="683"/>
      <c r="BL22" s="684"/>
      <c r="BM22" s="95"/>
      <c r="BN22" s="652"/>
      <c r="BO22" s="685"/>
      <c r="BP22" s="683"/>
      <c r="BQ22" s="684"/>
      <c r="BR22" s="95"/>
      <c r="BS22" s="652"/>
      <c r="BT22" s="685"/>
      <c r="BU22" s="683"/>
      <c r="BV22" s="684"/>
      <c r="BW22" s="95"/>
      <c r="BX22" s="652"/>
      <c r="BY22" s="685"/>
      <c r="BZ22" s="683"/>
      <c r="CA22" s="684"/>
      <c r="CB22" s="95"/>
      <c r="CC22" s="652"/>
      <c r="CD22" s="685"/>
      <c r="CE22" s="683"/>
      <c r="CF22" s="684"/>
      <c r="CG22" s="95"/>
      <c r="CH22" s="652"/>
      <c r="CI22" s="685"/>
      <c r="CJ22" s="683"/>
      <c r="CK22" s="684"/>
      <c r="CL22" s="95"/>
      <c r="CM22" s="652"/>
      <c r="CN22" s="685"/>
      <c r="CO22" s="683"/>
      <c r="CP22" s="684"/>
      <c r="CQ22" s="95"/>
      <c r="CR22" s="652"/>
      <c r="CS22" s="685"/>
      <c r="CT22" s="683"/>
      <c r="CU22" s="684"/>
      <c r="CV22" s="95"/>
      <c r="CW22" s="652"/>
      <c r="CX22" s="685"/>
      <c r="CY22" s="683"/>
      <c r="CZ22" s="684"/>
      <c r="DA22" s="95"/>
      <c r="DB22" s="652"/>
      <c r="DC22" s="685"/>
      <c r="DD22" s="683"/>
      <c r="DE22" s="684"/>
      <c r="DF22" s="95"/>
      <c r="DG22" s="652"/>
      <c r="DH22" s="685"/>
      <c r="DI22" s="683"/>
      <c r="DJ22" s="684"/>
      <c r="DK22" s="95"/>
      <c r="DL22" s="652"/>
      <c r="DM22" s="685"/>
      <c r="DN22" s="683"/>
      <c r="DO22" s="684"/>
      <c r="DP22" s="95"/>
      <c r="DQ22" s="652"/>
      <c r="DR22" s="685"/>
      <c r="DS22" s="683"/>
      <c r="DT22" s="684"/>
      <c r="DU22" s="95"/>
      <c r="DV22" s="652"/>
      <c r="DW22" s="685"/>
      <c r="DX22" s="683"/>
      <c r="DY22" s="684"/>
      <c r="DZ22" s="95"/>
      <c r="EA22" s="652"/>
      <c r="EB22" s="685"/>
      <c r="EC22" s="683"/>
      <c r="ED22" s="684"/>
      <c r="EE22" s="95"/>
      <c r="EF22" s="652"/>
      <c r="EG22" s="685"/>
      <c r="EH22" s="683"/>
      <c r="EI22" s="684"/>
      <c r="EJ22" s="95"/>
      <c r="EK22" s="652"/>
      <c r="EL22" s="685"/>
      <c r="EM22" s="683"/>
      <c r="EN22" s="684"/>
      <c r="EO22" s="95"/>
      <c r="EP22" s="679"/>
      <c r="ER22" s="42"/>
      <c r="ES22" s="42"/>
    </row>
    <row r="23" spans="4:154" x14ac:dyDescent="0.3">
      <c r="D23" s="144"/>
      <c r="F23" s="494"/>
      <c r="H23" s="517"/>
      <c r="I23" s="517"/>
      <c r="J23" s="517"/>
      <c r="K23" s="516"/>
      <c r="L23" s="517"/>
      <c r="M23" s="517"/>
      <c r="N23" s="517"/>
      <c r="O23" s="517"/>
      <c r="P23" s="516"/>
      <c r="Q23" s="517"/>
      <c r="R23" s="517"/>
      <c r="S23" s="517"/>
      <c r="T23" s="517"/>
      <c r="U23" s="516"/>
      <c r="V23" s="517"/>
      <c r="W23" s="517"/>
      <c r="X23" s="517"/>
      <c r="Y23" s="517"/>
      <c r="Z23" s="516"/>
      <c r="AA23" s="517"/>
      <c r="AB23" s="517"/>
      <c r="AC23" s="517"/>
      <c r="AD23" s="517"/>
      <c r="AE23" s="516"/>
      <c r="AF23" s="517"/>
      <c r="AG23" s="517"/>
      <c r="AH23" s="517"/>
      <c r="AI23" s="517"/>
      <c r="AJ23" s="516"/>
      <c r="AK23" s="517"/>
      <c r="AL23" s="517"/>
      <c r="AM23" s="517"/>
      <c r="AN23" s="517"/>
      <c r="AO23" s="516"/>
      <c r="AP23" s="517"/>
      <c r="AQ23" s="517"/>
      <c r="AR23" s="517"/>
      <c r="AS23" s="517"/>
      <c r="AT23" s="516"/>
      <c r="AU23" s="517"/>
      <c r="AV23" s="517"/>
      <c r="AW23" s="517"/>
      <c r="AX23" s="517"/>
      <c r="AY23" s="516"/>
      <c r="AZ23" s="517"/>
      <c r="BA23" s="517"/>
      <c r="BB23" s="517"/>
      <c r="BC23" s="517"/>
      <c r="BD23" s="516"/>
      <c r="BE23" s="517"/>
      <c r="BF23" s="517"/>
      <c r="BG23" s="517"/>
      <c r="BH23" s="517"/>
      <c r="BI23" s="516"/>
      <c r="BJ23" s="517"/>
      <c r="BK23" s="517"/>
      <c r="BL23" s="517"/>
      <c r="BM23" s="517"/>
      <c r="BN23" s="516"/>
      <c r="BO23" s="517"/>
      <c r="BP23" s="517"/>
      <c r="BQ23" s="517"/>
      <c r="BR23" s="517"/>
      <c r="BS23" s="516"/>
      <c r="BT23" s="517"/>
      <c r="BU23" s="517"/>
      <c r="BV23" s="517"/>
      <c r="BW23" s="517"/>
      <c r="BX23" s="516"/>
      <c r="BY23" s="517"/>
      <c r="BZ23" s="517"/>
      <c r="CA23" s="517"/>
      <c r="CB23" s="517"/>
      <c r="CC23" s="516"/>
      <c r="CD23" s="517"/>
      <c r="CE23" s="517"/>
      <c r="CF23" s="517"/>
      <c r="CG23" s="517"/>
      <c r="CH23" s="516"/>
      <c r="CI23" s="517"/>
      <c r="CJ23" s="517"/>
      <c r="CK23" s="517"/>
      <c r="CL23" s="517"/>
      <c r="CM23" s="516"/>
      <c r="CN23" s="517"/>
      <c r="CO23" s="517"/>
      <c r="CP23" s="517"/>
      <c r="CQ23" s="517"/>
      <c r="CR23" s="516"/>
      <c r="CS23" s="517"/>
      <c r="CT23" s="517"/>
      <c r="CU23" s="517"/>
      <c r="CV23" s="517"/>
      <c r="CW23" s="516"/>
      <c r="CX23" s="517"/>
      <c r="CY23" s="517"/>
      <c r="CZ23" s="517"/>
      <c r="DA23" s="517"/>
      <c r="DB23" s="516"/>
      <c r="DC23" s="517"/>
      <c r="DD23" s="517"/>
      <c r="DE23" s="517"/>
      <c r="DF23" s="517"/>
      <c r="DG23" s="516"/>
      <c r="DH23" s="517"/>
      <c r="DI23" s="517"/>
      <c r="DJ23" s="517"/>
      <c r="DK23" s="517"/>
      <c r="DL23" s="516"/>
      <c r="DM23" s="517"/>
      <c r="DN23" s="517"/>
      <c r="DO23" s="517"/>
      <c r="DP23" s="517"/>
      <c r="DQ23" s="516"/>
      <c r="DR23" s="517"/>
      <c r="DS23" s="517"/>
      <c r="DT23" s="517"/>
      <c r="DU23" s="517"/>
      <c r="DV23" s="516"/>
      <c r="DW23" s="517"/>
      <c r="DX23" s="517"/>
      <c r="DY23" s="517"/>
      <c r="DZ23" s="517"/>
      <c r="EA23" s="516"/>
      <c r="EB23" s="517"/>
      <c r="EC23" s="517"/>
      <c r="ED23" s="517"/>
      <c r="EE23" s="517"/>
      <c r="EF23" s="516"/>
      <c r="EG23" s="517"/>
      <c r="EH23" s="517"/>
      <c r="EI23" s="517"/>
      <c r="EJ23" s="517"/>
      <c r="EK23" s="516"/>
      <c r="EL23" s="517"/>
      <c r="EM23" s="601"/>
      <c r="EN23" s="517"/>
      <c r="EO23" s="517"/>
      <c r="EP23" s="600"/>
      <c r="ER23" s="42"/>
      <c r="ES23" s="42"/>
    </row>
    <row r="24" spans="4:154" s="42" customFormat="1" x14ac:dyDescent="0.3">
      <c r="D24" s="234"/>
      <c r="E24" s="663"/>
      <c r="F24" s="496"/>
      <c r="H24" s="519"/>
      <c r="I24" s="519"/>
      <c r="J24" s="519"/>
      <c r="K24" s="518"/>
      <c r="L24" s="519"/>
      <c r="M24" s="519"/>
      <c r="N24" s="519"/>
      <c r="O24" s="519"/>
      <c r="P24" s="518"/>
      <c r="Q24" s="519"/>
      <c r="R24" s="519"/>
      <c r="S24" s="519"/>
      <c r="T24" s="519"/>
      <c r="U24" s="518"/>
      <c r="V24" s="519"/>
      <c r="W24" s="519"/>
      <c r="X24" s="519"/>
      <c r="Y24" s="519"/>
      <c r="Z24" s="518"/>
      <c r="AA24" s="519"/>
      <c r="AB24" s="519"/>
      <c r="AC24" s="519"/>
      <c r="AD24" s="519"/>
      <c r="AE24" s="518"/>
      <c r="AF24" s="519"/>
      <c r="AG24" s="519"/>
      <c r="AH24" s="519"/>
      <c r="AI24" s="519"/>
      <c r="AJ24" s="518"/>
      <c r="AK24" s="519"/>
      <c r="AL24" s="519"/>
      <c r="AM24" s="519"/>
      <c r="AN24" s="519"/>
      <c r="AO24" s="518"/>
      <c r="AP24" s="519"/>
      <c r="AQ24" s="519"/>
      <c r="AR24" s="519"/>
      <c r="AS24" s="519"/>
      <c r="AT24" s="518"/>
      <c r="AU24" s="519"/>
      <c r="AV24" s="519"/>
      <c r="AW24" s="519"/>
      <c r="AX24" s="519"/>
      <c r="AY24" s="518"/>
      <c r="AZ24" s="519"/>
      <c r="BA24" s="519"/>
      <c r="BB24" s="519"/>
      <c r="BC24" s="519"/>
      <c r="BD24" s="518"/>
      <c r="BE24" s="519"/>
      <c r="BF24" s="519"/>
      <c r="BG24" s="519"/>
      <c r="BH24" s="519"/>
      <c r="BI24" s="518"/>
      <c r="BJ24" s="519"/>
      <c r="BK24" s="519"/>
      <c r="BL24" s="519"/>
      <c r="BM24" s="519"/>
      <c r="BN24" s="518"/>
      <c r="BO24" s="519"/>
      <c r="BP24" s="519"/>
      <c r="BQ24" s="519"/>
      <c r="BR24" s="519"/>
      <c r="BS24" s="518"/>
      <c r="BT24" s="519"/>
      <c r="BU24" s="519"/>
      <c r="BV24" s="519"/>
      <c r="BW24" s="519"/>
      <c r="BX24" s="518"/>
      <c r="BY24" s="519"/>
      <c r="BZ24" s="519"/>
      <c r="CA24" s="519"/>
      <c r="CB24" s="519"/>
      <c r="CC24" s="518"/>
      <c r="CD24" s="519"/>
      <c r="CE24" s="519"/>
      <c r="CF24" s="519"/>
      <c r="CG24" s="519"/>
      <c r="CH24" s="518"/>
      <c r="CI24" s="519"/>
      <c r="CJ24" s="519"/>
      <c r="CK24" s="519"/>
      <c r="CL24" s="519"/>
      <c r="CM24" s="518"/>
      <c r="CN24" s="519"/>
      <c r="CO24" s="519"/>
      <c r="CP24" s="519"/>
      <c r="CQ24" s="519"/>
      <c r="CR24" s="518"/>
      <c r="CS24" s="519"/>
      <c r="CT24" s="519"/>
      <c r="CU24" s="519"/>
      <c r="CV24" s="519"/>
      <c r="CW24" s="518"/>
      <c r="CX24" s="519"/>
      <c r="CY24" s="519"/>
      <c r="CZ24" s="519"/>
      <c r="DA24" s="519"/>
      <c r="DB24" s="518"/>
      <c r="DC24" s="519"/>
      <c r="DD24" s="519"/>
      <c r="DE24" s="519"/>
      <c r="DF24" s="519"/>
      <c r="DG24" s="518"/>
      <c r="DH24" s="519"/>
      <c r="DI24" s="519"/>
      <c r="DJ24" s="519"/>
      <c r="DK24" s="519"/>
      <c r="DL24" s="518"/>
      <c r="DM24" s="519"/>
      <c r="DN24" s="519"/>
      <c r="DO24" s="519"/>
      <c r="DP24" s="519"/>
      <c r="DQ24" s="518"/>
      <c r="DR24" s="519"/>
      <c r="DS24" s="519"/>
      <c r="DT24" s="519"/>
      <c r="DU24" s="519"/>
      <c r="DV24" s="518"/>
      <c r="DW24" s="519"/>
      <c r="DX24" s="519"/>
      <c r="DY24" s="519"/>
      <c r="DZ24" s="519"/>
      <c r="EA24" s="518"/>
      <c r="EB24" s="519"/>
      <c r="EC24" s="519"/>
      <c r="ED24" s="519"/>
      <c r="EE24" s="519"/>
      <c r="EF24" s="518"/>
      <c r="EG24" s="519"/>
      <c r="EH24" s="519"/>
      <c r="EI24" s="519"/>
      <c r="EJ24" s="519"/>
      <c r="EK24" s="518"/>
      <c r="EL24" s="519"/>
      <c r="EM24" s="519"/>
      <c r="EN24" s="519"/>
      <c r="EO24" s="519"/>
      <c r="EP24" s="623"/>
    </row>
    <row r="25" spans="4:154" s="42" customFormat="1" x14ac:dyDescent="0.3">
      <c r="D25" s="268" t="s">
        <v>474</v>
      </c>
      <c r="E25" s="663"/>
      <c r="F25" s="496"/>
      <c r="H25" s="64">
        <v>0</v>
      </c>
      <c r="I25" s="64"/>
      <c r="J25" s="64"/>
      <c r="K25" s="651"/>
      <c r="L25" s="64"/>
      <c r="M25" s="64">
        <v>32499994</v>
      </c>
      <c r="N25" s="64"/>
      <c r="O25" s="64"/>
      <c r="P25" s="651"/>
      <c r="Q25" s="64"/>
      <c r="R25" s="64">
        <v>1683425</v>
      </c>
      <c r="S25" s="64"/>
      <c r="T25" s="64"/>
      <c r="U25" s="651"/>
      <c r="V25" s="64"/>
      <c r="W25" s="64">
        <v>3575832</v>
      </c>
      <c r="X25" s="64"/>
      <c r="Y25" s="64"/>
      <c r="Z25" s="651"/>
      <c r="AA25" s="64"/>
      <c r="AB25" s="64">
        <v>53727650</v>
      </c>
      <c r="AC25" s="64"/>
      <c r="AD25" s="64"/>
      <c r="AE25" s="651"/>
      <c r="AF25" s="64"/>
      <c r="AG25" s="64">
        <v>-54202159</v>
      </c>
      <c r="AH25" s="64"/>
      <c r="AI25" s="64"/>
      <c r="AJ25" s="651"/>
      <c r="AK25" s="64"/>
      <c r="AL25" s="64">
        <v>-3465898</v>
      </c>
      <c r="AM25" s="64"/>
      <c r="AN25" s="64"/>
      <c r="AO25" s="651"/>
      <c r="AP25" s="64"/>
      <c r="AQ25" s="64">
        <v>8772236</v>
      </c>
      <c r="AR25" s="64"/>
      <c r="AS25" s="64"/>
      <c r="AT25" s="651"/>
      <c r="AU25" s="64"/>
      <c r="AV25" s="64">
        <v>-3753879</v>
      </c>
      <c r="AW25" s="64"/>
      <c r="AX25" s="64"/>
      <c r="AY25" s="651"/>
      <c r="AZ25" s="64"/>
      <c r="BA25" s="64">
        <v>-20434962</v>
      </c>
      <c r="BB25" s="64"/>
      <c r="BC25" s="64"/>
      <c r="BD25" s="651"/>
      <c r="BE25" s="64"/>
      <c r="BF25" s="64">
        <v>14593850</v>
      </c>
      <c r="BG25" s="64"/>
      <c r="BH25" s="64"/>
      <c r="BI25" s="651"/>
      <c r="BJ25" s="64"/>
      <c r="BK25" s="64">
        <v>0</v>
      </c>
      <c r="BL25" s="64"/>
      <c r="BM25" s="64"/>
      <c r="BN25" s="651"/>
      <c r="BO25" s="64"/>
      <c r="BP25" s="64">
        <v>0</v>
      </c>
      <c r="BQ25" s="64"/>
      <c r="BR25" s="64"/>
      <c r="BS25" s="651"/>
      <c r="BT25" s="64"/>
      <c r="BU25" s="64">
        <f>SUM(M25:BP25)</f>
        <v>32996089</v>
      </c>
      <c r="BV25" s="64"/>
      <c r="BW25" s="64"/>
      <c r="BX25" s="651"/>
      <c r="BY25" s="64"/>
      <c r="BZ25" s="64">
        <v>-17675966</v>
      </c>
      <c r="CA25" s="64"/>
      <c r="CB25" s="64"/>
      <c r="CC25" s="651"/>
      <c r="CD25" s="64"/>
      <c r="CE25" s="64">
        <v>-8786316</v>
      </c>
      <c r="CF25" s="64"/>
      <c r="CG25" s="64"/>
      <c r="CH25" s="651"/>
      <c r="CI25" s="64"/>
      <c r="CJ25" s="64">
        <v>10103585</v>
      </c>
      <c r="CK25" s="64"/>
      <c r="CL25" s="64"/>
      <c r="CM25" s="651"/>
      <c r="CN25" s="64"/>
      <c r="CO25" s="64">
        <v>-1521846</v>
      </c>
      <c r="CP25" s="64"/>
      <c r="CQ25" s="64"/>
      <c r="CR25" s="651"/>
      <c r="CS25" s="64"/>
      <c r="CT25" s="64">
        <v>6074461</v>
      </c>
      <c r="CU25" s="64"/>
      <c r="CV25" s="64"/>
      <c r="CW25" s="651"/>
      <c r="CX25" s="64"/>
      <c r="CY25" s="64">
        <v>516138</v>
      </c>
      <c r="CZ25" s="64"/>
      <c r="DA25" s="64"/>
      <c r="DB25" s="651"/>
      <c r="DC25" s="64"/>
      <c r="DD25" s="64">
        <v>-12799947</v>
      </c>
      <c r="DE25" s="64"/>
      <c r="DF25" s="64"/>
      <c r="DG25" s="651"/>
      <c r="DH25" s="64"/>
      <c r="DI25" s="64">
        <v>4934831</v>
      </c>
      <c r="DJ25" s="64"/>
      <c r="DK25" s="64"/>
      <c r="DL25" s="651"/>
      <c r="DM25" s="64"/>
      <c r="DN25" s="64">
        <v>-5282423</v>
      </c>
      <c r="DO25" s="64"/>
      <c r="DP25" s="64"/>
      <c r="DQ25" s="651"/>
      <c r="DR25" s="64"/>
      <c r="DS25" s="64">
        <v>2079416</v>
      </c>
      <c r="DT25" s="64"/>
      <c r="DU25" s="64"/>
      <c r="DV25" s="651"/>
      <c r="DW25" s="64"/>
      <c r="DX25" s="64">
        <v>-12244714</v>
      </c>
      <c r="DY25" s="64"/>
      <c r="DZ25" s="64"/>
      <c r="EA25" s="651"/>
      <c r="EB25" s="64"/>
      <c r="EC25" s="64">
        <v>14186127</v>
      </c>
      <c r="ED25" s="64"/>
      <c r="EE25" s="64"/>
      <c r="EF25" s="651"/>
      <c r="EG25" s="64"/>
      <c r="EH25" s="64">
        <v>-14935278</v>
      </c>
      <c r="EI25" s="64"/>
      <c r="EJ25" s="64"/>
      <c r="EK25" s="651"/>
      <c r="EL25" s="64"/>
      <c r="EM25" s="64">
        <f>SUM(CE25:DX25)</f>
        <v>-16926815</v>
      </c>
      <c r="EN25" s="64"/>
      <c r="EO25" s="64"/>
      <c r="EP25" s="675"/>
    </row>
    <row r="26" spans="4:154" x14ac:dyDescent="0.3">
      <c r="D26" s="144"/>
      <c r="F26" s="494"/>
      <c r="H26" s="517"/>
      <c r="I26" s="517"/>
      <c r="J26" s="517"/>
      <c r="K26" s="516"/>
      <c r="L26" s="517"/>
      <c r="M26" s="517"/>
      <c r="N26" s="517"/>
      <c r="O26" s="517"/>
      <c r="P26" s="516"/>
      <c r="Q26" s="517"/>
      <c r="R26" s="517"/>
      <c r="S26" s="517"/>
      <c r="T26" s="517"/>
      <c r="U26" s="516"/>
      <c r="V26" s="517"/>
      <c r="W26" s="517"/>
      <c r="X26" s="517"/>
      <c r="Y26" s="517"/>
      <c r="Z26" s="516"/>
      <c r="AA26" s="517"/>
      <c r="AB26" s="517"/>
      <c r="AC26" s="517"/>
      <c r="AD26" s="517"/>
      <c r="AE26" s="516"/>
      <c r="AF26" s="517"/>
      <c r="AG26" s="517"/>
      <c r="AH26" s="517"/>
      <c r="AI26" s="517"/>
      <c r="AJ26" s="516"/>
      <c r="AK26" s="517"/>
      <c r="AL26" s="517"/>
      <c r="AM26" s="517"/>
      <c r="AN26" s="517"/>
      <c r="AO26" s="516"/>
      <c r="AP26" s="517"/>
      <c r="AQ26" s="517"/>
      <c r="AR26" s="517"/>
      <c r="AS26" s="517"/>
      <c r="AT26" s="516"/>
      <c r="AU26" s="517"/>
      <c r="AV26" s="517"/>
      <c r="AW26" s="517"/>
      <c r="AX26" s="517"/>
      <c r="AY26" s="516"/>
      <c r="AZ26" s="517"/>
      <c r="BA26" s="517"/>
      <c r="BB26" s="517"/>
      <c r="BC26" s="517"/>
      <c r="BD26" s="516"/>
      <c r="BE26" s="517"/>
      <c r="BF26" s="517"/>
      <c r="BG26" s="517"/>
      <c r="BH26" s="517"/>
      <c r="BI26" s="516"/>
      <c r="BJ26" s="517"/>
      <c r="BK26" s="517"/>
      <c r="BL26" s="517"/>
      <c r="BM26" s="517"/>
      <c r="BN26" s="516"/>
      <c r="BO26" s="517"/>
      <c r="BP26" s="517"/>
      <c r="BQ26" s="517"/>
      <c r="BR26" s="517"/>
      <c r="BS26" s="516"/>
      <c r="BT26" s="517"/>
      <c r="BX26" s="494"/>
      <c r="BZ26" s="517"/>
      <c r="CA26" s="517"/>
      <c r="CB26" s="517"/>
      <c r="CC26" s="516"/>
      <c r="CD26" s="517"/>
      <c r="CE26" s="517"/>
      <c r="CF26" s="517"/>
      <c r="CG26" s="517"/>
      <c r="CH26" s="516"/>
      <c r="CI26" s="517"/>
      <c r="CJ26" s="517"/>
      <c r="CK26" s="517"/>
      <c r="CL26" s="517"/>
      <c r="CM26" s="516"/>
      <c r="CN26" s="517"/>
      <c r="CO26" s="517"/>
      <c r="CP26" s="517"/>
      <c r="CQ26" s="517"/>
      <c r="CR26" s="516"/>
      <c r="CS26" s="517"/>
      <c r="CT26" s="517"/>
      <c r="CU26" s="517"/>
      <c r="CV26" s="517"/>
      <c r="CW26" s="516"/>
      <c r="CX26" s="517"/>
      <c r="CY26" s="517"/>
      <c r="CZ26" s="517"/>
      <c r="DA26" s="517"/>
      <c r="DB26" s="516"/>
      <c r="DC26" s="517"/>
      <c r="DD26" s="517"/>
      <c r="DE26" s="517"/>
      <c r="DF26" s="517"/>
      <c r="DG26" s="516"/>
      <c r="DH26" s="517"/>
      <c r="DI26" s="517"/>
      <c r="DJ26" s="517"/>
      <c r="DK26" s="517"/>
      <c r="DL26" s="516"/>
      <c r="DM26" s="517"/>
      <c r="DN26" s="517"/>
      <c r="DO26" s="517"/>
      <c r="DP26" s="517"/>
      <c r="DQ26" s="516"/>
      <c r="DR26" s="517"/>
      <c r="DS26" s="517"/>
      <c r="DT26" s="517"/>
      <c r="DU26" s="517"/>
      <c r="DV26" s="516"/>
      <c r="DW26" s="517"/>
      <c r="DX26" s="517"/>
      <c r="DY26" s="517"/>
      <c r="DZ26" s="517"/>
      <c r="EA26" s="516"/>
      <c r="EB26" s="517"/>
      <c r="EC26" s="517"/>
      <c r="ED26" s="517"/>
      <c r="EE26" s="517"/>
      <c r="EF26" s="516"/>
      <c r="EG26" s="517"/>
      <c r="EH26" s="517"/>
      <c r="EI26" s="517"/>
      <c r="EJ26" s="517"/>
      <c r="EK26" s="516"/>
      <c r="EL26" s="517"/>
      <c r="EP26" s="144"/>
      <c r="ER26" s="42"/>
      <c r="ES26" s="42"/>
    </row>
    <row r="27" spans="4:154" s="42" customFormat="1" x14ac:dyDescent="0.3">
      <c r="D27" s="234" t="s">
        <v>475</v>
      </c>
      <c r="E27" s="663"/>
      <c r="F27" s="496"/>
      <c r="H27" s="519">
        <v>0</v>
      </c>
      <c r="I27" s="519"/>
      <c r="J27" s="519"/>
      <c r="K27" s="518"/>
      <c r="L27" s="519"/>
      <c r="M27" s="519">
        <v>0</v>
      </c>
      <c r="N27" s="519"/>
      <c r="O27" s="519"/>
      <c r="P27" s="518"/>
      <c r="Q27" s="519"/>
      <c r="R27" s="519">
        <v>0</v>
      </c>
      <c r="S27" s="519"/>
      <c r="T27" s="519"/>
      <c r="U27" s="518"/>
      <c r="V27" s="519"/>
      <c r="W27" s="519">
        <v>0</v>
      </c>
      <c r="X27" s="519"/>
      <c r="Y27" s="519"/>
      <c r="Z27" s="518"/>
      <c r="AA27" s="519"/>
      <c r="AB27" s="519">
        <v>0</v>
      </c>
      <c r="AC27" s="519"/>
      <c r="AD27" s="519"/>
      <c r="AE27" s="518"/>
      <c r="AF27" s="519"/>
      <c r="AG27" s="519">
        <v>0</v>
      </c>
      <c r="AH27" s="519"/>
      <c r="AI27" s="519"/>
      <c r="AJ27" s="518"/>
      <c r="AK27" s="519"/>
      <c r="AL27" s="519">
        <v>0</v>
      </c>
      <c r="AM27" s="519"/>
      <c r="AN27" s="519"/>
      <c r="AO27" s="518"/>
      <c r="AP27" s="519"/>
      <c r="AQ27" s="519">
        <v>0</v>
      </c>
      <c r="AR27" s="519"/>
      <c r="AS27" s="519"/>
      <c r="AT27" s="518"/>
      <c r="AU27" s="519"/>
      <c r="AV27" s="519">
        <v>0</v>
      </c>
      <c r="AW27" s="519"/>
      <c r="AX27" s="519"/>
      <c r="AY27" s="518"/>
      <c r="AZ27" s="519"/>
      <c r="BA27" s="519">
        <v>0</v>
      </c>
      <c r="BB27" s="519"/>
      <c r="BC27" s="519"/>
      <c r="BD27" s="518"/>
      <c r="BE27" s="519"/>
      <c r="BF27" s="519">
        <v>0</v>
      </c>
      <c r="BG27" s="519"/>
      <c r="BH27" s="519"/>
      <c r="BI27" s="518"/>
      <c r="BJ27" s="519"/>
      <c r="BK27" s="519">
        <v>0</v>
      </c>
      <c r="BL27" s="519"/>
      <c r="BM27" s="519"/>
      <c r="BN27" s="518"/>
      <c r="BO27" s="519"/>
      <c r="BP27" s="519">
        <v>0</v>
      </c>
      <c r="BQ27" s="519"/>
      <c r="BR27" s="519"/>
      <c r="BS27" s="518"/>
      <c r="BT27" s="519"/>
      <c r="BU27" s="64">
        <f>SUM(M27:BP27)</f>
        <v>0</v>
      </c>
      <c r="BX27" s="496"/>
      <c r="BZ27" s="519">
        <v>3337965.9578001499</v>
      </c>
      <c r="CA27" s="519"/>
      <c r="CB27" s="519"/>
      <c r="CC27" s="518"/>
      <c r="CD27" s="519"/>
      <c r="CE27" s="519">
        <v>0</v>
      </c>
      <c r="CF27" s="519"/>
      <c r="CG27" s="519"/>
      <c r="CH27" s="518"/>
      <c r="CI27" s="519"/>
      <c r="CJ27" s="519">
        <v>0</v>
      </c>
      <c r="CK27" s="519"/>
      <c r="CL27" s="519"/>
      <c r="CM27" s="518"/>
      <c r="CN27" s="519"/>
      <c r="CO27" s="519">
        <v>0</v>
      </c>
      <c r="CP27" s="519"/>
      <c r="CQ27" s="519"/>
      <c r="CR27" s="518"/>
      <c r="CS27" s="519"/>
      <c r="CT27" s="519">
        <v>0</v>
      </c>
      <c r="CU27" s="519"/>
      <c r="CV27" s="519"/>
      <c r="CW27" s="518"/>
      <c r="CX27" s="519"/>
      <c r="CY27" s="519">
        <v>0</v>
      </c>
      <c r="CZ27" s="519"/>
      <c r="DA27" s="519"/>
      <c r="DB27" s="518"/>
      <c r="DC27" s="519"/>
      <c r="DD27" s="519">
        <v>0</v>
      </c>
      <c r="DE27" s="519"/>
      <c r="DF27" s="519"/>
      <c r="DG27" s="518"/>
      <c r="DH27" s="519"/>
      <c r="DI27" s="519">
        <v>0</v>
      </c>
      <c r="DJ27" s="519"/>
      <c r="DK27" s="519"/>
      <c r="DL27" s="518"/>
      <c r="DM27" s="519"/>
      <c r="DN27" s="519">
        <v>0</v>
      </c>
      <c r="DO27" s="519"/>
      <c r="DP27" s="519"/>
      <c r="DQ27" s="518"/>
      <c r="DR27" s="519"/>
      <c r="DS27" s="519">
        <v>0</v>
      </c>
      <c r="DT27" s="519"/>
      <c r="DU27" s="519"/>
      <c r="DV27" s="518"/>
      <c r="DW27" s="519"/>
      <c r="DX27" s="519">
        <v>0</v>
      </c>
      <c r="DY27" s="519"/>
      <c r="DZ27" s="519"/>
      <c r="EA27" s="518"/>
      <c r="EB27" s="519"/>
      <c r="EC27" s="519">
        <v>0</v>
      </c>
      <c r="ED27" s="519"/>
      <c r="EE27" s="519"/>
      <c r="EF27" s="518"/>
      <c r="EG27" s="519"/>
      <c r="EH27" s="519">
        <v>4402225.7110300008</v>
      </c>
      <c r="EI27" s="519"/>
      <c r="EJ27" s="519"/>
      <c r="EK27" s="518"/>
      <c r="EL27" s="519"/>
      <c r="EM27" s="64">
        <f>SUM(CE27:DX27)</f>
        <v>0</v>
      </c>
      <c r="EP27" s="234"/>
      <c r="EX27" s="686"/>
    </row>
    <row r="28" spans="4:154" x14ac:dyDescent="0.3">
      <c r="D28" s="144"/>
      <c r="F28" s="494"/>
      <c r="H28" s="687"/>
      <c r="I28" s="517"/>
      <c r="J28" s="517"/>
      <c r="K28" s="516"/>
      <c r="L28" s="517"/>
      <c r="M28" s="517"/>
      <c r="N28" s="517"/>
      <c r="O28" s="517"/>
      <c r="P28" s="516"/>
      <c r="Q28" s="517"/>
      <c r="R28" s="517"/>
      <c r="S28" s="517"/>
      <c r="T28" s="517"/>
      <c r="U28" s="516"/>
      <c r="V28" s="517"/>
      <c r="W28" s="517"/>
      <c r="X28" s="517"/>
      <c r="Y28" s="517"/>
      <c r="Z28" s="516"/>
      <c r="AA28" s="517"/>
      <c r="AB28" s="517"/>
      <c r="AC28" s="517"/>
      <c r="AD28" s="517"/>
      <c r="AE28" s="516"/>
      <c r="AF28" s="517"/>
      <c r="AG28" s="517"/>
      <c r="AH28" s="517"/>
      <c r="AI28" s="517"/>
      <c r="AJ28" s="516"/>
      <c r="AK28" s="517"/>
      <c r="AL28" s="517"/>
      <c r="AM28" s="517"/>
      <c r="AN28" s="517"/>
      <c r="AO28" s="516"/>
      <c r="AP28" s="517"/>
      <c r="AQ28" s="517"/>
      <c r="AR28" s="517"/>
      <c r="AS28" s="517"/>
      <c r="AT28" s="516"/>
      <c r="AU28" s="517"/>
      <c r="AV28" s="517"/>
      <c r="AW28" s="517"/>
      <c r="AX28" s="517"/>
      <c r="AY28" s="516"/>
      <c r="AZ28" s="517"/>
      <c r="BA28" s="517"/>
      <c r="BB28" s="517"/>
      <c r="BC28" s="517"/>
      <c r="BD28" s="516"/>
      <c r="BE28" s="517"/>
      <c r="BF28" s="517"/>
      <c r="BG28" s="517"/>
      <c r="BH28" s="517"/>
      <c r="BI28" s="516"/>
      <c r="BJ28" s="517"/>
      <c r="BK28" s="517"/>
      <c r="BL28" s="517"/>
      <c r="BM28" s="517"/>
      <c r="BN28" s="516"/>
      <c r="BO28" s="517"/>
      <c r="BP28" s="517"/>
      <c r="BQ28" s="517"/>
      <c r="BR28" s="517"/>
      <c r="BS28" s="516"/>
      <c r="BT28" s="517"/>
      <c r="BU28" s="517"/>
      <c r="BV28" s="517"/>
      <c r="BW28" s="517"/>
      <c r="BX28" s="516"/>
      <c r="BY28" s="517"/>
      <c r="BZ28" s="517"/>
      <c r="CA28" s="517"/>
      <c r="CB28" s="517"/>
      <c r="CC28" s="516"/>
      <c r="CD28" s="517"/>
      <c r="CE28" s="517"/>
      <c r="CF28" s="517"/>
      <c r="CG28" s="517"/>
      <c r="CH28" s="516"/>
      <c r="CI28" s="517"/>
      <c r="CJ28" s="517"/>
      <c r="CK28" s="517"/>
      <c r="CL28" s="517"/>
      <c r="CM28" s="516"/>
      <c r="CN28" s="517"/>
      <c r="CO28" s="517"/>
      <c r="CP28" s="517"/>
      <c r="CQ28" s="517"/>
      <c r="CR28" s="516"/>
      <c r="CS28" s="517"/>
      <c r="CT28" s="517"/>
      <c r="CU28" s="517"/>
      <c r="CV28" s="517"/>
      <c r="CW28" s="516"/>
      <c r="CX28" s="517"/>
      <c r="CY28" s="517"/>
      <c r="CZ28" s="517"/>
      <c r="DA28" s="517"/>
      <c r="DB28" s="516"/>
      <c r="DC28" s="517"/>
      <c r="DD28" s="517"/>
      <c r="DE28" s="517"/>
      <c r="DF28" s="517"/>
      <c r="DG28" s="516"/>
      <c r="DH28" s="517"/>
      <c r="DI28" s="517"/>
      <c r="DJ28" s="517"/>
      <c r="DK28" s="517"/>
      <c r="DL28" s="516"/>
      <c r="DM28" s="517"/>
      <c r="DN28" s="517"/>
      <c r="DO28" s="517"/>
      <c r="DP28" s="517"/>
      <c r="DQ28" s="516"/>
      <c r="DR28" s="517"/>
      <c r="DS28" s="517"/>
      <c r="DT28" s="517"/>
      <c r="DU28" s="517"/>
      <c r="DV28" s="516"/>
      <c r="DW28" s="517"/>
      <c r="DX28" s="517"/>
      <c r="DY28" s="517"/>
      <c r="DZ28" s="517"/>
      <c r="EA28" s="516"/>
      <c r="EB28" s="517"/>
      <c r="EC28" s="517"/>
      <c r="ED28" s="517"/>
      <c r="EE28" s="517"/>
      <c r="EF28" s="516"/>
      <c r="EG28" s="517"/>
      <c r="EH28" s="517"/>
      <c r="EI28" s="517"/>
      <c r="EJ28" s="517"/>
      <c r="EK28" s="516"/>
      <c r="EL28" s="517"/>
      <c r="EM28" s="517"/>
      <c r="EN28" s="517"/>
      <c r="EO28" s="517"/>
      <c r="EP28" s="600"/>
      <c r="ER28" s="42"/>
      <c r="ES28" s="42"/>
    </row>
    <row r="29" spans="4:154" s="42" customFormat="1" x14ac:dyDescent="0.3">
      <c r="D29" s="234" t="s">
        <v>476</v>
      </c>
      <c r="E29" s="199" t="s">
        <v>87</v>
      </c>
      <c r="F29" s="494"/>
      <c r="G29" s="136"/>
      <c r="H29" s="64">
        <f>SUM(H30:H30)</f>
        <v>-776091.86601304996</v>
      </c>
      <c r="I29" s="64"/>
      <c r="J29" s="64"/>
      <c r="K29" s="651"/>
      <c r="L29" s="64"/>
      <c r="M29" s="64">
        <f>SUM(M30:M30)</f>
        <v>1585476</v>
      </c>
      <c r="N29" s="64"/>
      <c r="O29" s="64"/>
      <c r="P29" s="651"/>
      <c r="Q29" s="64"/>
      <c r="R29" s="64">
        <f>SUM(R30:R30)</f>
        <v>1883939</v>
      </c>
      <c r="S29" s="64"/>
      <c r="T29" s="64"/>
      <c r="U29" s="651"/>
      <c r="V29" s="64"/>
      <c r="W29" s="64">
        <f>SUM(W30:W30)</f>
        <v>1345</v>
      </c>
      <c r="X29" s="64"/>
      <c r="Y29" s="64"/>
      <c r="Z29" s="651"/>
      <c r="AA29" s="64"/>
      <c r="AB29" s="64">
        <f>SUM(AB30:AB30)</f>
        <v>7623</v>
      </c>
      <c r="AC29" s="64"/>
      <c r="AD29" s="64"/>
      <c r="AE29" s="651"/>
      <c r="AF29" s="64"/>
      <c r="AG29" s="64">
        <f>SUM(AG30:AG30)</f>
        <v>2785125</v>
      </c>
      <c r="AH29" s="64"/>
      <c r="AI29" s="64"/>
      <c r="AJ29" s="651"/>
      <c r="AK29" s="64"/>
      <c r="AL29" s="64">
        <f>SUM(AL30:AL30)</f>
        <v>4713582</v>
      </c>
      <c r="AM29" s="64"/>
      <c r="AN29" s="64"/>
      <c r="AO29" s="651"/>
      <c r="AP29" s="64"/>
      <c r="AQ29" s="64">
        <f>SUM(AQ30:AQ30)</f>
        <v>1340721</v>
      </c>
      <c r="AR29" s="64"/>
      <c r="AS29" s="64"/>
      <c r="AT29" s="651"/>
      <c r="AU29" s="64"/>
      <c r="AV29" s="64">
        <f>SUM(AV30:AV30)</f>
        <v>1361987</v>
      </c>
      <c r="AW29" s="64"/>
      <c r="AX29" s="64"/>
      <c r="AY29" s="651"/>
      <c r="AZ29" s="64"/>
      <c r="BA29" s="64">
        <f>SUM(BA30:BA30)</f>
        <v>4840836</v>
      </c>
      <c r="BB29" s="64"/>
      <c r="BC29" s="64"/>
      <c r="BD29" s="651"/>
      <c r="BE29" s="64"/>
      <c r="BF29" s="64">
        <f>SUM(BF30:BF30)</f>
        <v>400240</v>
      </c>
      <c r="BG29" s="64"/>
      <c r="BH29" s="64"/>
      <c r="BI29" s="651"/>
      <c r="BJ29" s="64"/>
      <c r="BK29" s="64">
        <f>SUM(BK30:BK30)</f>
        <v>0</v>
      </c>
      <c r="BL29" s="64"/>
      <c r="BM29" s="64"/>
      <c r="BN29" s="651"/>
      <c r="BO29" s="64"/>
      <c r="BP29" s="64">
        <f>SUM(BP30:BP30)</f>
        <v>0</v>
      </c>
      <c r="BQ29" s="64"/>
      <c r="BR29" s="64"/>
      <c r="BS29" s="651"/>
      <c r="BT29" s="64"/>
      <c r="BU29" s="64">
        <f>SUM(BU30:BU30)</f>
        <v>18920874</v>
      </c>
      <c r="BV29" s="64"/>
      <c r="BW29" s="64"/>
      <c r="BX29" s="651"/>
      <c r="BY29" s="64"/>
      <c r="BZ29" s="64">
        <f>SUM(BZ30:BZ30)</f>
        <v>25341605</v>
      </c>
      <c r="CA29" s="64"/>
      <c r="CB29" s="64"/>
      <c r="CC29" s="651"/>
      <c r="CD29" s="64"/>
      <c r="CE29" s="64">
        <f>SUM(CE30:CE30)</f>
        <v>1088487</v>
      </c>
      <c r="CF29" s="64"/>
      <c r="CG29" s="64"/>
      <c r="CH29" s="651"/>
      <c r="CI29" s="64"/>
      <c r="CJ29" s="64">
        <f>SUM(CJ30:CJ30)</f>
        <v>1683039</v>
      </c>
      <c r="CK29" s="64"/>
      <c r="CL29" s="64"/>
      <c r="CM29" s="651"/>
      <c r="CN29" s="64"/>
      <c r="CO29" s="64">
        <f>SUM(CO30:CO30)</f>
        <v>239249</v>
      </c>
      <c r="CP29" s="64"/>
      <c r="CQ29" s="64"/>
      <c r="CR29" s="651"/>
      <c r="CS29" s="64"/>
      <c r="CT29" s="64">
        <f>SUM(CT30:CT30)</f>
        <v>17656</v>
      </c>
      <c r="CU29" s="64"/>
      <c r="CV29" s="64"/>
      <c r="CW29" s="651"/>
      <c r="CX29" s="64"/>
      <c r="CY29" s="64">
        <f>SUM(CY30:CY30)</f>
        <v>1013935</v>
      </c>
      <c r="CZ29" s="64"/>
      <c r="DA29" s="64"/>
      <c r="DB29" s="651"/>
      <c r="DC29" s="64"/>
      <c r="DD29" s="64">
        <f>SUM(DD30:DD30)</f>
        <v>1111697</v>
      </c>
      <c r="DE29" s="64"/>
      <c r="DF29" s="64"/>
      <c r="DG29" s="651"/>
      <c r="DH29" s="64"/>
      <c r="DI29" s="64">
        <f>SUM(DI30:DI30)</f>
        <v>530072</v>
      </c>
      <c r="DJ29" s="64"/>
      <c r="DK29" s="64"/>
      <c r="DL29" s="651"/>
      <c r="DM29" s="64"/>
      <c r="DN29" s="64">
        <f>SUM(DN30:DN30)</f>
        <v>6511671</v>
      </c>
      <c r="DO29" s="64"/>
      <c r="DP29" s="64"/>
      <c r="DQ29" s="651"/>
      <c r="DR29" s="64"/>
      <c r="DS29" s="64">
        <f>SUM(DS30:DS30)</f>
        <v>560492</v>
      </c>
      <c r="DT29" s="64"/>
      <c r="DU29" s="64"/>
      <c r="DV29" s="651"/>
      <c r="DW29" s="64"/>
      <c r="DX29" s="64">
        <f>SUM(DX30:DX30)</f>
        <v>2756088</v>
      </c>
      <c r="DY29" s="64"/>
      <c r="DZ29" s="64"/>
      <c r="EA29" s="651"/>
      <c r="EB29" s="64"/>
      <c r="EC29" s="64">
        <f>SUM(EC30:EC30)</f>
        <v>8032775</v>
      </c>
      <c r="ED29" s="64"/>
      <c r="EE29" s="64"/>
      <c r="EF29" s="651"/>
      <c r="EG29" s="64"/>
      <c r="EH29" s="64">
        <f>SUM(EH30:EH30)</f>
        <v>1796444</v>
      </c>
      <c r="EI29" s="64"/>
      <c r="EJ29" s="64"/>
      <c r="EK29" s="651"/>
      <c r="EL29" s="64"/>
      <c r="EM29" s="674">
        <f>SUM(EM30:EM30)</f>
        <v>15512386</v>
      </c>
      <c r="EN29" s="64"/>
      <c r="EO29" s="64"/>
      <c r="EP29" s="675"/>
    </row>
    <row r="30" spans="4:154" s="42" customFormat="1" x14ac:dyDescent="0.3">
      <c r="D30" s="688" t="s">
        <v>477</v>
      </c>
      <c r="E30" s="663"/>
      <c r="F30" s="270"/>
      <c r="G30" s="689"/>
      <c r="H30" s="690">
        <f>-776091.86601305</f>
        <v>-776091.86601304996</v>
      </c>
      <c r="I30" s="690"/>
      <c r="J30" s="90"/>
      <c r="K30" s="90"/>
      <c r="L30" s="690"/>
      <c r="M30" s="690">
        <v>1585476</v>
      </c>
      <c r="N30" s="690"/>
      <c r="O30" s="90"/>
      <c r="P30" s="90"/>
      <c r="Q30" s="690"/>
      <c r="R30" s="690">
        <v>1883939</v>
      </c>
      <c r="S30" s="690"/>
      <c r="T30" s="90"/>
      <c r="U30" s="90"/>
      <c r="V30" s="690"/>
      <c r="W30" s="690">
        <v>1345</v>
      </c>
      <c r="X30" s="690"/>
      <c r="Y30" s="90"/>
      <c r="Z30" s="90"/>
      <c r="AA30" s="690"/>
      <c r="AB30" s="690">
        <v>7623</v>
      </c>
      <c r="AC30" s="690"/>
      <c r="AD30" s="90"/>
      <c r="AE30" s="90"/>
      <c r="AF30" s="690"/>
      <c r="AG30" s="690">
        <v>2785125</v>
      </c>
      <c r="AH30" s="690"/>
      <c r="AI30" s="90"/>
      <c r="AJ30" s="90"/>
      <c r="AK30" s="690"/>
      <c r="AL30" s="690">
        <v>4713582</v>
      </c>
      <c r="AM30" s="690"/>
      <c r="AN30" s="90"/>
      <c r="AO30" s="90"/>
      <c r="AP30" s="690"/>
      <c r="AQ30" s="690">
        <v>1340721</v>
      </c>
      <c r="AR30" s="690"/>
      <c r="AS30" s="90"/>
      <c r="AT30" s="90"/>
      <c r="AU30" s="690"/>
      <c r="AV30" s="690">
        <v>1361987</v>
      </c>
      <c r="AW30" s="690"/>
      <c r="AX30" s="90"/>
      <c r="AY30" s="90"/>
      <c r="AZ30" s="690"/>
      <c r="BA30" s="690">
        <v>4840836</v>
      </c>
      <c r="BB30" s="618"/>
      <c r="BC30" s="90"/>
      <c r="BD30" s="90"/>
      <c r="BE30" s="618"/>
      <c r="BF30" s="690">
        <v>400240</v>
      </c>
      <c r="BG30" s="690"/>
      <c r="BH30" s="90"/>
      <c r="BI30" s="90"/>
      <c r="BJ30" s="690"/>
      <c r="BK30" s="690">
        <v>0</v>
      </c>
      <c r="BL30" s="690"/>
      <c r="BM30" s="90"/>
      <c r="BN30" s="90"/>
      <c r="BO30" s="690"/>
      <c r="BP30" s="690">
        <v>0</v>
      </c>
      <c r="BQ30" s="690"/>
      <c r="BR30" s="90"/>
      <c r="BS30" s="90"/>
      <c r="BT30" s="690"/>
      <c r="BU30" s="690">
        <f>SUM(M30:BP30)</f>
        <v>18920874</v>
      </c>
      <c r="BV30" s="690"/>
      <c r="BW30" s="90"/>
      <c r="BX30" s="90"/>
      <c r="BY30" s="690"/>
      <c r="BZ30" s="690">
        <v>25341605</v>
      </c>
      <c r="CA30" s="690"/>
      <c r="CB30" s="90"/>
      <c r="CC30" s="90"/>
      <c r="CD30" s="690"/>
      <c r="CE30" s="690">
        <v>1088487</v>
      </c>
      <c r="CF30" s="690"/>
      <c r="CG30" s="90"/>
      <c r="CH30" s="90"/>
      <c r="CI30" s="690"/>
      <c r="CJ30" s="690">
        <v>1683039</v>
      </c>
      <c r="CK30" s="690"/>
      <c r="CL30" s="90"/>
      <c r="CM30" s="90"/>
      <c r="CN30" s="690"/>
      <c r="CO30" s="690">
        <v>239249</v>
      </c>
      <c r="CP30" s="690"/>
      <c r="CQ30" s="90"/>
      <c r="CR30" s="90"/>
      <c r="CS30" s="690"/>
      <c r="CT30" s="690">
        <v>17656</v>
      </c>
      <c r="CU30" s="690"/>
      <c r="CV30" s="90"/>
      <c r="CW30" s="90"/>
      <c r="CX30" s="690"/>
      <c r="CY30" s="690">
        <v>1013935</v>
      </c>
      <c r="CZ30" s="690"/>
      <c r="DA30" s="90"/>
      <c r="DB30" s="90"/>
      <c r="DC30" s="690"/>
      <c r="DD30" s="690">
        <v>1111697</v>
      </c>
      <c r="DE30" s="690"/>
      <c r="DF30" s="90"/>
      <c r="DG30" s="90"/>
      <c r="DH30" s="690"/>
      <c r="DI30" s="690">
        <v>530072</v>
      </c>
      <c r="DJ30" s="690"/>
      <c r="DK30" s="90"/>
      <c r="DL30" s="90"/>
      <c r="DM30" s="690"/>
      <c r="DN30" s="690">
        <v>6511671</v>
      </c>
      <c r="DO30" s="690"/>
      <c r="DP30" s="90"/>
      <c r="DQ30" s="90"/>
      <c r="DR30" s="690"/>
      <c r="DS30" s="690">
        <v>560492</v>
      </c>
      <c r="DT30" s="618"/>
      <c r="DU30" s="90"/>
      <c r="DV30" s="90"/>
      <c r="DW30" s="618"/>
      <c r="DX30" s="690">
        <v>2756088</v>
      </c>
      <c r="DY30" s="690"/>
      <c r="DZ30" s="90"/>
      <c r="EA30" s="90"/>
      <c r="EB30" s="690"/>
      <c r="EC30" s="690">
        <v>8032775</v>
      </c>
      <c r="ED30" s="690"/>
      <c r="EE30" s="90"/>
      <c r="EF30" s="90"/>
      <c r="EG30" s="690"/>
      <c r="EH30" s="690">
        <v>1796444</v>
      </c>
      <c r="EI30" s="690"/>
      <c r="EJ30" s="90"/>
      <c r="EK30" s="90"/>
      <c r="EL30" s="691"/>
      <c r="EM30" s="690">
        <f>SUM(CE30:DX30)</f>
        <v>15512386</v>
      </c>
      <c r="EN30" s="692"/>
      <c r="EO30" s="66"/>
      <c r="EP30" s="675"/>
    </row>
    <row r="31" spans="4:154" x14ac:dyDescent="0.3">
      <c r="D31" s="144"/>
      <c r="F31" s="494"/>
      <c r="K31" s="494"/>
      <c r="P31" s="494"/>
      <c r="U31" s="494"/>
      <c r="Z31" s="494"/>
      <c r="AE31" s="494"/>
      <c r="AJ31" s="494"/>
      <c r="AO31" s="494"/>
      <c r="AT31" s="494"/>
      <c r="AY31" s="494"/>
      <c r="BD31" s="494"/>
      <c r="BI31" s="494"/>
      <c r="BN31" s="494"/>
      <c r="BS31" s="494"/>
      <c r="BW31" s="95"/>
      <c r="BX31" s="652"/>
      <c r="BY31" s="95"/>
      <c r="CC31" s="494"/>
      <c r="CH31" s="494"/>
      <c r="CM31" s="494"/>
      <c r="CR31" s="494"/>
      <c r="CW31" s="494"/>
      <c r="DB31" s="494"/>
      <c r="DG31" s="494"/>
      <c r="DL31" s="494"/>
      <c r="DQ31" s="494"/>
      <c r="DV31" s="494"/>
      <c r="EA31" s="494"/>
      <c r="EF31" s="494"/>
      <c r="EK31" s="494"/>
      <c r="EM31" s="214"/>
      <c r="EN31" s="95"/>
      <c r="EO31" s="95"/>
      <c r="EP31" s="679"/>
      <c r="ER31" s="42"/>
      <c r="ES31" s="42"/>
    </row>
    <row r="32" spans="4:154" s="42" customFormat="1" x14ac:dyDescent="0.3">
      <c r="D32" s="234" t="s">
        <v>478</v>
      </c>
      <c r="E32" s="199" t="s">
        <v>89</v>
      </c>
      <c r="F32" s="494"/>
      <c r="G32" s="64"/>
      <c r="H32" s="519">
        <f>SUM(H33:H33)</f>
        <v>0</v>
      </c>
      <c r="I32" s="64"/>
      <c r="J32" s="64"/>
      <c r="K32" s="651"/>
      <c r="L32" s="64"/>
      <c r="M32" s="64">
        <f>SUM(M33:M33)</f>
        <v>0</v>
      </c>
      <c r="N32" s="64"/>
      <c r="O32" s="64"/>
      <c r="P32" s="651"/>
      <c r="Q32" s="64"/>
      <c r="R32" s="64">
        <f>SUM(R33:R33)</f>
        <v>0</v>
      </c>
      <c r="S32" s="64"/>
      <c r="T32" s="64"/>
      <c r="U32" s="651"/>
      <c r="V32" s="64"/>
      <c r="W32" s="64">
        <f>SUM(W33:W33)</f>
        <v>-28311</v>
      </c>
      <c r="X32" s="64"/>
      <c r="Y32" s="64"/>
      <c r="Z32" s="651"/>
      <c r="AA32" s="64"/>
      <c r="AB32" s="64">
        <f>SUM(AB33:AB33)</f>
        <v>28311</v>
      </c>
      <c r="AC32" s="64"/>
      <c r="AD32" s="64"/>
      <c r="AE32" s="651"/>
      <c r="AF32" s="64"/>
      <c r="AG32" s="64">
        <f>SUM(AG33:AG33)</f>
        <v>-30170</v>
      </c>
      <c r="AH32" s="64"/>
      <c r="AI32" s="64"/>
      <c r="AJ32" s="651"/>
      <c r="AK32" s="64"/>
      <c r="AL32" s="64">
        <f>SUM(AL33:AL33)</f>
        <v>-107886</v>
      </c>
      <c r="AM32" s="64"/>
      <c r="AN32" s="64"/>
      <c r="AO32" s="651"/>
      <c r="AP32" s="64"/>
      <c r="AQ32" s="64">
        <f>SUM(AQ33:AQ33)</f>
        <v>-962616</v>
      </c>
      <c r="AR32" s="64"/>
      <c r="AS32" s="64"/>
      <c r="AT32" s="651"/>
      <c r="AU32" s="64"/>
      <c r="AV32" s="64">
        <f>SUM(AV33:AV33)</f>
        <v>0</v>
      </c>
      <c r="AW32" s="64"/>
      <c r="AX32" s="64"/>
      <c r="AY32" s="651"/>
      <c r="AZ32" s="64"/>
      <c r="BA32" s="64">
        <f>SUM(BA33:BA33)</f>
        <v>0</v>
      </c>
      <c r="BB32" s="64"/>
      <c r="BC32" s="64"/>
      <c r="BD32" s="651"/>
      <c r="BE32" s="64"/>
      <c r="BF32" s="64">
        <f>SUM(BF33:BF33)</f>
        <v>0</v>
      </c>
      <c r="BG32" s="64"/>
      <c r="BH32" s="64"/>
      <c r="BI32" s="651"/>
      <c r="BJ32" s="64"/>
      <c r="BK32" s="64">
        <f>SUM(BK33:BK33)</f>
        <v>0</v>
      </c>
      <c r="BL32" s="64"/>
      <c r="BM32" s="64"/>
      <c r="BN32" s="651"/>
      <c r="BO32" s="64"/>
      <c r="BP32" s="64">
        <f>SUM(BP33:BP33)</f>
        <v>0</v>
      </c>
      <c r="BQ32" s="519"/>
      <c r="BR32" s="519"/>
      <c r="BS32" s="518"/>
      <c r="BT32" s="64"/>
      <c r="BU32" s="519">
        <f>SUM(BU33:BU33)</f>
        <v>-1100672</v>
      </c>
      <c r="BV32" s="64"/>
      <c r="BW32" s="519"/>
      <c r="BX32" s="518"/>
      <c r="BY32" s="64"/>
      <c r="BZ32" s="519">
        <f>SUM(BZ33:BZ33)</f>
        <v>-915497</v>
      </c>
      <c r="CA32" s="64"/>
      <c r="CB32" s="64"/>
      <c r="CC32" s="651"/>
      <c r="CD32" s="64"/>
      <c r="CE32" s="64">
        <f>SUM(CE33:CE33)</f>
        <v>0</v>
      </c>
      <c r="CF32" s="64"/>
      <c r="CG32" s="64"/>
      <c r="CH32" s="651"/>
      <c r="CI32" s="64"/>
      <c r="CJ32" s="64">
        <f>SUM(CJ33:CJ33)</f>
        <v>0</v>
      </c>
      <c r="CK32" s="64"/>
      <c r="CL32" s="64"/>
      <c r="CM32" s="651"/>
      <c r="CN32" s="64"/>
      <c r="CO32" s="64">
        <f>SUM(CO33:CO33)</f>
        <v>-34139</v>
      </c>
      <c r="CP32" s="64"/>
      <c r="CQ32" s="64"/>
      <c r="CR32" s="651"/>
      <c r="CS32" s="64"/>
      <c r="CT32" s="64">
        <f>SUM(CT33:CT33)</f>
        <v>0</v>
      </c>
      <c r="CU32" s="64"/>
      <c r="CV32" s="64"/>
      <c r="CW32" s="651"/>
      <c r="CX32" s="64"/>
      <c r="CY32" s="64">
        <f>SUM(CY33:CY33)</f>
        <v>0</v>
      </c>
      <c r="CZ32" s="64"/>
      <c r="DA32" s="64"/>
      <c r="DB32" s="651"/>
      <c r="DC32" s="64"/>
      <c r="DD32" s="64">
        <f>SUM(DD33:DD33)</f>
        <v>-578417</v>
      </c>
      <c r="DE32" s="64"/>
      <c r="DF32" s="64"/>
      <c r="DG32" s="651"/>
      <c r="DH32" s="64"/>
      <c r="DI32" s="64">
        <f>SUM(DI33:DI33)</f>
        <v>0</v>
      </c>
      <c r="DJ32" s="64"/>
      <c r="DK32" s="64"/>
      <c r="DL32" s="651"/>
      <c r="DM32" s="64"/>
      <c r="DN32" s="64">
        <f>SUM(DN33:DN33)</f>
        <v>-266903</v>
      </c>
      <c r="DO32" s="64"/>
      <c r="DP32" s="64"/>
      <c r="DQ32" s="651"/>
      <c r="DR32" s="64"/>
      <c r="DS32" s="64">
        <f>SUM(DS33:DS33)</f>
        <v>0</v>
      </c>
      <c r="DT32" s="64"/>
      <c r="DU32" s="64"/>
      <c r="DV32" s="651"/>
      <c r="DW32" s="64"/>
      <c r="DX32" s="64">
        <f>SUM(DX33:DX33)</f>
        <v>0</v>
      </c>
      <c r="DY32" s="64"/>
      <c r="DZ32" s="64"/>
      <c r="EA32" s="651"/>
      <c r="EB32" s="64"/>
      <c r="EC32" s="64">
        <f>SUM(EC33:EC33)</f>
        <v>-14320</v>
      </c>
      <c r="ED32" s="64"/>
      <c r="EE32" s="64"/>
      <c r="EF32" s="651"/>
      <c r="EG32" s="64"/>
      <c r="EH32" s="64">
        <f>SUM(EH33:EH33)</f>
        <v>-21718</v>
      </c>
      <c r="EI32" s="519"/>
      <c r="EJ32" s="519"/>
      <c r="EK32" s="518"/>
      <c r="EL32" s="64"/>
      <c r="EM32" s="490">
        <f>SUM(EM33:EM33)</f>
        <v>-879459</v>
      </c>
      <c r="EN32" s="64"/>
      <c r="EO32" s="519"/>
      <c r="EP32" s="623"/>
    </row>
    <row r="33" spans="4:149" s="42" customFormat="1" x14ac:dyDescent="0.3">
      <c r="D33" s="688" t="s">
        <v>479</v>
      </c>
      <c r="E33" s="663"/>
      <c r="F33" s="270"/>
      <c r="G33" s="689"/>
      <c r="H33" s="690">
        <v>0</v>
      </c>
      <c r="I33" s="690"/>
      <c r="J33" s="90"/>
      <c r="K33" s="90"/>
      <c r="L33" s="690"/>
      <c r="M33" s="690">
        <v>0</v>
      </c>
      <c r="N33" s="690"/>
      <c r="O33" s="90"/>
      <c r="P33" s="90"/>
      <c r="Q33" s="690"/>
      <c r="R33" s="690">
        <v>0</v>
      </c>
      <c r="S33" s="690"/>
      <c r="T33" s="90"/>
      <c r="U33" s="90"/>
      <c r="V33" s="690"/>
      <c r="W33" s="690">
        <v>-28311</v>
      </c>
      <c r="X33" s="690"/>
      <c r="Y33" s="90"/>
      <c r="Z33" s="90"/>
      <c r="AA33" s="690"/>
      <c r="AB33" s="690">
        <v>28311</v>
      </c>
      <c r="AC33" s="690"/>
      <c r="AD33" s="90"/>
      <c r="AE33" s="90"/>
      <c r="AF33" s="690"/>
      <c r="AG33" s="690">
        <v>-30170</v>
      </c>
      <c r="AH33" s="690"/>
      <c r="AI33" s="90"/>
      <c r="AJ33" s="90"/>
      <c r="AK33" s="690"/>
      <c r="AL33" s="690">
        <v>-107886</v>
      </c>
      <c r="AM33" s="690"/>
      <c r="AN33" s="90"/>
      <c r="AO33" s="90"/>
      <c r="AP33" s="690"/>
      <c r="AQ33" s="690">
        <v>-962616</v>
      </c>
      <c r="AR33" s="690"/>
      <c r="AS33" s="90"/>
      <c r="AT33" s="90"/>
      <c r="AU33" s="690"/>
      <c r="AV33" s="690">
        <v>0</v>
      </c>
      <c r="AW33" s="690"/>
      <c r="AX33" s="90"/>
      <c r="AY33" s="90"/>
      <c r="AZ33" s="690"/>
      <c r="BA33" s="690">
        <v>0</v>
      </c>
      <c r="BB33" s="618"/>
      <c r="BC33" s="90"/>
      <c r="BD33" s="90"/>
      <c r="BE33" s="618"/>
      <c r="BF33" s="690">
        <v>0</v>
      </c>
      <c r="BG33" s="690"/>
      <c r="BH33" s="90"/>
      <c r="BI33" s="90"/>
      <c r="BJ33" s="690"/>
      <c r="BK33" s="690">
        <v>0</v>
      </c>
      <c r="BL33" s="690"/>
      <c r="BM33" s="90"/>
      <c r="BN33" s="90"/>
      <c r="BO33" s="690"/>
      <c r="BP33" s="690">
        <v>0</v>
      </c>
      <c r="BQ33" s="690"/>
      <c r="BR33" s="90"/>
      <c r="BS33" s="90"/>
      <c r="BT33" s="690"/>
      <c r="BU33" s="690">
        <f>SUM(M33:BP33)</f>
        <v>-1100672</v>
      </c>
      <c r="BV33" s="690"/>
      <c r="BW33" s="90"/>
      <c r="BX33" s="90"/>
      <c r="BY33" s="690"/>
      <c r="BZ33" s="690">
        <v>-915497</v>
      </c>
      <c r="CA33" s="690"/>
      <c r="CB33" s="90"/>
      <c r="CC33" s="90"/>
      <c r="CD33" s="690"/>
      <c r="CE33" s="690">
        <v>0</v>
      </c>
      <c r="CF33" s="690"/>
      <c r="CG33" s="90"/>
      <c r="CH33" s="90"/>
      <c r="CI33" s="690"/>
      <c r="CJ33" s="690">
        <v>0</v>
      </c>
      <c r="CK33" s="690"/>
      <c r="CL33" s="90"/>
      <c r="CM33" s="90"/>
      <c r="CN33" s="690"/>
      <c r="CO33" s="690">
        <v>-34139</v>
      </c>
      <c r="CP33" s="690"/>
      <c r="CQ33" s="90"/>
      <c r="CR33" s="90"/>
      <c r="CS33" s="690"/>
      <c r="CT33" s="690">
        <v>0</v>
      </c>
      <c r="CU33" s="690"/>
      <c r="CV33" s="90"/>
      <c r="CW33" s="90"/>
      <c r="CX33" s="690"/>
      <c r="CY33" s="690">
        <v>0</v>
      </c>
      <c r="CZ33" s="690"/>
      <c r="DA33" s="90"/>
      <c r="DB33" s="90"/>
      <c r="DC33" s="690"/>
      <c r="DD33" s="690">
        <v>-578417</v>
      </c>
      <c r="DE33" s="690"/>
      <c r="DF33" s="90"/>
      <c r="DG33" s="90"/>
      <c r="DH33" s="690"/>
      <c r="DI33" s="690">
        <v>0</v>
      </c>
      <c r="DJ33" s="690"/>
      <c r="DK33" s="90"/>
      <c r="DL33" s="90"/>
      <c r="DM33" s="690"/>
      <c r="DN33" s="690">
        <v>-266903</v>
      </c>
      <c r="DO33" s="690"/>
      <c r="DP33" s="90"/>
      <c r="DQ33" s="90"/>
      <c r="DR33" s="690"/>
      <c r="DS33" s="690">
        <v>0</v>
      </c>
      <c r="DT33" s="618"/>
      <c r="DU33" s="90"/>
      <c r="DV33" s="90"/>
      <c r="DW33" s="618"/>
      <c r="DX33" s="690">
        <v>0</v>
      </c>
      <c r="DY33" s="690"/>
      <c r="DZ33" s="90"/>
      <c r="EA33" s="90"/>
      <c r="EB33" s="690"/>
      <c r="EC33" s="690">
        <v>-14320</v>
      </c>
      <c r="ED33" s="690"/>
      <c r="EE33" s="90"/>
      <c r="EF33" s="90"/>
      <c r="EG33" s="690"/>
      <c r="EH33" s="690">
        <v>-21718</v>
      </c>
      <c r="EI33" s="690"/>
      <c r="EJ33" s="90"/>
      <c r="EK33" s="90"/>
      <c r="EL33" s="691"/>
      <c r="EM33" s="690">
        <f>SUM(CE33:DX33)</f>
        <v>-879459</v>
      </c>
      <c r="EN33" s="692"/>
      <c r="EO33" s="66"/>
      <c r="EP33" s="675"/>
    </row>
    <row r="34" spans="4:149" x14ac:dyDescent="0.3">
      <c r="D34" s="144"/>
      <c r="F34" s="494"/>
      <c r="H34" s="95"/>
      <c r="I34" s="95"/>
      <c r="J34" s="95"/>
      <c r="K34" s="652"/>
      <c r="L34" s="95"/>
      <c r="M34" s="95"/>
      <c r="N34" s="95"/>
      <c r="O34" s="95"/>
      <c r="P34" s="652"/>
      <c r="Q34" s="95"/>
      <c r="R34" s="95"/>
      <c r="S34" s="95"/>
      <c r="T34" s="95"/>
      <c r="U34" s="652"/>
      <c r="V34" s="95"/>
      <c r="W34" s="95"/>
      <c r="X34" s="95"/>
      <c r="Y34" s="95"/>
      <c r="Z34" s="652"/>
      <c r="AA34" s="95"/>
      <c r="AB34" s="95"/>
      <c r="AC34" s="95"/>
      <c r="AD34" s="95"/>
      <c r="AE34" s="652"/>
      <c r="AF34" s="95"/>
      <c r="AG34" s="95"/>
      <c r="AH34" s="95"/>
      <c r="AI34" s="95"/>
      <c r="AJ34" s="652"/>
      <c r="AK34" s="95"/>
      <c r="AL34" s="95"/>
      <c r="AM34" s="95"/>
      <c r="AN34" s="95"/>
      <c r="AO34" s="652"/>
      <c r="AP34" s="95"/>
      <c r="AQ34" s="95"/>
      <c r="AR34" s="95"/>
      <c r="AS34" s="95"/>
      <c r="AT34" s="652"/>
      <c r="AU34" s="95"/>
      <c r="AV34" s="95"/>
      <c r="AW34" s="676"/>
      <c r="AX34" s="95"/>
      <c r="AY34" s="652"/>
      <c r="AZ34" s="95"/>
      <c r="BA34" s="95"/>
      <c r="BB34" s="95"/>
      <c r="BC34" s="95"/>
      <c r="BD34" s="652"/>
      <c r="BE34" s="95"/>
      <c r="BF34" s="95"/>
      <c r="BG34" s="95"/>
      <c r="BH34" s="95"/>
      <c r="BI34" s="652"/>
      <c r="BJ34" s="95"/>
      <c r="BK34" s="95"/>
      <c r="BL34" s="95"/>
      <c r="BM34" s="95"/>
      <c r="BN34" s="652"/>
      <c r="BO34" s="676"/>
      <c r="BP34" s="95"/>
      <c r="BQ34" s="676"/>
      <c r="BR34" s="95"/>
      <c r="BS34" s="652"/>
      <c r="BT34" s="95"/>
      <c r="BU34" s="95"/>
      <c r="BV34" s="95"/>
      <c r="BW34" s="95"/>
      <c r="BX34" s="652"/>
      <c r="BY34" s="95"/>
      <c r="BZ34" s="95"/>
      <c r="CA34" s="95"/>
      <c r="CB34" s="95"/>
      <c r="CC34" s="652"/>
      <c r="CD34" s="95"/>
      <c r="CE34" s="95"/>
      <c r="CF34" s="95"/>
      <c r="CG34" s="95"/>
      <c r="CH34" s="652"/>
      <c r="CI34" s="95"/>
      <c r="CJ34" s="95"/>
      <c r="CK34" s="95"/>
      <c r="CL34" s="95"/>
      <c r="CM34" s="652"/>
      <c r="CN34" s="95"/>
      <c r="CO34" s="95"/>
      <c r="CP34" s="95"/>
      <c r="CQ34" s="95"/>
      <c r="CR34" s="652"/>
      <c r="CS34" s="95"/>
      <c r="CT34" s="95"/>
      <c r="CU34" s="95"/>
      <c r="CV34" s="95"/>
      <c r="CW34" s="652"/>
      <c r="CX34" s="95"/>
      <c r="CY34" s="95"/>
      <c r="CZ34" s="95"/>
      <c r="DA34" s="95"/>
      <c r="DB34" s="652"/>
      <c r="DC34" s="95"/>
      <c r="DD34" s="95"/>
      <c r="DE34" s="95"/>
      <c r="DF34" s="95"/>
      <c r="DG34" s="652"/>
      <c r="DH34" s="95"/>
      <c r="DI34" s="95"/>
      <c r="DJ34" s="95"/>
      <c r="DK34" s="95"/>
      <c r="DL34" s="652"/>
      <c r="DM34" s="95"/>
      <c r="DN34" s="95"/>
      <c r="DO34" s="676"/>
      <c r="DP34" s="95"/>
      <c r="DQ34" s="652"/>
      <c r="DR34" s="95"/>
      <c r="DS34" s="95"/>
      <c r="DT34" s="95"/>
      <c r="DU34" s="95"/>
      <c r="DV34" s="652"/>
      <c r="DW34" s="95"/>
      <c r="DX34" s="95"/>
      <c r="DY34" s="95"/>
      <c r="DZ34" s="95"/>
      <c r="EA34" s="652"/>
      <c r="EB34" s="95"/>
      <c r="EC34" s="95"/>
      <c r="ED34" s="95"/>
      <c r="EE34" s="95"/>
      <c r="EF34" s="652"/>
      <c r="EG34" s="676"/>
      <c r="EH34" s="95"/>
      <c r="EI34" s="676"/>
      <c r="EJ34" s="95"/>
      <c r="EK34" s="652"/>
      <c r="EL34" s="95"/>
      <c r="EM34" s="676"/>
      <c r="EN34" s="676"/>
      <c r="EO34" s="95"/>
      <c r="EP34" s="679"/>
      <c r="ER34" s="42"/>
      <c r="ES34" s="42"/>
    </row>
    <row r="35" spans="4:149" s="42" customFormat="1" x14ac:dyDescent="0.3">
      <c r="D35" s="234" t="s">
        <v>480</v>
      </c>
      <c r="E35" s="663"/>
      <c r="F35" s="270"/>
      <c r="G35" s="689"/>
      <c r="H35" s="693">
        <v>0</v>
      </c>
      <c r="I35" s="693"/>
      <c r="J35" s="63"/>
      <c r="K35" s="63"/>
      <c r="L35" s="693"/>
      <c r="M35" s="693">
        <f>-[66]original!$F$82</f>
        <v>-32836320.771990001</v>
      </c>
      <c r="N35" s="693"/>
      <c r="O35" s="63"/>
      <c r="P35" s="63"/>
      <c r="Q35" s="693"/>
      <c r="R35" s="693">
        <f>-[67]original!$G$82</f>
        <v>-5512617.4648199826</v>
      </c>
      <c r="S35" s="693"/>
      <c r="T35" s="63"/>
      <c r="U35" s="63"/>
      <c r="V35" s="693"/>
      <c r="W35" s="693">
        <f>-[68]original!$H$82</f>
        <v>3578503.2416499853</v>
      </c>
      <c r="X35" s="693"/>
      <c r="Y35" s="63"/>
      <c r="Z35" s="63"/>
      <c r="AA35" s="693"/>
      <c r="AB35" s="693">
        <f>-[69]original!$I$82</f>
        <v>-7197008.0788299739</v>
      </c>
      <c r="AC35" s="693"/>
      <c r="AD35" s="63"/>
      <c r="AE35" s="63"/>
      <c r="AF35" s="693"/>
      <c r="AG35" s="693">
        <f>-[70]original!$J$82</f>
        <v>5587438.3340399861</v>
      </c>
      <c r="AH35" s="693"/>
      <c r="AI35" s="63"/>
      <c r="AJ35" s="63"/>
      <c r="AK35" s="693"/>
      <c r="AL35" s="693">
        <f>-[71]original!$K$82</f>
        <v>-1570242.0785700083</v>
      </c>
      <c r="AM35" s="693"/>
      <c r="AN35" s="63"/>
      <c r="AO35" s="63"/>
      <c r="AP35" s="693"/>
      <c r="AQ35" s="693">
        <f>-[72]original!$L$82</f>
        <v>-6134755.2017400116</v>
      </c>
      <c r="AR35" s="693"/>
      <c r="AS35" s="63"/>
      <c r="AT35" s="63"/>
      <c r="AU35" s="693"/>
      <c r="AV35" s="693">
        <f>-[73]original!$M$82</f>
        <v>2681067.2674000114</v>
      </c>
      <c r="AW35" s="693"/>
      <c r="AX35" s="63"/>
      <c r="AY35" s="63"/>
      <c r="AZ35" s="693"/>
      <c r="BA35" s="693">
        <f>-[74]original!$N$82</f>
        <v>10848952.676469982</v>
      </c>
      <c r="BB35" s="694"/>
      <c r="BC35" s="63"/>
      <c r="BD35" s="63"/>
      <c r="BE35" s="694"/>
      <c r="BF35" s="693">
        <f>-[75]original!$O$82</f>
        <v>-18025698.560849994</v>
      </c>
      <c r="BG35" s="693"/>
      <c r="BH35" s="63"/>
      <c r="BI35" s="63"/>
      <c r="BJ35" s="693"/>
      <c r="BK35" s="693">
        <v>0</v>
      </c>
      <c r="BL35" s="693"/>
      <c r="BM35" s="63"/>
      <c r="BN35" s="63"/>
      <c r="BO35" s="693"/>
      <c r="BP35" s="693">
        <v>0</v>
      </c>
      <c r="BQ35" s="693"/>
      <c r="BR35" s="63"/>
      <c r="BS35" s="63"/>
      <c r="BT35" s="693"/>
      <c r="BU35" s="693">
        <f>SUM(M35:BP35)</f>
        <v>-48580680.637240008</v>
      </c>
      <c r="BV35" s="693"/>
      <c r="BW35" s="63"/>
      <c r="BX35" s="63"/>
      <c r="BY35" s="693"/>
      <c r="BZ35" s="693">
        <f>-[72]original!$V$82</f>
        <v>1064259.7532298565</v>
      </c>
      <c r="CA35" s="693"/>
      <c r="CB35" s="63"/>
      <c r="CC35" s="63"/>
      <c r="CD35" s="693"/>
      <c r="CE35" s="693">
        <f>-[66]original!$W$82</f>
        <v>5906544.219140023</v>
      </c>
      <c r="CF35" s="693"/>
      <c r="CG35" s="63"/>
      <c r="CH35" s="63"/>
      <c r="CI35" s="693"/>
      <c r="CJ35" s="693">
        <f>-[67]original!$X$82</f>
        <v>-12483950.991829976</v>
      </c>
      <c r="CK35" s="693"/>
      <c r="CL35" s="63"/>
      <c r="CM35" s="63"/>
      <c r="CN35" s="693"/>
      <c r="CO35" s="693">
        <f>-[68]original!$Y$82</f>
        <v>3209022.3661100268</v>
      </c>
      <c r="CP35" s="693"/>
      <c r="CQ35" s="63"/>
      <c r="CR35" s="63"/>
      <c r="CS35" s="693"/>
      <c r="CT35" s="693">
        <f>-[69]original!$Z$82</f>
        <v>-6553094.9010600448</v>
      </c>
      <c r="CU35" s="693"/>
      <c r="CV35" s="63"/>
      <c r="CW35" s="63"/>
      <c r="CX35" s="693"/>
      <c r="CY35" s="693">
        <f>-[70]original!$AA$82</f>
        <v>-2782867.0139960051</v>
      </c>
      <c r="CZ35" s="693"/>
      <c r="DA35" s="63"/>
      <c r="DB35" s="63"/>
      <c r="DC35" s="693"/>
      <c r="DD35" s="693">
        <f>-[71]original!$AB$82</f>
        <v>8997817.3801300079</v>
      </c>
      <c r="DE35" s="693"/>
      <c r="DF35" s="63"/>
      <c r="DG35" s="63"/>
      <c r="DH35" s="693"/>
      <c r="DI35" s="693">
        <f>-[72]original!$AC$82</f>
        <v>-1449789.4983399957</v>
      </c>
      <c r="DJ35" s="693"/>
      <c r="DK35" s="63"/>
      <c r="DL35" s="63"/>
      <c r="DM35" s="693"/>
      <c r="DN35" s="693">
        <f>-[73]original!$AD$82</f>
        <v>10616591.319769949</v>
      </c>
      <c r="DO35" s="693"/>
      <c r="DP35" s="63"/>
      <c r="DQ35" s="63"/>
      <c r="DR35" s="693"/>
      <c r="DS35" s="693">
        <f>-[74]original!$AE$82</f>
        <v>383769.56102001667</v>
      </c>
      <c r="DT35" s="694"/>
      <c r="DU35" s="63"/>
      <c r="DV35" s="63"/>
      <c r="DW35" s="694"/>
      <c r="DX35" s="693">
        <f>-[75]original!$AF$82</f>
        <v>4427766.5460499972</v>
      </c>
      <c r="DY35" s="693"/>
      <c r="DZ35" s="63"/>
      <c r="EA35" s="63"/>
      <c r="EB35" s="693"/>
      <c r="EC35" s="693">
        <v>-19891534.173719943</v>
      </c>
      <c r="ED35" s="693"/>
      <c r="EE35" s="63"/>
      <c r="EF35" s="63"/>
      <c r="EG35" s="693"/>
      <c r="EH35" s="693">
        <v>16555653.150080025</v>
      </c>
      <c r="EI35" s="693"/>
      <c r="EJ35" s="63"/>
      <c r="EK35" s="63"/>
      <c r="EL35" s="695"/>
      <c r="EM35" s="693">
        <f>SUM(CE35:DX35)</f>
        <v>10271808.986993998</v>
      </c>
      <c r="EN35" s="692"/>
      <c r="EO35" s="66"/>
      <c r="EP35" s="675"/>
      <c r="ER35" s="24"/>
    </row>
    <row r="36" spans="4:149" x14ac:dyDescent="0.3">
      <c r="D36" s="144"/>
      <c r="E36" s="696"/>
      <c r="F36" s="494"/>
      <c r="H36" s="95"/>
      <c r="I36" s="95"/>
      <c r="J36" s="95"/>
      <c r="K36" s="652"/>
      <c r="L36" s="95"/>
      <c r="M36" s="95"/>
      <c r="N36" s="95"/>
      <c r="O36" s="95"/>
      <c r="P36" s="652"/>
      <c r="Q36" s="95"/>
      <c r="R36" s="95"/>
      <c r="S36" s="95"/>
      <c r="T36" s="95"/>
      <c r="U36" s="652"/>
      <c r="V36" s="95"/>
      <c r="W36" s="95"/>
      <c r="X36" s="95"/>
      <c r="Y36" s="95"/>
      <c r="Z36" s="652"/>
      <c r="AA36" s="95"/>
      <c r="AB36" s="95"/>
      <c r="AC36" s="95"/>
      <c r="AD36" s="95"/>
      <c r="AE36" s="652"/>
      <c r="AF36" s="95"/>
      <c r="AG36" s="95"/>
      <c r="AH36" s="95"/>
      <c r="AI36" s="95"/>
      <c r="AJ36" s="652"/>
      <c r="AK36" s="95"/>
      <c r="AL36" s="95"/>
      <c r="AM36" s="95"/>
      <c r="AN36" s="95"/>
      <c r="AO36" s="652"/>
      <c r="AP36" s="95"/>
      <c r="AQ36" s="95"/>
      <c r="AR36" s="95"/>
      <c r="AS36" s="95"/>
      <c r="AT36" s="652"/>
      <c r="AU36" s="95"/>
      <c r="AV36" s="95"/>
      <c r="AW36" s="95"/>
      <c r="AX36" s="95"/>
      <c r="AY36" s="652"/>
      <c r="AZ36" s="95"/>
      <c r="BA36" s="95"/>
      <c r="BB36" s="95"/>
      <c r="BC36" s="95"/>
      <c r="BD36" s="652"/>
      <c r="BE36" s="95"/>
      <c r="BF36" s="95"/>
      <c r="BG36" s="95"/>
      <c r="BH36" s="95"/>
      <c r="BI36" s="652"/>
      <c r="BJ36" s="95"/>
      <c r="BK36" s="95"/>
      <c r="BL36" s="95"/>
      <c r="BM36" s="95"/>
      <c r="BN36" s="652"/>
      <c r="BO36" s="95"/>
      <c r="BP36" s="95"/>
      <c r="BQ36" s="95"/>
      <c r="BR36" s="95"/>
      <c r="BS36" s="652"/>
      <c r="BT36" s="95"/>
      <c r="BU36" s="95"/>
      <c r="BV36" s="95"/>
      <c r="BW36" s="95"/>
      <c r="BX36" s="652"/>
      <c r="BY36" s="95"/>
      <c r="BZ36" s="95"/>
      <c r="CA36" s="95"/>
      <c r="CB36" s="95"/>
      <c r="CC36" s="652"/>
      <c r="CD36" s="95"/>
      <c r="CE36" s="95"/>
      <c r="CF36" s="95"/>
      <c r="CG36" s="95"/>
      <c r="CH36" s="652"/>
      <c r="CI36" s="95"/>
      <c r="CJ36" s="95"/>
      <c r="CK36" s="95"/>
      <c r="CL36" s="95"/>
      <c r="CM36" s="652"/>
      <c r="CN36" s="95"/>
      <c r="CO36" s="95"/>
      <c r="CP36" s="95"/>
      <c r="CQ36" s="95"/>
      <c r="CR36" s="652"/>
      <c r="CS36" s="95"/>
      <c r="CT36" s="95"/>
      <c r="CU36" s="95"/>
      <c r="CV36" s="95"/>
      <c r="CW36" s="652"/>
      <c r="CX36" s="95"/>
      <c r="CY36" s="95"/>
      <c r="CZ36" s="95"/>
      <c r="DA36" s="95"/>
      <c r="DB36" s="652"/>
      <c r="DC36" s="95"/>
      <c r="DD36" s="95"/>
      <c r="DE36" s="95"/>
      <c r="DF36" s="95"/>
      <c r="DG36" s="652"/>
      <c r="DH36" s="95"/>
      <c r="DI36" s="95"/>
      <c r="DJ36" s="95"/>
      <c r="DK36" s="95"/>
      <c r="DL36" s="652"/>
      <c r="DM36" s="95"/>
      <c r="DN36" s="95"/>
      <c r="DO36" s="95"/>
      <c r="DP36" s="95"/>
      <c r="DQ36" s="652"/>
      <c r="DR36" s="95"/>
      <c r="DS36" s="95"/>
      <c r="DT36" s="95"/>
      <c r="DU36" s="95"/>
      <c r="DV36" s="652"/>
      <c r="DW36" s="95"/>
      <c r="DX36" s="95"/>
      <c r="DY36" s="95"/>
      <c r="DZ36" s="95"/>
      <c r="EA36" s="652"/>
      <c r="EB36" s="95"/>
      <c r="EC36" s="95"/>
      <c r="ED36" s="95"/>
      <c r="EE36" s="95"/>
      <c r="EF36" s="652"/>
      <c r="EG36" s="95"/>
      <c r="EH36" s="95"/>
      <c r="EI36" s="95"/>
      <c r="EJ36" s="95"/>
      <c r="EK36" s="652"/>
      <c r="EL36" s="95"/>
      <c r="EM36" s="95"/>
      <c r="EN36" s="690"/>
      <c r="EO36" s="95"/>
      <c r="EP36" s="679"/>
      <c r="ER36" s="697"/>
      <c r="ES36" s="42"/>
    </row>
    <row r="37" spans="4:149" s="42" customFormat="1" x14ac:dyDescent="0.3">
      <c r="D37" s="258" t="s">
        <v>481</v>
      </c>
      <c r="E37" s="698" t="s">
        <v>70</v>
      </c>
      <c r="F37" s="699"/>
      <c r="G37" s="48"/>
      <c r="H37" s="700">
        <f>+H12+H35+H32+H29+H25</f>
        <v>41301787.13398695</v>
      </c>
      <c r="I37" s="700"/>
      <c r="J37" s="700"/>
      <c r="K37" s="701"/>
      <c r="L37" s="700"/>
      <c r="M37" s="700">
        <f>+M12+M35+M32+M29+M25</f>
        <v>-22462869.771990001</v>
      </c>
      <c r="N37" s="700"/>
      <c r="O37" s="700"/>
      <c r="P37" s="701"/>
      <c r="Q37" s="700"/>
      <c r="R37" s="700">
        <f>+R12+R35+R32+R29+R25</f>
        <v>8028973.5351800174</v>
      </c>
      <c r="S37" s="700"/>
      <c r="T37" s="700"/>
      <c r="U37" s="701"/>
      <c r="V37" s="700"/>
      <c r="W37" s="700">
        <f>+W12+W35+W32+W29+W25</f>
        <v>-100948773.75835001</v>
      </c>
      <c r="X37" s="700"/>
      <c r="Y37" s="700"/>
      <c r="Z37" s="701"/>
      <c r="AA37" s="700"/>
      <c r="AB37" s="700">
        <f>+AB12+AB35+AB32+AB29+AB25</f>
        <v>81733465.921170026</v>
      </c>
      <c r="AC37" s="700"/>
      <c r="AD37" s="700"/>
      <c r="AE37" s="701"/>
      <c r="AF37" s="700"/>
      <c r="AG37" s="700">
        <f>+AG12+AG35+AG32+AG29+AG25</f>
        <v>16731515.334039986</v>
      </c>
      <c r="AH37" s="700"/>
      <c r="AI37" s="700"/>
      <c r="AJ37" s="701"/>
      <c r="AK37" s="700"/>
      <c r="AL37" s="700">
        <f>+AL12+AL35+AL32+AL29+AL25</f>
        <v>-30393086.078570008</v>
      </c>
      <c r="AM37" s="700"/>
      <c r="AN37" s="700"/>
      <c r="AO37" s="701"/>
      <c r="AP37" s="700"/>
      <c r="AQ37" s="700">
        <f>+AQ12+AQ35+AQ32+AQ29+AQ25</f>
        <v>19590745.798259988</v>
      </c>
      <c r="AR37" s="700"/>
      <c r="AS37" s="700"/>
      <c r="AT37" s="701"/>
      <c r="AU37" s="700"/>
      <c r="AV37" s="700">
        <f>+AV12+AV35+AV32+AV29+AV25</f>
        <v>3320086.2674000114</v>
      </c>
      <c r="AW37" s="700"/>
      <c r="AX37" s="700"/>
      <c r="AY37" s="701"/>
      <c r="AZ37" s="700"/>
      <c r="BA37" s="700">
        <f>+BA12+BA35+BA32+BA29+BA25</f>
        <v>-60776743.323530018</v>
      </c>
      <c r="BB37" s="700"/>
      <c r="BC37" s="700"/>
      <c r="BD37" s="701"/>
      <c r="BE37" s="700"/>
      <c r="BF37" s="700">
        <f>+BF12+BF25+BF27+BF29+BF32+BF35</f>
        <v>71434605.439150006</v>
      </c>
      <c r="BG37" s="700"/>
      <c r="BH37" s="700"/>
      <c r="BI37" s="701"/>
      <c r="BJ37" s="700"/>
      <c r="BK37" s="700">
        <f>+BK12+BK35+BK32+BK29+BK25</f>
        <v>289962570</v>
      </c>
      <c r="BL37" s="700"/>
      <c r="BM37" s="700"/>
      <c r="BN37" s="701"/>
      <c r="BO37" s="700"/>
      <c r="BP37" s="700">
        <f>+BP12+BP35+BP32+BP29+BP25</f>
        <v>0</v>
      </c>
      <c r="BQ37" s="700"/>
      <c r="BR37" s="700"/>
      <c r="BS37" s="701"/>
      <c r="BT37" s="700"/>
      <c r="BU37" s="700">
        <f>+BU12+BU25+BU27+BU29+BU32+BU35</f>
        <v>-13742080.637240008</v>
      </c>
      <c r="BV37" s="700"/>
      <c r="BW37" s="700"/>
      <c r="BX37" s="701"/>
      <c r="BY37" s="700"/>
      <c r="BZ37" s="700">
        <f>+BZ12+BZ25+BZ27+BZ29+BZ32+BZ35</f>
        <v>74771168.711030006</v>
      </c>
      <c r="CA37" s="700"/>
      <c r="CB37" s="700"/>
      <c r="CC37" s="701"/>
      <c r="CD37" s="700"/>
      <c r="CE37" s="700">
        <f>+CE12+CE35+CE32+CE29+CE25</f>
        <v>44290935.219140023</v>
      </c>
      <c r="CF37" s="700"/>
      <c r="CG37" s="700"/>
      <c r="CH37" s="701"/>
      <c r="CI37" s="700"/>
      <c r="CJ37" s="700">
        <f>+CJ12+CJ35+CJ32+CJ29+CJ25</f>
        <v>-14022271.991829976</v>
      </c>
      <c r="CK37" s="700"/>
      <c r="CL37" s="700"/>
      <c r="CM37" s="701"/>
      <c r="CN37" s="700"/>
      <c r="CO37" s="700">
        <f>+CO12+CO35+CO32+CO29+CO25</f>
        <v>-106124988.63388997</v>
      </c>
      <c r="CP37" s="700"/>
      <c r="CQ37" s="700"/>
      <c r="CR37" s="701"/>
      <c r="CS37" s="700"/>
      <c r="CT37" s="700">
        <f>+CT12+CT35+CT32+CT29+CT25</f>
        <v>111669585.09893996</v>
      </c>
      <c r="CU37" s="700"/>
      <c r="CV37" s="700"/>
      <c r="CW37" s="701"/>
      <c r="CX37" s="700"/>
      <c r="CY37" s="700">
        <f>+CY12+CY35+CY32+CY29+CY25</f>
        <v>18126075.986003995</v>
      </c>
      <c r="CZ37" s="700"/>
      <c r="DA37" s="700"/>
      <c r="DB37" s="701"/>
      <c r="DC37" s="700"/>
      <c r="DD37" s="700">
        <f>+DD12+DD35+DD32+DD29+DD25</f>
        <v>-12357983.619869992</v>
      </c>
      <c r="DE37" s="700"/>
      <c r="DF37" s="700"/>
      <c r="DG37" s="701"/>
      <c r="DH37" s="700"/>
      <c r="DI37" s="700">
        <f>+DI12+DI35+DI32+DI29+DI25</f>
        <v>12671526.501660004</v>
      </c>
      <c r="DJ37" s="700"/>
      <c r="DK37" s="700"/>
      <c r="DL37" s="701"/>
      <c r="DM37" s="700"/>
      <c r="DN37" s="700">
        <f>+DN12+DN35+DN32+DN29+DN25</f>
        <v>-179680.68023005128</v>
      </c>
      <c r="DO37" s="700"/>
      <c r="DP37" s="700"/>
      <c r="DQ37" s="701"/>
      <c r="DR37" s="700"/>
      <c r="DS37" s="700">
        <f>+DS12+DS35+DS32+DS29+DS25</f>
        <v>-60800389.438979983</v>
      </c>
      <c r="DT37" s="700"/>
      <c r="DU37" s="700"/>
      <c r="DV37" s="701"/>
      <c r="DW37" s="700"/>
      <c r="DX37" s="700">
        <f>+DX12+DX25+DX27+DX29+DX32+DX35</f>
        <v>104635309.54605</v>
      </c>
      <c r="DY37" s="700"/>
      <c r="DZ37" s="700"/>
      <c r="EA37" s="701"/>
      <c r="EB37" s="700"/>
      <c r="EC37" s="700">
        <f>+EC12+EC25+EC27+EC29+EC32+EC35</f>
        <v>-24028968.173719943</v>
      </c>
      <c r="ED37" s="700"/>
      <c r="EE37" s="700"/>
      <c r="EF37" s="701"/>
      <c r="EG37" s="700"/>
      <c r="EH37" s="700">
        <f>+EH12+EH25+EH27+EH29+EH32+EH35</f>
        <v>7827946.861110026</v>
      </c>
      <c r="EI37" s="700"/>
      <c r="EJ37" s="700"/>
      <c r="EK37" s="701"/>
      <c r="EL37" s="700"/>
      <c r="EM37" s="700">
        <f>+EM12+EM35+EM32+EM29+EM25</f>
        <v>97908117.986993998</v>
      </c>
      <c r="EN37" s="702"/>
      <c r="EO37" s="64"/>
      <c r="EP37" s="675"/>
      <c r="ER37" s="24"/>
    </row>
    <row r="38" spans="4:149" x14ac:dyDescent="0.3">
      <c r="D38" s="703" t="s">
        <v>43</v>
      </c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703"/>
      <c r="Z38" s="703"/>
      <c r="AA38" s="703"/>
      <c r="AB38" s="703"/>
      <c r="AC38" s="703"/>
      <c r="AD38" s="703"/>
      <c r="AE38" s="703"/>
      <c r="AF38" s="703"/>
      <c r="AG38" s="703"/>
      <c r="AH38" s="703"/>
      <c r="AI38" s="703"/>
      <c r="AJ38" s="703"/>
      <c r="AK38" s="703"/>
      <c r="AL38" s="703"/>
      <c r="AM38" s="703"/>
      <c r="AN38" s="703"/>
      <c r="AO38" s="703"/>
      <c r="AP38" s="703"/>
      <c r="AQ38" s="703"/>
      <c r="AR38" s="703"/>
      <c r="AS38" s="703"/>
      <c r="AT38" s="703"/>
      <c r="AU38" s="703"/>
      <c r="AV38" s="703"/>
      <c r="AW38" s="703"/>
      <c r="AX38" s="703"/>
      <c r="AY38" s="703"/>
      <c r="AZ38" s="703"/>
      <c r="BA38" s="703"/>
      <c r="BB38" s="703"/>
      <c r="BC38" s="703"/>
      <c r="BD38" s="703"/>
      <c r="BE38" s="703"/>
      <c r="BF38" s="703"/>
      <c r="BG38" s="703"/>
      <c r="BH38" s="703"/>
      <c r="BI38" s="703"/>
      <c r="BJ38" s="703"/>
      <c r="BK38" s="703"/>
      <c r="BL38" s="703"/>
      <c r="BM38" s="703"/>
      <c r="BN38" s="703"/>
      <c r="BO38" s="703"/>
      <c r="BP38" s="703"/>
      <c r="BQ38" s="703"/>
      <c r="BR38" s="703"/>
      <c r="BS38" s="703"/>
      <c r="BT38" s="703"/>
      <c r="BU38" s="703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</row>
    <row r="39" spans="4:149" hidden="1" x14ac:dyDescent="0.3">
      <c r="D39" s="704" t="s">
        <v>482</v>
      </c>
    </row>
    <row r="40" spans="4:149" hidden="1" x14ac:dyDescent="0.3">
      <c r="D40" s="704" t="s">
        <v>483</v>
      </c>
    </row>
    <row r="41" spans="4:149" hidden="1" x14ac:dyDescent="0.3">
      <c r="D41" s="704" t="s">
        <v>484</v>
      </c>
    </row>
    <row r="42" spans="4:149" hidden="1" x14ac:dyDescent="0.3">
      <c r="D42" s="704" t="s">
        <v>485</v>
      </c>
    </row>
    <row r="43" spans="4:149" x14ac:dyDescent="0.3">
      <c r="D43" s="704" t="s">
        <v>486</v>
      </c>
      <c r="CJ43" s="42"/>
    </row>
    <row r="44" spans="4:149" x14ac:dyDescent="0.3">
      <c r="D44" s="704" t="s">
        <v>487</v>
      </c>
      <c r="E44" s="705"/>
      <c r="F44" s="704"/>
      <c r="G44" s="704"/>
      <c r="BZ44" s="706"/>
    </row>
    <row r="45" spans="4:149" x14ac:dyDescent="0.3">
      <c r="E45" s="705"/>
      <c r="F45" s="704"/>
      <c r="G45" s="704"/>
      <c r="M45" s="707"/>
      <c r="CA45" s="136">
        <v>2087353.7651195501</v>
      </c>
      <c r="DN45" s="95"/>
      <c r="DO45" s="95"/>
      <c r="DP45" s="95"/>
      <c r="DQ45" s="95"/>
      <c r="DR45" s="95"/>
    </row>
    <row r="46" spans="4:149" x14ac:dyDescent="0.3">
      <c r="E46" s="705"/>
      <c r="F46" s="704"/>
      <c r="G46" s="704"/>
    </row>
    <row r="47" spans="4:149" hidden="1" x14ac:dyDescent="0.3">
      <c r="BZ47" s="136">
        <v>3245038.1090099812</v>
      </c>
    </row>
    <row r="48" spans="4:149" hidden="1" x14ac:dyDescent="0.3">
      <c r="CO48" s="42">
        <f>CO35+4818384</f>
        <v>8027406.3661100268</v>
      </c>
    </row>
    <row r="49" spans="4:93" hidden="1" x14ac:dyDescent="0.3">
      <c r="CJ49" s="136">
        <f>CJ35-1071906</f>
        <v>-13555856.991829976</v>
      </c>
      <c r="CO49" s="708">
        <f>CO48/2</f>
        <v>4013703.1830550134</v>
      </c>
    </row>
    <row r="50" spans="4:93" hidden="1" x14ac:dyDescent="0.3">
      <c r="D50" s="709"/>
      <c r="M50" s="136">
        <f t="shared" ref="M50:BU52" si="2">M12-CE12</f>
        <v>-69794239</v>
      </c>
      <c r="N50" s="136">
        <f t="shared" si="2"/>
        <v>0</v>
      </c>
      <c r="O50" s="136">
        <f t="shared" si="2"/>
        <v>0</v>
      </c>
      <c r="P50" s="136">
        <f t="shared" si="2"/>
        <v>0</v>
      </c>
      <c r="Q50" s="136">
        <f t="shared" si="2"/>
        <v>0</v>
      </c>
      <c r="R50" s="136">
        <f t="shared" si="2"/>
        <v>23299172</v>
      </c>
      <c r="S50" s="136">
        <f t="shared" si="2"/>
        <v>0</v>
      </c>
      <c r="T50" s="136">
        <f t="shared" si="2"/>
        <v>0</v>
      </c>
      <c r="U50" s="136">
        <f t="shared" si="2"/>
        <v>0</v>
      </c>
      <c r="V50" s="136">
        <f t="shared" si="2"/>
        <v>0</v>
      </c>
      <c r="W50" s="136">
        <f t="shared" si="2"/>
        <v>-58868</v>
      </c>
      <c r="X50" s="136">
        <f t="shared" si="2"/>
        <v>0</v>
      </c>
      <c r="Y50" s="136">
        <f t="shared" si="2"/>
        <v>0</v>
      </c>
      <c r="Z50" s="136">
        <f t="shared" si="2"/>
        <v>0</v>
      </c>
      <c r="AA50" s="136">
        <f t="shared" si="2"/>
        <v>0</v>
      </c>
      <c r="AB50" s="136">
        <f t="shared" si="2"/>
        <v>-76963673</v>
      </c>
      <c r="AC50" s="136">
        <f t="shared" si="2"/>
        <v>0</v>
      </c>
      <c r="AD50" s="136">
        <f t="shared" si="2"/>
        <v>0</v>
      </c>
      <c r="AE50" s="136">
        <f t="shared" si="2"/>
        <v>0</v>
      </c>
      <c r="AF50" s="136">
        <f t="shared" si="2"/>
        <v>0</v>
      </c>
      <c r="AG50" s="136">
        <f t="shared" si="2"/>
        <v>43212411</v>
      </c>
      <c r="AH50" s="136">
        <f t="shared" si="2"/>
        <v>0</v>
      </c>
      <c r="AI50" s="136">
        <f t="shared" si="2"/>
        <v>0</v>
      </c>
      <c r="AJ50" s="136">
        <f t="shared" si="2"/>
        <v>0</v>
      </c>
      <c r="AK50" s="136">
        <f t="shared" si="2"/>
        <v>0</v>
      </c>
      <c r="AL50" s="136">
        <f t="shared" si="2"/>
        <v>-20873508</v>
      </c>
      <c r="AM50" s="136">
        <f t="shared" si="2"/>
        <v>0</v>
      </c>
      <c r="AN50" s="136">
        <f t="shared" si="2"/>
        <v>0</v>
      </c>
      <c r="AO50" s="136">
        <f t="shared" si="2"/>
        <v>0</v>
      </c>
      <c r="AP50" s="136">
        <f t="shared" si="2"/>
        <v>0</v>
      </c>
      <c r="AQ50" s="136">
        <f t="shared" si="2"/>
        <v>7918747</v>
      </c>
      <c r="AR50" s="136">
        <f t="shared" si="2"/>
        <v>0</v>
      </c>
      <c r="AS50" s="136">
        <f t="shared" si="2"/>
        <v>0</v>
      </c>
      <c r="AT50" s="136">
        <f t="shared" si="2"/>
        <v>0</v>
      </c>
      <c r="AU50" s="136">
        <f t="shared" si="2"/>
        <v>0</v>
      </c>
      <c r="AV50" s="136">
        <f t="shared" si="2"/>
        <v>14789528</v>
      </c>
      <c r="AW50" s="136">
        <f t="shared" si="2"/>
        <v>0</v>
      </c>
      <c r="AX50" s="136">
        <f t="shared" si="2"/>
        <v>0</v>
      </c>
      <c r="AY50" s="136">
        <f t="shared" si="2"/>
        <v>0</v>
      </c>
      <c r="AZ50" s="136">
        <f t="shared" si="2"/>
        <v>0</v>
      </c>
      <c r="BA50" s="136">
        <f t="shared" si="2"/>
        <v>7792497</v>
      </c>
      <c r="BB50" s="136">
        <f t="shared" si="2"/>
        <v>0</v>
      </c>
      <c r="BC50" s="136">
        <f t="shared" si="2"/>
        <v>0</v>
      </c>
      <c r="BD50" s="136">
        <f t="shared" si="2"/>
        <v>0</v>
      </c>
      <c r="BE50" s="136">
        <f t="shared" si="2"/>
        <v>0</v>
      </c>
      <c r="BF50" s="136">
        <f t="shared" si="2"/>
        <v>-35229955</v>
      </c>
      <c r="BG50" s="136">
        <f t="shared" si="2"/>
        <v>0</v>
      </c>
      <c r="BH50" s="136">
        <f t="shared" si="2"/>
        <v>0</v>
      </c>
      <c r="BI50" s="136">
        <f t="shared" si="2"/>
        <v>0</v>
      </c>
      <c r="BJ50" s="136">
        <f t="shared" si="2"/>
        <v>0</v>
      </c>
      <c r="BK50" s="136">
        <f t="shared" si="2"/>
        <v>316304586</v>
      </c>
      <c r="BL50" s="136">
        <f t="shared" si="2"/>
        <v>0</v>
      </c>
      <c r="BM50" s="136">
        <f t="shared" si="2"/>
        <v>0</v>
      </c>
      <c r="BN50" s="136">
        <f t="shared" si="2"/>
        <v>0</v>
      </c>
      <c r="BO50" s="136">
        <f t="shared" si="2"/>
        <v>0</v>
      </c>
      <c r="BP50" s="136">
        <f t="shared" si="2"/>
        <v>-30620</v>
      </c>
      <c r="BQ50" s="136">
        <f t="shared" si="2"/>
        <v>0</v>
      </c>
      <c r="BR50" s="136">
        <f t="shared" si="2"/>
        <v>0</v>
      </c>
      <c r="BS50" s="136">
        <f t="shared" si="2"/>
        <v>0</v>
      </c>
      <c r="BT50" s="136">
        <f t="shared" si="2"/>
        <v>0</v>
      </c>
      <c r="BU50" s="136">
        <f t="shared" si="2"/>
        <v>-105907888</v>
      </c>
    </row>
    <row r="51" spans="4:93" hidden="1" x14ac:dyDescent="0.3">
      <c r="M51" s="136">
        <f t="shared" si="2"/>
        <v>-63618801</v>
      </c>
      <c r="N51" s="136">
        <f t="shared" si="2"/>
        <v>0</v>
      </c>
      <c r="O51" s="136">
        <f t="shared" si="2"/>
        <v>0</v>
      </c>
      <c r="P51" s="136">
        <f t="shared" si="2"/>
        <v>0</v>
      </c>
      <c r="Q51" s="136">
        <f t="shared" si="2"/>
        <v>0</v>
      </c>
      <c r="R51" s="136">
        <f t="shared" si="2"/>
        <v>6175438</v>
      </c>
      <c r="S51" s="136">
        <f t="shared" si="2"/>
        <v>0</v>
      </c>
      <c r="T51" s="136">
        <f t="shared" si="2"/>
        <v>0</v>
      </c>
      <c r="U51" s="136">
        <f t="shared" si="2"/>
        <v>0</v>
      </c>
      <c r="V51" s="136">
        <f t="shared" si="2"/>
        <v>0</v>
      </c>
      <c r="W51" s="136">
        <f t="shared" si="2"/>
        <v>-17123734</v>
      </c>
      <c r="X51" s="136">
        <f t="shared" si="2"/>
        <v>0</v>
      </c>
      <c r="Y51" s="136">
        <f t="shared" si="2"/>
        <v>0</v>
      </c>
      <c r="Z51" s="136">
        <f t="shared" si="2"/>
        <v>0</v>
      </c>
      <c r="AA51" s="136">
        <f t="shared" si="2"/>
        <v>0</v>
      </c>
      <c r="AB51" s="136">
        <f t="shared" si="2"/>
        <v>-17064866</v>
      </c>
      <c r="AC51" s="136">
        <f t="shared" si="2"/>
        <v>0</v>
      </c>
      <c r="AD51" s="136">
        <f t="shared" si="2"/>
        <v>0</v>
      </c>
      <c r="AE51" s="136">
        <f t="shared" si="2"/>
        <v>0</v>
      </c>
      <c r="AF51" s="136">
        <f t="shared" si="2"/>
        <v>0</v>
      </c>
      <c r="AG51" s="136">
        <f t="shared" si="2"/>
        <v>59898807</v>
      </c>
      <c r="AH51" s="136">
        <f t="shared" si="2"/>
        <v>0</v>
      </c>
      <c r="AI51" s="136">
        <f t="shared" si="2"/>
        <v>0</v>
      </c>
      <c r="AJ51" s="136">
        <f t="shared" si="2"/>
        <v>0</v>
      </c>
      <c r="AK51" s="136">
        <f t="shared" si="2"/>
        <v>0</v>
      </c>
      <c r="AL51" s="136">
        <f t="shared" si="2"/>
        <v>16686396</v>
      </c>
      <c r="AM51" s="136">
        <f t="shared" si="2"/>
        <v>0</v>
      </c>
      <c r="AN51" s="136">
        <f t="shared" si="2"/>
        <v>0</v>
      </c>
      <c r="AO51" s="136">
        <f t="shared" si="2"/>
        <v>0</v>
      </c>
      <c r="AP51" s="136">
        <f t="shared" si="2"/>
        <v>0</v>
      </c>
      <c r="AQ51" s="136">
        <f t="shared" si="2"/>
        <v>37559904</v>
      </c>
      <c r="AR51" s="136">
        <f t="shared" si="2"/>
        <v>0</v>
      </c>
      <c r="AS51" s="136">
        <f t="shared" si="2"/>
        <v>0</v>
      </c>
      <c r="AT51" s="136">
        <f t="shared" si="2"/>
        <v>0</v>
      </c>
      <c r="AU51" s="136">
        <f t="shared" si="2"/>
        <v>0</v>
      </c>
      <c r="AV51" s="136">
        <f t="shared" si="2"/>
        <v>29641157</v>
      </c>
      <c r="AW51" s="136">
        <f t="shared" si="2"/>
        <v>0</v>
      </c>
      <c r="AX51" s="136">
        <f t="shared" si="2"/>
        <v>0</v>
      </c>
      <c r="AY51" s="136">
        <f t="shared" si="2"/>
        <v>0</v>
      </c>
      <c r="AZ51" s="136">
        <f t="shared" si="2"/>
        <v>0</v>
      </c>
      <c r="BA51" s="136">
        <f t="shared" si="2"/>
        <v>14851629</v>
      </c>
      <c r="BB51" s="136">
        <f t="shared" si="2"/>
        <v>0</v>
      </c>
      <c r="BC51" s="136">
        <f t="shared" si="2"/>
        <v>0</v>
      </c>
      <c r="BD51" s="136">
        <f t="shared" si="2"/>
        <v>0</v>
      </c>
      <c r="BE51" s="136">
        <f t="shared" si="2"/>
        <v>0</v>
      </c>
      <c r="BF51" s="136">
        <f t="shared" si="2"/>
        <v>7059132</v>
      </c>
      <c r="BG51" s="136">
        <f t="shared" si="2"/>
        <v>0</v>
      </c>
      <c r="BH51" s="136">
        <f t="shared" si="2"/>
        <v>0</v>
      </c>
      <c r="BI51" s="136">
        <f t="shared" si="2"/>
        <v>0</v>
      </c>
      <c r="BJ51" s="136">
        <f t="shared" si="2"/>
        <v>0</v>
      </c>
      <c r="BK51" s="136">
        <f t="shared" si="2"/>
        <v>42289087</v>
      </c>
      <c r="BL51" s="136">
        <f t="shared" si="2"/>
        <v>0</v>
      </c>
      <c r="BM51" s="136">
        <f t="shared" si="2"/>
        <v>0</v>
      </c>
      <c r="BN51" s="136">
        <f t="shared" si="2"/>
        <v>0</v>
      </c>
      <c r="BO51" s="136">
        <f t="shared" si="2"/>
        <v>0</v>
      </c>
      <c r="BP51" s="136">
        <f t="shared" si="2"/>
        <v>-274015499</v>
      </c>
      <c r="BQ51" s="136">
        <f t="shared" si="2"/>
        <v>0</v>
      </c>
      <c r="BR51" s="136">
        <f t="shared" si="2"/>
        <v>0</v>
      </c>
      <c r="BS51" s="136">
        <f t="shared" si="2"/>
        <v>0</v>
      </c>
      <c r="BT51" s="136">
        <f t="shared" si="2"/>
        <v>0</v>
      </c>
      <c r="BU51" s="136">
        <f t="shared" si="2"/>
        <v>-63618801</v>
      </c>
      <c r="CO51" s="136">
        <f>CJ49-CO48</f>
        <v>-21583263.357940003</v>
      </c>
    </row>
    <row r="52" spans="4:93" hidden="1" x14ac:dyDescent="0.3">
      <c r="D52" s="710"/>
      <c r="M52" s="136">
        <f t="shared" si="2"/>
        <v>6239716</v>
      </c>
      <c r="N52" s="136">
        <f t="shared" si="2"/>
        <v>0</v>
      </c>
      <c r="O52" s="136">
        <f t="shared" si="2"/>
        <v>0</v>
      </c>
      <c r="P52" s="136">
        <f t="shared" si="2"/>
        <v>0</v>
      </c>
      <c r="Q52" s="136">
        <f t="shared" si="2"/>
        <v>0</v>
      </c>
      <c r="R52" s="136">
        <f t="shared" si="2"/>
        <v>52239452</v>
      </c>
      <c r="S52" s="136">
        <f t="shared" si="2"/>
        <v>0</v>
      </c>
      <c r="T52" s="136">
        <f t="shared" si="2"/>
        <v>0</v>
      </c>
      <c r="U52" s="136">
        <f t="shared" si="2"/>
        <v>0</v>
      </c>
      <c r="V52" s="136">
        <f t="shared" si="2"/>
        <v>0</v>
      </c>
      <c r="W52" s="136">
        <f t="shared" si="2"/>
        <v>36373636</v>
      </c>
      <c r="X52" s="136">
        <f t="shared" si="2"/>
        <v>0</v>
      </c>
      <c r="Y52" s="136">
        <f t="shared" si="2"/>
        <v>0</v>
      </c>
      <c r="Z52" s="136">
        <f t="shared" si="2"/>
        <v>0</v>
      </c>
      <c r="AA52" s="136">
        <f t="shared" si="2"/>
        <v>0</v>
      </c>
      <c r="AB52" s="136">
        <f t="shared" si="2"/>
        <v>22729495</v>
      </c>
      <c r="AC52" s="136">
        <f t="shared" si="2"/>
        <v>0</v>
      </c>
      <c r="AD52" s="136">
        <f t="shared" si="2"/>
        <v>0</v>
      </c>
      <c r="AE52" s="136">
        <f t="shared" si="2"/>
        <v>0</v>
      </c>
      <c r="AF52" s="136">
        <f t="shared" si="2"/>
        <v>0</v>
      </c>
      <c r="AG52" s="136">
        <f t="shared" si="2"/>
        <v>22850502</v>
      </c>
      <c r="AH52" s="136">
        <f t="shared" si="2"/>
        <v>0</v>
      </c>
      <c r="AI52" s="136">
        <f t="shared" si="2"/>
        <v>0</v>
      </c>
      <c r="AJ52" s="136">
        <f t="shared" si="2"/>
        <v>0</v>
      </c>
      <c r="AK52" s="136">
        <f t="shared" si="2"/>
        <v>0</v>
      </c>
      <c r="AL52" s="136">
        <f t="shared" si="2"/>
        <v>23637177</v>
      </c>
      <c r="AM52" s="136">
        <f t="shared" si="2"/>
        <v>0</v>
      </c>
      <c r="AN52" s="136">
        <f t="shared" si="2"/>
        <v>0</v>
      </c>
      <c r="AO52" s="136">
        <f t="shared" si="2"/>
        <v>0</v>
      </c>
      <c r="AP52" s="136">
        <f t="shared" si="2"/>
        <v>0</v>
      </c>
      <c r="AQ52" s="136">
        <f t="shared" si="2"/>
        <v>32942882</v>
      </c>
      <c r="AR52" s="136">
        <f t="shared" si="2"/>
        <v>0</v>
      </c>
      <c r="AS52" s="136">
        <f t="shared" si="2"/>
        <v>0</v>
      </c>
      <c r="AT52" s="136">
        <f t="shared" si="2"/>
        <v>0</v>
      </c>
      <c r="AU52" s="136">
        <f t="shared" si="2"/>
        <v>0</v>
      </c>
      <c r="AV52" s="136">
        <f t="shared" si="2"/>
        <v>31838347</v>
      </c>
      <c r="AW52" s="136">
        <f t="shared" si="2"/>
        <v>0</v>
      </c>
      <c r="AX52" s="136">
        <f t="shared" si="2"/>
        <v>0</v>
      </c>
      <c r="AY52" s="136">
        <f t="shared" si="2"/>
        <v>0</v>
      </c>
      <c r="AZ52" s="136">
        <f t="shared" si="2"/>
        <v>0</v>
      </c>
      <c r="BA52" s="136">
        <f t="shared" si="2"/>
        <v>15906007</v>
      </c>
      <c r="BB52" s="136">
        <f t="shared" si="2"/>
        <v>0</v>
      </c>
      <c r="BC52" s="136">
        <f t="shared" si="2"/>
        <v>0</v>
      </c>
      <c r="BD52" s="136">
        <f t="shared" si="2"/>
        <v>0</v>
      </c>
      <c r="BE52" s="136">
        <f t="shared" si="2"/>
        <v>0</v>
      </c>
      <c r="BF52" s="136">
        <f t="shared" si="2"/>
        <v>14960393</v>
      </c>
      <c r="BG52" s="136">
        <f t="shared" si="2"/>
        <v>0</v>
      </c>
      <c r="BH52" s="136">
        <f t="shared" si="2"/>
        <v>0</v>
      </c>
      <c r="BI52" s="136">
        <f t="shared" si="2"/>
        <v>0</v>
      </c>
      <c r="BJ52" s="136">
        <f t="shared" si="2"/>
        <v>0</v>
      </c>
      <c r="BK52" s="136">
        <f t="shared" si="2"/>
        <v>20452075</v>
      </c>
      <c r="BL52" s="136">
        <f t="shared" si="2"/>
        <v>0</v>
      </c>
      <c r="BM52" s="136">
        <f t="shared" si="2"/>
        <v>0</v>
      </c>
      <c r="BN52" s="136">
        <f t="shared" si="2"/>
        <v>0</v>
      </c>
      <c r="BO52" s="136">
        <f t="shared" si="2"/>
        <v>0</v>
      </c>
      <c r="BP52" s="136">
        <f t="shared" si="2"/>
        <v>-140242471</v>
      </c>
      <c r="BQ52" s="136">
        <f t="shared" si="2"/>
        <v>0</v>
      </c>
      <c r="BR52" s="136">
        <f t="shared" si="2"/>
        <v>0</v>
      </c>
      <c r="BS52" s="136">
        <f t="shared" si="2"/>
        <v>0</v>
      </c>
      <c r="BT52" s="136">
        <f t="shared" si="2"/>
        <v>0</v>
      </c>
      <c r="BU52" s="136">
        <f t="shared" si="2"/>
        <v>6239716</v>
      </c>
    </row>
    <row r="53" spans="4:93" hidden="1" x14ac:dyDescent="0.3">
      <c r="D53" s="546"/>
      <c r="M53" s="136">
        <f t="shared" ref="M53:BU56" si="3">M16-CE16</f>
        <v>-69858517</v>
      </c>
      <c r="N53" s="136">
        <f t="shared" si="3"/>
        <v>0</v>
      </c>
      <c r="O53" s="136">
        <f t="shared" si="3"/>
        <v>0</v>
      </c>
      <c r="P53" s="136">
        <f t="shared" si="3"/>
        <v>0</v>
      </c>
      <c r="Q53" s="136">
        <f t="shared" si="3"/>
        <v>0</v>
      </c>
      <c r="R53" s="136">
        <f t="shared" si="3"/>
        <v>-46064014</v>
      </c>
      <c r="S53" s="136">
        <f t="shared" si="3"/>
        <v>0</v>
      </c>
      <c r="T53" s="136">
        <f t="shared" si="3"/>
        <v>0</v>
      </c>
      <c r="U53" s="136">
        <f t="shared" si="3"/>
        <v>0</v>
      </c>
      <c r="V53" s="136">
        <f t="shared" si="3"/>
        <v>0</v>
      </c>
      <c r="W53" s="136">
        <f t="shared" si="3"/>
        <v>-53497370</v>
      </c>
      <c r="X53" s="136">
        <f t="shared" si="3"/>
        <v>0</v>
      </c>
      <c r="Y53" s="136">
        <f t="shared" si="3"/>
        <v>0</v>
      </c>
      <c r="Z53" s="136">
        <f t="shared" si="3"/>
        <v>0</v>
      </c>
      <c r="AA53" s="136">
        <f t="shared" si="3"/>
        <v>0</v>
      </c>
      <c r="AB53" s="136">
        <f t="shared" si="3"/>
        <v>-39794361</v>
      </c>
      <c r="AC53" s="136">
        <f t="shared" si="3"/>
        <v>0</v>
      </c>
      <c r="AD53" s="136">
        <f t="shared" si="3"/>
        <v>0</v>
      </c>
      <c r="AE53" s="136">
        <f t="shared" si="3"/>
        <v>0</v>
      </c>
      <c r="AF53" s="136">
        <f t="shared" si="3"/>
        <v>0</v>
      </c>
      <c r="AG53" s="136">
        <f t="shared" si="3"/>
        <v>37048305</v>
      </c>
      <c r="AH53" s="136">
        <f t="shared" si="3"/>
        <v>0</v>
      </c>
      <c r="AI53" s="136">
        <f t="shared" si="3"/>
        <v>0</v>
      </c>
      <c r="AJ53" s="136">
        <f t="shared" si="3"/>
        <v>0</v>
      </c>
      <c r="AK53" s="136">
        <f t="shared" si="3"/>
        <v>0</v>
      </c>
      <c r="AL53" s="136">
        <f t="shared" si="3"/>
        <v>-6950781</v>
      </c>
      <c r="AM53" s="136">
        <f t="shared" si="3"/>
        <v>0</v>
      </c>
      <c r="AN53" s="136">
        <f t="shared" si="3"/>
        <v>0</v>
      </c>
      <c r="AO53" s="136">
        <f t="shared" si="3"/>
        <v>0</v>
      </c>
      <c r="AP53" s="136">
        <f t="shared" si="3"/>
        <v>0</v>
      </c>
      <c r="AQ53" s="136">
        <f t="shared" si="3"/>
        <v>4617022</v>
      </c>
      <c r="AR53" s="136">
        <f t="shared" si="3"/>
        <v>0</v>
      </c>
      <c r="AS53" s="136">
        <f t="shared" si="3"/>
        <v>0</v>
      </c>
      <c r="AT53" s="136">
        <f t="shared" si="3"/>
        <v>0</v>
      </c>
      <c r="AU53" s="136">
        <f t="shared" si="3"/>
        <v>0</v>
      </c>
      <c r="AV53" s="136">
        <f t="shared" si="3"/>
        <v>-2197190</v>
      </c>
      <c r="AW53" s="136">
        <f t="shared" si="3"/>
        <v>0</v>
      </c>
      <c r="AX53" s="136">
        <f t="shared" si="3"/>
        <v>0</v>
      </c>
      <c r="AY53" s="136">
        <f t="shared" si="3"/>
        <v>0</v>
      </c>
      <c r="AZ53" s="136">
        <f t="shared" si="3"/>
        <v>0</v>
      </c>
      <c r="BA53" s="136">
        <f t="shared" si="3"/>
        <v>-1054378</v>
      </c>
      <c r="BB53" s="136">
        <f t="shared" si="3"/>
        <v>0</v>
      </c>
      <c r="BC53" s="136">
        <f t="shared" si="3"/>
        <v>0</v>
      </c>
      <c r="BD53" s="136">
        <f t="shared" si="3"/>
        <v>0</v>
      </c>
      <c r="BE53" s="136">
        <f t="shared" si="3"/>
        <v>0</v>
      </c>
      <c r="BF53" s="136">
        <f t="shared" si="3"/>
        <v>-37901261</v>
      </c>
      <c r="BG53" s="136">
        <f t="shared" si="3"/>
        <v>0</v>
      </c>
      <c r="BH53" s="136">
        <f t="shared" si="3"/>
        <v>0</v>
      </c>
      <c r="BI53" s="136">
        <f t="shared" si="3"/>
        <v>0</v>
      </c>
      <c r="BJ53" s="136">
        <f t="shared" si="3"/>
        <v>0</v>
      </c>
      <c r="BK53" s="136">
        <f t="shared" si="3"/>
        <v>1837012</v>
      </c>
      <c r="BL53" s="136">
        <f t="shared" si="3"/>
        <v>0</v>
      </c>
      <c r="BM53" s="136">
        <f t="shared" si="3"/>
        <v>0</v>
      </c>
      <c r="BN53" s="136">
        <f t="shared" si="3"/>
        <v>0</v>
      </c>
      <c r="BO53" s="136">
        <f t="shared" si="3"/>
        <v>0</v>
      </c>
      <c r="BP53" s="136">
        <f t="shared" si="3"/>
        <v>-133773028</v>
      </c>
      <c r="BQ53" s="136">
        <f t="shared" si="3"/>
        <v>0</v>
      </c>
      <c r="BR53" s="136">
        <f t="shared" si="3"/>
        <v>0</v>
      </c>
      <c r="BS53" s="136">
        <f t="shared" si="3"/>
        <v>0</v>
      </c>
      <c r="BT53" s="136">
        <f t="shared" si="3"/>
        <v>0</v>
      </c>
      <c r="BU53" s="136">
        <f t="shared" si="3"/>
        <v>-69858517</v>
      </c>
    </row>
    <row r="54" spans="4:93" hidden="1" x14ac:dyDescent="0.3">
      <c r="D54" s="711"/>
      <c r="M54" s="136">
        <f t="shared" si="3"/>
        <v>0</v>
      </c>
      <c r="N54" s="136">
        <f t="shared" si="3"/>
        <v>0</v>
      </c>
      <c r="O54" s="136">
        <f t="shared" si="3"/>
        <v>0</v>
      </c>
      <c r="P54" s="136">
        <f t="shared" si="3"/>
        <v>0</v>
      </c>
      <c r="Q54" s="136">
        <f t="shared" si="3"/>
        <v>0</v>
      </c>
      <c r="R54" s="136">
        <f t="shared" si="3"/>
        <v>0</v>
      </c>
      <c r="S54" s="136">
        <f t="shared" si="3"/>
        <v>0</v>
      </c>
      <c r="T54" s="136">
        <f t="shared" si="3"/>
        <v>0</v>
      </c>
      <c r="U54" s="136">
        <f t="shared" si="3"/>
        <v>0</v>
      </c>
      <c r="V54" s="136">
        <f t="shared" si="3"/>
        <v>0</v>
      </c>
      <c r="W54" s="136">
        <f t="shared" si="3"/>
        <v>0</v>
      </c>
      <c r="X54" s="136">
        <f t="shared" si="3"/>
        <v>0</v>
      </c>
      <c r="Y54" s="136">
        <f t="shared" si="3"/>
        <v>0</v>
      </c>
      <c r="Z54" s="136">
        <f t="shared" si="3"/>
        <v>0</v>
      </c>
      <c r="AA54" s="136">
        <f t="shared" si="3"/>
        <v>0</v>
      </c>
      <c r="AB54" s="136">
        <f t="shared" si="3"/>
        <v>0</v>
      </c>
      <c r="AC54" s="136">
        <f t="shared" si="3"/>
        <v>0</v>
      </c>
      <c r="AD54" s="136">
        <f t="shared" si="3"/>
        <v>0</v>
      </c>
      <c r="AE54" s="136">
        <f t="shared" si="3"/>
        <v>0</v>
      </c>
      <c r="AF54" s="136">
        <f t="shared" si="3"/>
        <v>0</v>
      </c>
      <c r="AG54" s="136">
        <f t="shared" si="3"/>
        <v>0</v>
      </c>
      <c r="AH54" s="136">
        <f t="shared" si="3"/>
        <v>0</v>
      </c>
      <c r="AI54" s="136">
        <f t="shared" si="3"/>
        <v>0</v>
      </c>
      <c r="AJ54" s="136">
        <f t="shared" si="3"/>
        <v>0</v>
      </c>
      <c r="AK54" s="136">
        <f t="shared" si="3"/>
        <v>0</v>
      </c>
      <c r="AL54" s="136">
        <f t="shared" si="3"/>
        <v>0</v>
      </c>
      <c r="AM54" s="136">
        <f t="shared" si="3"/>
        <v>0</v>
      </c>
      <c r="AN54" s="136">
        <f t="shared" si="3"/>
        <v>0</v>
      </c>
      <c r="AO54" s="136">
        <f t="shared" si="3"/>
        <v>0</v>
      </c>
      <c r="AP54" s="136">
        <f t="shared" si="3"/>
        <v>0</v>
      </c>
      <c r="AQ54" s="136">
        <f t="shared" si="3"/>
        <v>0</v>
      </c>
      <c r="AR54" s="136">
        <f t="shared" si="3"/>
        <v>0</v>
      </c>
      <c r="AS54" s="136">
        <f t="shared" si="3"/>
        <v>0</v>
      </c>
      <c r="AT54" s="136">
        <f t="shared" si="3"/>
        <v>0</v>
      </c>
      <c r="AU54" s="136">
        <f t="shared" si="3"/>
        <v>0</v>
      </c>
      <c r="AV54" s="136">
        <f t="shared" si="3"/>
        <v>0</v>
      </c>
      <c r="AW54" s="136">
        <f t="shared" si="3"/>
        <v>0</v>
      </c>
      <c r="AX54" s="136">
        <f t="shared" si="3"/>
        <v>0</v>
      </c>
      <c r="AY54" s="136">
        <f t="shared" si="3"/>
        <v>0</v>
      </c>
      <c r="AZ54" s="136">
        <f t="shared" si="3"/>
        <v>0</v>
      </c>
      <c r="BA54" s="136">
        <f t="shared" si="3"/>
        <v>0</v>
      </c>
      <c r="BB54" s="136">
        <f t="shared" si="3"/>
        <v>0</v>
      </c>
      <c r="BC54" s="136">
        <f t="shared" si="3"/>
        <v>0</v>
      </c>
      <c r="BD54" s="136">
        <f t="shared" si="3"/>
        <v>0</v>
      </c>
      <c r="BE54" s="136">
        <f t="shared" si="3"/>
        <v>0</v>
      </c>
      <c r="BF54" s="136">
        <f t="shared" si="3"/>
        <v>0</v>
      </c>
      <c r="BG54" s="136">
        <f t="shared" si="3"/>
        <v>0</v>
      </c>
      <c r="BH54" s="136">
        <f t="shared" si="3"/>
        <v>0</v>
      </c>
      <c r="BI54" s="136">
        <f t="shared" si="3"/>
        <v>0</v>
      </c>
      <c r="BJ54" s="136">
        <f t="shared" si="3"/>
        <v>0</v>
      </c>
      <c r="BK54" s="136">
        <f t="shared" si="3"/>
        <v>0</v>
      </c>
      <c r="BL54" s="136">
        <f t="shared" si="3"/>
        <v>0</v>
      </c>
      <c r="BM54" s="136">
        <f t="shared" si="3"/>
        <v>0</v>
      </c>
      <c r="BN54" s="136">
        <f t="shared" si="3"/>
        <v>0</v>
      </c>
      <c r="BO54" s="136">
        <f t="shared" si="3"/>
        <v>0</v>
      </c>
      <c r="BP54" s="136">
        <f t="shared" si="3"/>
        <v>0</v>
      </c>
      <c r="BQ54" s="136">
        <f t="shared" si="3"/>
        <v>0</v>
      </c>
      <c r="BR54" s="136">
        <f t="shared" si="3"/>
        <v>0</v>
      </c>
      <c r="BS54" s="136">
        <f t="shared" si="3"/>
        <v>0</v>
      </c>
      <c r="BT54" s="136">
        <f t="shared" si="3"/>
        <v>0</v>
      </c>
      <c r="BU54" s="136">
        <f t="shared" si="3"/>
        <v>0</v>
      </c>
      <c r="CJ54" s="712"/>
    </row>
    <row r="55" spans="4:93" hidden="1" x14ac:dyDescent="0.3">
      <c r="M55" s="136">
        <f t="shared" si="3"/>
        <v>6175438</v>
      </c>
      <c r="N55" s="136">
        <f t="shared" si="3"/>
        <v>0</v>
      </c>
      <c r="O55" s="136">
        <f t="shared" si="3"/>
        <v>0</v>
      </c>
      <c r="P55" s="136">
        <f t="shared" si="3"/>
        <v>0</v>
      </c>
      <c r="Q55" s="136">
        <f t="shared" si="3"/>
        <v>0</v>
      </c>
      <c r="R55" s="136">
        <f t="shared" si="3"/>
        <v>-17123734</v>
      </c>
      <c r="S55" s="136">
        <f t="shared" si="3"/>
        <v>0</v>
      </c>
      <c r="T55" s="136">
        <f t="shared" si="3"/>
        <v>0</v>
      </c>
      <c r="U55" s="136">
        <f t="shared" si="3"/>
        <v>0</v>
      </c>
      <c r="V55" s="136">
        <f t="shared" si="3"/>
        <v>0</v>
      </c>
      <c r="W55" s="136">
        <f t="shared" si="3"/>
        <v>-17064866</v>
      </c>
      <c r="X55" s="136">
        <f t="shared" si="3"/>
        <v>0</v>
      </c>
      <c r="Y55" s="136">
        <f t="shared" si="3"/>
        <v>0</v>
      </c>
      <c r="Z55" s="136">
        <f t="shared" si="3"/>
        <v>0</v>
      </c>
      <c r="AA55" s="136">
        <f t="shared" si="3"/>
        <v>0</v>
      </c>
      <c r="AB55" s="136">
        <f t="shared" si="3"/>
        <v>59898807</v>
      </c>
      <c r="AC55" s="136">
        <f t="shared" si="3"/>
        <v>0</v>
      </c>
      <c r="AD55" s="136">
        <f t="shared" si="3"/>
        <v>0</v>
      </c>
      <c r="AE55" s="136">
        <f t="shared" si="3"/>
        <v>0</v>
      </c>
      <c r="AF55" s="136">
        <f t="shared" si="3"/>
        <v>0</v>
      </c>
      <c r="AG55" s="136">
        <f t="shared" si="3"/>
        <v>16686396</v>
      </c>
      <c r="AH55" s="136">
        <f t="shared" si="3"/>
        <v>0</v>
      </c>
      <c r="AI55" s="136">
        <f t="shared" si="3"/>
        <v>0</v>
      </c>
      <c r="AJ55" s="136">
        <f t="shared" si="3"/>
        <v>0</v>
      </c>
      <c r="AK55" s="136">
        <f t="shared" si="3"/>
        <v>0</v>
      </c>
      <c r="AL55" s="136">
        <f t="shared" si="3"/>
        <v>37559904</v>
      </c>
      <c r="AM55" s="136">
        <f t="shared" si="3"/>
        <v>0</v>
      </c>
      <c r="AN55" s="136">
        <f t="shared" si="3"/>
        <v>0</v>
      </c>
      <c r="AO55" s="136">
        <f t="shared" si="3"/>
        <v>0</v>
      </c>
      <c r="AP55" s="136">
        <f t="shared" si="3"/>
        <v>0</v>
      </c>
      <c r="AQ55" s="136">
        <f t="shared" si="3"/>
        <v>29641157</v>
      </c>
      <c r="AR55" s="136">
        <f t="shared" si="3"/>
        <v>0</v>
      </c>
      <c r="AS55" s="136">
        <f t="shared" si="3"/>
        <v>0</v>
      </c>
      <c r="AT55" s="136">
        <f t="shared" si="3"/>
        <v>0</v>
      </c>
      <c r="AU55" s="136">
        <f t="shared" si="3"/>
        <v>0</v>
      </c>
      <c r="AV55" s="136">
        <f t="shared" si="3"/>
        <v>14851629</v>
      </c>
      <c r="AW55" s="136">
        <f t="shared" si="3"/>
        <v>0</v>
      </c>
      <c r="AX55" s="136">
        <f t="shared" si="3"/>
        <v>0</v>
      </c>
      <c r="AY55" s="136">
        <f t="shared" si="3"/>
        <v>0</v>
      </c>
      <c r="AZ55" s="136">
        <f t="shared" si="3"/>
        <v>0</v>
      </c>
      <c r="BA55" s="136">
        <f t="shared" si="3"/>
        <v>7059132</v>
      </c>
      <c r="BB55" s="136">
        <f t="shared" si="3"/>
        <v>0</v>
      </c>
      <c r="BC55" s="136">
        <f t="shared" si="3"/>
        <v>0</v>
      </c>
      <c r="BD55" s="136">
        <f t="shared" si="3"/>
        <v>0</v>
      </c>
      <c r="BE55" s="136">
        <f t="shared" si="3"/>
        <v>0</v>
      </c>
      <c r="BF55" s="136">
        <f t="shared" si="3"/>
        <v>42289087</v>
      </c>
      <c r="BG55" s="136">
        <f t="shared" si="3"/>
        <v>0</v>
      </c>
      <c r="BH55" s="136">
        <f t="shared" si="3"/>
        <v>0</v>
      </c>
      <c r="BI55" s="136">
        <f t="shared" si="3"/>
        <v>0</v>
      </c>
      <c r="BJ55" s="136">
        <f t="shared" si="3"/>
        <v>0</v>
      </c>
      <c r="BK55" s="136">
        <f t="shared" si="3"/>
        <v>-274015499</v>
      </c>
      <c r="BL55" s="136">
        <f t="shared" si="3"/>
        <v>0</v>
      </c>
      <c r="BM55" s="136">
        <f t="shared" si="3"/>
        <v>0</v>
      </c>
      <c r="BN55" s="136">
        <f t="shared" si="3"/>
        <v>0</v>
      </c>
      <c r="BO55" s="136">
        <f t="shared" si="3"/>
        <v>0</v>
      </c>
      <c r="BP55" s="136">
        <f t="shared" si="3"/>
        <v>-273984879</v>
      </c>
      <c r="BQ55" s="136">
        <f t="shared" si="3"/>
        <v>0</v>
      </c>
      <c r="BR55" s="136">
        <f t="shared" si="3"/>
        <v>0</v>
      </c>
      <c r="BS55" s="136">
        <f t="shared" si="3"/>
        <v>0</v>
      </c>
      <c r="BT55" s="136">
        <f t="shared" si="3"/>
        <v>0</v>
      </c>
      <c r="BU55" s="136">
        <f t="shared" si="3"/>
        <v>42289087</v>
      </c>
    </row>
    <row r="56" spans="4:93" hidden="1" x14ac:dyDescent="0.3">
      <c r="M56" s="136">
        <f t="shared" si="3"/>
        <v>52239452</v>
      </c>
      <c r="N56" s="136">
        <f t="shared" si="3"/>
        <v>0</v>
      </c>
      <c r="O56" s="136">
        <f t="shared" si="3"/>
        <v>0</v>
      </c>
      <c r="P56" s="136">
        <f t="shared" si="3"/>
        <v>0</v>
      </c>
      <c r="Q56" s="136">
        <f t="shared" si="3"/>
        <v>0</v>
      </c>
      <c r="R56" s="136">
        <f t="shared" si="3"/>
        <v>36373636</v>
      </c>
      <c r="S56" s="136">
        <f t="shared" si="3"/>
        <v>0</v>
      </c>
      <c r="T56" s="136">
        <f t="shared" si="3"/>
        <v>0</v>
      </c>
      <c r="U56" s="136">
        <f t="shared" si="3"/>
        <v>0</v>
      </c>
      <c r="V56" s="136">
        <f t="shared" si="3"/>
        <v>0</v>
      </c>
      <c r="W56" s="136">
        <f t="shared" si="3"/>
        <v>22729495</v>
      </c>
      <c r="X56" s="136">
        <f t="shared" si="3"/>
        <v>0</v>
      </c>
      <c r="Y56" s="136">
        <f t="shared" si="3"/>
        <v>0</v>
      </c>
      <c r="Z56" s="136">
        <f t="shared" si="3"/>
        <v>0</v>
      </c>
      <c r="AA56" s="136">
        <f t="shared" si="3"/>
        <v>0</v>
      </c>
      <c r="AB56" s="136">
        <f t="shared" si="3"/>
        <v>22850502</v>
      </c>
      <c r="AC56" s="136">
        <f t="shared" si="3"/>
        <v>0</v>
      </c>
      <c r="AD56" s="136">
        <f t="shared" si="3"/>
        <v>0</v>
      </c>
      <c r="AE56" s="136">
        <f t="shared" si="3"/>
        <v>0</v>
      </c>
      <c r="AF56" s="136">
        <f t="shared" si="3"/>
        <v>0</v>
      </c>
      <c r="AG56" s="136">
        <f t="shared" si="3"/>
        <v>23637177</v>
      </c>
      <c r="AH56" s="136">
        <f t="shared" si="3"/>
        <v>0</v>
      </c>
      <c r="AI56" s="136">
        <f t="shared" si="3"/>
        <v>0</v>
      </c>
      <c r="AJ56" s="136">
        <f t="shared" si="3"/>
        <v>0</v>
      </c>
      <c r="AK56" s="136">
        <f t="shared" si="3"/>
        <v>0</v>
      </c>
      <c r="AL56" s="136">
        <f t="shared" si="3"/>
        <v>32942882</v>
      </c>
      <c r="AM56" s="136">
        <f t="shared" si="3"/>
        <v>0</v>
      </c>
      <c r="AN56" s="136">
        <f t="shared" si="3"/>
        <v>0</v>
      </c>
      <c r="AO56" s="136">
        <f t="shared" si="3"/>
        <v>0</v>
      </c>
      <c r="AP56" s="136">
        <f t="shared" si="3"/>
        <v>0</v>
      </c>
      <c r="AQ56" s="136">
        <f t="shared" si="3"/>
        <v>31838347</v>
      </c>
      <c r="AR56" s="136">
        <f t="shared" si="3"/>
        <v>0</v>
      </c>
      <c r="AS56" s="136">
        <f t="shared" si="3"/>
        <v>0</v>
      </c>
      <c r="AT56" s="136">
        <f t="shared" si="3"/>
        <v>0</v>
      </c>
      <c r="AU56" s="136">
        <f t="shared" si="3"/>
        <v>0</v>
      </c>
      <c r="AV56" s="136">
        <f t="shared" si="3"/>
        <v>15906007</v>
      </c>
      <c r="AW56" s="136">
        <f t="shared" si="3"/>
        <v>0</v>
      </c>
      <c r="AX56" s="136">
        <f t="shared" si="3"/>
        <v>0</v>
      </c>
      <c r="AY56" s="136">
        <f t="shared" si="3"/>
        <v>0</v>
      </c>
      <c r="AZ56" s="136">
        <f t="shared" si="3"/>
        <v>0</v>
      </c>
      <c r="BA56" s="136">
        <f t="shared" si="3"/>
        <v>14960393</v>
      </c>
      <c r="BB56" s="136">
        <f t="shared" si="3"/>
        <v>0</v>
      </c>
      <c r="BC56" s="136">
        <f t="shared" si="3"/>
        <v>0</v>
      </c>
      <c r="BD56" s="136">
        <f t="shared" si="3"/>
        <v>0</v>
      </c>
      <c r="BE56" s="136">
        <f t="shared" si="3"/>
        <v>0</v>
      </c>
      <c r="BF56" s="136">
        <f t="shared" si="3"/>
        <v>20452075</v>
      </c>
      <c r="BG56" s="136">
        <f t="shared" si="3"/>
        <v>0</v>
      </c>
      <c r="BH56" s="136">
        <f t="shared" si="3"/>
        <v>0</v>
      </c>
      <c r="BI56" s="136">
        <f t="shared" si="3"/>
        <v>0</v>
      </c>
      <c r="BJ56" s="136">
        <f t="shared" si="3"/>
        <v>0</v>
      </c>
      <c r="BK56" s="136">
        <f t="shared" si="3"/>
        <v>-140242471</v>
      </c>
      <c r="BL56" s="136">
        <f t="shared" si="3"/>
        <v>0</v>
      </c>
      <c r="BM56" s="136">
        <f t="shared" si="3"/>
        <v>0</v>
      </c>
      <c r="BN56" s="136">
        <f t="shared" si="3"/>
        <v>0</v>
      </c>
      <c r="BO56" s="136">
        <f t="shared" si="3"/>
        <v>0</v>
      </c>
      <c r="BP56" s="136">
        <f t="shared" si="3"/>
        <v>-145289346</v>
      </c>
      <c r="BQ56" s="136">
        <f t="shared" si="3"/>
        <v>0</v>
      </c>
      <c r="BR56" s="136">
        <f t="shared" si="3"/>
        <v>0</v>
      </c>
      <c r="BS56" s="136">
        <f t="shared" si="3"/>
        <v>0</v>
      </c>
      <c r="BT56" s="136">
        <f t="shared" si="3"/>
        <v>0</v>
      </c>
      <c r="BU56" s="136">
        <f t="shared" si="3"/>
        <v>20452075</v>
      </c>
    </row>
    <row r="57" spans="4:93" hidden="1" x14ac:dyDescent="0.3">
      <c r="M57" s="136">
        <f t="shared" ref="M57:BU61" si="4">M21-CE21</f>
        <v>-46064014</v>
      </c>
      <c r="N57" s="136">
        <f t="shared" si="4"/>
        <v>0</v>
      </c>
      <c r="O57" s="136">
        <f t="shared" si="4"/>
        <v>0</v>
      </c>
      <c r="P57" s="136">
        <f t="shared" si="4"/>
        <v>0</v>
      </c>
      <c r="Q57" s="136">
        <f t="shared" si="4"/>
        <v>0</v>
      </c>
      <c r="R57" s="136">
        <f t="shared" si="4"/>
        <v>-53497370</v>
      </c>
      <c r="S57" s="136">
        <f t="shared" si="4"/>
        <v>0</v>
      </c>
      <c r="T57" s="136">
        <f t="shared" si="4"/>
        <v>0</v>
      </c>
      <c r="U57" s="136">
        <f t="shared" si="4"/>
        <v>0</v>
      </c>
      <c r="V57" s="136">
        <f t="shared" si="4"/>
        <v>0</v>
      </c>
      <c r="W57" s="136">
        <f t="shared" si="4"/>
        <v>-39794361</v>
      </c>
      <c r="X57" s="136">
        <f t="shared" si="4"/>
        <v>0</v>
      </c>
      <c r="Y57" s="136">
        <f t="shared" si="4"/>
        <v>0</v>
      </c>
      <c r="Z57" s="136">
        <f t="shared" si="4"/>
        <v>0</v>
      </c>
      <c r="AA57" s="136">
        <f t="shared" si="4"/>
        <v>0</v>
      </c>
      <c r="AB57" s="136">
        <f t="shared" si="4"/>
        <v>37048305</v>
      </c>
      <c r="AC57" s="136">
        <f t="shared" si="4"/>
        <v>0</v>
      </c>
      <c r="AD57" s="136">
        <f t="shared" si="4"/>
        <v>0</v>
      </c>
      <c r="AE57" s="136">
        <f t="shared" si="4"/>
        <v>0</v>
      </c>
      <c r="AF57" s="136">
        <f t="shared" si="4"/>
        <v>0</v>
      </c>
      <c r="AG57" s="136">
        <f t="shared" si="4"/>
        <v>-6950781</v>
      </c>
      <c r="AH57" s="136">
        <f t="shared" si="4"/>
        <v>0</v>
      </c>
      <c r="AI57" s="136">
        <f t="shared" si="4"/>
        <v>0</v>
      </c>
      <c r="AJ57" s="136">
        <f t="shared" si="4"/>
        <v>0</v>
      </c>
      <c r="AK57" s="136">
        <f t="shared" si="4"/>
        <v>0</v>
      </c>
      <c r="AL57" s="136">
        <f t="shared" si="4"/>
        <v>4617022</v>
      </c>
      <c r="AM57" s="136">
        <f t="shared" si="4"/>
        <v>0</v>
      </c>
      <c r="AN57" s="136">
        <f t="shared" si="4"/>
        <v>0</v>
      </c>
      <c r="AO57" s="136">
        <f t="shared" si="4"/>
        <v>0</v>
      </c>
      <c r="AP57" s="136">
        <f t="shared" si="4"/>
        <v>0</v>
      </c>
      <c r="AQ57" s="136">
        <f t="shared" si="4"/>
        <v>-2197190</v>
      </c>
      <c r="AR57" s="136">
        <f t="shared" si="4"/>
        <v>0</v>
      </c>
      <c r="AS57" s="136">
        <f t="shared" si="4"/>
        <v>0</v>
      </c>
      <c r="AT57" s="136">
        <f t="shared" si="4"/>
        <v>0</v>
      </c>
      <c r="AU57" s="136">
        <f t="shared" si="4"/>
        <v>0</v>
      </c>
      <c r="AV57" s="136">
        <f t="shared" si="4"/>
        <v>-1054378</v>
      </c>
      <c r="AW57" s="136">
        <f t="shared" si="4"/>
        <v>0</v>
      </c>
      <c r="AX57" s="136">
        <f t="shared" si="4"/>
        <v>0</v>
      </c>
      <c r="AY57" s="136">
        <f t="shared" si="4"/>
        <v>0</v>
      </c>
      <c r="AZ57" s="136">
        <f t="shared" si="4"/>
        <v>0</v>
      </c>
      <c r="BA57" s="136">
        <f t="shared" si="4"/>
        <v>-37901261</v>
      </c>
      <c r="BB57" s="136">
        <f t="shared" si="4"/>
        <v>0</v>
      </c>
      <c r="BC57" s="136">
        <f t="shared" si="4"/>
        <v>0</v>
      </c>
      <c r="BD57" s="136">
        <f t="shared" si="4"/>
        <v>0</v>
      </c>
      <c r="BE57" s="136">
        <f t="shared" si="4"/>
        <v>0</v>
      </c>
      <c r="BF57" s="136">
        <f t="shared" si="4"/>
        <v>1837012</v>
      </c>
      <c r="BG57" s="136">
        <f t="shared" si="4"/>
        <v>0</v>
      </c>
      <c r="BH57" s="136">
        <f t="shared" si="4"/>
        <v>0</v>
      </c>
      <c r="BI57" s="136">
        <f t="shared" si="4"/>
        <v>0</v>
      </c>
      <c r="BJ57" s="136">
        <f t="shared" si="4"/>
        <v>0</v>
      </c>
      <c r="BK57" s="136">
        <f t="shared" si="4"/>
        <v>-133773028</v>
      </c>
      <c r="BL57" s="136">
        <f t="shared" si="4"/>
        <v>0</v>
      </c>
      <c r="BM57" s="136">
        <f t="shared" si="4"/>
        <v>0</v>
      </c>
      <c r="BN57" s="136">
        <f t="shared" si="4"/>
        <v>0</v>
      </c>
      <c r="BO57" s="136">
        <f t="shared" si="4"/>
        <v>0</v>
      </c>
      <c r="BP57" s="136">
        <f t="shared" si="4"/>
        <v>-128695533</v>
      </c>
      <c r="BQ57" s="136">
        <f t="shared" si="4"/>
        <v>0</v>
      </c>
      <c r="BR57" s="136">
        <f t="shared" si="4"/>
        <v>0</v>
      </c>
      <c r="BS57" s="136">
        <f t="shared" si="4"/>
        <v>0</v>
      </c>
      <c r="BT57" s="136">
        <f t="shared" si="4"/>
        <v>0</v>
      </c>
      <c r="BU57" s="136">
        <f t="shared" si="4"/>
        <v>1837012</v>
      </c>
    </row>
    <row r="58" spans="4:93" hidden="1" x14ac:dyDescent="0.3">
      <c r="M58" s="136">
        <f t="shared" si="4"/>
        <v>0</v>
      </c>
      <c r="N58" s="136">
        <f t="shared" si="4"/>
        <v>0</v>
      </c>
      <c r="O58" s="136">
        <f t="shared" si="4"/>
        <v>0</v>
      </c>
      <c r="P58" s="136">
        <f t="shared" si="4"/>
        <v>0</v>
      </c>
      <c r="Q58" s="136">
        <f t="shared" si="4"/>
        <v>0</v>
      </c>
      <c r="R58" s="136">
        <f t="shared" si="4"/>
        <v>0</v>
      </c>
      <c r="S58" s="136">
        <f t="shared" si="4"/>
        <v>0</v>
      </c>
      <c r="T58" s="136">
        <f t="shared" si="4"/>
        <v>0</v>
      </c>
      <c r="U58" s="136">
        <f t="shared" si="4"/>
        <v>0</v>
      </c>
      <c r="V58" s="136">
        <f t="shared" si="4"/>
        <v>0</v>
      </c>
      <c r="W58" s="136">
        <f t="shared" si="4"/>
        <v>0</v>
      </c>
      <c r="X58" s="136">
        <f t="shared" si="4"/>
        <v>0</v>
      </c>
      <c r="Y58" s="136">
        <f t="shared" si="4"/>
        <v>0</v>
      </c>
      <c r="Z58" s="136">
        <f t="shared" si="4"/>
        <v>0</v>
      </c>
      <c r="AA58" s="136">
        <f t="shared" si="4"/>
        <v>0</v>
      </c>
      <c r="AB58" s="136">
        <f t="shared" si="4"/>
        <v>0</v>
      </c>
      <c r="AC58" s="136">
        <f t="shared" si="4"/>
        <v>0</v>
      </c>
      <c r="AD58" s="136">
        <f t="shared" si="4"/>
        <v>0</v>
      </c>
      <c r="AE58" s="136">
        <f t="shared" si="4"/>
        <v>0</v>
      </c>
      <c r="AF58" s="136">
        <f t="shared" si="4"/>
        <v>0</v>
      </c>
      <c r="AG58" s="136">
        <f t="shared" si="4"/>
        <v>0</v>
      </c>
      <c r="AH58" s="136">
        <f t="shared" si="4"/>
        <v>0</v>
      </c>
      <c r="AI58" s="136">
        <f t="shared" si="4"/>
        <v>0</v>
      </c>
      <c r="AJ58" s="136">
        <f t="shared" si="4"/>
        <v>0</v>
      </c>
      <c r="AK58" s="136">
        <f t="shared" si="4"/>
        <v>0</v>
      </c>
      <c r="AL58" s="136">
        <f t="shared" si="4"/>
        <v>0</v>
      </c>
      <c r="AM58" s="136">
        <f t="shared" si="4"/>
        <v>0</v>
      </c>
      <c r="AN58" s="136">
        <f t="shared" si="4"/>
        <v>0</v>
      </c>
      <c r="AO58" s="136">
        <f t="shared" si="4"/>
        <v>0</v>
      </c>
      <c r="AP58" s="136">
        <f t="shared" si="4"/>
        <v>0</v>
      </c>
      <c r="AQ58" s="136">
        <f t="shared" si="4"/>
        <v>0</v>
      </c>
      <c r="AR58" s="136">
        <f t="shared" si="4"/>
        <v>0</v>
      </c>
      <c r="AS58" s="136">
        <f t="shared" si="4"/>
        <v>0</v>
      </c>
      <c r="AT58" s="136">
        <f t="shared" si="4"/>
        <v>0</v>
      </c>
      <c r="AU58" s="136">
        <f t="shared" si="4"/>
        <v>0</v>
      </c>
      <c r="AV58" s="136">
        <f t="shared" si="4"/>
        <v>0</v>
      </c>
      <c r="AW58" s="136">
        <f t="shared" si="4"/>
        <v>0</v>
      </c>
      <c r="AX58" s="136">
        <f t="shared" si="4"/>
        <v>0</v>
      </c>
      <c r="AY58" s="136">
        <f t="shared" si="4"/>
        <v>0</v>
      </c>
      <c r="AZ58" s="136">
        <f t="shared" si="4"/>
        <v>0</v>
      </c>
      <c r="BA58" s="136">
        <f t="shared" si="4"/>
        <v>0</v>
      </c>
      <c r="BB58" s="136">
        <f t="shared" si="4"/>
        <v>0</v>
      </c>
      <c r="BC58" s="136">
        <f t="shared" si="4"/>
        <v>0</v>
      </c>
      <c r="BD58" s="136">
        <f t="shared" si="4"/>
        <v>0</v>
      </c>
      <c r="BE58" s="136">
        <f t="shared" si="4"/>
        <v>0</v>
      </c>
      <c r="BF58" s="136">
        <f t="shared" si="4"/>
        <v>0</v>
      </c>
      <c r="BG58" s="136">
        <f t="shared" si="4"/>
        <v>0</v>
      </c>
      <c r="BH58" s="136">
        <f t="shared" si="4"/>
        <v>0</v>
      </c>
      <c r="BI58" s="136">
        <f t="shared" si="4"/>
        <v>0</v>
      </c>
      <c r="BJ58" s="136">
        <f t="shared" si="4"/>
        <v>0</v>
      </c>
      <c r="BK58" s="136">
        <f t="shared" si="4"/>
        <v>0</v>
      </c>
      <c r="BL58" s="136">
        <f t="shared" si="4"/>
        <v>0</v>
      </c>
      <c r="BM58" s="136">
        <f t="shared" si="4"/>
        <v>0</v>
      </c>
      <c r="BN58" s="136">
        <f t="shared" si="4"/>
        <v>0</v>
      </c>
      <c r="BO58" s="136">
        <f t="shared" si="4"/>
        <v>0</v>
      </c>
      <c r="BP58" s="136">
        <f t="shared" si="4"/>
        <v>0</v>
      </c>
      <c r="BQ58" s="136">
        <f t="shared" si="4"/>
        <v>0</v>
      </c>
      <c r="BR58" s="136">
        <f t="shared" si="4"/>
        <v>0</v>
      </c>
      <c r="BS58" s="136">
        <f t="shared" si="4"/>
        <v>0</v>
      </c>
      <c r="BT58" s="136">
        <f t="shared" si="4"/>
        <v>0</v>
      </c>
      <c r="BU58" s="136">
        <f t="shared" si="4"/>
        <v>0</v>
      </c>
    </row>
    <row r="59" spans="4:93" hidden="1" x14ac:dyDescent="0.3">
      <c r="M59" s="136">
        <f t="shared" si="4"/>
        <v>0</v>
      </c>
      <c r="N59" s="136">
        <f t="shared" si="4"/>
        <v>0</v>
      </c>
      <c r="O59" s="136">
        <f t="shared" si="4"/>
        <v>0</v>
      </c>
      <c r="P59" s="136">
        <f t="shared" si="4"/>
        <v>0</v>
      </c>
      <c r="Q59" s="136">
        <f t="shared" si="4"/>
        <v>0</v>
      </c>
      <c r="R59" s="136">
        <f t="shared" si="4"/>
        <v>0</v>
      </c>
      <c r="S59" s="136">
        <f t="shared" si="4"/>
        <v>0</v>
      </c>
      <c r="T59" s="136">
        <f t="shared" si="4"/>
        <v>0</v>
      </c>
      <c r="U59" s="136">
        <f t="shared" si="4"/>
        <v>0</v>
      </c>
      <c r="V59" s="136">
        <f t="shared" si="4"/>
        <v>0</v>
      </c>
      <c r="W59" s="136">
        <f t="shared" si="4"/>
        <v>0</v>
      </c>
      <c r="X59" s="136">
        <f t="shared" si="4"/>
        <v>0</v>
      </c>
      <c r="Y59" s="136">
        <f t="shared" si="4"/>
        <v>0</v>
      </c>
      <c r="Z59" s="136">
        <f t="shared" si="4"/>
        <v>0</v>
      </c>
      <c r="AA59" s="136">
        <f t="shared" si="4"/>
        <v>0</v>
      </c>
      <c r="AB59" s="136">
        <f t="shared" si="4"/>
        <v>0</v>
      </c>
      <c r="AC59" s="136">
        <f t="shared" si="4"/>
        <v>0</v>
      </c>
      <c r="AD59" s="136">
        <f t="shared" si="4"/>
        <v>0</v>
      </c>
      <c r="AE59" s="136">
        <f t="shared" si="4"/>
        <v>0</v>
      </c>
      <c r="AF59" s="136">
        <f t="shared" si="4"/>
        <v>0</v>
      </c>
      <c r="AG59" s="136">
        <f t="shared" si="4"/>
        <v>0</v>
      </c>
      <c r="AH59" s="136">
        <f t="shared" si="4"/>
        <v>0</v>
      </c>
      <c r="AI59" s="136">
        <f t="shared" si="4"/>
        <v>0</v>
      </c>
      <c r="AJ59" s="136">
        <f t="shared" si="4"/>
        <v>0</v>
      </c>
      <c r="AK59" s="136">
        <f t="shared" si="4"/>
        <v>0</v>
      </c>
      <c r="AL59" s="136">
        <f t="shared" si="4"/>
        <v>0</v>
      </c>
      <c r="AM59" s="136">
        <f t="shared" si="4"/>
        <v>0</v>
      </c>
      <c r="AN59" s="136">
        <f t="shared" si="4"/>
        <v>0</v>
      </c>
      <c r="AO59" s="136">
        <f t="shared" si="4"/>
        <v>0</v>
      </c>
      <c r="AP59" s="136">
        <f t="shared" si="4"/>
        <v>0</v>
      </c>
      <c r="AQ59" s="136">
        <f t="shared" si="4"/>
        <v>0</v>
      </c>
      <c r="AR59" s="136">
        <f t="shared" si="4"/>
        <v>0</v>
      </c>
      <c r="AS59" s="136">
        <f t="shared" si="4"/>
        <v>0</v>
      </c>
      <c r="AT59" s="136">
        <f t="shared" si="4"/>
        <v>0</v>
      </c>
      <c r="AU59" s="136">
        <f t="shared" si="4"/>
        <v>0</v>
      </c>
      <c r="AV59" s="136">
        <f t="shared" si="4"/>
        <v>0</v>
      </c>
      <c r="AW59" s="136">
        <f t="shared" si="4"/>
        <v>0</v>
      </c>
      <c r="AX59" s="136">
        <f t="shared" si="4"/>
        <v>0</v>
      </c>
      <c r="AY59" s="136">
        <f t="shared" si="4"/>
        <v>0</v>
      </c>
      <c r="AZ59" s="136">
        <f t="shared" si="4"/>
        <v>0</v>
      </c>
      <c r="BA59" s="136">
        <f t="shared" si="4"/>
        <v>0</v>
      </c>
      <c r="BB59" s="136">
        <f t="shared" si="4"/>
        <v>0</v>
      </c>
      <c r="BC59" s="136">
        <f t="shared" si="4"/>
        <v>0</v>
      </c>
      <c r="BD59" s="136">
        <f t="shared" si="4"/>
        <v>0</v>
      </c>
      <c r="BE59" s="136">
        <f t="shared" si="4"/>
        <v>0</v>
      </c>
      <c r="BF59" s="136">
        <f t="shared" si="4"/>
        <v>0</v>
      </c>
      <c r="BG59" s="136">
        <f t="shared" si="4"/>
        <v>0</v>
      </c>
      <c r="BH59" s="136">
        <f t="shared" si="4"/>
        <v>0</v>
      </c>
      <c r="BI59" s="136">
        <f t="shared" si="4"/>
        <v>0</v>
      </c>
      <c r="BJ59" s="136">
        <f t="shared" si="4"/>
        <v>0</v>
      </c>
      <c r="BK59" s="136">
        <f t="shared" si="4"/>
        <v>0</v>
      </c>
      <c r="BL59" s="136">
        <f t="shared" si="4"/>
        <v>0</v>
      </c>
      <c r="BM59" s="136">
        <f t="shared" si="4"/>
        <v>0</v>
      </c>
      <c r="BN59" s="136">
        <f t="shared" si="4"/>
        <v>0</v>
      </c>
      <c r="BO59" s="136">
        <f t="shared" si="4"/>
        <v>0</v>
      </c>
      <c r="BP59" s="136">
        <f t="shared" si="4"/>
        <v>0</v>
      </c>
      <c r="BQ59" s="136">
        <f t="shared" si="4"/>
        <v>0</v>
      </c>
      <c r="BR59" s="136">
        <f t="shared" si="4"/>
        <v>0</v>
      </c>
      <c r="BS59" s="136">
        <f t="shared" si="4"/>
        <v>0</v>
      </c>
      <c r="BT59" s="136">
        <f t="shared" si="4"/>
        <v>0</v>
      </c>
      <c r="BU59" s="136">
        <f t="shared" si="4"/>
        <v>0</v>
      </c>
    </row>
    <row r="60" spans="4:93" hidden="1" x14ac:dyDescent="0.3">
      <c r="M60" s="136">
        <f t="shared" si="4"/>
        <v>0</v>
      </c>
      <c r="N60" s="136">
        <f t="shared" si="4"/>
        <v>0</v>
      </c>
      <c r="O60" s="136">
        <f t="shared" si="4"/>
        <v>0</v>
      </c>
      <c r="P60" s="136">
        <f t="shared" si="4"/>
        <v>0</v>
      </c>
      <c r="Q60" s="136">
        <f t="shared" si="4"/>
        <v>0</v>
      </c>
      <c r="R60" s="136">
        <f t="shared" si="4"/>
        <v>0</v>
      </c>
      <c r="S60" s="136">
        <f t="shared" si="4"/>
        <v>0</v>
      </c>
      <c r="T60" s="136">
        <f t="shared" si="4"/>
        <v>0</v>
      </c>
      <c r="U60" s="136">
        <f t="shared" si="4"/>
        <v>0</v>
      </c>
      <c r="V60" s="136">
        <f t="shared" si="4"/>
        <v>0</v>
      </c>
      <c r="W60" s="136">
        <f t="shared" si="4"/>
        <v>0</v>
      </c>
      <c r="X60" s="136">
        <f t="shared" si="4"/>
        <v>0</v>
      </c>
      <c r="Y60" s="136">
        <f t="shared" si="4"/>
        <v>0</v>
      </c>
      <c r="Z60" s="136">
        <f t="shared" si="4"/>
        <v>0</v>
      </c>
      <c r="AA60" s="136">
        <f t="shared" si="4"/>
        <v>0</v>
      </c>
      <c r="AB60" s="136">
        <f t="shared" si="4"/>
        <v>0</v>
      </c>
      <c r="AC60" s="136">
        <f t="shared" si="4"/>
        <v>0</v>
      </c>
      <c r="AD60" s="136">
        <f t="shared" si="4"/>
        <v>0</v>
      </c>
      <c r="AE60" s="136">
        <f t="shared" si="4"/>
        <v>0</v>
      </c>
      <c r="AF60" s="136">
        <f t="shared" si="4"/>
        <v>0</v>
      </c>
      <c r="AG60" s="136">
        <f t="shared" si="4"/>
        <v>0</v>
      </c>
      <c r="AH60" s="136">
        <f t="shared" si="4"/>
        <v>0</v>
      </c>
      <c r="AI60" s="136">
        <f t="shared" si="4"/>
        <v>0</v>
      </c>
      <c r="AJ60" s="136">
        <f t="shared" si="4"/>
        <v>0</v>
      </c>
      <c r="AK60" s="136">
        <f t="shared" si="4"/>
        <v>0</v>
      </c>
      <c r="AL60" s="136">
        <f t="shared" si="4"/>
        <v>0</v>
      </c>
      <c r="AM60" s="136">
        <f t="shared" si="4"/>
        <v>0</v>
      </c>
      <c r="AN60" s="136">
        <f t="shared" si="4"/>
        <v>0</v>
      </c>
      <c r="AO60" s="136">
        <f t="shared" si="4"/>
        <v>0</v>
      </c>
      <c r="AP60" s="136">
        <f t="shared" si="4"/>
        <v>0</v>
      </c>
      <c r="AQ60" s="136">
        <f t="shared" si="4"/>
        <v>0</v>
      </c>
      <c r="AR60" s="136">
        <f t="shared" si="4"/>
        <v>0</v>
      </c>
      <c r="AS60" s="136">
        <f t="shared" si="4"/>
        <v>0</v>
      </c>
      <c r="AT60" s="136">
        <f t="shared" si="4"/>
        <v>0</v>
      </c>
      <c r="AU60" s="136">
        <f t="shared" si="4"/>
        <v>0</v>
      </c>
      <c r="AV60" s="136">
        <f t="shared" si="4"/>
        <v>0</v>
      </c>
      <c r="AW60" s="136">
        <f t="shared" si="4"/>
        <v>0</v>
      </c>
      <c r="AX60" s="136">
        <f t="shared" si="4"/>
        <v>0</v>
      </c>
      <c r="AY60" s="136">
        <f t="shared" si="4"/>
        <v>0</v>
      </c>
      <c r="AZ60" s="136">
        <f t="shared" si="4"/>
        <v>0</v>
      </c>
      <c r="BA60" s="136">
        <f t="shared" si="4"/>
        <v>0</v>
      </c>
      <c r="BB60" s="136">
        <f t="shared" si="4"/>
        <v>0</v>
      </c>
      <c r="BC60" s="136">
        <f t="shared" si="4"/>
        <v>0</v>
      </c>
      <c r="BD60" s="136">
        <f t="shared" si="4"/>
        <v>0</v>
      </c>
      <c r="BE60" s="136">
        <f t="shared" si="4"/>
        <v>0</v>
      </c>
      <c r="BF60" s="136">
        <f t="shared" si="4"/>
        <v>0</v>
      </c>
      <c r="BG60" s="136">
        <f t="shared" si="4"/>
        <v>0</v>
      </c>
      <c r="BH60" s="136">
        <f t="shared" si="4"/>
        <v>0</v>
      </c>
      <c r="BI60" s="136">
        <f t="shared" si="4"/>
        <v>0</v>
      </c>
      <c r="BJ60" s="136">
        <f t="shared" si="4"/>
        <v>0</v>
      </c>
      <c r="BK60" s="136">
        <f t="shared" si="4"/>
        <v>0</v>
      </c>
      <c r="BL60" s="136">
        <f t="shared" si="4"/>
        <v>0</v>
      </c>
      <c r="BM60" s="136">
        <f t="shared" si="4"/>
        <v>0</v>
      </c>
      <c r="BN60" s="136">
        <f t="shared" si="4"/>
        <v>0</v>
      </c>
      <c r="BO60" s="136">
        <f t="shared" si="4"/>
        <v>0</v>
      </c>
      <c r="BP60" s="136">
        <f t="shared" si="4"/>
        <v>0</v>
      </c>
      <c r="BQ60" s="136">
        <f t="shared" si="4"/>
        <v>0</v>
      </c>
      <c r="BR60" s="136">
        <f t="shared" si="4"/>
        <v>0</v>
      </c>
      <c r="BS60" s="136">
        <f t="shared" si="4"/>
        <v>0</v>
      </c>
      <c r="BT60" s="136">
        <f t="shared" si="4"/>
        <v>0</v>
      </c>
      <c r="BU60" s="136">
        <f t="shared" si="4"/>
        <v>0</v>
      </c>
    </row>
    <row r="61" spans="4:93" hidden="1" x14ac:dyDescent="0.3">
      <c r="M61" s="136">
        <f t="shared" si="4"/>
        <v>41286310</v>
      </c>
      <c r="N61" s="136">
        <f t="shared" si="4"/>
        <v>0</v>
      </c>
      <c r="O61" s="136">
        <f t="shared" si="4"/>
        <v>0</v>
      </c>
      <c r="P61" s="136">
        <f t="shared" si="4"/>
        <v>0</v>
      </c>
      <c r="Q61" s="136">
        <f t="shared" si="4"/>
        <v>0</v>
      </c>
      <c r="R61" s="136">
        <f t="shared" si="4"/>
        <v>-8420160</v>
      </c>
      <c r="S61" s="136">
        <f t="shared" si="4"/>
        <v>0</v>
      </c>
      <c r="T61" s="136">
        <f t="shared" si="4"/>
        <v>0</v>
      </c>
      <c r="U61" s="136">
        <f t="shared" si="4"/>
        <v>0</v>
      </c>
      <c r="V61" s="136">
        <f t="shared" si="4"/>
        <v>0</v>
      </c>
      <c r="W61" s="136">
        <f t="shared" si="4"/>
        <v>5097678</v>
      </c>
      <c r="X61" s="136">
        <f t="shared" ref="X61:BU66" si="5">X25-CP25</f>
        <v>0</v>
      </c>
      <c r="Y61" s="136">
        <f t="shared" si="5"/>
        <v>0</v>
      </c>
      <c r="Z61" s="136">
        <f t="shared" si="5"/>
        <v>0</v>
      </c>
      <c r="AA61" s="136">
        <f t="shared" si="5"/>
        <v>0</v>
      </c>
      <c r="AB61" s="136">
        <f t="shared" si="5"/>
        <v>47653189</v>
      </c>
      <c r="AC61" s="136">
        <f t="shared" si="5"/>
        <v>0</v>
      </c>
      <c r="AD61" s="136">
        <f t="shared" si="5"/>
        <v>0</v>
      </c>
      <c r="AE61" s="136">
        <f t="shared" si="5"/>
        <v>0</v>
      </c>
      <c r="AF61" s="136">
        <f t="shared" si="5"/>
        <v>0</v>
      </c>
      <c r="AG61" s="136">
        <f t="shared" si="5"/>
        <v>-54718297</v>
      </c>
      <c r="AH61" s="136">
        <f t="shared" si="5"/>
        <v>0</v>
      </c>
      <c r="AI61" s="136">
        <f t="shared" si="5"/>
        <v>0</v>
      </c>
      <c r="AJ61" s="136">
        <f t="shared" si="5"/>
        <v>0</v>
      </c>
      <c r="AK61" s="136">
        <f t="shared" si="5"/>
        <v>0</v>
      </c>
      <c r="AL61" s="136">
        <f t="shared" si="5"/>
        <v>9334049</v>
      </c>
      <c r="AM61" s="136">
        <f t="shared" si="5"/>
        <v>0</v>
      </c>
      <c r="AN61" s="136">
        <f t="shared" si="5"/>
        <v>0</v>
      </c>
      <c r="AO61" s="136">
        <f t="shared" si="5"/>
        <v>0</v>
      </c>
      <c r="AP61" s="136">
        <f t="shared" si="5"/>
        <v>0</v>
      </c>
      <c r="AQ61" s="136">
        <f t="shared" si="5"/>
        <v>3837405</v>
      </c>
      <c r="AR61" s="136">
        <f t="shared" si="5"/>
        <v>0</v>
      </c>
      <c r="AS61" s="136">
        <f t="shared" si="5"/>
        <v>0</v>
      </c>
      <c r="AT61" s="136">
        <f t="shared" si="5"/>
        <v>0</v>
      </c>
      <c r="AU61" s="136">
        <f t="shared" si="5"/>
        <v>0</v>
      </c>
      <c r="AV61" s="136">
        <f t="shared" si="5"/>
        <v>1528544</v>
      </c>
      <c r="AW61" s="136">
        <f t="shared" si="5"/>
        <v>0</v>
      </c>
      <c r="AX61" s="136">
        <f t="shared" si="5"/>
        <v>0</v>
      </c>
      <c r="AY61" s="136">
        <f t="shared" si="5"/>
        <v>0</v>
      </c>
      <c r="AZ61" s="136">
        <f t="shared" si="5"/>
        <v>0</v>
      </c>
      <c r="BA61" s="136">
        <f t="shared" si="5"/>
        <v>-22514378</v>
      </c>
      <c r="BB61" s="136">
        <f t="shared" si="5"/>
        <v>0</v>
      </c>
      <c r="BC61" s="136">
        <f t="shared" si="5"/>
        <v>0</v>
      </c>
      <c r="BD61" s="136">
        <f t="shared" si="5"/>
        <v>0</v>
      </c>
      <c r="BE61" s="136">
        <f t="shared" si="5"/>
        <v>0</v>
      </c>
      <c r="BF61" s="136">
        <f t="shared" si="5"/>
        <v>26838564</v>
      </c>
      <c r="BG61" s="136">
        <f t="shared" si="5"/>
        <v>0</v>
      </c>
      <c r="BH61" s="136">
        <f t="shared" si="5"/>
        <v>0</v>
      </c>
      <c r="BI61" s="136">
        <f t="shared" si="5"/>
        <v>0</v>
      </c>
      <c r="BJ61" s="136">
        <f t="shared" si="5"/>
        <v>0</v>
      </c>
      <c r="BK61" s="136">
        <f t="shared" si="5"/>
        <v>-14186127</v>
      </c>
      <c r="BL61" s="136">
        <f t="shared" si="5"/>
        <v>0</v>
      </c>
      <c r="BM61" s="136">
        <f t="shared" si="5"/>
        <v>0</v>
      </c>
      <c r="BN61" s="136">
        <f t="shared" si="5"/>
        <v>0</v>
      </c>
      <c r="BO61" s="136">
        <f t="shared" si="5"/>
        <v>0</v>
      </c>
      <c r="BP61" s="136">
        <f t="shared" si="5"/>
        <v>14935278</v>
      </c>
      <c r="BQ61" s="136">
        <f t="shared" si="5"/>
        <v>0</v>
      </c>
      <c r="BR61" s="136">
        <f t="shared" si="5"/>
        <v>0</v>
      </c>
      <c r="BS61" s="136">
        <f t="shared" si="5"/>
        <v>0</v>
      </c>
      <c r="BT61" s="136">
        <f t="shared" si="5"/>
        <v>0</v>
      </c>
      <c r="BU61" s="136">
        <f t="shared" si="5"/>
        <v>49922904</v>
      </c>
    </row>
    <row r="62" spans="4:93" hidden="1" x14ac:dyDescent="0.3">
      <c r="M62" s="136">
        <f t="shared" ref="M62:W66" si="6">M26-CE26</f>
        <v>0</v>
      </c>
      <c r="N62" s="136">
        <f t="shared" si="6"/>
        <v>0</v>
      </c>
      <c r="O62" s="136">
        <f t="shared" si="6"/>
        <v>0</v>
      </c>
      <c r="P62" s="136">
        <f t="shared" si="6"/>
        <v>0</v>
      </c>
      <c r="Q62" s="136">
        <f t="shared" si="6"/>
        <v>0</v>
      </c>
      <c r="R62" s="136">
        <f t="shared" si="6"/>
        <v>0</v>
      </c>
      <c r="S62" s="136">
        <f t="shared" si="6"/>
        <v>0</v>
      </c>
      <c r="T62" s="136">
        <f t="shared" si="6"/>
        <v>0</v>
      </c>
      <c r="U62" s="136">
        <f t="shared" si="6"/>
        <v>0</v>
      </c>
      <c r="V62" s="136">
        <f t="shared" si="6"/>
        <v>0</v>
      </c>
      <c r="W62" s="136">
        <f t="shared" si="6"/>
        <v>0</v>
      </c>
      <c r="X62" s="136">
        <f t="shared" si="5"/>
        <v>0</v>
      </c>
      <c r="Y62" s="136">
        <f t="shared" si="5"/>
        <v>0</v>
      </c>
      <c r="Z62" s="136">
        <f t="shared" si="5"/>
        <v>0</v>
      </c>
      <c r="AA62" s="136">
        <f t="shared" si="5"/>
        <v>0</v>
      </c>
      <c r="AB62" s="136">
        <f t="shared" si="5"/>
        <v>0</v>
      </c>
      <c r="AC62" s="136">
        <f t="shared" si="5"/>
        <v>0</v>
      </c>
      <c r="AD62" s="136">
        <f t="shared" si="5"/>
        <v>0</v>
      </c>
      <c r="AE62" s="136">
        <f t="shared" si="5"/>
        <v>0</v>
      </c>
      <c r="AF62" s="136">
        <f t="shared" si="5"/>
        <v>0</v>
      </c>
      <c r="AG62" s="136">
        <f t="shared" si="5"/>
        <v>0</v>
      </c>
      <c r="AH62" s="136">
        <f t="shared" si="5"/>
        <v>0</v>
      </c>
      <c r="AI62" s="136">
        <f t="shared" si="5"/>
        <v>0</v>
      </c>
      <c r="AJ62" s="136">
        <f t="shared" si="5"/>
        <v>0</v>
      </c>
      <c r="AK62" s="136">
        <f t="shared" si="5"/>
        <v>0</v>
      </c>
      <c r="AL62" s="136">
        <f t="shared" si="5"/>
        <v>0</v>
      </c>
      <c r="AM62" s="136">
        <f t="shared" si="5"/>
        <v>0</v>
      </c>
      <c r="AN62" s="136">
        <f t="shared" si="5"/>
        <v>0</v>
      </c>
      <c r="AO62" s="136">
        <f t="shared" si="5"/>
        <v>0</v>
      </c>
      <c r="AP62" s="136">
        <f t="shared" si="5"/>
        <v>0</v>
      </c>
      <c r="AQ62" s="136">
        <f t="shared" si="5"/>
        <v>0</v>
      </c>
      <c r="AR62" s="136">
        <f t="shared" si="5"/>
        <v>0</v>
      </c>
      <c r="AS62" s="136">
        <f t="shared" si="5"/>
        <v>0</v>
      </c>
      <c r="AT62" s="136">
        <f t="shared" si="5"/>
        <v>0</v>
      </c>
      <c r="AU62" s="136">
        <f t="shared" si="5"/>
        <v>0</v>
      </c>
      <c r="AV62" s="136">
        <f t="shared" si="5"/>
        <v>0</v>
      </c>
      <c r="AW62" s="136">
        <f t="shared" si="5"/>
        <v>0</v>
      </c>
      <c r="AX62" s="136">
        <f t="shared" si="5"/>
        <v>0</v>
      </c>
      <c r="AY62" s="136">
        <f t="shared" si="5"/>
        <v>0</v>
      </c>
      <c r="AZ62" s="136">
        <f t="shared" si="5"/>
        <v>0</v>
      </c>
      <c r="BA62" s="136">
        <f t="shared" si="5"/>
        <v>0</v>
      </c>
      <c r="BB62" s="136">
        <f t="shared" si="5"/>
        <v>0</v>
      </c>
      <c r="BC62" s="136">
        <f t="shared" si="5"/>
        <v>0</v>
      </c>
      <c r="BD62" s="136">
        <f t="shared" si="5"/>
        <v>0</v>
      </c>
      <c r="BE62" s="136">
        <f t="shared" si="5"/>
        <v>0</v>
      </c>
      <c r="BF62" s="136">
        <f t="shared" si="5"/>
        <v>0</v>
      </c>
      <c r="BG62" s="136">
        <f t="shared" si="5"/>
        <v>0</v>
      </c>
      <c r="BH62" s="136">
        <f t="shared" si="5"/>
        <v>0</v>
      </c>
      <c r="BI62" s="136">
        <f t="shared" si="5"/>
        <v>0</v>
      </c>
      <c r="BJ62" s="136">
        <f t="shared" si="5"/>
        <v>0</v>
      </c>
      <c r="BK62" s="136">
        <f t="shared" si="5"/>
        <v>0</v>
      </c>
      <c r="BL62" s="136">
        <f t="shared" si="5"/>
        <v>0</v>
      </c>
      <c r="BM62" s="136">
        <f t="shared" si="5"/>
        <v>0</v>
      </c>
      <c r="BN62" s="136">
        <f t="shared" si="5"/>
        <v>0</v>
      </c>
      <c r="BO62" s="136">
        <f t="shared" si="5"/>
        <v>0</v>
      </c>
      <c r="BP62" s="136">
        <f t="shared" si="5"/>
        <v>0</v>
      </c>
      <c r="BQ62" s="136">
        <f t="shared" si="5"/>
        <v>0</v>
      </c>
      <c r="BR62" s="136">
        <f t="shared" si="5"/>
        <v>0</v>
      </c>
      <c r="BS62" s="136">
        <f t="shared" si="5"/>
        <v>0</v>
      </c>
      <c r="BT62" s="136">
        <f t="shared" si="5"/>
        <v>0</v>
      </c>
      <c r="BU62" s="136">
        <f t="shared" si="5"/>
        <v>0</v>
      </c>
    </row>
    <row r="63" spans="4:93" hidden="1" x14ac:dyDescent="0.3">
      <c r="M63" s="136">
        <f t="shared" si="6"/>
        <v>0</v>
      </c>
      <c r="N63" s="136">
        <f t="shared" si="6"/>
        <v>0</v>
      </c>
      <c r="O63" s="136">
        <f t="shared" si="6"/>
        <v>0</v>
      </c>
      <c r="P63" s="136">
        <f t="shared" si="6"/>
        <v>0</v>
      </c>
      <c r="Q63" s="136">
        <f t="shared" si="6"/>
        <v>0</v>
      </c>
      <c r="R63" s="136">
        <f t="shared" si="6"/>
        <v>0</v>
      </c>
      <c r="S63" s="136">
        <f t="shared" si="6"/>
        <v>0</v>
      </c>
      <c r="T63" s="136">
        <f t="shared" si="6"/>
        <v>0</v>
      </c>
      <c r="U63" s="136">
        <f t="shared" si="6"/>
        <v>0</v>
      </c>
      <c r="V63" s="136">
        <f t="shared" si="6"/>
        <v>0</v>
      </c>
      <c r="W63" s="136">
        <f t="shared" si="6"/>
        <v>0</v>
      </c>
      <c r="X63" s="136">
        <f t="shared" si="5"/>
        <v>0</v>
      </c>
      <c r="Y63" s="136">
        <f t="shared" si="5"/>
        <v>0</v>
      </c>
      <c r="Z63" s="136">
        <f t="shared" si="5"/>
        <v>0</v>
      </c>
      <c r="AA63" s="136">
        <f t="shared" si="5"/>
        <v>0</v>
      </c>
      <c r="AB63" s="136">
        <f t="shared" si="5"/>
        <v>0</v>
      </c>
      <c r="AC63" s="136">
        <f t="shared" si="5"/>
        <v>0</v>
      </c>
      <c r="AD63" s="136">
        <f t="shared" si="5"/>
        <v>0</v>
      </c>
      <c r="AE63" s="136">
        <f t="shared" si="5"/>
        <v>0</v>
      </c>
      <c r="AF63" s="136">
        <f t="shared" si="5"/>
        <v>0</v>
      </c>
      <c r="AG63" s="136">
        <f t="shared" si="5"/>
        <v>0</v>
      </c>
      <c r="AH63" s="136">
        <f t="shared" si="5"/>
        <v>0</v>
      </c>
      <c r="AI63" s="136">
        <f t="shared" si="5"/>
        <v>0</v>
      </c>
      <c r="AJ63" s="136">
        <f t="shared" si="5"/>
        <v>0</v>
      </c>
      <c r="AK63" s="136">
        <f t="shared" si="5"/>
        <v>0</v>
      </c>
      <c r="AL63" s="136">
        <f t="shared" si="5"/>
        <v>0</v>
      </c>
      <c r="AM63" s="136">
        <f t="shared" si="5"/>
        <v>0</v>
      </c>
      <c r="AN63" s="136">
        <f t="shared" si="5"/>
        <v>0</v>
      </c>
      <c r="AO63" s="136">
        <f t="shared" si="5"/>
        <v>0</v>
      </c>
      <c r="AP63" s="136">
        <f t="shared" si="5"/>
        <v>0</v>
      </c>
      <c r="AQ63" s="136">
        <f t="shared" si="5"/>
        <v>0</v>
      </c>
      <c r="AR63" s="136">
        <f t="shared" si="5"/>
        <v>0</v>
      </c>
      <c r="AS63" s="136">
        <f t="shared" si="5"/>
        <v>0</v>
      </c>
      <c r="AT63" s="136">
        <f t="shared" si="5"/>
        <v>0</v>
      </c>
      <c r="AU63" s="136">
        <f t="shared" si="5"/>
        <v>0</v>
      </c>
      <c r="AV63" s="136">
        <f t="shared" si="5"/>
        <v>0</v>
      </c>
      <c r="AW63" s="136">
        <f t="shared" si="5"/>
        <v>0</v>
      </c>
      <c r="AX63" s="136">
        <f t="shared" si="5"/>
        <v>0</v>
      </c>
      <c r="AY63" s="136">
        <f t="shared" si="5"/>
        <v>0</v>
      </c>
      <c r="AZ63" s="136">
        <f t="shared" si="5"/>
        <v>0</v>
      </c>
      <c r="BA63" s="136">
        <f t="shared" si="5"/>
        <v>0</v>
      </c>
      <c r="BB63" s="136">
        <f t="shared" si="5"/>
        <v>0</v>
      </c>
      <c r="BC63" s="136">
        <f t="shared" si="5"/>
        <v>0</v>
      </c>
      <c r="BD63" s="136">
        <f t="shared" si="5"/>
        <v>0</v>
      </c>
      <c r="BE63" s="136">
        <f t="shared" si="5"/>
        <v>0</v>
      </c>
      <c r="BF63" s="136">
        <f t="shared" si="5"/>
        <v>0</v>
      </c>
      <c r="BG63" s="136">
        <f t="shared" si="5"/>
        <v>0</v>
      </c>
      <c r="BH63" s="136">
        <f t="shared" si="5"/>
        <v>0</v>
      </c>
      <c r="BI63" s="136">
        <f t="shared" si="5"/>
        <v>0</v>
      </c>
      <c r="BJ63" s="136">
        <f t="shared" si="5"/>
        <v>0</v>
      </c>
      <c r="BK63" s="136">
        <f t="shared" si="5"/>
        <v>0</v>
      </c>
      <c r="BL63" s="136">
        <f t="shared" si="5"/>
        <v>0</v>
      </c>
      <c r="BM63" s="136">
        <f t="shared" si="5"/>
        <v>0</v>
      </c>
      <c r="BN63" s="136">
        <f t="shared" si="5"/>
        <v>0</v>
      </c>
      <c r="BO63" s="136">
        <f t="shared" si="5"/>
        <v>0</v>
      </c>
      <c r="BP63" s="136">
        <f t="shared" si="5"/>
        <v>-4402225.7110300008</v>
      </c>
      <c r="BQ63" s="136">
        <f t="shared" si="5"/>
        <v>0</v>
      </c>
      <c r="BR63" s="136">
        <f t="shared" si="5"/>
        <v>0</v>
      </c>
      <c r="BS63" s="136">
        <f t="shared" si="5"/>
        <v>0</v>
      </c>
      <c r="BT63" s="136">
        <f t="shared" si="5"/>
        <v>0</v>
      </c>
      <c r="BU63" s="136">
        <f t="shared" si="5"/>
        <v>0</v>
      </c>
    </row>
    <row r="64" spans="4:93" hidden="1" x14ac:dyDescent="0.3">
      <c r="M64" s="136">
        <f t="shared" si="6"/>
        <v>0</v>
      </c>
      <c r="N64" s="136">
        <f t="shared" si="6"/>
        <v>0</v>
      </c>
      <c r="O64" s="136">
        <f t="shared" si="6"/>
        <v>0</v>
      </c>
      <c r="P64" s="136">
        <f t="shared" si="6"/>
        <v>0</v>
      </c>
      <c r="Q64" s="136">
        <f t="shared" si="6"/>
        <v>0</v>
      </c>
      <c r="R64" s="136">
        <f t="shared" si="6"/>
        <v>0</v>
      </c>
      <c r="S64" s="136">
        <f t="shared" si="6"/>
        <v>0</v>
      </c>
      <c r="T64" s="136">
        <f t="shared" si="6"/>
        <v>0</v>
      </c>
      <c r="U64" s="136">
        <f t="shared" si="6"/>
        <v>0</v>
      </c>
      <c r="V64" s="136">
        <f t="shared" si="6"/>
        <v>0</v>
      </c>
      <c r="W64" s="136">
        <f t="shared" si="6"/>
        <v>0</v>
      </c>
      <c r="X64" s="136">
        <f t="shared" si="5"/>
        <v>0</v>
      </c>
      <c r="Y64" s="136">
        <f t="shared" si="5"/>
        <v>0</v>
      </c>
      <c r="Z64" s="136">
        <f t="shared" si="5"/>
        <v>0</v>
      </c>
      <c r="AA64" s="136">
        <f t="shared" si="5"/>
        <v>0</v>
      </c>
      <c r="AB64" s="136">
        <f t="shared" si="5"/>
        <v>0</v>
      </c>
      <c r="AC64" s="136">
        <f t="shared" si="5"/>
        <v>0</v>
      </c>
      <c r="AD64" s="136">
        <f t="shared" si="5"/>
        <v>0</v>
      </c>
      <c r="AE64" s="136">
        <f t="shared" si="5"/>
        <v>0</v>
      </c>
      <c r="AF64" s="136">
        <f t="shared" si="5"/>
        <v>0</v>
      </c>
      <c r="AG64" s="136">
        <f t="shared" si="5"/>
        <v>0</v>
      </c>
      <c r="AH64" s="136">
        <f t="shared" si="5"/>
        <v>0</v>
      </c>
      <c r="AI64" s="136">
        <f t="shared" si="5"/>
        <v>0</v>
      </c>
      <c r="AJ64" s="136">
        <f t="shared" si="5"/>
        <v>0</v>
      </c>
      <c r="AK64" s="136">
        <f t="shared" si="5"/>
        <v>0</v>
      </c>
      <c r="AL64" s="136">
        <f t="shared" si="5"/>
        <v>0</v>
      </c>
      <c r="AM64" s="136">
        <f t="shared" si="5"/>
        <v>0</v>
      </c>
      <c r="AN64" s="136">
        <f t="shared" si="5"/>
        <v>0</v>
      </c>
      <c r="AO64" s="136">
        <f t="shared" si="5"/>
        <v>0</v>
      </c>
      <c r="AP64" s="136">
        <f t="shared" si="5"/>
        <v>0</v>
      </c>
      <c r="AQ64" s="136">
        <f t="shared" si="5"/>
        <v>0</v>
      </c>
      <c r="AR64" s="136">
        <f t="shared" si="5"/>
        <v>0</v>
      </c>
      <c r="AS64" s="136">
        <f t="shared" si="5"/>
        <v>0</v>
      </c>
      <c r="AT64" s="136">
        <f t="shared" si="5"/>
        <v>0</v>
      </c>
      <c r="AU64" s="136">
        <f t="shared" si="5"/>
        <v>0</v>
      </c>
      <c r="AV64" s="136">
        <f t="shared" si="5"/>
        <v>0</v>
      </c>
      <c r="AW64" s="136">
        <f t="shared" si="5"/>
        <v>0</v>
      </c>
      <c r="AX64" s="136">
        <f t="shared" si="5"/>
        <v>0</v>
      </c>
      <c r="AY64" s="136">
        <f t="shared" si="5"/>
        <v>0</v>
      </c>
      <c r="AZ64" s="136">
        <f t="shared" si="5"/>
        <v>0</v>
      </c>
      <c r="BA64" s="136">
        <f t="shared" si="5"/>
        <v>0</v>
      </c>
      <c r="BB64" s="136">
        <f t="shared" si="5"/>
        <v>0</v>
      </c>
      <c r="BC64" s="136">
        <f t="shared" si="5"/>
        <v>0</v>
      </c>
      <c r="BD64" s="136">
        <f t="shared" si="5"/>
        <v>0</v>
      </c>
      <c r="BE64" s="136">
        <f t="shared" si="5"/>
        <v>0</v>
      </c>
      <c r="BF64" s="136">
        <f t="shared" si="5"/>
        <v>0</v>
      </c>
      <c r="BG64" s="136">
        <f t="shared" si="5"/>
        <v>0</v>
      </c>
      <c r="BH64" s="136">
        <f t="shared" si="5"/>
        <v>0</v>
      </c>
      <c r="BI64" s="136">
        <f t="shared" si="5"/>
        <v>0</v>
      </c>
      <c r="BJ64" s="136">
        <f t="shared" si="5"/>
        <v>0</v>
      </c>
      <c r="BK64" s="136">
        <f t="shared" si="5"/>
        <v>0</v>
      </c>
      <c r="BL64" s="136">
        <f t="shared" si="5"/>
        <v>0</v>
      </c>
      <c r="BM64" s="136">
        <f t="shared" si="5"/>
        <v>0</v>
      </c>
      <c r="BN64" s="136">
        <f t="shared" si="5"/>
        <v>0</v>
      </c>
      <c r="BO64" s="136">
        <f t="shared" si="5"/>
        <v>0</v>
      </c>
      <c r="BP64" s="136">
        <f t="shared" si="5"/>
        <v>0</v>
      </c>
      <c r="BQ64" s="136">
        <f t="shared" si="5"/>
        <v>0</v>
      </c>
      <c r="BR64" s="136">
        <f t="shared" si="5"/>
        <v>0</v>
      </c>
      <c r="BS64" s="136">
        <f t="shared" si="5"/>
        <v>0</v>
      </c>
      <c r="BT64" s="136">
        <f t="shared" si="5"/>
        <v>0</v>
      </c>
      <c r="BU64" s="136">
        <f t="shared" si="5"/>
        <v>0</v>
      </c>
    </row>
    <row r="65" spans="13:73" hidden="1" x14ac:dyDescent="0.3">
      <c r="M65" s="136">
        <f t="shared" si="6"/>
        <v>496989</v>
      </c>
      <c r="N65" s="136">
        <f t="shared" si="6"/>
        <v>0</v>
      </c>
      <c r="O65" s="136">
        <f t="shared" si="6"/>
        <v>0</v>
      </c>
      <c r="P65" s="136">
        <f t="shared" si="6"/>
        <v>0</v>
      </c>
      <c r="Q65" s="136">
        <f t="shared" si="6"/>
        <v>0</v>
      </c>
      <c r="R65" s="136">
        <f t="shared" si="6"/>
        <v>200900</v>
      </c>
      <c r="S65" s="136">
        <f t="shared" si="6"/>
        <v>0</v>
      </c>
      <c r="T65" s="136">
        <f t="shared" si="6"/>
        <v>0</v>
      </c>
      <c r="U65" s="136">
        <f t="shared" si="6"/>
        <v>0</v>
      </c>
      <c r="V65" s="136">
        <f t="shared" si="6"/>
        <v>0</v>
      </c>
      <c r="W65" s="136">
        <f t="shared" si="6"/>
        <v>-237904</v>
      </c>
      <c r="X65" s="136">
        <f t="shared" si="5"/>
        <v>0</v>
      </c>
      <c r="Y65" s="136">
        <f t="shared" si="5"/>
        <v>0</v>
      </c>
      <c r="Z65" s="136">
        <f t="shared" si="5"/>
        <v>0</v>
      </c>
      <c r="AA65" s="136">
        <f t="shared" si="5"/>
        <v>0</v>
      </c>
      <c r="AB65" s="136">
        <f t="shared" si="5"/>
        <v>-10033</v>
      </c>
      <c r="AC65" s="136">
        <f t="shared" si="5"/>
        <v>0</v>
      </c>
      <c r="AD65" s="136">
        <f t="shared" si="5"/>
        <v>0</v>
      </c>
      <c r="AE65" s="136">
        <f t="shared" si="5"/>
        <v>0</v>
      </c>
      <c r="AF65" s="136">
        <f t="shared" si="5"/>
        <v>0</v>
      </c>
      <c r="AG65" s="136">
        <f t="shared" si="5"/>
        <v>1771190</v>
      </c>
      <c r="AH65" s="136">
        <f t="shared" si="5"/>
        <v>0</v>
      </c>
      <c r="AI65" s="136">
        <f t="shared" si="5"/>
        <v>0</v>
      </c>
      <c r="AJ65" s="136">
        <f t="shared" si="5"/>
        <v>0</v>
      </c>
      <c r="AK65" s="136">
        <f t="shared" si="5"/>
        <v>0</v>
      </c>
      <c r="AL65" s="136">
        <f t="shared" si="5"/>
        <v>3601885</v>
      </c>
      <c r="AM65" s="136">
        <f t="shared" si="5"/>
        <v>0</v>
      </c>
      <c r="AN65" s="136">
        <f t="shared" si="5"/>
        <v>0</v>
      </c>
      <c r="AO65" s="136">
        <f t="shared" si="5"/>
        <v>0</v>
      </c>
      <c r="AP65" s="136">
        <f t="shared" si="5"/>
        <v>0</v>
      </c>
      <c r="AQ65" s="136">
        <f t="shared" si="5"/>
        <v>810649</v>
      </c>
      <c r="AR65" s="136">
        <f t="shared" si="5"/>
        <v>0</v>
      </c>
      <c r="AS65" s="136">
        <f t="shared" si="5"/>
        <v>0</v>
      </c>
      <c r="AT65" s="136">
        <f t="shared" si="5"/>
        <v>0</v>
      </c>
      <c r="AU65" s="136">
        <f t="shared" si="5"/>
        <v>0</v>
      </c>
      <c r="AV65" s="136">
        <f t="shared" si="5"/>
        <v>-5149684</v>
      </c>
      <c r="AW65" s="136">
        <f t="shared" si="5"/>
        <v>0</v>
      </c>
      <c r="AX65" s="136">
        <f t="shared" si="5"/>
        <v>0</v>
      </c>
      <c r="AY65" s="136">
        <f t="shared" si="5"/>
        <v>0</v>
      </c>
      <c r="AZ65" s="136">
        <f t="shared" si="5"/>
        <v>0</v>
      </c>
      <c r="BA65" s="136">
        <f t="shared" si="5"/>
        <v>4280344</v>
      </c>
      <c r="BB65" s="136">
        <f t="shared" si="5"/>
        <v>0</v>
      </c>
      <c r="BC65" s="136">
        <f t="shared" si="5"/>
        <v>0</v>
      </c>
      <c r="BD65" s="136">
        <f t="shared" si="5"/>
        <v>0</v>
      </c>
      <c r="BE65" s="136">
        <f t="shared" si="5"/>
        <v>0</v>
      </c>
      <c r="BF65" s="136">
        <f t="shared" si="5"/>
        <v>-2355848</v>
      </c>
      <c r="BG65" s="136">
        <f t="shared" si="5"/>
        <v>0</v>
      </c>
      <c r="BH65" s="136">
        <f t="shared" si="5"/>
        <v>0</v>
      </c>
      <c r="BI65" s="136">
        <f t="shared" si="5"/>
        <v>0</v>
      </c>
      <c r="BJ65" s="136">
        <f t="shared" si="5"/>
        <v>0</v>
      </c>
      <c r="BK65" s="136">
        <f t="shared" si="5"/>
        <v>-8032775</v>
      </c>
      <c r="BL65" s="136">
        <f t="shared" si="5"/>
        <v>0</v>
      </c>
      <c r="BM65" s="136">
        <f t="shared" si="5"/>
        <v>0</v>
      </c>
      <c r="BN65" s="136">
        <f t="shared" si="5"/>
        <v>0</v>
      </c>
      <c r="BO65" s="136">
        <f t="shared" si="5"/>
        <v>0</v>
      </c>
      <c r="BP65" s="136">
        <f t="shared" si="5"/>
        <v>-1796444</v>
      </c>
      <c r="BQ65" s="136">
        <f t="shared" si="5"/>
        <v>0</v>
      </c>
      <c r="BR65" s="136">
        <f t="shared" si="5"/>
        <v>0</v>
      </c>
      <c r="BS65" s="136">
        <f t="shared" si="5"/>
        <v>0</v>
      </c>
      <c r="BT65" s="136">
        <f t="shared" si="5"/>
        <v>0</v>
      </c>
      <c r="BU65" s="136">
        <f t="shared" si="5"/>
        <v>3408488</v>
      </c>
    </row>
    <row r="66" spans="13:73" hidden="1" x14ac:dyDescent="0.3">
      <c r="M66" s="136">
        <f t="shared" si="6"/>
        <v>496989</v>
      </c>
      <c r="N66" s="136">
        <f t="shared" si="6"/>
        <v>0</v>
      </c>
      <c r="O66" s="136">
        <f t="shared" si="6"/>
        <v>0</v>
      </c>
      <c r="P66" s="136">
        <f t="shared" si="6"/>
        <v>0</v>
      </c>
      <c r="Q66" s="136">
        <f t="shared" si="6"/>
        <v>0</v>
      </c>
      <c r="R66" s="136">
        <f t="shared" si="6"/>
        <v>200900</v>
      </c>
      <c r="S66" s="136">
        <f t="shared" si="6"/>
        <v>0</v>
      </c>
      <c r="T66" s="136">
        <f t="shared" si="6"/>
        <v>0</v>
      </c>
      <c r="U66" s="136">
        <f t="shared" si="6"/>
        <v>0</v>
      </c>
      <c r="V66" s="136">
        <f t="shared" si="6"/>
        <v>0</v>
      </c>
      <c r="W66" s="136">
        <f t="shared" si="6"/>
        <v>-237904</v>
      </c>
      <c r="X66" s="136">
        <f t="shared" si="5"/>
        <v>0</v>
      </c>
      <c r="Y66" s="136">
        <f t="shared" si="5"/>
        <v>0</v>
      </c>
      <c r="Z66" s="136">
        <f t="shared" si="5"/>
        <v>0</v>
      </c>
      <c r="AA66" s="136">
        <f t="shared" si="5"/>
        <v>0</v>
      </c>
      <c r="AB66" s="136">
        <f t="shared" si="5"/>
        <v>-10033</v>
      </c>
      <c r="AC66" s="136">
        <f t="shared" ref="AC66:BU66" si="7">AC30-CU30</f>
        <v>0</v>
      </c>
      <c r="AD66" s="136">
        <f t="shared" si="7"/>
        <v>0</v>
      </c>
      <c r="AE66" s="136">
        <f t="shared" si="7"/>
        <v>0</v>
      </c>
      <c r="AF66" s="136">
        <f t="shared" si="7"/>
        <v>0</v>
      </c>
      <c r="AG66" s="136">
        <f t="shared" si="7"/>
        <v>1771190</v>
      </c>
      <c r="AH66" s="136">
        <f t="shared" si="7"/>
        <v>0</v>
      </c>
      <c r="AI66" s="136">
        <f t="shared" si="7"/>
        <v>0</v>
      </c>
      <c r="AJ66" s="136">
        <f t="shared" si="7"/>
        <v>0</v>
      </c>
      <c r="AK66" s="136">
        <f t="shared" si="7"/>
        <v>0</v>
      </c>
      <c r="AL66" s="136">
        <f t="shared" si="7"/>
        <v>3601885</v>
      </c>
      <c r="AM66" s="136">
        <f t="shared" si="7"/>
        <v>0</v>
      </c>
      <c r="AN66" s="136">
        <f t="shared" si="7"/>
        <v>0</v>
      </c>
      <c r="AO66" s="136">
        <f t="shared" si="7"/>
        <v>0</v>
      </c>
      <c r="AP66" s="136">
        <f t="shared" si="7"/>
        <v>0</v>
      </c>
      <c r="AQ66" s="136">
        <f t="shared" si="7"/>
        <v>810649</v>
      </c>
      <c r="AR66" s="136">
        <f t="shared" si="7"/>
        <v>0</v>
      </c>
      <c r="AS66" s="136">
        <f t="shared" si="7"/>
        <v>0</v>
      </c>
      <c r="AT66" s="136">
        <f t="shared" si="7"/>
        <v>0</v>
      </c>
      <c r="AU66" s="136">
        <f t="shared" si="7"/>
        <v>0</v>
      </c>
      <c r="AV66" s="136">
        <f t="shared" si="7"/>
        <v>-5149684</v>
      </c>
      <c r="AW66" s="136">
        <f t="shared" si="7"/>
        <v>0</v>
      </c>
      <c r="AX66" s="136">
        <f t="shared" si="7"/>
        <v>0</v>
      </c>
      <c r="AY66" s="136">
        <f t="shared" si="7"/>
        <v>0</v>
      </c>
      <c r="AZ66" s="136">
        <f t="shared" si="7"/>
        <v>0</v>
      </c>
      <c r="BA66" s="136">
        <f t="shared" si="7"/>
        <v>4280344</v>
      </c>
      <c r="BB66" s="136">
        <f t="shared" si="7"/>
        <v>0</v>
      </c>
      <c r="BC66" s="136">
        <f t="shared" si="7"/>
        <v>0</v>
      </c>
      <c r="BD66" s="136">
        <f t="shared" si="7"/>
        <v>0</v>
      </c>
      <c r="BE66" s="136">
        <f t="shared" si="7"/>
        <v>0</v>
      </c>
      <c r="BF66" s="136">
        <f t="shared" si="7"/>
        <v>-2355848</v>
      </c>
      <c r="BG66" s="136">
        <f t="shared" si="7"/>
        <v>0</v>
      </c>
      <c r="BH66" s="136">
        <f t="shared" si="7"/>
        <v>0</v>
      </c>
      <c r="BI66" s="136">
        <f t="shared" si="7"/>
        <v>0</v>
      </c>
      <c r="BJ66" s="136">
        <f t="shared" si="7"/>
        <v>0</v>
      </c>
      <c r="BK66" s="136">
        <f t="shared" si="7"/>
        <v>-8032775</v>
      </c>
      <c r="BL66" s="136">
        <f t="shared" si="7"/>
        <v>0</v>
      </c>
      <c r="BM66" s="136">
        <f t="shared" si="7"/>
        <v>0</v>
      </c>
      <c r="BN66" s="136">
        <f t="shared" si="7"/>
        <v>0</v>
      </c>
      <c r="BO66" s="136">
        <f t="shared" si="7"/>
        <v>0</v>
      </c>
      <c r="BP66" s="136">
        <f t="shared" si="7"/>
        <v>-1796444</v>
      </c>
      <c r="BQ66" s="136">
        <f t="shared" si="7"/>
        <v>0</v>
      </c>
      <c r="BR66" s="136">
        <f t="shared" si="7"/>
        <v>0</v>
      </c>
      <c r="BS66" s="136">
        <f t="shared" si="7"/>
        <v>0</v>
      </c>
      <c r="BT66" s="136">
        <f t="shared" si="7"/>
        <v>0</v>
      </c>
      <c r="BU66" s="136">
        <f t="shared" si="7"/>
        <v>3408488</v>
      </c>
    </row>
    <row r="67" spans="13:73" hidden="1" x14ac:dyDescent="0.3">
      <c r="M67" s="136" t="e">
        <f>#REF!-#REF!</f>
        <v>#REF!</v>
      </c>
      <c r="N67" s="136" t="e">
        <f>#REF!-#REF!</f>
        <v>#REF!</v>
      </c>
      <c r="O67" s="136" t="e">
        <f>#REF!-#REF!</f>
        <v>#REF!</v>
      </c>
      <c r="P67" s="136" t="e">
        <f>#REF!-#REF!</f>
        <v>#REF!</v>
      </c>
      <c r="Q67" s="136" t="e">
        <f>#REF!-#REF!</f>
        <v>#REF!</v>
      </c>
      <c r="R67" s="136" t="e">
        <f>#REF!-#REF!</f>
        <v>#REF!</v>
      </c>
      <c r="S67" s="136" t="e">
        <f>#REF!-#REF!</f>
        <v>#REF!</v>
      </c>
      <c r="T67" s="136" t="e">
        <f>#REF!-#REF!</f>
        <v>#REF!</v>
      </c>
      <c r="U67" s="136" t="e">
        <f>#REF!-#REF!</f>
        <v>#REF!</v>
      </c>
      <c r="V67" s="136" t="e">
        <f>#REF!-#REF!</f>
        <v>#REF!</v>
      </c>
      <c r="W67" s="136" t="e">
        <f>#REF!-#REF!</f>
        <v>#REF!</v>
      </c>
      <c r="X67" s="136" t="e">
        <f>#REF!-#REF!</f>
        <v>#REF!</v>
      </c>
      <c r="Y67" s="136" t="e">
        <f>#REF!-#REF!</f>
        <v>#REF!</v>
      </c>
      <c r="Z67" s="136" t="e">
        <f>#REF!-#REF!</f>
        <v>#REF!</v>
      </c>
      <c r="AA67" s="136" t="e">
        <f>#REF!-#REF!</f>
        <v>#REF!</v>
      </c>
      <c r="AB67" s="136" t="e">
        <f>#REF!-#REF!</f>
        <v>#REF!</v>
      </c>
      <c r="AC67" s="136" t="e">
        <f>#REF!-#REF!</f>
        <v>#REF!</v>
      </c>
      <c r="AD67" s="136" t="e">
        <f>#REF!-#REF!</f>
        <v>#REF!</v>
      </c>
      <c r="AE67" s="136" t="e">
        <f>#REF!-#REF!</f>
        <v>#REF!</v>
      </c>
      <c r="AF67" s="136" t="e">
        <f>#REF!-#REF!</f>
        <v>#REF!</v>
      </c>
      <c r="AG67" s="136" t="e">
        <f>#REF!-#REF!</f>
        <v>#REF!</v>
      </c>
      <c r="AH67" s="136" t="e">
        <f>#REF!-#REF!</f>
        <v>#REF!</v>
      </c>
      <c r="AI67" s="136" t="e">
        <f>#REF!-#REF!</f>
        <v>#REF!</v>
      </c>
      <c r="AJ67" s="136" t="e">
        <f>#REF!-#REF!</f>
        <v>#REF!</v>
      </c>
      <c r="AK67" s="136" t="e">
        <f>#REF!-#REF!</f>
        <v>#REF!</v>
      </c>
      <c r="AL67" s="136" t="e">
        <f>#REF!-#REF!</f>
        <v>#REF!</v>
      </c>
      <c r="AM67" s="136" t="e">
        <f>#REF!-#REF!</f>
        <v>#REF!</v>
      </c>
      <c r="AN67" s="136" t="e">
        <f>#REF!-#REF!</f>
        <v>#REF!</v>
      </c>
      <c r="AO67" s="136" t="e">
        <f>#REF!-#REF!</f>
        <v>#REF!</v>
      </c>
      <c r="AP67" s="136" t="e">
        <f>#REF!-#REF!</f>
        <v>#REF!</v>
      </c>
      <c r="AQ67" s="136" t="e">
        <f>#REF!-#REF!</f>
        <v>#REF!</v>
      </c>
      <c r="AR67" s="136" t="e">
        <f>#REF!-#REF!</f>
        <v>#REF!</v>
      </c>
      <c r="AS67" s="136" t="e">
        <f>#REF!-#REF!</f>
        <v>#REF!</v>
      </c>
      <c r="AT67" s="136" t="e">
        <f>#REF!-#REF!</f>
        <v>#REF!</v>
      </c>
      <c r="AU67" s="136" t="e">
        <f>#REF!-#REF!</f>
        <v>#REF!</v>
      </c>
      <c r="AV67" s="136" t="e">
        <f>#REF!-#REF!</f>
        <v>#REF!</v>
      </c>
      <c r="AW67" s="136" t="e">
        <f>#REF!-#REF!</f>
        <v>#REF!</v>
      </c>
      <c r="AX67" s="136" t="e">
        <f>#REF!-#REF!</f>
        <v>#REF!</v>
      </c>
      <c r="AY67" s="136" t="e">
        <f>#REF!-#REF!</f>
        <v>#REF!</v>
      </c>
      <c r="AZ67" s="136" t="e">
        <f>#REF!-#REF!</f>
        <v>#REF!</v>
      </c>
      <c r="BA67" s="136" t="e">
        <f>#REF!-#REF!</f>
        <v>#REF!</v>
      </c>
      <c r="BB67" s="136" t="e">
        <f>#REF!-#REF!</f>
        <v>#REF!</v>
      </c>
      <c r="BC67" s="136" t="e">
        <f>#REF!-#REF!</f>
        <v>#REF!</v>
      </c>
      <c r="BD67" s="136" t="e">
        <f>#REF!-#REF!</f>
        <v>#REF!</v>
      </c>
      <c r="BE67" s="136" t="e">
        <f>#REF!-#REF!</f>
        <v>#REF!</v>
      </c>
      <c r="BF67" s="136" t="e">
        <f>#REF!-#REF!</f>
        <v>#REF!</v>
      </c>
      <c r="BG67" s="136" t="e">
        <f>#REF!-#REF!</f>
        <v>#REF!</v>
      </c>
      <c r="BH67" s="136" t="e">
        <f>#REF!-#REF!</f>
        <v>#REF!</v>
      </c>
      <c r="BI67" s="136" t="e">
        <f>#REF!-#REF!</f>
        <v>#REF!</v>
      </c>
      <c r="BJ67" s="136" t="e">
        <f>#REF!-#REF!</f>
        <v>#REF!</v>
      </c>
      <c r="BK67" s="136" t="e">
        <f>#REF!-#REF!</f>
        <v>#REF!</v>
      </c>
      <c r="BL67" s="136" t="e">
        <f>#REF!-#REF!</f>
        <v>#REF!</v>
      </c>
      <c r="BM67" s="136" t="e">
        <f>#REF!-#REF!</f>
        <v>#REF!</v>
      </c>
      <c r="BN67" s="136" t="e">
        <f>#REF!-#REF!</f>
        <v>#REF!</v>
      </c>
      <c r="BO67" s="136" t="e">
        <f>#REF!-#REF!</f>
        <v>#REF!</v>
      </c>
      <c r="BP67" s="136" t="e">
        <f>#REF!-#REF!</f>
        <v>#REF!</v>
      </c>
      <c r="BQ67" s="136" t="e">
        <f>#REF!-#REF!</f>
        <v>#REF!</v>
      </c>
      <c r="BR67" s="136" t="e">
        <f>#REF!-#REF!</f>
        <v>#REF!</v>
      </c>
      <c r="BS67" s="136" t="e">
        <f>#REF!-#REF!</f>
        <v>#REF!</v>
      </c>
      <c r="BT67" s="136" t="e">
        <f>#REF!-#REF!</f>
        <v>#REF!</v>
      </c>
      <c r="BU67" s="136" t="e">
        <f>#REF!-#REF!</f>
        <v>#REF!</v>
      </c>
    </row>
    <row r="68" spans="13:73" hidden="1" x14ac:dyDescent="0.3">
      <c r="M68" s="136">
        <f t="shared" ref="M68:BU68" si="8">M31-CE31</f>
        <v>0</v>
      </c>
      <c r="N68" s="136">
        <f t="shared" si="8"/>
        <v>0</v>
      </c>
      <c r="O68" s="136">
        <f t="shared" si="8"/>
        <v>0</v>
      </c>
      <c r="P68" s="136">
        <f t="shared" si="8"/>
        <v>0</v>
      </c>
      <c r="Q68" s="136">
        <f t="shared" si="8"/>
        <v>0</v>
      </c>
      <c r="R68" s="136">
        <f t="shared" si="8"/>
        <v>0</v>
      </c>
      <c r="S68" s="136">
        <f t="shared" si="8"/>
        <v>0</v>
      </c>
      <c r="T68" s="136">
        <f t="shared" si="8"/>
        <v>0</v>
      </c>
      <c r="U68" s="136">
        <f t="shared" si="8"/>
        <v>0</v>
      </c>
      <c r="V68" s="136">
        <f t="shared" si="8"/>
        <v>0</v>
      </c>
      <c r="W68" s="136">
        <f t="shared" si="8"/>
        <v>0</v>
      </c>
      <c r="X68" s="136">
        <f t="shared" si="8"/>
        <v>0</v>
      </c>
      <c r="Y68" s="136">
        <f t="shared" si="8"/>
        <v>0</v>
      </c>
      <c r="Z68" s="136">
        <f t="shared" si="8"/>
        <v>0</v>
      </c>
      <c r="AA68" s="136">
        <f t="shared" si="8"/>
        <v>0</v>
      </c>
      <c r="AB68" s="136">
        <f t="shared" si="8"/>
        <v>0</v>
      </c>
      <c r="AC68" s="136">
        <f t="shared" si="8"/>
        <v>0</v>
      </c>
      <c r="AD68" s="136">
        <f t="shared" si="8"/>
        <v>0</v>
      </c>
      <c r="AE68" s="136">
        <f t="shared" si="8"/>
        <v>0</v>
      </c>
      <c r="AF68" s="136">
        <f t="shared" si="8"/>
        <v>0</v>
      </c>
      <c r="AG68" s="136">
        <f t="shared" si="8"/>
        <v>0</v>
      </c>
      <c r="AH68" s="136">
        <f t="shared" si="8"/>
        <v>0</v>
      </c>
      <c r="AI68" s="136">
        <f t="shared" si="8"/>
        <v>0</v>
      </c>
      <c r="AJ68" s="136">
        <f t="shared" si="8"/>
        <v>0</v>
      </c>
      <c r="AK68" s="136">
        <f t="shared" si="8"/>
        <v>0</v>
      </c>
      <c r="AL68" s="136">
        <f t="shared" si="8"/>
        <v>0</v>
      </c>
      <c r="AM68" s="136">
        <f t="shared" si="8"/>
        <v>0</v>
      </c>
      <c r="AN68" s="136">
        <f t="shared" si="8"/>
        <v>0</v>
      </c>
      <c r="AO68" s="136">
        <f t="shared" si="8"/>
        <v>0</v>
      </c>
      <c r="AP68" s="136">
        <f t="shared" si="8"/>
        <v>0</v>
      </c>
      <c r="AQ68" s="136">
        <f t="shared" si="8"/>
        <v>0</v>
      </c>
      <c r="AR68" s="136">
        <f t="shared" si="8"/>
        <v>0</v>
      </c>
      <c r="AS68" s="136">
        <f t="shared" si="8"/>
        <v>0</v>
      </c>
      <c r="AT68" s="136">
        <f t="shared" si="8"/>
        <v>0</v>
      </c>
      <c r="AU68" s="136">
        <f t="shared" si="8"/>
        <v>0</v>
      </c>
      <c r="AV68" s="136">
        <f t="shared" si="8"/>
        <v>0</v>
      </c>
      <c r="AW68" s="136">
        <f t="shared" si="8"/>
        <v>0</v>
      </c>
      <c r="AX68" s="136">
        <f t="shared" si="8"/>
        <v>0</v>
      </c>
      <c r="AY68" s="136">
        <f t="shared" si="8"/>
        <v>0</v>
      </c>
      <c r="AZ68" s="136">
        <f t="shared" si="8"/>
        <v>0</v>
      </c>
      <c r="BA68" s="136">
        <f t="shared" si="8"/>
        <v>0</v>
      </c>
      <c r="BB68" s="136">
        <f t="shared" si="8"/>
        <v>0</v>
      </c>
      <c r="BC68" s="136">
        <f t="shared" si="8"/>
        <v>0</v>
      </c>
      <c r="BD68" s="136">
        <f t="shared" si="8"/>
        <v>0</v>
      </c>
      <c r="BE68" s="136">
        <f t="shared" si="8"/>
        <v>0</v>
      </c>
      <c r="BF68" s="136">
        <f t="shared" si="8"/>
        <v>0</v>
      </c>
      <c r="BG68" s="136">
        <f t="shared" si="8"/>
        <v>0</v>
      </c>
      <c r="BH68" s="136">
        <f t="shared" si="8"/>
        <v>0</v>
      </c>
      <c r="BI68" s="136">
        <f t="shared" si="8"/>
        <v>0</v>
      </c>
      <c r="BJ68" s="136">
        <f t="shared" si="8"/>
        <v>0</v>
      </c>
      <c r="BK68" s="136">
        <f t="shared" si="8"/>
        <v>0</v>
      </c>
      <c r="BL68" s="136">
        <f t="shared" si="8"/>
        <v>0</v>
      </c>
      <c r="BM68" s="136">
        <f t="shared" si="8"/>
        <v>0</v>
      </c>
      <c r="BN68" s="136">
        <f t="shared" si="8"/>
        <v>0</v>
      </c>
      <c r="BO68" s="136">
        <f t="shared" si="8"/>
        <v>0</v>
      </c>
      <c r="BP68" s="136">
        <f t="shared" si="8"/>
        <v>0</v>
      </c>
      <c r="BQ68" s="136">
        <f t="shared" si="8"/>
        <v>0</v>
      </c>
      <c r="BR68" s="136">
        <f t="shared" si="8"/>
        <v>0</v>
      </c>
      <c r="BS68" s="136">
        <f t="shared" si="8"/>
        <v>0</v>
      </c>
      <c r="BT68" s="136">
        <f t="shared" si="8"/>
        <v>0</v>
      </c>
      <c r="BU68" s="136">
        <f t="shared" si="8"/>
        <v>0</v>
      </c>
    </row>
    <row r="69" spans="13:73" hidden="1" x14ac:dyDescent="0.3">
      <c r="M69" s="136" t="e">
        <f>#REF!-#REF!</f>
        <v>#REF!</v>
      </c>
      <c r="N69" s="136" t="e">
        <f>#REF!-#REF!</f>
        <v>#REF!</v>
      </c>
      <c r="O69" s="136" t="e">
        <f>#REF!-#REF!</f>
        <v>#REF!</v>
      </c>
      <c r="P69" s="136" t="e">
        <f>#REF!-#REF!</f>
        <v>#REF!</v>
      </c>
      <c r="Q69" s="136" t="e">
        <f>#REF!-#REF!</f>
        <v>#REF!</v>
      </c>
      <c r="R69" s="136" t="e">
        <f>#REF!-#REF!</f>
        <v>#REF!</v>
      </c>
      <c r="S69" s="136" t="e">
        <f>#REF!-#REF!</f>
        <v>#REF!</v>
      </c>
      <c r="T69" s="136" t="e">
        <f>#REF!-#REF!</f>
        <v>#REF!</v>
      </c>
      <c r="U69" s="136" t="e">
        <f>#REF!-#REF!</f>
        <v>#REF!</v>
      </c>
      <c r="V69" s="136" t="e">
        <f>#REF!-#REF!</f>
        <v>#REF!</v>
      </c>
      <c r="W69" s="136" t="e">
        <f>#REF!-#REF!</f>
        <v>#REF!</v>
      </c>
      <c r="X69" s="136" t="e">
        <f>#REF!-#REF!</f>
        <v>#REF!</v>
      </c>
      <c r="Y69" s="136" t="e">
        <f>#REF!-#REF!</f>
        <v>#REF!</v>
      </c>
      <c r="Z69" s="136" t="e">
        <f>#REF!-#REF!</f>
        <v>#REF!</v>
      </c>
      <c r="AA69" s="136" t="e">
        <f>#REF!-#REF!</f>
        <v>#REF!</v>
      </c>
      <c r="AB69" s="136" t="e">
        <f>#REF!-#REF!</f>
        <v>#REF!</v>
      </c>
      <c r="AC69" s="136" t="e">
        <f>#REF!-#REF!</f>
        <v>#REF!</v>
      </c>
      <c r="AD69" s="136" t="e">
        <f>#REF!-#REF!</f>
        <v>#REF!</v>
      </c>
      <c r="AE69" s="136" t="e">
        <f>#REF!-#REF!</f>
        <v>#REF!</v>
      </c>
      <c r="AF69" s="136" t="e">
        <f>#REF!-#REF!</f>
        <v>#REF!</v>
      </c>
      <c r="AG69" s="136" t="e">
        <f>#REF!-#REF!</f>
        <v>#REF!</v>
      </c>
      <c r="AH69" s="136" t="e">
        <f>#REF!-#REF!</f>
        <v>#REF!</v>
      </c>
      <c r="AI69" s="136" t="e">
        <f>#REF!-#REF!</f>
        <v>#REF!</v>
      </c>
      <c r="AJ69" s="136" t="e">
        <f>#REF!-#REF!</f>
        <v>#REF!</v>
      </c>
      <c r="AK69" s="136" t="e">
        <f>#REF!-#REF!</f>
        <v>#REF!</v>
      </c>
      <c r="AL69" s="136" t="e">
        <f>#REF!-#REF!</f>
        <v>#REF!</v>
      </c>
      <c r="AM69" s="136" t="e">
        <f>#REF!-#REF!</f>
        <v>#REF!</v>
      </c>
      <c r="AN69" s="136" t="e">
        <f>#REF!-#REF!</f>
        <v>#REF!</v>
      </c>
      <c r="AO69" s="136" t="e">
        <f>#REF!-#REF!</f>
        <v>#REF!</v>
      </c>
      <c r="AP69" s="136" t="e">
        <f>#REF!-#REF!</f>
        <v>#REF!</v>
      </c>
      <c r="AQ69" s="136" t="e">
        <f>#REF!-#REF!</f>
        <v>#REF!</v>
      </c>
      <c r="AR69" s="136" t="e">
        <f>#REF!-#REF!</f>
        <v>#REF!</v>
      </c>
      <c r="AS69" s="136" t="e">
        <f>#REF!-#REF!</f>
        <v>#REF!</v>
      </c>
      <c r="AT69" s="136" t="e">
        <f>#REF!-#REF!</f>
        <v>#REF!</v>
      </c>
      <c r="AU69" s="136" t="e">
        <f>#REF!-#REF!</f>
        <v>#REF!</v>
      </c>
      <c r="AV69" s="136" t="e">
        <f>#REF!-#REF!</f>
        <v>#REF!</v>
      </c>
      <c r="AW69" s="136" t="e">
        <f>#REF!-#REF!</f>
        <v>#REF!</v>
      </c>
      <c r="AX69" s="136" t="e">
        <f>#REF!-#REF!</f>
        <v>#REF!</v>
      </c>
      <c r="AY69" s="136" t="e">
        <f>#REF!-#REF!</f>
        <v>#REF!</v>
      </c>
      <c r="AZ69" s="136" t="e">
        <f>#REF!-#REF!</f>
        <v>#REF!</v>
      </c>
      <c r="BA69" s="136" t="e">
        <f>#REF!-#REF!</f>
        <v>#REF!</v>
      </c>
      <c r="BB69" s="136" t="e">
        <f>#REF!-#REF!</f>
        <v>#REF!</v>
      </c>
      <c r="BC69" s="136" t="e">
        <f>#REF!-#REF!</f>
        <v>#REF!</v>
      </c>
      <c r="BD69" s="136" t="e">
        <f>#REF!-#REF!</f>
        <v>#REF!</v>
      </c>
      <c r="BE69" s="136" t="e">
        <f>#REF!-#REF!</f>
        <v>#REF!</v>
      </c>
      <c r="BF69" s="136" t="e">
        <f>#REF!-#REF!</f>
        <v>#REF!</v>
      </c>
      <c r="BG69" s="136" t="e">
        <f>#REF!-#REF!</f>
        <v>#REF!</v>
      </c>
      <c r="BH69" s="136" t="e">
        <f>#REF!-#REF!</f>
        <v>#REF!</v>
      </c>
      <c r="BI69" s="136" t="e">
        <f>#REF!-#REF!</f>
        <v>#REF!</v>
      </c>
      <c r="BJ69" s="136" t="e">
        <f>#REF!-#REF!</f>
        <v>#REF!</v>
      </c>
      <c r="BK69" s="136" t="e">
        <f>#REF!-#REF!</f>
        <v>#REF!</v>
      </c>
      <c r="BL69" s="136" t="e">
        <f>#REF!-#REF!</f>
        <v>#REF!</v>
      </c>
      <c r="BM69" s="136" t="e">
        <f>#REF!-#REF!</f>
        <v>#REF!</v>
      </c>
      <c r="BN69" s="136" t="e">
        <f>#REF!-#REF!</f>
        <v>#REF!</v>
      </c>
      <c r="BO69" s="136" t="e">
        <f>#REF!-#REF!</f>
        <v>#REF!</v>
      </c>
      <c r="BP69" s="136" t="e">
        <f>#REF!-#REF!</f>
        <v>#REF!</v>
      </c>
      <c r="BQ69" s="136" t="e">
        <f>#REF!-#REF!</f>
        <v>#REF!</v>
      </c>
      <c r="BR69" s="136" t="e">
        <f>#REF!-#REF!</f>
        <v>#REF!</v>
      </c>
      <c r="BS69" s="136" t="e">
        <f>#REF!-#REF!</f>
        <v>#REF!</v>
      </c>
      <c r="BT69" s="136" t="e">
        <f>#REF!-#REF!</f>
        <v>#REF!</v>
      </c>
      <c r="BU69" s="136" t="e">
        <f>#REF!-#REF!</f>
        <v>#REF!</v>
      </c>
    </row>
    <row r="70" spans="13:73" hidden="1" x14ac:dyDescent="0.3">
      <c r="M70" s="136">
        <f t="shared" ref="M70:BT71" si="9">M32-CE32</f>
        <v>0</v>
      </c>
      <c r="N70" s="136">
        <f t="shared" si="9"/>
        <v>0</v>
      </c>
      <c r="O70" s="136">
        <f t="shared" si="9"/>
        <v>0</v>
      </c>
      <c r="P70" s="136">
        <f t="shared" si="9"/>
        <v>0</v>
      </c>
      <c r="Q70" s="136">
        <f t="shared" si="9"/>
        <v>0</v>
      </c>
      <c r="R70" s="136">
        <f t="shared" si="9"/>
        <v>0</v>
      </c>
      <c r="S70" s="136">
        <f t="shared" si="9"/>
        <v>0</v>
      </c>
      <c r="T70" s="136">
        <f t="shared" si="9"/>
        <v>0</v>
      </c>
      <c r="U70" s="136">
        <f t="shared" si="9"/>
        <v>0</v>
      </c>
      <c r="V70" s="136">
        <f t="shared" si="9"/>
        <v>0</v>
      </c>
      <c r="W70" s="136">
        <f t="shared" si="9"/>
        <v>5828</v>
      </c>
      <c r="X70" s="136">
        <f t="shared" si="9"/>
        <v>0</v>
      </c>
      <c r="Y70" s="136">
        <f t="shared" si="9"/>
        <v>0</v>
      </c>
      <c r="Z70" s="136">
        <f t="shared" si="9"/>
        <v>0</v>
      </c>
      <c r="AA70" s="136">
        <f t="shared" si="9"/>
        <v>0</v>
      </c>
      <c r="AB70" s="136">
        <f t="shared" si="9"/>
        <v>28311</v>
      </c>
      <c r="AC70" s="136">
        <f t="shared" si="9"/>
        <v>0</v>
      </c>
      <c r="AD70" s="136">
        <f t="shared" si="9"/>
        <v>0</v>
      </c>
      <c r="AE70" s="136">
        <f t="shared" si="9"/>
        <v>0</v>
      </c>
      <c r="AF70" s="136">
        <f t="shared" si="9"/>
        <v>0</v>
      </c>
      <c r="AG70" s="136">
        <f t="shared" si="9"/>
        <v>-30170</v>
      </c>
      <c r="AH70" s="136">
        <f t="shared" si="9"/>
        <v>0</v>
      </c>
      <c r="AI70" s="136">
        <f t="shared" si="9"/>
        <v>0</v>
      </c>
      <c r="AJ70" s="136">
        <f t="shared" si="9"/>
        <v>0</v>
      </c>
      <c r="AK70" s="136">
        <f t="shared" si="9"/>
        <v>0</v>
      </c>
      <c r="AL70" s="136">
        <f t="shared" si="9"/>
        <v>470531</v>
      </c>
      <c r="AM70" s="136">
        <f t="shared" si="9"/>
        <v>0</v>
      </c>
      <c r="AN70" s="136">
        <f t="shared" si="9"/>
        <v>0</v>
      </c>
      <c r="AO70" s="136">
        <f t="shared" si="9"/>
        <v>0</v>
      </c>
      <c r="AP70" s="136">
        <f t="shared" si="9"/>
        <v>0</v>
      </c>
      <c r="AQ70" s="136">
        <f t="shared" si="9"/>
        <v>-962616</v>
      </c>
      <c r="AR70" s="136">
        <f t="shared" si="9"/>
        <v>0</v>
      </c>
      <c r="AS70" s="136">
        <f t="shared" si="9"/>
        <v>0</v>
      </c>
      <c r="AT70" s="136">
        <f t="shared" si="9"/>
        <v>0</v>
      </c>
      <c r="AU70" s="136">
        <f t="shared" si="9"/>
        <v>0</v>
      </c>
      <c r="AV70" s="136">
        <f t="shared" si="9"/>
        <v>266903</v>
      </c>
      <c r="AW70" s="136">
        <f t="shared" si="9"/>
        <v>0</v>
      </c>
      <c r="AX70" s="136">
        <f t="shared" si="9"/>
        <v>0</v>
      </c>
      <c r="AY70" s="136">
        <f t="shared" si="9"/>
        <v>0</v>
      </c>
      <c r="AZ70" s="136">
        <f t="shared" si="9"/>
        <v>0</v>
      </c>
      <c r="BA70" s="136">
        <f t="shared" si="9"/>
        <v>0</v>
      </c>
      <c r="BB70" s="136">
        <f t="shared" si="9"/>
        <v>0</v>
      </c>
      <c r="BC70" s="136">
        <f t="shared" si="9"/>
        <v>0</v>
      </c>
      <c r="BD70" s="136">
        <f t="shared" si="9"/>
        <v>0</v>
      </c>
      <c r="BE70" s="136">
        <f t="shared" si="9"/>
        <v>0</v>
      </c>
      <c r="BF70" s="136">
        <f t="shared" si="9"/>
        <v>0</v>
      </c>
      <c r="BG70" s="136">
        <f t="shared" si="9"/>
        <v>0</v>
      </c>
      <c r="BH70" s="136">
        <f t="shared" si="9"/>
        <v>0</v>
      </c>
      <c r="BI70" s="136">
        <f t="shared" si="9"/>
        <v>0</v>
      </c>
      <c r="BJ70" s="136">
        <f t="shared" si="9"/>
        <v>0</v>
      </c>
      <c r="BK70" s="136">
        <f t="shared" si="9"/>
        <v>14320</v>
      </c>
      <c r="BL70" s="136">
        <f t="shared" si="9"/>
        <v>0</v>
      </c>
      <c r="BM70" s="136">
        <f t="shared" si="9"/>
        <v>0</v>
      </c>
      <c r="BN70" s="136">
        <f t="shared" si="9"/>
        <v>0</v>
      </c>
      <c r="BO70" s="136">
        <f t="shared" si="9"/>
        <v>0</v>
      </c>
      <c r="BP70" s="136">
        <f t="shared" si="9"/>
        <v>21718</v>
      </c>
      <c r="BQ70" s="136">
        <f t="shared" si="9"/>
        <v>0</v>
      </c>
      <c r="BR70" s="136">
        <f t="shared" si="9"/>
        <v>0</v>
      </c>
      <c r="BS70" s="136">
        <f t="shared" si="9"/>
        <v>0</v>
      </c>
      <c r="BT70" s="136">
        <f t="shared" si="9"/>
        <v>0</v>
      </c>
      <c r="BU70" s="136">
        <f>BU32-EM32</f>
        <v>-221213</v>
      </c>
    </row>
    <row r="71" spans="13:73" hidden="1" x14ac:dyDescent="0.3">
      <c r="M71" s="136">
        <f t="shared" si="9"/>
        <v>0</v>
      </c>
      <c r="N71" s="136">
        <f t="shared" si="9"/>
        <v>0</v>
      </c>
      <c r="O71" s="136">
        <f t="shared" si="9"/>
        <v>0</v>
      </c>
      <c r="P71" s="136">
        <f t="shared" si="9"/>
        <v>0</v>
      </c>
      <c r="Q71" s="136">
        <f t="shared" si="9"/>
        <v>0</v>
      </c>
      <c r="R71" s="136">
        <f t="shared" si="9"/>
        <v>0</v>
      </c>
      <c r="S71" s="136">
        <f t="shared" si="9"/>
        <v>0</v>
      </c>
      <c r="T71" s="136">
        <f t="shared" si="9"/>
        <v>0</v>
      </c>
      <c r="U71" s="136">
        <f t="shared" si="9"/>
        <v>0</v>
      </c>
      <c r="V71" s="136">
        <f t="shared" si="9"/>
        <v>0</v>
      </c>
      <c r="W71" s="136">
        <f t="shared" si="9"/>
        <v>5828</v>
      </c>
      <c r="X71" s="136">
        <f t="shared" si="9"/>
        <v>0</v>
      </c>
      <c r="Y71" s="136">
        <f t="shared" si="9"/>
        <v>0</v>
      </c>
      <c r="Z71" s="136">
        <f t="shared" si="9"/>
        <v>0</v>
      </c>
      <c r="AA71" s="136">
        <f t="shared" si="9"/>
        <v>0</v>
      </c>
      <c r="AB71" s="136">
        <f t="shared" si="9"/>
        <v>28311</v>
      </c>
      <c r="AC71" s="136">
        <f t="shared" si="9"/>
        <v>0</v>
      </c>
      <c r="AD71" s="136">
        <f t="shared" si="9"/>
        <v>0</v>
      </c>
      <c r="AE71" s="136">
        <f t="shared" si="9"/>
        <v>0</v>
      </c>
      <c r="AF71" s="136">
        <f t="shared" si="9"/>
        <v>0</v>
      </c>
      <c r="AG71" s="136">
        <f t="shared" si="9"/>
        <v>-30170</v>
      </c>
      <c r="AH71" s="136">
        <f t="shared" si="9"/>
        <v>0</v>
      </c>
      <c r="AI71" s="136">
        <f t="shared" si="9"/>
        <v>0</v>
      </c>
      <c r="AJ71" s="136">
        <f t="shared" si="9"/>
        <v>0</v>
      </c>
      <c r="AK71" s="136">
        <f t="shared" si="9"/>
        <v>0</v>
      </c>
      <c r="AL71" s="136">
        <f t="shared" si="9"/>
        <v>470531</v>
      </c>
      <c r="AM71" s="136">
        <f t="shared" si="9"/>
        <v>0</v>
      </c>
      <c r="AN71" s="136">
        <f t="shared" si="9"/>
        <v>0</v>
      </c>
      <c r="AO71" s="136">
        <f t="shared" si="9"/>
        <v>0</v>
      </c>
      <c r="AP71" s="136">
        <f t="shared" si="9"/>
        <v>0</v>
      </c>
      <c r="AQ71" s="136">
        <f t="shared" si="9"/>
        <v>-962616</v>
      </c>
      <c r="AR71" s="136">
        <f t="shared" si="9"/>
        <v>0</v>
      </c>
      <c r="AS71" s="136">
        <f t="shared" si="9"/>
        <v>0</v>
      </c>
      <c r="AT71" s="136">
        <f t="shared" si="9"/>
        <v>0</v>
      </c>
      <c r="AU71" s="136">
        <f t="shared" si="9"/>
        <v>0</v>
      </c>
      <c r="AV71" s="136">
        <f t="shared" si="9"/>
        <v>266903</v>
      </c>
      <c r="AW71" s="136">
        <f t="shared" si="9"/>
        <v>0</v>
      </c>
      <c r="AX71" s="136">
        <f t="shared" si="9"/>
        <v>0</v>
      </c>
      <c r="AY71" s="136">
        <f t="shared" si="9"/>
        <v>0</v>
      </c>
      <c r="AZ71" s="136">
        <f t="shared" si="9"/>
        <v>0</v>
      </c>
      <c r="BA71" s="136">
        <f t="shared" si="9"/>
        <v>0</v>
      </c>
      <c r="BB71" s="136">
        <f t="shared" si="9"/>
        <v>0</v>
      </c>
      <c r="BC71" s="136">
        <f t="shared" si="9"/>
        <v>0</v>
      </c>
      <c r="BD71" s="136">
        <f t="shared" si="9"/>
        <v>0</v>
      </c>
      <c r="BE71" s="136">
        <f t="shared" si="9"/>
        <v>0</v>
      </c>
      <c r="BF71" s="136">
        <f t="shared" si="9"/>
        <v>0</v>
      </c>
      <c r="BG71" s="136">
        <f t="shared" si="9"/>
        <v>0</v>
      </c>
      <c r="BH71" s="136">
        <f t="shared" si="9"/>
        <v>0</v>
      </c>
      <c r="BI71" s="136">
        <f t="shared" si="9"/>
        <v>0</v>
      </c>
      <c r="BJ71" s="136">
        <f t="shared" si="9"/>
        <v>0</v>
      </c>
      <c r="BK71" s="136">
        <f t="shared" si="9"/>
        <v>14320</v>
      </c>
      <c r="BL71" s="136">
        <f t="shared" si="9"/>
        <v>0</v>
      </c>
      <c r="BM71" s="136">
        <f t="shared" si="9"/>
        <v>0</v>
      </c>
      <c r="BN71" s="136">
        <f t="shared" si="9"/>
        <v>0</v>
      </c>
      <c r="BO71" s="136">
        <f t="shared" si="9"/>
        <v>0</v>
      </c>
      <c r="BP71" s="136">
        <f t="shared" si="9"/>
        <v>21718</v>
      </c>
      <c r="BQ71" s="136">
        <f t="shared" si="9"/>
        <v>0</v>
      </c>
      <c r="BR71" s="136">
        <f t="shared" si="9"/>
        <v>0</v>
      </c>
      <c r="BS71" s="136">
        <f t="shared" si="9"/>
        <v>0</v>
      </c>
      <c r="BT71" s="136">
        <f t="shared" si="9"/>
        <v>0</v>
      </c>
      <c r="BU71" s="136">
        <f>BU33-EM33</f>
        <v>-221213</v>
      </c>
    </row>
    <row r="72" spans="13:73" hidden="1" x14ac:dyDescent="0.3">
      <c r="M72" s="136" t="e">
        <f>#REF!-#REF!</f>
        <v>#REF!</v>
      </c>
      <c r="N72" s="136" t="e">
        <f>#REF!-#REF!</f>
        <v>#REF!</v>
      </c>
      <c r="O72" s="136" t="e">
        <f>#REF!-#REF!</f>
        <v>#REF!</v>
      </c>
      <c r="P72" s="136" t="e">
        <f>#REF!-#REF!</f>
        <v>#REF!</v>
      </c>
      <c r="Q72" s="136" t="e">
        <f>#REF!-#REF!</f>
        <v>#REF!</v>
      </c>
      <c r="R72" s="136" t="e">
        <f>#REF!-#REF!</f>
        <v>#REF!</v>
      </c>
      <c r="S72" s="136" t="e">
        <f>#REF!-#REF!</f>
        <v>#REF!</v>
      </c>
      <c r="T72" s="136" t="e">
        <f>#REF!-#REF!</f>
        <v>#REF!</v>
      </c>
      <c r="U72" s="136" t="e">
        <f>#REF!-#REF!</f>
        <v>#REF!</v>
      </c>
      <c r="V72" s="136" t="e">
        <f>#REF!-#REF!</f>
        <v>#REF!</v>
      </c>
      <c r="W72" s="136" t="e">
        <f>#REF!-#REF!</f>
        <v>#REF!</v>
      </c>
      <c r="X72" s="136" t="e">
        <f>#REF!-#REF!</f>
        <v>#REF!</v>
      </c>
      <c r="Y72" s="136" t="e">
        <f>#REF!-#REF!</f>
        <v>#REF!</v>
      </c>
      <c r="Z72" s="136" t="e">
        <f>#REF!-#REF!</f>
        <v>#REF!</v>
      </c>
      <c r="AA72" s="136" t="e">
        <f>#REF!-#REF!</f>
        <v>#REF!</v>
      </c>
      <c r="AB72" s="136" t="e">
        <f>#REF!-#REF!</f>
        <v>#REF!</v>
      </c>
      <c r="AC72" s="136" t="e">
        <f>#REF!-#REF!</f>
        <v>#REF!</v>
      </c>
      <c r="AD72" s="136" t="e">
        <f>#REF!-#REF!</f>
        <v>#REF!</v>
      </c>
      <c r="AE72" s="136" t="e">
        <f>#REF!-#REF!</f>
        <v>#REF!</v>
      </c>
      <c r="AF72" s="136" t="e">
        <f>#REF!-#REF!</f>
        <v>#REF!</v>
      </c>
      <c r="AG72" s="136" t="e">
        <f>#REF!-#REF!</f>
        <v>#REF!</v>
      </c>
      <c r="AH72" s="136" t="e">
        <f>#REF!-#REF!</f>
        <v>#REF!</v>
      </c>
      <c r="AI72" s="136" t="e">
        <f>#REF!-#REF!</f>
        <v>#REF!</v>
      </c>
      <c r="AJ72" s="136" t="e">
        <f>#REF!-#REF!</f>
        <v>#REF!</v>
      </c>
      <c r="AK72" s="136" t="e">
        <f>#REF!-#REF!</f>
        <v>#REF!</v>
      </c>
      <c r="AL72" s="136" t="e">
        <f>#REF!-#REF!</f>
        <v>#REF!</v>
      </c>
      <c r="AM72" s="136" t="e">
        <f>#REF!-#REF!</f>
        <v>#REF!</v>
      </c>
      <c r="AN72" s="136" t="e">
        <f>#REF!-#REF!</f>
        <v>#REF!</v>
      </c>
      <c r="AO72" s="136" t="e">
        <f>#REF!-#REF!</f>
        <v>#REF!</v>
      </c>
      <c r="AP72" s="136" t="e">
        <f>#REF!-#REF!</f>
        <v>#REF!</v>
      </c>
      <c r="AQ72" s="136" t="e">
        <f>#REF!-#REF!</f>
        <v>#REF!</v>
      </c>
      <c r="AR72" s="136" t="e">
        <f>#REF!-#REF!</f>
        <v>#REF!</v>
      </c>
      <c r="AS72" s="136" t="e">
        <f>#REF!-#REF!</f>
        <v>#REF!</v>
      </c>
      <c r="AT72" s="136" t="e">
        <f>#REF!-#REF!</f>
        <v>#REF!</v>
      </c>
      <c r="AU72" s="136" t="e">
        <f>#REF!-#REF!</f>
        <v>#REF!</v>
      </c>
      <c r="AV72" s="136" t="e">
        <f>#REF!-#REF!</f>
        <v>#REF!</v>
      </c>
      <c r="AW72" s="136" t="e">
        <f>#REF!-#REF!</f>
        <v>#REF!</v>
      </c>
      <c r="AX72" s="136" t="e">
        <f>#REF!-#REF!</f>
        <v>#REF!</v>
      </c>
      <c r="AY72" s="136" t="e">
        <f>#REF!-#REF!</f>
        <v>#REF!</v>
      </c>
      <c r="AZ72" s="136" t="e">
        <f>#REF!-#REF!</f>
        <v>#REF!</v>
      </c>
      <c r="BA72" s="136" t="e">
        <f>#REF!-#REF!</f>
        <v>#REF!</v>
      </c>
      <c r="BB72" s="136" t="e">
        <f>#REF!-#REF!</f>
        <v>#REF!</v>
      </c>
      <c r="BC72" s="136" t="e">
        <f>#REF!-#REF!</f>
        <v>#REF!</v>
      </c>
      <c r="BD72" s="136" t="e">
        <f>#REF!-#REF!</f>
        <v>#REF!</v>
      </c>
      <c r="BE72" s="136" t="e">
        <f>#REF!-#REF!</f>
        <v>#REF!</v>
      </c>
      <c r="BF72" s="136" t="e">
        <f>#REF!-#REF!</f>
        <v>#REF!</v>
      </c>
      <c r="BG72" s="136" t="e">
        <f>#REF!-#REF!</f>
        <v>#REF!</v>
      </c>
      <c r="BH72" s="136" t="e">
        <f>#REF!-#REF!</f>
        <v>#REF!</v>
      </c>
      <c r="BI72" s="136" t="e">
        <f>#REF!-#REF!</f>
        <v>#REF!</v>
      </c>
      <c r="BJ72" s="136" t="e">
        <f>#REF!-#REF!</f>
        <v>#REF!</v>
      </c>
      <c r="BK72" s="136" t="e">
        <f>#REF!-#REF!</f>
        <v>#REF!</v>
      </c>
      <c r="BL72" s="136" t="e">
        <f>#REF!-#REF!</f>
        <v>#REF!</v>
      </c>
      <c r="BM72" s="136" t="e">
        <f>#REF!-#REF!</f>
        <v>#REF!</v>
      </c>
      <c r="BN72" s="136" t="e">
        <f>#REF!-#REF!</f>
        <v>#REF!</v>
      </c>
      <c r="BO72" s="136" t="e">
        <f>#REF!-#REF!</f>
        <v>#REF!</v>
      </c>
      <c r="BP72" s="136" t="e">
        <f>#REF!-#REF!</f>
        <v>#REF!</v>
      </c>
      <c r="BQ72" s="136" t="e">
        <f>#REF!-#REF!</f>
        <v>#REF!</v>
      </c>
      <c r="BR72" s="136" t="e">
        <f>#REF!-#REF!</f>
        <v>#REF!</v>
      </c>
      <c r="BS72" s="136" t="e">
        <f>#REF!-#REF!</f>
        <v>#REF!</v>
      </c>
      <c r="BT72" s="136" t="e">
        <f>#REF!-#REF!</f>
        <v>#REF!</v>
      </c>
      <c r="BU72" s="136" t="e">
        <f>#REF!-#REF!</f>
        <v>#REF!</v>
      </c>
    </row>
    <row r="73" spans="13:73" hidden="1" x14ac:dyDescent="0.3">
      <c r="M73" s="136">
        <f t="shared" ref="M73:BU73" si="10">M34-CE34</f>
        <v>0</v>
      </c>
      <c r="N73" s="136">
        <f t="shared" si="10"/>
        <v>0</v>
      </c>
      <c r="O73" s="136">
        <f t="shared" si="10"/>
        <v>0</v>
      </c>
      <c r="P73" s="136">
        <f t="shared" si="10"/>
        <v>0</v>
      </c>
      <c r="Q73" s="136">
        <f t="shared" si="10"/>
        <v>0</v>
      </c>
      <c r="R73" s="136">
        <f t="shared" si="10"/>
        <v>0</v>
      </c>
      <c r="S73" s="136">
        <f t="shared" si="10"/>
        <v>0</v>
      </c>
      <c r="T73" s="136">
        <f t="shared" si="10"/>
        <v>0</v>
      </c>
      <c r="U73" s="136">
        <f t="shared" si="10"/>
        <v>0</v>
      </c>
      <c r="V73" s="136">
        <f t="shared" si="10"/>
        <v>0</v>
      </c>
      <c r="W73" s="136">
        <f t="shared" si="10"/>
        <v>0</v>
      </c>
      <c r="X73" s="136">
        <f t="shared" si="10"/>
        <v>0</v>
      </c>
      <c r="Y73" s="136">
        <f t="shared" si="10"/>
        <v>0</v>
      </c>
      <c r="Z73" s="136">
        <f t="shared" si="10"/>
        <v>0</v>
      </c>
      <c r="AA73" s="136">
        <f t="shared" si="10"/>
        <v>0</v>
      </c>
      <c r="AB73" s="136">
        <f t="shared" si="10"/>
        <v>0</v>
      </c>
      <c r="AC73" s="136">
        <f t="shared" si="10"/>
        <v>0</v>
      </c>
      <c r="AD73" s="136">
        <f t="shared" si="10"/>
        <v>0</v>
      </c>
      <c r="AE73" s="136">
        <f t="shared" si="10"/>
        <v>0</v>
      </c>
      <c r="AF73" s="136">
        <f t="shared" si="10"/>
        <v>0</v>
      </c>
      <c r="AG73" s="136">
        <f t="shared" si="10"/>
        <v>0</v>
      </c>
      <c r="AH73" s="136">
        <f t="shared" si="10"/>
        <v>0</v>
      </c>
      <c r="AI73" s="136">
        <f t="shared" si="10"/>
        <v>0</v>
      </c>
      <c r="AJ73" s="136">
        <f t="shared" si="10"/>
        <v>0</v>
      </c>
      <c r="AK73" s="136">
        <f t="shared" si="10"/>
        <v>0</v>
      </c>
      <c r="AL73" s="136">
        <f t="shared" si="10"/>
        <v>0</v>
      </c>
      <c r="AM73" s="136">
        <f t="shared" si="10"/>
        <v>0</v>
      </c>
      <c r="AN73" s="136">
        <f t="shared" si="10"/>
        <v>0</v>
      </c>
      <c r="AO73" s="136">
        <f t="shared" si="10"/>
        <v>0</v>
      </c>
      <c r="AP73" s="136">
        <f t="shared" si="10"/>
        <v>0</v>
      </c>
      <c r="AQ73" s="136">
        <f t="shared" si="10"/>
        <v>0</v>
      </c>
      <c r="AR73" s="136">
        <f t="shared" si="10"/>
        <v>0</v>
      </c>
      <c r="AS73" s="136">
        <f t="shared" si="10"/>
        <v>0</v>
      </c>
      <c r="AT73" s="136">
        <f t="shared" si="10"/>
        <v>0</v>
      </c>
      <c r="AU73" s="136">
        <f t="shared" si="10"/>
        <v>0</v>
      </c>
      <c r="AV73" s="136">
        <f t="shared" si="10"/>
        <v>0</v>
      </c>
      <c r="AW73" s="136">
        <f t="shared" si="10"/>
        <v>0</v>
      </c>
      <c r="AX73" s="136">
        <f t="shared" si="10"/>
        <v>0</v>
      </c>
      <c r="AY73" s="136">
        <f t="shared" si="10"/>
        <v>0</v>
      </c>
      <c r="AZ73" s="136">
        <f t="shared" si="10"/>
        <v>0</v>
      </c>
      <c r="BA73" s="136">
        <f t="shared" si="10"/>
        <v>0</v>
      </c>
      <c r="BB73" s="136">
        <f t="shared" si="10"/>
        <v>0</v>
      </c>
      <c r="BC73" s="136">
        <f t="shared" si="10"/>
        <v>0</v>
      </c>
      <c r="BD73" s="136">
        <f t="shared" si="10"/>
        <v>0</v>
      </c>
      <c r="BE73" s="136">
        <f t="shared" si="10"/>
        <v>0</v>
      </c>
      <c r="BF73" s="136">
        <f t="shared" si="10"/>
        <v>0</v>
      </c>
      <c r="BG73" s="136">
        <f t="shared" si="10"/>
        <v>0</v>
      </c>
      <c r="BH73" s="136">
        <f t="shared" si="10"/>
        <v>0</v>
      </c>
      <c r="BI73" s="136">
        <f t="shared" si="10"/>
        <v>0</v>
      </c>
      <c r="BJ73" s="136">
        <f t="shared" si="10"/>
        <v>0</v>
      </c>
      <c r="BK73" s="136">
        <f t="shared" si="10"/>
        <v>0</v>
      </c>
      <c r="BL73" s="136">
        <f t="shared" si="10"/>
        <v>0</v>
      </c>
      <c r="BM73" s="136">
        <f t="shared" si="10"/>
        <v>0</v>
      </c>
      <c r="BN73" s="136">
        <f t="shared" si="10"/>
        <v>0</v>
      </c>
      <c r="BO73" s="136">
        <f t="shared" si="10"/>
        <v>0</v>
      </c>
      <c r="BP73" s="136">
        <f t="shared" si="10"/>
        <v>0</v>
      </c>
      <c r="BQ73" s="136">
        <f t="shared" si="10"/>
        <v>0</v>
      </c>
      <c r="BR73" s="136">
        <f t="shared" si="10"/>
        <v>0</v>
      </c>
      <c r="BS73" s="136">
        <f t="shared" si="10"/>
        <v>0</v>
      </c>
      <c r="BT73" s="136">
        <f t="shared" si="10"/>
        <v>0</v>
      </c>
      <c r="BU73" s="136">
        <f t="shared" si="10"/>
        <v>0</v>
      </c>
    </row>
    <row r="74" spans="13:73" hidden="1" x14ac:dyDescent="0.3">
      <c r="M74" s="136" t="e">
        <f>#REF!-#REF!</f>
        <v>#REF!</v>
      </c>
      <c r="N74" s="136" t="e">
        <f>#REF!-#REF!</f>
        <v>#REF!</v>
      </c>
      <c r="O74" s="136" t="e">
        <f>#REF!-#REF!</f>
        <v>#REF!</v>
      </c>
      <c r="P74" s="136" t="e">
        <f>#REF!-#REF!</f>
        <v>#REF!</v>
      </c>
      <c r="Q74" s="136" t="e">
        <f>#REF!-#REF!</f>
        <v>#REF!</v>
      </c>
      <c r="R74" s="136" t="e">
        <f>#REF!-#REF!</f>
        <v>#REF!</v>
      </c>
      <c r="S74" s="136" t="e">
        <f>#REF!-#REF!</f>
        <v>#REF!</v>
      </c>
      <c r="T74" s="136" t="e">
        <f>#REF!-#REF!</f>
        <v>#REF!</v>
      </c>
      <c r="U74" s="136" t="e">
        <f>#REF!-#REF!</f>
        <v>#REF!</v>
      </c>
      <c r="V74" s="136" t="e">
        <f>#REF!-#REF!</f>
        <v>#REF!</v>
      </c>
      <c r="W74" s="136" t="e">
        <f>#REF!-#REF!</f>
        <v>#REF!</v>
      </c>
      <c r="X74" s="136" t="e">
        <f>#REF!-#REF!</f>
        <v>#REF!</v>
      </c>
      <c r="Y74" s="136" t="e">
        <f>#REF!-#REF!</f>
        <v>#REF!</v>
      </c>
      <c r="Z74" s="136" t="e">
        <f>#REF!-#REF!</f>
        <v>#REF!</v>
      </c>
      <c r="AA74" s="136" t="e">
        <f>#REF!-#REF!</f>
        <v>#REF!</v>
      </c>
      <c r="AB74" s="136" t="e">
        <f>#REF!-#REF!</f>
        <v>#REF!</v>
      </c>
      <c r="AC74" s="136" t="e">
        <f>#REF!-#REF!</f>
        <v>#REF!</v>
      </c>
      <c r="AD74" s="136" t="e">
        <f>#REF!-#REF!</f>
        <v>#REF!</v>
      </c>
      <c r="AE74" s="136" t="e">
        <f>#REF!-#REF!</f>
        <v>#REF!</v>
      </c>
      <c r="AF74" s="136" t="e">
        <f>#REF!-#REF!</f>
        <v>#REF!</v>
      </c>
      <c r="AG74" s="136" t="e">
        <f>#REF!-#REF!</f>
        <v>#REF!</v>
      </c>
      <c r="AH74" s="136" t="e">
        <f>#REF!-#REF!</f>
        <v>#REF!</v>
      </c>
      <c r="AI74" s="136" t="e">
        <f>#REF!-#REF!</f>
        <v>#REF!</v>
      </c>
      <c r="AJ74" s="136" t="e">
        <f>#REF!-#REF!</f>
        <v>#REF!</v>
      </c>
      <c r="AK74" s="136" t="e">
        <f>#REF!-#REF!</f>
        <v>#REF!</v>
      </c>
      <c r="AL74" s="136" t="e">
        <f>#REF!-#REF!</f>
        <v>#REF!</v>
      </c>
      <c r="AM74" s="136" t="e">
        <f>#REF!-#REF!</f>
        <v>#REF!</v>
      </c>
      <c r="AN74" s="136" t="e">
        <f>#REF!-#REF!</f>
        <v>#REF!</v>
      </c>
      <c r="AO74" s="136" t="e">
        <f>#REF!-#REF!</f>
        <v>#REF!</v>
      </c>
      <c r="AP74" s="136" t="e">
        <f>#REF!-#REF!</f>
        <v>#REF!</v>
      </c>
      <c r="AQ74" s="136" t="e">
        <f>#REF!-#REF!</f>
        <v>#REF!</v>
      </c>
      <c r="AR74" s="136" t="e">
        <f>#REF!-#REF!</f>
        <v>#REF!</v>
      </c>
      <c r="AS74" s="136" t="e">
        <f>#REF!-#REF!</f>
        <v>#REF!</v>
      </c>
      <c r="AT74" s="136" t="e">
        <f>#REF!-#REF!</f>
        <v>#REF!</v>
      </c>
      <c r="AU74" s="136" t="e">
        <f>#REF!-#REF!</f>
        <v>#REF!</v>
      </c>
      <c r="AV74" s="136" t="e">
        <f>#REF!-#REF!</f>
        <v>#REF!</v>
      </c>
      <c r="AW74" s="136" t="e">
        <f>#REF!-#REF!</f>
        <v>#REF!</v>
      </c>
      <c r="AX74" s="136" t="e">
        <f>#REF!-#REF!</f>
        <v>#REF!</v>
      </c>
      <c r="AY74" s="136" t="e">
        <f>#REF!-#REF!</f>
        <v>#REF!</v>
      </c>
      <c r="AZ74" s="136" t="e">
        <f>#REF!-#REF!</f>
        <v>#REF!</v>
      </c>
      <c r="BA74" s="136" t="e">
        <f>#REF!-#REF!</f>
        <v>#REF!</v>
      </c>
      <c r="BB74" s="136" t="e">
        <f>#REF!-#REF!</f>
        <v>#REF!</v>
      </c>
      <c r="BC74" s="136" t="e">
        <f>#REF!-#REF!</f>
        <v>#REF!</v>
      </c>
      <c r="BD74" s="136" t="e">
        <f>#REF!-#REF!</f>
        <v>#REF!</v>
      </c>
      <c r="BE74" s="136" t="e">
        <f>#REF!-#REF!</f>
        <v>#REF!</v>
      </c>
      <c r="BF74" s="136" t="e">
        <f>#REF!-#REF!</f>
        <v>#REF!</v>
      </c>
      <c r="BG74" s="136" t="e">
        <f>#REF!-#REF!</f>
        <v>#REF!</v>
      </c>
      <c r="BH74" s="136" t="e">
        <f>#REF!-#REF!</f>
        <v>#REF!</v>
      </c>
      <c r="BI74" s="136" t="e">
        <f>#REF!-#REF!</f>
        <v>#REF!</v>
      </c>
      <c r="BJ74" s="136" t="e">
        <f>#REF!-#REF!</f>
        <v>#REF!</v>
      </c>
      <c r="BK74" s="136" t="e">
        <f>#REF!-#REF!</f>
        <v>#REF!</v>
      </c>
      <c r="BL74" s="136" t="e">
        <f>#REF!-#REF!</f>
        <v>#REF!</v>
      </c>
      <c r="BM74" s="136" t="e">
        <f>#REF!-#REF!</f>
        <v>#REF!</v>
      </c>
      <c r="BN74" s="136" t="e">
        <f>#REF!-#REF!</f>
        <v>#REF!</v>
      </c>
      <c r="BO74" s="136" t="e">
        <f>#REF!-#REF!</f>
        <v>#REF!</v>
      </c>
      <c r="BP74" s="136" t="e">
        <f>#REF!-#REF!</f>
        <v>#REF!</v>
      </c>
      <c r="BQ74" s="136" t="e">
        <f>#REF!-#REF!</f>
        <v>#REF!</v>
      </c>
      <c r="BR74" s="136" t="e">
        <f>#REF!-#REF!</f>
        <v>#REF!</v>
      </c>
      <c r="BS74" s="136" t="e">
        <f>#REF!-#REF!</f>
        <v>#REF!</v>
      </c>
      <c r="BT74" s="136" t="e">
        <f>#REF!-#REF!</f>
        <v>#REF!</v>
      </c>
      <c r="BU74" s="136" t="e">
        <f>#REF!-#REF!</f>
        <v>#REF!</v>
      </c>
    </row>
    <row r="75" spans="13:73" hidden="1" x14ac:dyDescent="0.3">
      <c r="M75" s="136" t="e">
        <f>#REF!-#REF!</f>
        <v>#REF!</v>
      </c>
      <c r="N75" s="136" t="e">
        <f>#REF!-#REF!</f>
        <v>#REF!</v>
      </c>
      <c r="O75" s="136" t="e">
        <f>#REF!-#REF!</f>
        <v>#REF!</v>
      </c>
      <c r="P75" s="136" t="e">
        <f>#REF!-#REF!</f>
        <v>#REF!</v>
      </c>
      <c r="Q75" s="136" t="e">
        <f>#REF!-#REF!</f>
        <v>#REF!</v>
      </c>
      <c r="R75" s="136" t="e">
        <f>#REF!-#REF!</f>
        <v>#REF!</v>
      </c>
      <c r="S75" s="136" t="e">
        <f>#REF!-#REF!</f>
        <v>#REF!</v>
      </c>
      <c r="T75" s="136" t="e">
        <f>#REF!-#REF!</f>
        <v>#REF!</v>
      </c>
      <c r="U75" s="136" t="e">
        <f>#REF!-#REF!</f>
        <v>#REF!</v>
      </c>
      <c r="V75" s="136" t="e">
        <f>#REF!-#REF!</f>
        <v>#REF!</v>
      </c>
      <c r="W75" s="136" t="e">
        <f>#REF!-#REF!</f>
        <v>#REF!</v>
      </c>
      <c r="X75" s="136" t="e">
        <f>#REF!-#REF!</f>
        <v>#REF!</v>
      </c>
      <c r="Y75" s="136" t="e">
        <f>#REF!-#REF!</f>
        <v>#REF!</v>
      </c>
      <c r="Z75" s="136" t="e">
        <f>#REF!-#REF!</f>
        <v>#REF!</v>
      </c>
      <c r="AA75" s="136" t="e">
        <f>#REF!-#REF!</f>
        <v>#REF!</v>
      </c>
      <c r="AB75" s="136" t="e">
        <f>#REF!-#REF!</f>
        <v>#REF!</v>
      </c>
      <c r="AC75" s="136" t="e">
        <f>#REF!-#REF!</f>
        <v>#REF!</v>
      </c>
      <c r="AD75" s="136" t="e">
        <f>#REF!-#REF!</f>
        <v>#REF!</v>
      </c>
      <c r="AE75" s="136" t="e">
        <f>#REF!-#REF!</f>
        <v>#REF!</v>
      </c>
      <c r="AF75" s="136" t="e">
        <f>#REF!-#REF!</f>
        <v>#REF!</v>
      </c>
      <c r="AG75" s="136" t="e">
        <f>#REF!-#REF!</f>
        <v>#REF!</v>
      </c>
      <c r="AH75" s="136" t="e">
        <f>#REF!-#REF!</f>
        <v>#REF!</v>
      </c>
      <c r="AI75" s="136" t="e">
        <f>#REF!-#REF!</f>
        <v>#REF!</v>
      </c>
      <c r="AJ75" s="136" t="e">
        <f>#REF!-#REF!</f>
        <v>#REF!</v>
      </c>
      <c r="AK75" s="136" t="e">
        <f>#REF!-#REF!</f>
        <v>#REF!</v>
      </c>
      <c r="AL75" s="136" t="e">
        <f>#REF!-#REF!</f>
        <v>#REF!</v>
      </c>
      <c r="AM75" s="136" t="e">
        <f>#REF!-#REF!</f>
        <v>#REF!</v>
      </c>
      <c r="AN75" s="136" t="e">
        <f>#REF!-#REF!</f>
        <v>#REF!</v>
      </c>
      <c r="AO75" s="136" t="e">
        <f>#REF!-#REF!</f>
        <v>#REF!</v>
      </c>
      <c r="AP75" s="136" t="e">
        <f>#REF!-#REF!</f>
        <v>#REF!</v>
      </c>
      <c r="AQ75" s="136" t="e">
        <f>#REF!-#REF!</f>
        <v>#REF!</v>
      </c>
      <c r="AR75" s="136" t="e">
        <f>#REF!-#REF!</f>
        <v>#REF!</v>
      </c>
      <c r="AS75" s="136" t="e">
        <f>#REF!-#REF!</f>
        <v>#REF!</v>
      </c>
      <c r="AT75" s="136" t="e">
        <f>#REF!-#REF!</f>
        <v>#REF!</v>
      </c>
      <c r="AU75" s="136" t="e">
        <f>#REF!-#REF!</f>
        <v>#REF!</v>
      </c>
      <c r="AV75" s="136" t="e">
        <f>#REF!-#REF!</f>
        <v>#REF!</v>
      </c>
      <c r="AW75" s="136" t="e">
        <f>#REF!-#REF!</f>
        <v>#REF!</v>
      </c>
      <c r="AX75" s="136" t="e">
        <f>#REF!-#REF!</f>
        <v>#REF!</v>
      </c>
      <c r="AY75" s="136" t="e">
        <f>#REF!-#REF!</f>
        <v>#REF!</v>
      </c>
      <c r="AZ75" s="136" t="e">
        <f>#REF!-#REF!</f>
        <v>#REF!</v>
      </c>
      <c r="BA75" s="136" t="e">
        <f>#REF!-#REF!</f>
        <v>#REF!</v>
      </c>
      <c r="BB75" s="136" t="e">
        <f>#REF!-#REF!</f>
        <v>#REF!</v>
      </c>
      <c r="BC75" s="136" t="e">
        <f>#REF!-#REF!</f>
        <v>#REF!</v>
      </c>
      <c r="BD75" s="136" t="e">
        <f>#REF!-#REF!</f>
        <v>#REF!</v>
      </c>
      <c r="BE75" s="136" t="e">
        <f>#REF!-#REF!</f>
        <v>#REF!</v>
      </c>
      <c r="BF75" s="136" t="e">
        <f>#REF!-#REF!</f>
        <v>#REF!</v>
      </c>
      <c r="BG75" s="136" t="e">
        <f>#REF!-#REF!</f>
        <v>#REF!</v>
      </c>
      <c r="BH75" s="136" t="e">
        <f>#REF!-#REF!</f>
        <v>#REF!</v>
      </c>
      <c r="BI75" s="136" t="e">
        <f>#REF!-#REF!</f>
        <v>#REF!</v>
      </c>
      <c r="BJ75" s="136" t="e">
        <f>#REF!-#REF!</f>
        <v>#REF!</v>
      </c>
      <c r="BK75" s="136" t="e">
        <f>#REF!-#REF!</f>
        <v>#REF!</v>
      </c>
      <c r="BL75" s="136" t="e">
        <f>#REF!-#REF!</f>
        <v>#REF!</v>
      </c>
      <c r="BM75" s="136" t="e">
        <f>#REF!-#REF!</f>
        <v>#REF!</v>
      </c>
      <c r="BN75" s="136" t="e">
        <f>#REF!-#REF!</f>
        <v>#REF!</v>
      </c>
      <c r="BO75" s="136" t="e">
        <f>#REF!-#REF!</f>
        <v>#REF!</v>
      </c>
      <c r="BP75" s="136" t="e">
        <f>#REF!-#REF!</f>
        <v>#REF!</v>
      </c>
      <c r="BQ75" s="136" t="e">
        <f>#REF!-#REF!</f>
        <v>#REF!</v>
      </c>
      <c r="BR75" s="136" t="e">
        <f>#REF!-#REF!</f>
        <v>#REF!</v>
      </c>
      <c r="BS75" s="136" t="e">
        <f>#REF!-#REF!</f>
        <v>#REF!</v>
      </c>
      <c r="BT75" s="136" t="e">
        <f>#REF!-#REF!</f>
        <v>#REF!</v>
      </c>
      <c r="BU75" s="136" t="e">
        <f>#REF!-#REF!</f>
        <v>#REF!</v>
      </c>
    </row>
    <row r="76" spans="13:73" hidden="1" x14ac:dyDescent="0.3">
      <c r="M76" s="136">
        <f t="shared" ref="M76:BU78" si="11">M35-CE35</f>
        <v>-38742864.991130024</v>
      </c>
      <c r="N76" s="136">
        <f t="shared" si="11"/>
        <v>0</v>
      </c>
      <c r="O76" s="136">
        <f t="shared" si="11"/>
        <v>0</v>
      </c>
      <c r="P76" s="136">
        <f t="shared" si="11"/>
        <v>0</v>
      </c>
      <c r="Q76" s="136">
        <f t="shared" si="11"/>
        <v>0</v>
      </c>
      <c r="R76" s="136">
        <f t="shared" si="11"/>
        <v>6971333.5270099938</v>
      </c>
      <c r="S76" s="136">
        <f t="shared" si="11"/>
        <v>0</v>
      </c>
      <c r="T76" s="136">
        <f t="shared" si="11"/>
        <v>0</v>
      </c>
      <c r="U76" s="136">
        <f t="shared" si="11"/>
        <v>0</v>
      </c>
      <c r="V76" s="136">
        <f t="shared" si="11"/>
        <v>0</v>
      </c>
      <c r="W76" s="136">
        <f t="shared" si="11"/>
        <v>369480.87553995848</v>
      </c>
      <c r="X76" s="136">
        <f t="shared" si="11"/>
        <v>0</v>
      </c>
      <c r="Y76" s="136">
        <f t="shared" si="11"/>
        <v>0</v>
      </c>
      <c r="Z76" s="136">
        <f t="shared" si="11"/>
        <v>0</v>
      </c>
      <c r="AA76" s="136">
        <f t="shared" si="11"/>
        <v>0</v>
      </c>
      <c r="AB76" s="136">
        <f t="shared" si="11"/>
        <v>-643913.17776992917</v>
      </c>
      <c r="AC76" s="136">
        <f t="shared" si="11"/>
        <v>0</v>
      </c>
      <c r="AD76" s="136">
        <f t="shared" si="11"/>
        <v>0</v>
      </c>
      <c r="AE76" s="136">
        <f t="shared" si="11"/>
        <v>0</v>
      </c>
      <c r="AF76" s="136">
        <f t="shared" si="11"/>
        <v>0</v>
      </c>
      <c r="AG76" s="136">
        <f t="shared" si="11"/>
        <v>8370305.3480359912</v>
      </c>
      <c r="AH76" s="136">
        <f t="shared" si="11"/>
        <v>0</v>
      </c>
      <c r="AI76" s="136">
        <f t="shared" si="11"/>
        <v>0</v>
      </c>
      <c r="AJ76" s="136">
        <f t="shared" si="11"/>
        <v>0</v>
      </c>
      <c r="AK76" s="136">
        <f t="shared" si="11"/>
        <v>0</v>
      </c>
      <c r="AL76" s="136">
        <f t="shared" si="11"/>
        <v>-10568059.458700016</v>
      </c>
      <c r="AM76" s="136">
        <f t="shared" si="11"/>
        <v>0</v>
      </c>
      <c r="AN76" s="136">
        <f t="shared" si="11"/>
        <v>0</v>
      </c>
      <c r="AO76" s="136">
        <f t="shared" si="11"/>
        <v>0</v>
      </c>
      <c r="AP76" s="136">
        <f t="shared" si="11"/>
        <v>0</v>
      </c>
      <c r="AQ76" s="136">
        <f t="shared" si="11"/>
        <v>-4684965.7034000158</v>
      </c>
      <c r="AR76" s="136">
        <f t="shared" si="11"/>
        <v>0</v>
      </c>
      <c r="AS76" s="136">
        <f t="shared" si="11"/>
        <v>0</v>
      </c>
      <c r="AT76" s="136">
        <f t="shared" si="11"/>
        <v>0</v>
      </c>
      <c r="AU76" s="136">
        <f t="shared" si="11"/>
        <v>0</v>
      </c>
      <c r="AV76" s="136">
        <f t="shared" si="11"/>
        <v>-7935524.0523699373</v>
      </c>
      <c r="AW76" s="136">
        <f t="shared" si="11"/>
        <v>0</v>
      </c>
      <c r="AX76" s="136">
        <f t="shared" si="11"/>
        <v>0</v>
      </c>
      <c r="AY76" s="136">
        <f t="shared" si="11"/>
        <v>0</v>
      </c>
      <c r="AZ76" s="136">
        <f t="shared" si="11"/>
        <v>0</v>
      </c>
      <c r="BA76" s="136">
        <f t="shared" si="11"/>
        <v>10465183.115449965</v>
      </c>
      <c r="BB76" s="136">
        <f t="shared" si="11"/>
        <v>0</v>
      </c>
      <c r="BC76" s="136">
        <f t="shared" si="11"/>
        <v>0</v>
      </c>
      <c r="BD76" s="136">
        <f t="shared" si="11"/>
        <v>0</v>
      </c>
      <c r="BE76" s="136">
        <f t="shared" si="11"/>
        <v>0</v>
      </c>
      <c r="BF76" s="136">
        <f t="shared" si="11"/>
        <v>-22453465.106899992</v>
      </c>
      <c r="BG76" s="136">
        <f t="shared" si="11"/>
        <v>0</v>
      </c>
      <c r="BH76" s="136">
        <f t="shared" si="11"/>
        <v>0</v>
      </c>
      <c r="BI76" s="136">
        <f t="shared" si="11"/>
        <v>0</v>
      </c>
      <c r="BJ76" s="136">
        <f t="shared" si="11"/>
        <v>0</v>
      </c>
      <c r="BK76" s="136">
        <f t="shared" si="11"/>
        <v>19891534.173719943</v>
      </c>
      <c r="BL76" s="136">
        <f t="shared" si="11"/>
        <v>0</v>
      </c>
      <c r="BM76" s="136">
        <f t="shared" si="11"/>
        <v>0</v>
      </c>
      <c r="BN76" s="136">
        <f t="shared" si="11"/>
        <v>0</v>
      </c>
      <c r="BO76" s="136">
        <f t="shared" si="11"/>
        <v>0</v>
      </c>
      <c r="BP76" s="136">
        <f t="shared" si="11"/>
        <v>-16555653.150080025</v>
      </c>
      <c r="BQ76" s="136">
        <f t="shared" si="11"/>
        <v>0</v>
      </c>
      <c r="BR76" s="136">
        <f t="shared" si="11"/>
        <v>0</v>
      </c>
      <c r="BS76" s="136">
        <f t="shared" si="11"/>
        <v>0</v>
      </c>
      <c r="BT76" s="136">
        <f t="shared" si="11"/>
        <v>0</v>
      </c>
      <c r="BU76" s="136">
        <f t="shared" si="11"/>
        <v>-58852489.624234006</v>
      </c>
    </row>
    <row r="77" spans="13:73" hidden="1" x14ac:dyDescent="0.3">
      <c r="M77" s="136">
        <f t="shared" si="11"/>
        <v>0</v>
      </c>
      <c r="N77" s="136">
        <f t="shared" si="11"/>
        <v>0</v>
      </c>
      <c r="O77" s="136">
        <f t="shared" si="11"/>
        <v>0</v>
      </c>
      <c r="P77" s="136">
        <f t="shared" si="11"/>
        <v>0</v>
      </c>
      <c r="Q77" s="136">
        <f t="shared" si="11"/>
        <v>0</v>
      </c>
      <c r="R77" s="136">
        <f t="shared" si="11"/>
        <v>0</v>
      </c>
      <c r="S77" s="136">
        <f t="shared" si="11"/>
        <v>0</v>
      </c>
      <c r="T77" s="136">
        <f t="shared" si="11"/>
        <v>0</v>
      </c>
      <c r="U77" s="136">
        <f t="shared" si="11"/>
        <v>0</v>
      </c>
      <c r="V77" s="136">
        <f t="shared" si="11"/>
        <v>0</v>
      </c>
      <c r="W77" s="136">
        <f t="shared" si="11"/>
        <v>0</v>
      </c>
      <c r="X77" s="136">
        <f t="shared" si="11"/>
        <v>0</v>
      </c>
      <c r="Y77" s="136">
        <f t="shared" si="11"/>
        <v>0</v>
      </c>
      <c r="Z77" s="136">
        <f t="shared" si="11"/>
        <v>0</v>
      </c>
      <c r="AA77" s="136">
        <f t="shared" si="11"/>
        <v>0</v>
      </c>
      <c r="AB77" s="136">
        <f t="shared" si="11"/>
        <v>0</v>
      </c>
      <c r="AC77" s="136">
        <f t="shared" si="11"/>
        <v>0</v>
      </c>
      <c r="AD77" s="136">
        <f t="shared" si="11"/>
        <v>0</v>
      </c>
      <c r="AE77" s="136">
        <f t="shared" si="11"/>
        <v>0</v>
      </c>
      <c r="AF77" s="136">
        <f t="shared" si="11"/>
        <v>0</v>
      </c>
      <c r="AG77" s="136">
        <f t="shared" si="11"/>
        <v>0</v>
      </c>
      <c r="AH77" s="136">
        <f t="shared" si="11"/>
        <v>0</v>
      </c>
      <c r="AI77" s="136">
        <f t="shared" si="11"/>
        <v>0</v>
      </c>
      <c r="AJ77" s="136">
        <f t="shared" si="11"/>
        <v>0</v>
      </c>
      <c r="AK77" s="136">
        <f t="shared" si="11"/>
        <v>0</v>
      </c>
      <c r="AL77" s="136">
        <f t="shared" si="11"/>
        <v>0</v>
      </c>
      <c r="AM77" s="136">
        <f t="shared" si="11"/>
        <v>0</v>
      </c>
      <c r="AN77" s="136">
        <f t="shared" si="11"/>
        <v>0</v>
      </c>
      <c r="AO77" s="136">
        <f t="shared" si="11"/>
        <v>0</v>
      </c>
      <c r="AP77" s="136">
        <f t="shared" si="11"/>
        <v>0</v>
      </c>
      <c r="AQ77" s="136">
        <f t="shared" si="11"/>
        <v>0</v>
      </c>
      <c r="AR77" s="136">
        <f t="shared" si="11"/>
        <v>0</v>
      </c>
      <c r="AS77" s="136">
        <f t="shared" si="11"/>
        <v>0</v>
      </c>
      <c r="AT77" s="136">
        <f t="shared" si="11"/>
        <v>0</v>
      </c>
      <c r="AU77" s="136">
        <f t="shared" si="11"/>
        <v>0</v>
      </c>
      <c r="AV77" s="136">
        <f t="shared" si="11"/>
        <v>0</v>
      </c>
      <c r="AW77" s="136">
        <f t="shared" si="11"/>
        <v>0</v>
      </c>
      <c r="AX77" s="136">
        <f t="shared" si="11"/>
        <v>0</v>
      </c>
      <c r="AY77" s="136">
        <f t="shared" si="11"/>
        <v>0</v>
      </c>
      <c r="AZ77" s="136">
        <f t="shared" si="11"/>
        <v>0</v>
      </c>
      <c r="BA77" s="136">
        <f t="shared" si="11"/>
        <v>0</v>
      </c>
      <c r="BB77" s="136">
        <f t="shared" si="11"/>
        <v>0</v>
      </c>
      <c r="BC77" s="136">
        <f t="shared" si="11"/>
        <v>0</v>
      </c>
      <c r="BD77" s="136">
        <f t="shared" si="11"/>
        <v>0</v>
      </c>
      <c r="BE77" s="136">
        <f t="shared" si="11"/>
        <v>0</v>
      </c>
      <c r="BF77" s="136">
        <f t="shared" si="11"/>
        <v>0</v>
      </c>
      <c r="BG77" s="136">
        <f t="shared" si="11"/>
        <v>0</v>
      </c>
      <c r="BH77" s="136">
        <f t="shared" si="11"/>
        <v>0</v>
      </c>
      <c r="BI77" s="136">
        <f t="shared" si="11"/>
        <v>0</v>
      </c>
      <c r="BJ77" s="136">
        <f t="shared" si="11"/>
        <v>0</v>
      </c>
      <c r="BK77" s="136">
        <f t="shared" si="11"/>
        <v>0</v>
      </c>
      <c r="BL77" s="136">
        <f t="shared" si="11"/>
        <v>0</v>
      </c>
      <c r="BM77" s="136">
        <f t="shared" si="11"/>
        <v>0</v>
      </c>
      <c r="BN77" s="136">
        <f t="shared" si="11"/>
        <v>0</v>
      </c>
      <c r="BO77" s="136">
        <f t="shared" si="11"/>
        <v>0</v>
      </c>
      <c r="BP77" s="136">
        <f t="shared" si="11"/>
        <v>0</v>
      </c>
      <c r="BQ77" s="136">
        <f t="shared" si="11"/>
        <v>0</v>
      </c>
      <c r="BR77" s="136">
        <f t="shared" si="11"/>
        <v>0</v>
      </c>
      <c r="BS77" s="136">
        <f t="shared" si="11"/>
        <v>0</v>
      </c>
      <c r="BT77" s="136">
        <f t="shared" si="11"/>
        <v>0</v>
      </c>
      <c r="BU77" s="136">
        <f t="shared" si="11"/>
        <v>0</v>
      </c>
    </row>
    <row r="78" spans="13:73" hidden="1" x14ac:dyDescent="0.3">
      <c r="M78" s="136">
        <f t="shared" si="11"/>
        <v>-66753804.991130024</v>
      </c>
      <c r="N78" s="136">
        <f t="shared" si="11"/>
        <v>0</v>
      </c>
      <c r="O78" s="136">
        <f t="shared" si="11"/>
        <v>0</v>
      </c>
      <c r="P78" s="136">
        <f t="shared" si="11"/>
        <v>0</v>
      </c>
      <c r="Q78" s="136">
        <f t="shared" si="11"/>
        <v>0</v>
      </c>
      <c r="R78" s="136">
        <f t="shared" si="11"/>
        <v>22051245.527009994</v>
      </c>
      <c r="S78" s="136">
        <f t="shared" si="11"/>
        <v>0</v>
      </c>
      <c r="T78" s="136">
        <f t="shared" si="11"/>
        <v>0</v>
      </c>
      <c r="U78" s="136">
        <f t="shared" si="11"/>
        <v>0</v>
      </c>
      <c r="V78" s="136">
        <f t="shared" si="11"/>
        <v>0</v>
      </c>
      <c r="W78" s="136">
        <f t="shared" si="11"/>
        <v>5176214.8755399585</v>
      </c>
      <c r="X78" s="136">
        <f t="shared" si="11"/>
        <v>0</v>
      </c>
      <c r="Y78" s="136">
        <f t="shared" si="11"/>
        <v>0</v>
      </c>
      <c r="Z78" s="136">
        <f t="shared" si="11"/>
        <v>0</v>
      </c>
      <c r="AA78" s="136">
        <f t="shared" si="11"/>
        <v>0</v>
      </c>
      <c r="AB78" s="136">
        <f t="shared" si="11"/>
        <v>-29936119.177769929</v>
      </c>
      <c r="AC78" s="136">
        <f t="shared" si="11"/>
        <v>0</v>
      </c>
      <c r="AD78" s="136">
        <f t="shared" si="11"/>
        <v>0</v>
      </c>
      <c r="AE78" s="136">
        <f t="shared" si="11"/>
        <v>0</v>
      </c>
      <c r="AF78" s="136">
        <f t="shared" si="11"/>
        <v>0</v>
      </c>
      <c r="AG78" s="136">
        <f t="shared" si="11"/>
        <v>-1394560.6519640088</v>
      </c>
      <c r="AH78" s="136">
        <f t="shared" si="11"/>
        <v>0</v>
      </c>
      <c r="AI78" s="136">
        <f t="shared" si="11"/>
        <v>0</v>
      </c>
      <c r="AJ78" s="136">
        <f t="shared" si="11"/>
        <v>0</v>
      </c>
      <c r="AK78" s="136">
        <f t="shared" si="11"/>
        <v>0</v>
      </c>
      <c r="AL78" s="136">
        <f t="shared" si="11"/>
        <v>-18035102.458700016</v>
      </c>
      <c r="AM78" s="136">
        <f t="shared" si="11"/>
        <v>0</v>
      </c>
      <c r="AN78" s="136">
        <f t="shared" si="11"/>
        <v>0</v>
      </c>
      <c r="AO78" s="136">
        <f t="shared" si="11"/>
        <v>0</v>
      </c>
      <c r="AP78" s="136">
        <f t="shared" si="11"/>
        <v>0</v>
      </c>
      <c r="AQ78" s="136">
        <f t="shared" si="11"/>
        <v>6919219.2965999842</v>
      </c>
      <c r="AR78" s="136">
        <f t="shared" si="11"/>
        <v>0</v>
      </c>
      <c r="AS78" s="136">
        <f t="shared" si="11"/>
        <v>0</v>
      </c>
      <c r="AT78" s="136">
        <f t="shared" si="11"/>
        <v>0</v>
      </c>
      <c r="AU78" s="136">
        <f t="shared" si="11"/>
        <v>0</v>
      </c>
      <c r="AV78" s="136">
        <f t="shared" si="11"/>
        <v>3499766.9476300627</v>
      </c>
      <c r="AW78" s="136">
        <f t="shared" si="11"/>
        <v>0</v>
      </c>
      <c r="AX78" s="136">
        <f t="shared" si="11"/>
        <v>0</v>
      </c>
      <c r="AY78" s="136">
        <f t="shared" si="11"/>
        <v>0</v>
      </c>
      <c r="AZ78" s="136">
        <f t="shared" si="11"/>
        <v>0</v>
      </c>
      <c r="BA78" s="136">
        <f t="shared" si="11"/>
        <v>23646.115449965</v>
      </c>
      <c r="BB78" s="136">
        <f t="shared" si="11"/>
        <v>0</v>
      </c>
      <c r="BC78" s="136">
        <f t="shared" si="11"/>
        <v>0</v>
      </c>
      <c r="BD78" s="136">
        <f t="shared" si="11"/>
        <v>0</v>
      </c>
      <c r="BE78" s="136">
        <f t="shared" si="11"/>
        <v>0</v>
      </c>
      <c r="BF78" s="136">
        <f t="shared" si="11"/>
        <v>-33200704.106899992</v>
      </c>
      <c r="BG78" s="136">
        <f t="shared" si="11"/>
        <v>0</v>
      </c>
      <c r="BH78" s="136">
        <f t="shared" si="11"/>
        <v>0</v>
      </c>
      <c r="BI78" s="136">
        <f t="shared" si="11"/>
        <v>0</v>
      </c>
      <c r="BJ78" s="136">
        <f t="shared" si="11"/>
        <v>0</v>
      </c>
      <c r="BK78" s="136">
        <f t="shared" si="11"/>
        <v>313991538.17371994</v>
      </c>
      <c r="BL78" s="136">
        <f t="shared" si="11"/>
        <v>0</v>
      </c>
      <c r="BM78" s="136">
        <f t="shared" si="11"/>
        <v>0</v>
      </c>
      <c r="BN78" s="136">
        <f t="shared" si="11"/>
        <v>0</v>
      </c>
      <c r="BO78" s="136">
        <f t="shared" si="11"/>
        <v>0</v>
      </c>
      <c r="BP78" s="136">
        <f t="shared" si="11"/>
        <v>-7827946.861110026</v>
      </c>
      <c r="BQ78" s="136">
        <f t="shared" si="11"/>
        <v>0</v>
      </c>
      <c r="BR78" s="136">
        <f t="shared" si="11"/>
        <v>0</v>
      </c>
      <c r="BS78" s="136">
        <f t="shared" si="11"/>
        <v>0</v>
      </c>
      <c r="BT78" s="136">
        <f t="shared" si="11"/>
        <v>0</v>
      </c>
      <c r="BU78" s="136">
        <f t="shared" si="11"/>
        <v>-111650198.62423401</v>
      </c>
    </row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16" hidden="1" x14ac:dyDescent="0.3"/>
    <row r="98" spans="13:116" hidden="1" x14ac:dyDescent="0.3"/>
    <row r="99" spans="13:116" hidden="1" x14ac:dyDescent="0.3"/>
    <row r="100" spans="13:116" hidden="1" x14ac:dyDescent="0.3"/>
    <row r="101" spans="13:116" hidden="1" x14ac:dyDescent="0.3"/>
    <row r="103" spans="13:116" x14ac:dyDescent="0.3">
      <c r="M103" s="613"/>
    </row>
    <row r="104" spans="13:116" x14ac:dyDescent="0.3">
      <c r="DL104" s="136">
        <v>2087353.7651195501</v>
      </c>
    </row>
  </sheetData>
  <mergeCells count="3">
    <mergeCell ref="H8:BU8"/>
    <mergeCell ref="BZ8:EM8"/>
    <mergeCell ref="D38:BU38"/>
  </mergeCells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AE9B-37E3-430E-AE2C-1EA65DAC84E4}">
  <sheetPr>
    <pageSetUpPr fitToPage="1"/>
  </sheetPr>
  <dimension ref="B1:AQ308"/>
  <sheetViews>
    <sheetView view="pageBreakPreview" topLeftCell="A4" zoomScale="90" zoomScaleNormal="100" zoomScaleSheetLayoutView="90" workbookViewId="0">
      <selection activeCell="G24" sqref="G24"/>
    </sheetView>
  </sheetViews>
  <sheetFormatPr defaultColWidth="8.81640625" defaultRowHeight="13" x14ac:dyDescent="0.3"/>
  <cols>
    <col min="1" max="1" width="1.7265625" style="17" customWidth="1"/>
    <col min="2" max="2" width="3" style="17" customWidth="1"/>
    <col min="3" max="4" width="1.81640625" style="17" customWidth="1"/>
    <col min="5" max="5" width="77.54296875" style="17" bestFit="1" customWidth="1"/>
    <col min="6" max="6" width="3.81640625" style="58" customWidth="1"/>
    <col min="7" max="7" width="15.7265625" style="17" customWidth="1"/>
    <col min="8" max="8" width="17" style="17" hidden="1" customWidth="1"/>
    <col min="9" max="11" width="15.7265625" style="17" hidden="1" customWidth="1"/>
    <col min="12" max="12" width="16.1796875" style="17" hidden="1" customWidth="1"/>
    <col min="13" max="16" width="15.7265625" style="17" hidden="1" customWidth="1"/>
    <col min="17" max="17" width="15.7265625" style="17" customWidth="1"/>
    <col min="18" max="19" width="15.7265625" style="17" hidden="1" customWidth="1"/>
    <col min="20" max="21" width="15.7265625" style="17" customWidth="1"/>
    <col min="22" max="30" width="15.7265625" style="17" hidden="1" customWidth="1"/>
    <col min="31" max="31" width="15.7265625" style="17" customWidth="1"/>
    <col min="32" max="33" width="15.7265625" style="17" hidden="1" customWidth="1"/>
    <col min="34" max="34" width="15.7265625" style="17" customWidth="1"/>
    <col min="35" max="35" width="3" style="17" customWidth="1"/>
    <col min="36" max="36" width="1.7265625" style="17" customWidth="1"/>
    <col min="37" max="37" width="16.453125" style="17" hidden="1" customWidth="1"/>
    <col min="38" max="38" width="12.54296875" style="17" hidden="1" customWidth="1"/>
    <col min="39" max="39" width="12" style="17" hidden="1" customWidth="1"/>
    <col min="40" max="40" width="4.453125" style="17" bestFit="1" customWidth="1"/>
    <col min="41" max="41" width="12.453125" style="17" bestFit="1" customWidth="1"/>
    <col min="42" max="42" width="8" style="17" customWidth="1"/>
    <col min="43" max="43" width="11.1796875" style="17" bestFit="1" customWidth="1"/>
    <col min="44" max="16384" width="8.81640625" style="17"/>
  </cols>
  <sheetData>
    <row r="1" spans="2:43" hidden="1" x14ac:dyDescent="0.3">
      <c r="E1" s="136"/>
      <c r="F1" s="166"/>
      <c r="N1" s="713"/>
      <c r="O1" s="713"/>
      <c r="Q1" s="713"/>
      <c r="R1" s="714"/>
      <c r="T1" s="715"/>
    </row>
    <row r="2" spans="2:43" hidden="1" x14ac:dyDescent="0.3">
      <c r="K2" s="713"/>
      <c r="L2" s="714"/>
      <c r="M2" s="714"/>
      <c r="N2" s="713"/>
      <c r="O2" s="713"/>
      <c r="Q2" s="713"/>
      <c r="T2" s="716"/>
    </row>
    <row r="3" spans="2:43" hidden="1" x14ac:dyDescent="0.3">
      <c r="K3" s="706"/>
      <c r="L3" s="714"/>
      <c r="M3" s="717"/>
      <c r="N3" s="713"/>
      <c r="O3" s="714"/>
      <c r="P3" s="714"/>
      <c r="Q3" s="714"/>
      <c r="R3" s="714"/>
      <c r="S3" s="714"/>
      <c r="T3" s="714"/>
    </row>
    <row r="4" spans="2:43" x14ac:dyDescent="0.3">
      <c r="T4" s="136"/>
    </row>
    <row r="5" spans="2:43" ht="15.5" x14ac:dyDescent="0.35">
      <c r="C5" s="5" t="s">
        <v>488</v>
      </c>
      <c r="AK5" s="136"/>
    </row>
    <row r="6" spans="2:43" x14ac:dyDescent="0.3">
      <c r="B6" s="454"/>
      <c r="C6" s="289"/>
      <c r="D6" s="718"/>
      <c r="E6" s="718"/>
      <c r="F6" s="719"/>
      <c r="G6" s="583" t="s">
        <v>1</v>
      </c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1"/>
      <c r="U6" s="583" t="s">
        <v>2</v>
      </c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2"/>
      <c r="AI6" s="16"/>
    </row>
    <row r="7" spans="2:43" ht="15.75" customHeight="1" x14ac:dyDescent="0.3">
      <c r="B7" s="454"/>
      <c r="C7" s="14"/>
      <c r="D7" s="6"/>
      <c r="E7" s="6"/>
      <c r="F7" s="50"/>
      <c r="G7" s="293" t="s">
        <v>3</v>
      </c>
      <c r="H7" s="306" t="s">
        <v>4</v>
      </c>
      <c r="I7" s="306" t="s">
        <v>5</v>
      </c>
      <c r="J7" s="306" t="s">
        <v>6</v>
      </c>
      <c r="K7" s="306" t="s">
        <v>7</v>
      </c>
      <c r="L7" s="293" t="s">
        <v>8</v>
      </c>
      <c r="M7" s="293" t="s">
        <v>9</v>
      </c>
      <c r="N7" s="306" t="s">
        <v>10</v>
      </c>
      <c r="O7" s="293" t="s">
        <v>11</v>
      </c>
      <c r="P7" s="306" t="s">
        <v>12</v>
      </c>
      <c r="Q7" s="293" t="s">
        <v>13</v>
      </c>
      <c r="R7" s="306" t="s">
        <v>14</v>
      </c>
      <c r="S7" s="293" t="s">
        <v>15</v>
      </c>
      <c r="T7" s="293" t="s">
        <v>16</v>
      </c>
      <c r="U7" s="293" t="s">
        <v>17</v>
      </c>
      <c r="V7" s="292" t="s">
        <v>4</v>
      </c>
      <c r="W7" s="306" t="s">
        <v>5</v>
      </c>
      <c r="X7" s="306" t="s">
        <v>6</v>
      </c>
      <c r="Y7" s="306" t="s">
        <v>7</v>
      </c>
      <c r="Z7" s="293" t="s">
        <v>8</v>
      </c>
      <c r="AA7" s="293" t="s">
        <v>9</v>
      </c>
      <c r="AB7" s="306" t="s">
        <v>10</v>
      </c>
      <c r="AC7" s="293" t="s">
        <v>11</v>
      </c>
      <c r="AD7" s="306" t="s">
        <v>12</v>
      </c>
      <c r="AE7" s="293" t="s">
        <v>13</v>
      </c>
      <c r="AF7" s="306" t="s">
        <v>14</v>
      </c>
      <c r="AG7" s="293" t="s">
        <v>15</v>
      </c>
      <c r="AH7" s="723" t="s">
        <v>16</v>
      </c>
      <c r="AI7" s="16"/>
      <c r="AK7" s="717"/>
      <c r="AO7" s="6"/>
    </row>
    <row r="8" spans="2:43" x14ac:dyDescent="0.3">
      <c r="B8" s="454"/>
      <c r="C8" s="25" t="s">
        <v>18</v>
      </c>
      <c r="D8" s="26"/>
      <c r="E8" s="26"/>
      <c r="F8" s="30"/>
      <c r="G8" s="724" t="s">
        <v>20</v>
      </c>
      <c r="H8" s="31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31" t="s">
        <v>45</v>
      </c>
      <c r="V8" s="298"/>
      <c r="W8" s="725"/>
      <c r="X8" s="725"/>
      <c r="Y8" s="725"/>
      <c r="Z8" s="27"/>
      <c r="AA8" s="725"/>
      <c r="AB8" s="725"/>
      <c r="AC8" s="725"/>
      <c r="AD8" s="725"/>
      <c r="AE8" s="725"/>
      <c r="AF8" s="725"/>
      <c r="AG8" s="725"/>
      <c r="AH8" s="726"/>
      <c r="AI8" s="16"/>
      <c r="AK8" s="166"/>
    </row>
    <row r="9" spans="2:43" x14ac:dyDescent="0.3">
      <c r="B9" s="454"/>
      <c r="C9" s="16"/>
      <c r="G9" s="51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51"/>
      <c r="V9" s="51"/>
      <c r="W9" s="727"/>
      <c r="X9" s="727"/>
      <c r="Y9" s="727"/>
      <c r="Z9" s="51"/>
      <c r="AA9" s="727"/>
      <c r="AB9" s="727"/>
      <c r="AC9" s="727"/>
      <c r="AD9" s="727"/>
      <c r="AE9" s="727"/>
      <c r="AF9" s="727"/>
      <c r="AG9" s="727"/>
      <c r="AH9" s="728"/>
      <c r="AI9" s="16"/>
      <c r="AK9" s="166"/>
    </row>
    <row r="10" spans="2:43" x14ac:dyDescent="0.3">
      <c r="B10" s="454"/>
      <c r="C10" s="14" t="s">
        <v>489</v>
      </c>
      <c r="D10" s="6"/>
      <c r="E10" s="6"/>
      <c r="F10" s="76" t="s">
        <v>490</v>
      </c>
      <c r="G10" s="729">
        <f>+'[1]Statement 1'!$H$116</f>
        <v>1694492121.8660131</v>
      </c>
      <c r="H10" s="729">
        <f>92817465+[45]original!$G$6</f>
        <v>92847271</v>
      </c>
      <c r="I10" s="729">
        <f>106249482+[46]original!$H$6</f>
        <v>106851114</v>
      </c>
      <c r="J10" s="729">
        <f>233218002+[47]original!$I$6</f>
        <v>233315663</v>
      </c>
      <c r="K10" s="729">
        <f>86253244+[48]original!$J$6</f>
        <v>86471073</v>
      </c>
      <c r="L10" s="729">
        <f>138536544+[49]original!$K$6</f>
        <v>138642535</v>
      </c>
      <c r="M10" s="729">
        <f>134877345+[50]original!$L$6</f>
        <v>135828201</v>
      </c>
      <c r="N10" s="729">
        <f>104930658+[44]original!$M$6</f>
        <v>105754758</v>
      </c>
      <c r="O10" s="729">
        <f>108550295+[51]original!$N$6</f>
        <v>108956894</v>
      </c>
      <c r="P10" s="729">
        <f>231764166+[52]original!$O$6</f>
        <v>232006219</v>
      </c>
      <c r="Q10" s="729">
        <f>113890848+[53]original!$P$6</f>
        <v>114088304</v>
      </c>
      <c r="R10" s="729">
        <v>0</v>
      </c>
      <c r="S10" s="729">
        <v>0</v>
      </c>
      <c r="T10" s="729">
        <f>SUM(H10:S10)</f>
        <v>1354762032</v>
      </c>
      <c r="U10" s="729">
        <f>+'[1]Statement 1'!$V$142</f>
        <v>1565381025.0421999</v>
      </c>
      <c r="V10" s="729">
        <v>85753800</v>
      </c>
      <c r="W10" s="729">
        <v>96174024</v>
      </c>
      <c r="X10" s="729">
        <v>205314615</v>
      </c>
      <c r="Y10" s="729">
        <v>79590444</v>
      </c>
      <c r="Z10" s="729">
        <v>123281595</v>
      </c>
      <c r="AA10" s="729">
        <v>134627956</v>
      </c>
      <c r="AB10" s="729">
        <v>98747755</v>
      </c>
      <c r="AC10" s="729">
        <v>109994082</v>
      </c>
      <c r="AD10" s="729">
        <v>212619040</v>
      </c>
      <c r="AE10" s="729">
        <v>105095721</v>
      </c>
      <c r="AF10" s="729">
        <v>151890431</v>
      </c>
      <c r="AG10" s="729">
        <v>162301044</v>
      </c>
      <c r="AH10" s="730">
        <f>SUM(V10:AE10)</f>
        <v>1251199032</v>
      </c>
      <c r="AI10" s="46"/>
      <c r="AJ10" s="58"/>
      <c r="AK10" s="166">
        <f>AH10-U10</f>
        <v>-314181993.04219985</v>
      </c>
      <c r="AL10" s="136">
        <f t="shared" ref="AL10:AL22" si="0">SUM(V10:AG10)-AH10</f>
        <v>314191475</v>
      </c>
      <c r="AM10" s="136">
        <f>U10-AH10</f>
        <v>314181993.04219985</v>
      </c>
      <c r="AN10" s="717"/>
      <c r="AO10" s="136"/>
    </row>
    <row r="11" spans="2:43" x14ac:dyDescent="0.3">
      <c r="B11" s="454"/>
      <c r="C11" s="14"/>
      <c r="D11" s="6"/>
      <c r="E11" s="6"/>
      <c r="G11" s="731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31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29"/>
      <c r="AH11" s="730"/>
      <c r="AI11" s="46"/>
      <c r="AJ11" s="58"/>
      <c r="AK11" s="166"/>
      <c r="AL11" s="136"/>
      <c r="AM11" s="136"/>
      <c r="AO11" s="136"/>
    </row>
    <row r="12" spans="2:43" x14ac:dyDescent="0.3">
      <c r="B12" s="454"/>
      <c r="C12" s="14" t="s">
        <v>491</v>
      </c>
      <c r="D12" s="6"/>
      <c r="E12" s="6"/>
      <c r="F12" s="76" t="s">
        <v>492</v>
      </c>
      <c r="G12" s="731">
        <f>G14+G16+G25+G26+G27+G28+G29+G30</f>
        <v>2018227823</v>
      </c>
      <c r="H12" s="731">
        <f>170709735-[45]original!$G$40</f>
        <v>170893097</v>
      </c>
      <c r="I12" s="731">
        <f>129433373-[46]original!$H$40</f>
        <v>129493771</v>
      </c>
      <c r="J12" s="731">
        <f>155879670-[47]original!$I$40</f>
        <v>155898871</v>
      </c>
      <c r="K12" s="731">
        <f>223190860-[48]original!$J$40</f>
        <v>223190869</v>
      </c>
      <c r="L12" s="731">
        <f>175720296-[49]original!$K$40</f>
        <v>175720414</v>
      </c>
      <c r="M12" s="731">
        <f>140691114-[50]original!$L$40</f>
        <v>140691138</v>
      </c>
      <c r="N12" s="731">
        <f>152454477-[44]original!$M$40</f>
        <v>152454496</v>
      </c>
      <c r="O12" s="731">
        <f>129795990-[51]original!$N$40</f>
        <v>129796015</v>
      </c>
      <c r="P12" s="731">
        <f>176186641-[52]original!$O$40</f>
        <v>176186688</v>
      </c>
      <c r="Q12" s="731">
        <f>220914831-[53]original!$P$40</f>
        <v>220914832</v>
      </c>
      <c r="R12" s="731">
        <v>0</v>
      </c>
      <c r="S12" s="731">
        <v>0</v>
      </c>
      <c r="T12" s="731">
        <f>SUM(H12:S12)</f>
        <v>1675240191</v>
      </c>
      <c r="U12" s="731">
        <f>+U14+U16</f>
        <v>1887451227</v>
      </c>
      <c r="V12" s="731">
        <v>160210362</v>
      </c>
      <c r="W12" s="731">
        <v>114101689</v>
      </c>
      <c r="X12" s="731">
        <v>138957780</v>
      </c>
      <c r="Y12" s="731">
        <v>219381354</v>
      </c>
      <c r="Z12" s="731">
        <v>165335782</v>
      </c>
      <c r="AA12" s="731">
        <v>132912471</v>
      </c>
      <c r="AB12" s="731">
        <v>136994474</v>
      </c>
      <c r="AC12" s="731">
        <v>121159072</v>
      </c>
      <c r="AD12" s="731">
        <v>170346057</v>
      </c>
      <c r="AE12" s="731">
        <v>166593931</v>
      </c>
      <c r="AF12" s="731">
        <v>175165547</v>
      </c>
      <c r="AG12" s="731">
        <v>182964224</v>
      </c>
      <c r="AH12" s="730">
        <f>SUM(V12:AE12)</f>
        <v>1525992972</v>
      </c>
      <c r="AI12" s="46"/>
      <c r="AJ12" s="166">
        <f>+AH14+AH16</f>
        <v>1525992972</v>
      </c>
      <c r="AK12" s="732">
        <f>AH12-U12</f>
        <v>-361458255</v>
      </c>
      <c r="AL12" s="136">
        <f t="shared" si="0"/>
        <v>358129771</v>
      </c>
      <c r="AM12" s="136">
        <f t="shared" ref="AM12:AM75" si="1">U12-AH12</f>
        <v>361458255</v>
      </c>
      <c r="AN12" s="717"/>
      <c r="AO12" s="136"/>
    </row>
    <row r="13" spans="2:43" x14ac:dyDescent="0.3">
      <c r="B13" s="454"/>
      <c r="C13" s="16"/>
      <c r="G13" s="733"/>
      <c r="H13" s="734"/>
      <c r="I13" s="734"/>
      <c r="J13" s="734"/>
      <c r="K13" s="734"/>
      <c r="L13" s="734"/>
      <c r="M13" s="734"/>
      <c r="N13" s="735"/>
      <c r="O13" s="734"/>
      <c r="P13" s="734"/>
      <c r="Q13" s="734"/>
      <c r="R13" s="734"/>
      <c r="S13" s="734"/>
      <c r="T13" s="734"/>
      <c r="U13" s="378"/>
      <c r="V13" s="734"/>
      <c r="W13" s="734"/>
      <c r="X13" s="734"/>
      <c r="Y13" s="734"/>
      <c r="Z13" s="734"/>
      <c r="AA13" s="734"/>
      <c r="AB13" s="735"/>
      <c r="AC13" s="734"/>
      <c r="AD13" s="734"/>
      <c r="AE13" s="734"/>
      <c r="AF13" s="734"/>
      <c r="AG13" s="734"/>
      <c r="AH13" s="736"/>
      <c r="AI13" s="46"/>
      <c r="AJ13" s="58"/>
      <c r="AK13" s="166"/>
      <c r="AL13" s="136"/>
      <c r="AM13" s="136"/>
      <c r="AN13" s="717"/>
      <c r="AO13" s="136"/>
    </row>
    <row r="14" spans="2:43" x14ac:dyDescent="0.3">
      <c r="B14" s="454"/>
      <c r="C14" s="16"/>
      <c r="D14" s="17" t="s">
        <v>493</v>
      </c>
      <c r="F14" s="76" t="s">
        <v>494</v>
      </c>
      <c r="G14" s="733">
        <f>+'[11]22-23'!$I$48</f>
        <v>1099035660</v>
      </c>
      <c r="H14" s="733">
        <f>+H12-H16</f>
        <v>117946848</v>
      </c>
      <c r="I14" s="734">
        <f>+I12-I16</f>
        <v>77960510</v>
      </c>
      <c r="J14" s="734">
        <f>+J12-J16</f>
        <v>77921602</v>
      </c>
      <c r="K14" s="734">
        <f>+K12-K16</f>
        <v>128600239</v>
      </c>
      <c r="L14" s="734">
        <f t="shared" ref="L14:S14" si="2">+L12-L16</f>
        <v>81852199</v>
      </c>
      <c r="M14" s="734">
        <f t="shared" si="2"/>
        <v>67603377</v>
      </c>
      <c r="N14" s="734">
        <f t="shared" si="2"/>
        <v>98377109</v>
      </c>
      <c r="O14" s="734">
        <f>+O12-O16</f>
        <v>76517006</v>
      </c>
      <c r="P14" s="734">
        <f t="shared" si="2"/>
        <v>91546294</v>
      </c>
      <c r="Q14" s="734">
        <f>+Q12-Q16</f>
        <v>113962856</v>
      </c>
      <c r="R14" s="734">
        <f>+R12-R16</f>
        <v>0</v>
      </c>
      <c r="S14" s="734">
        <f t="shared" si="2"/>
        <v>0</v>
      </c>
      <c r="T14" s="735">
        <f>SUM(H14:S14)</f>
        <v>932288040</v>
      </c>
      <c r="U14" s="378">
        <f>+'[21]21-22'!$I$48</f>
        <v>1031822641</v>
      </c>
      <c r="V14" s="733">
        <f>+V12-V16</f>
        <v>111710758</v>
      </c>
      <c r="W14" s="734">
        <f t="shared" ref="W14:AG14" si="3">+W12-W16</f>
        <v>66840458</v>
      </c>
      <c r="X14" s="734">
        <f t="shared" si="3"/>
        <v>68509357</v>
      </c>
      <c r="Y14" s="734">
        <f t="shared" si="3"/>
        <v>131078583</v>
      </c>
      <c r="Z14" s="734">
        <f t="shared" si="3"/>
        <v>78683618</v>
      </c>
      <c r="AA14" s="734">
        <f t="shared" si="3"/>
        <v>62622349</v>
      </c>
      <c r="AB14" s="734">
        <f t="shared" si="3"/>
        <v>84501502</v>
      </c>
      <c r="AC14" s="734">
        <f t="shared" si="3"/>
        <v>73159642</v>
      </c>
      <c r="AD14" s="734">
        <f t="shared" si="3"/>
        <v>90643538</v>
      </c>
      <c r="AE14" s="734">
        <f t="shared" si="3"/>
        <v>77520738</v>
      </c>
      <c r="AF14" s="734">
        <f t="shared" si="3"/>
        <v>82451588</v>
      </c>
      <c r="AG14" s="734">
        <f t="shared" si="3"/>
        <v>105789709</v>
      </c>
      <c r="AH14" s="737">
        <f>SUM(V14:AE14)</f>
        <v>845270543</v>
      </c>
      <c r="AI14" s="46"/>
      <c r="AJ14" s="58"/>
      <c r="AK14" s="166">
        <f>AH14-U14</f>
        <v>-186552098</v>
      </c>
      <c r="AL14" s="136">
        <f>SUM(V14:AG14)-AH14</f>
        <v>188241297</v>
      </c>
      <c r="AM14" s="136">
        <f t="shared" si="1"/>
        <v>186552098</v>
      </c>
      <c r="AN14" s="717"/>
      <c r="AO14" s="136"/>
    </row>
    <row r="15" spans="2:43" x14ac:dyDescent="0.3">
      <c r="B15" s="454"/>
      <c r="C15" s="16"/>
      <c r="G15" s="733"/>
      <c r="H15" s="734"/>
      <c r="I15" s="734"/>
      <c r="J15" s="734"/>
      <c r="K15" s="734"/>
      <c r="L15" s="734"/>
      <c r="M15" s="734"/>
      <c r="N15" s="735"/>
      <c r="O15" s="734"/>
      <c r="P15" s="734"/>
      <c r="Q15" s="734"/>
      <c r="R15" s="734"/>
      <c r="S15" s="734"/>
      <c r="T15" s="734"/>
      <c r="U15" s="378"/>
      <c r="V15" s="734"/>
      <c r="W15" s="734"/>
      <c r="X15" s="734"/>
      <c r="Y15" s="734"/>
      <c r="Z15" s="734"/>
      <c r="AA15" s="734"/>
      <c r="AB15" s="735"/>
      <c r="AC15" s="734"/>
      <c r="AD15" s="734"/>
      <c r="AE15" s="734"/>
      <c r="AF15" s="734"/>
      <c r="AG15" s="734"/>
      <c r="AH15" s="736"/>
      <c r="AI15" s="46"/>
      <c r="AJ15" s="58"/>
      <c r="AK15" s="166"/>
      <c r="AL15" s="136"/>
      <c r="AM15" s="136"/>
      <c r="AN15" s="717"/>
      <c r="AO15" s="136"/>
    </row>
    <row r="16" spans="2:43" s="6" customFormat="1" x14ac:dyDescent="0.3">
      <c r="B16" s="738"/>
      <c r="C16" s="14"/>
      <c r="D16" s="6" t="s">
        <v>495</v>
      </c>
      <c r="F16" s="50"/>
      <c r="G16" s="739">
        <f>SUM(G17:G24)-G22</f>
        <v>919958997</v>
      </c>
      <c r="H16" s="740">
        <f>SUM(H17:H21)</f>
        <v>52946249</v>
      </c>
      <c r="I16" s="740">
        <f>SUM(I17:I21)</f>
        <v>51533261</v>
      </c>
      <c r="J16" s="740">
        <f t="shared" ref="J16:O16" si="4">SUM(J17:J21)</f>
        <v>77977269</v>
      </c>
      <c r="K16" s="740">
        <f t="shared" si="4"/>
        <v>94590630</v>
      </c>
      <c r="L16" s="740">
        <f t="shared" si="4"/>
        <v>93868215</v>
      </c>
      <c r="M16" s="740">
        <f t="shared" si="4"/>
        <v>73087761</v>
      </c>
      <c r="N16" s="729">
        <f t="shared" si="4"/>
        <v>54077387</v>
      </c>
      <c r="O16" s="740">
        <f t="shared" si="4"/>
        <v>53279009</v>
      </c>
      <c r="P16" s="740">
        <f>SUM(P17:P21)</f>
        <v>84640394</v>
      </c>
      <c r="Q16" s="740">
        <f>SUM(Q17:Q22)</f>
        <v>106951976</v>
      </c>
      <c r="R16" s="740">
        <f>SUM(R17:R21)</f>
        <v>0</v>
      </c>
      <c r="S16" s="740">
        <f>SUM(S17:S21)</f>
        <v>0</v>
      </c>
      <c r="T16" s="740">
        <f>SUM(T17:T22)-T22</f>
        <v>742952151</v>
      </c>
      <c r="U16" s="740">
        <f>SUM(U17:U22)</f>
        <v>855628586</v>
      </c>
      <c r="V16" s="740">
        <f>SUM(V17:V22)</f>
        <v>48499604</v>
      </c>
      <c r="W16" s="740">
        <f>SUM(W17:W21)</f>
        <v>47261231</v>
      </c>
      <c r="X16" s="740">
        <f t="shared" ref="X16:AG16" si="5">SUM(X17:X21)</f>
        <v>70448423</v>
      </c>
      <c r="Y16" s="740">
        <f t="shared" si="5"/>
        <v>88302771</v>
      </c>
      <c r="Z16" s="740">
        <f t="shared" si="5"/>
        <v>86652164</v>
      </c>
      <c r="AA16" s="740">
        <f>SUM(AA17:AA22)-AA22</f>
        <v>70290122</v>
      </c>
      <c r="AB16" s="729">
        <f t="shared" si="5"/>
        <v>52492972</v>
      </c>
      <c r="AC16" s="740">
        <f t="shared" si="5"/>
        <v>47999430</v>
      </c>
      <c r="AD16" s="740">
        <f t="shared" si="5"/>
        <v>79702519</v>
      </c>
      <c r="AE16" s="740">
        <f>SUM(AE17:AE21)</f>
        <v>89073193</v>
      </c>
      <c r="AF16" s="740">
        <f t="shared" si="5"/>
        <v>92713959</v>
      </c>
      <c r="AG16" s="740">
        <f t="shared" si="5"/>
        <v>77174515</v>
      </c>
      <c r="AH16" s="741">
        <f>SUM(AH17:AH22)-AH22</f>
        <v>680722429</v>
      </c>
      <c r="AI16" s="97"/>
      <c r="AJ16" s="50"/>
      <c r="AK16" s="166">
        <f>AH16-U16</f>
        <v>-174906157</v>
      </c>
      <c r="AL16" s="136">
        <f t="shared" si="0"/>
        <v>169888474</v>
      </c>
      <c r="AM16" s="136">
        <f t="shared" si="1"/>
        <v>174906157</v>
      </c>
      <c r="AN16" s="717"/>
      <c r="AO16" s="136"/>
      <c r="AQ16" s="42"/>
    </row>
    <row r="17" spans="2:43" x14ac:dyDescent="0.3">
      <c r="B17" s="454"/>
      <c r="C17" s="16"/>
      <c r="E17" s="17" t="s">
        <v>26</v>
      </c>
      <c r="F17" s="742"/>
      <c r="G17" s="733">
        <f>'[11]22-23'!$I$53</f>
        <v>307738809</v>
      </c>
      <c r="H17" s="734">
        <v>3721160</v>
      </c>
      <c r="I17" s="734">
        <v>2275266</v>
      </c>
      <c r="J17" s="734">
        <v>29876288</v>
      </c>
      <c r="K17" s="734">
        <v>46420658</v>
      </c>
      <c r="L17" s="734">
        <v>40543167</v>
      </c>
      <c r="M17" s="734">
        <v>24956108</v>
      </c>
      <c r="N17" s="734">
        <f>5829365+7837</f>
        <v>5837202</v>
      </c>
      <c r="O17" s="734">
        <v>4022120</v>
      </c>
      <c r="P17" s="734">
        <v>30525535</v>
      </c>
      <c r="Q17" s="734">
        <v>49904931</v>
      </c>
      <c r="R17" s="734">
        <v>0</v>
      </c>
      <c r="S17" s="734">
        <v>0</v>
      </c>
      <c r="T17" s="735">
        <f>SUM(H17:S17)</f>
        <v>238082435</v>
      </c>
      <c r="U17" s="735">
        <f>+'[21]21-22'!$I$53</f>
        <v>268071602</v>
      </c>
      <c r="V17" s="734">
        <v>3056124</v>
      </c>
      <c r="W17" s="734">
        <v>1776935</v>
      </c>
      <c r="X17" s="734">
        <v>24998657</v>
      </c>
      <c r="Y17" s="734">
        <v>42852890</v>
      </c>
      <c r="Z17" s="734">
        <v>36300005</v>
      </c>
      <c r="AA17" s="734">
        <v>24540931</v>
      </c>
      <c r="AB17" s="735">
        <v>-226643</v>
      </c>
      <c r="AC17" s="734">
        <v>1955814</v>
      </c>
      <c r="AD17" s="734">
        <v>29097954</v>
      </c>
      <c r="AE17" s="734">
        <v>43407779</v>
      </c>
      <c r="AF17" s="734">
        <v>37890810</v>
      </c>
      <c r="AG17" s="734">
        <v>22420035</v>
      </c>
      <c r="AH17" s="737">
        <f t="shared" ref="AH17:AH30" si="6">SUM(V17:AE17)</f>
        <v>207760446</v>
      </c>
      <c r="AI17" s="46"/>
      <c r="AJ17" s="58"/>
      <c r="AK17" s="166">
        <f>AH17-U17</f>
        <v>-60311156</v>
      </c>
      <c r="AL17" s="136">
        <f t="shared" si="0"/>
        <v>60310845</v>
      </c>
      <c r="AM17" s="136">
        <f t="shared" si="1"/>
        <v>60311156</v>
      </c>
      <c r="AN17" s="717"/>
      <c r="AO17" s="136"/>
    </row>
    <row r="18" spans="2:43" x14ac:dyDescent="0.3">
      <c r="B18" s="454"/>
      <c r="C18" s="16"/>
      <c r="E18" s="17" t="s">
        <v>27</v>
      </c>
      <c r="F18" s="166"/>
      <c r="G18" s="733">
        <f>'[11]22-23'!$I$56</f>
        <v>570868206</v>
      </c>
      <c r="H18" s="734">
        <v>46729733</v>
      </c>
      <c r="I18" s="734">
        <v>46729733</v>
      </c>
      <c r="J18" s="734">
        <v>46729733</v>
      </c>
      <c r="K18" s="734">
        <v>46729733</v>
      </c>
      <c r="L18" s="734">
        <v>46729733</v>
      </c>
      <c r="M18" s="734">
        <v>46729733</v>
      </c>
      <c r="N18" s="734">
        <v>46729733</v>
      </c>
      <c r="O18" s="734">
        <v>46729733</v>
      </c>
      <c r="P18" s="734">
        <v>46729733</v>
      </c>
      <c r="Q18" s="734">
        <v>52815983</v>
      </c>
      <c r="R18" s="734">
        <v>0</v>
      </c>
      <c r="S18" s="734">
        <v>0</v>
      </c>
      <c r="T18" s="735">
        <f>SUM(H18:S18)</f>
        <v>473383580</v>
      </c>
      <c r="U18" s="735">
        <f>+'[21]21-22'!$I$56</f>
        <v>544834911</v>
      </c>
      <c r="V18" s="734">
        <v>43640529</v>
      </c>
      <c r="W18" s="734">
        <v>43640529</v>
      </c>
      <c r="X18" s="734">
        <v>43640529</v>
      </c>
      <c r="Y18" s="734">
        <v>43640529</v>
      </c>
      <c r="Z18" s="734">
        <v>43640529</v>
      </c>
      <c r="AA18" s="734">
        <v>43640529</v>
      </c>
      <c r="AB18" s="735">
        <v>50993065</v>
      </c>
      <c r="AC18" s="734">
        <v>43640529</v>
      </c>
      <c r="AD18" s="734">
        <v>43640529</v>
      </c>
      <c r="AE18" s="734">
        <v>43640530</v>
      </c>
      <c r="AF18" s="734">
        <v>52837880</v>
      </c>
      <c r="AG18" s="734">
        <v>48239204</v>
      </c>
      <c r="AH18" s="737">
        <f t="shared" si="6"/>
        <v>443757827</v>
      </c>
      <c r="AI18" s="46"/>
      <c r="AJ18" s="58"/>
      <c r="AK18" s="166">
        <f t="shared" ref="AK18:AK81" si="7">AH18-U18</f>
        <v>-101077084</v>
      </c>
      <c r="AL18" s="136">
        <f t="shared" si="0"/>
        <v>101077084</v>
      </c>
      <c r="AM18" s="136">
        <f t="shared" si="1"/>
        <v>101077084</v>
      </c>
      <c r="AN18" s="717"/>
      <c r="AO18" s="136"/>
    </row>
    <row r="19" spans="2:43" ht="14.65" customHeight="1" x14ac:dyDescent="0.3">
      <c r="B19" s="454"/>
      <c r="C19" s="16"/>
      <c r="E19" s="17" t="s">
        <v>28</v>
      </c>
      <c r="G19" s="733">
        <f>'[11]22-23'!$I$57</f>
        <v>15334823</v>
      </c>
      <c r="H19" s="734">
        <v>0</v>
      </c>
      <c r="I19" s="734">
        <v>0</v>
      </c>
      <c r="J19" s="734">
        <v>0</v>
      </c>
      <c r="K19" s="734">
        <v>0</v>
      </c>
      <c r="L19" s="734">
        <v>5111607</v>
      </c>
      <c r="M19" s="734">
        <v>0</v>
      </c>
      <c r="N19" s="734">
        <v>0</v>
      </c>
      <c r="O19" s="734">
        <v>0</v>
      </c>
      <c r="P19" s="734">
        <v>5111607</v>
      </c>
      <c r="Q19" s="734">
        <v>0</v>
      </c>
      <c r="R19" s="734">
        <v>0</v>
      </c>
      <c r="S19" s="734">
        <v>0</v>
      </c>
      <c r="T19" s="735">
        <f t="shared" ref="T19:T20" si="8">SUM(H19:S19)</f>
        <v>10223214</v>
      </c>
      <c r="U19" s="735">
        <f>+'[21]21-22'!$I$57</f>
        <v>14617279</v>
      </c>
      <c r="V19" s="734">
        <v>0</v>
      </c>
      <c r="W19" s="734">
        <v>0</v>
      </c>
      <c r="X19" s="734">
        <v>0</v>
      </c>
      <c r="Y19" s="734">
        <v>0</v>
      </c>
      <c r="Z19" s="734">
        <v>4902476</v>
      </c>
      <c r="AA19" s="734">
        <v>0</v>
      </c>
      <c r="AB19" s="735">
        <v>0</v>
      </c>
      <c r="AC19" s="734">
        <v>0</v>
      </c>
      <c r="AD19" s="734">
        <v>4872427</v>
      </c>
      <c r="AE19" s="734">
        <v>0</v>
      </c>
      <c r="AF19" s="734">
        <v>0</v>
      </c>
      <c r="AG19" s="734">
        <v>4842376</v>
      </c>
      <c r="AH19" s="737">
        <f t="shared" si="6"/>
        <v>9774903</v>
      </c>
      <c r="AI19" s="46"/>
      <c r="AJ19" s="58"/>
      <c r="AK19" s="166">
        <f t="shared" si="7"/>
        <v>-4842376</v>
      </c>
      <c r="AL19" s="136">
        <f t="shared" si="0"/>
        <v>4842376</v>
      </c>
      <c r="AM19" s="136">
        <f t="shared" si="1"/>
        <v>4842376</v>
      </c>
      <c r="AN19" s="717"/>
      <c r="AO19" s="136"/>
    </row>
    <row r="20" spans="2:43" ht="14.65" customHeight="1" x14ac:dyDescent="0.3">
      <c r="B20" s="454"/>
      <c r="C20" s="16"/>
      <c r="E20" s="17" t="s">
        <v>496</v>
      </c>
      <c r="G20" s="733">
        <f>+'[11]22-23'!$I$63</f>
        <v>21238137</v>
      </c>
      <c r="H20" s="734">
        <v>2180969</v>
      </c>
      <c r="I20" s="734">
        <v>2172623</v>
      </c>
      <c r="J20" s="734">
        <v>1043474</v>
      </c>
      <c r="K20" s="734">
        <v>1083605</v>
      </c>
      <c r="L20" s="734">
        <v>1151215</v>
      </c>
      <c r="M20" s="734">
        <v>1061881</v>
      </c>
      <c r="N20" s="734">
        <v>1168608</v>
      </c>
      <c r="O20" s="734">
        <v>2193502</v>
      </c>
      <c r="P20" s="734">
        <v>1934818</v>
      </c>
      <c r="Q20" s="734">
        <v>3849703</v>
      </c>
      <c r="R20" s="734">
        <v>0</v>
      </c>
      <c r="S20" s="734">
        <v>0</v>
      </c>
      <c r="T20" s="735">
        <f t="shared" si="8"/>
        <v>17840398</v>
      </c>
      <c r="U20" s="735">
        <f>+'[21]21-22'!$I$65</f>
        <v>19011610</v>
      </c>
      <c r="V20" s="734">
        <v>1484405</v>
      </c>
      <c r="W20" s="734">
        <v>1484405</v>
      </c>
      <c r="X20" s="734">
        <v>1484405</v>
      </c>
      <c r="Y20" s="734">
        <v>1484405</v>
      </c>
      <c r="Z20" s="734">
        <v>1484405</v>
      </c>
      <c r="AA20" s="734">
        <v>1784405</v>
      </c>
      <c r="AB20" s="735">
        <v>1484405</v>
      </c>
      <c r="AC20" s="734">
        <v>1984405</v>
      </c>
      <c r="AD20" s="734">
        <v>1684405</v>
      </c>
      <c r="AE20" s="734">
        <v>1684405</v>
      </c>
      <c r="AF20" s="734">
        <v>1629405</v>
      </c>
      <c r="AG20" s="734">
        <v>1338155</v>
      </c>
      <c r="AH20" s="737">
        <f t="shared" si="6"/>
        <v>16044050</v>
      </c>
      <c r="AI20" s="46"/>
      <c r="AJ20" s="58"/>
      <c r="AK20" s="166">
        <f t="shared" si="7"/>
        <v>-2967560</v>
      </c>
      <c r="AL20" s="136">
        <f t="shared" si="0"/>
        <v>2967560</v>
      </c>
      <c r="AM20" s="136">
        <f t="shared" si="1"/>
        <v>2967560</v>
      </c>
      <c r="AN20" s="717"/>
      <c r="AO20" s="136"/>
    </row>
    <row r="21" spans="2:43" x14ac:dyDescent="0.3">
      <c r="B21" s="454"/>
      <c r="C21" s="16"/>
      <c r="E21" s="17" t="s">
        <v>30</v>
      </c>
      <c r="G21" s="733">
        <f>'[11]22-23'!$I$51+'[11]22-23'!$I$52++'[11]22-23'!$I$58+'[11]22-23'!$I$59+'[11]22-23'!$I$64+'[11]22-23'!$I$65+'[11]22-23'!$I$66</f>
        <v>4472765</v>
      </c>
      <c r="H21" s="734">
        <v>314387</v>
      </c>
      <c r="I21" s="734">
        <f>641+39309+42582+199437+73670</f>
        <v>355639</v>
      </c>
      <c r="J21" s="734">
        <f>641+39309+199375+88449</f>
        <v>327774</v>
      </c>
      <c r="K21" s="734">
        <f>641+39309+30000+199875+86809</f>
        <v>356634</v>
      </c>
      <c r="L21" s="734">
        <f>641+39309+199695+92848</f>
        <v>332493</v>
      </c>
      <c r="M21" s="734">
        <f>641+39309+199567+100522</f>
        <v>340039</v>
      </c>
      <c r="N21" s="734">
        <f>641+39309+199875+102019</f>
        <v>341844</v>
      </c>
      <c r="O21" s="734">
        <v>333654</v>
      </c>
      <c r="P21" s="734">
        <v>338701</v>
      </c>
      <c r="Q21" s="734">
        <v>381359</v>
      </c>
      <c r="R21" s="734">
        <v>0</v>
      </c>
      <c r="S21" s="734">
        <v>0</v>
      </c>
      <c r="T21" s="735">
        <f>SUM(H21:S21)</f>
        <v>3422524</v>
      </c>
      <c r="U21" s="735">
        <f>+'[21]21-22'!$I$51+'[21]21-22'!$I$52+'[21]21-22'!$I$58+'[21]21-22'!$I$59+'[21]21-22'!$I$66+'[21]21-22'!$I$67+'[21]21-22'!$I$68</f>
        <v>6062298</v>
      </c>
      <c r="V21" s="734">
        <v>318546</v>
      </c>
      <c r="W21" s="734">
        <v>359362</v>
      </c>
      <c r="X21" s="734">
        <v>324832</v>
      </c>
      <c r="Y21" s="734">
        <v>324947</v>
      </c>
      <c r="Z21" s="734">
        <v>324749</v>
      </c>
      <c r="AA21" s="734">
        <v>324257</v>
      </c>
      <c r="AB21" s="735">
        <v>242145</v>
      </c>
      <c r="AC21" s="734">
        <v>418682</v>
      </c>
      <c r="AD21" s="734">
        <v>407204</v>
      </c>
      <c r="AE21" s="734">
        <v>340479</v>
      </c>
      <c r="AF21" s="734">
        <v>355864</v>
      </c>
      <c r="AG21" s="734">
        <v>334745</v>
      </c>
      <c r="AH21" s="737">
        <f t="shared" si="6"/>
        <v>3385203</v>
      </c>
      <c r="AI21" s="46"/>
      <c r="AJ21" s="58"/>
      <c r="AK21" s="166">
        <f t="shared" si="7"/>
        <v>-2677095</v>
      </c>
      <c r="AL21" s="136">
        <f t="shared" si="0"/>
        <v>690609</v>
      </c>
      <c r="AM21" s="136">
        <f t="shared" si="1"/>
        <v>2677095</v>
      </c>
      <c r="AN21" s="717"/>
      <c r="AO21" s="136"/>
    </row>
    <row r="22" spans="2:43" x14ac:dyDescent="0.3">
      <c r="B22" s="454"/>
      <c r="D22" s="6"/>
      <c r="E22" s="80" t="s">
        <v>31</v>
      </c>
      <c r="G22" s="733">
        <f>SUM(G23:G24)</f>
        <v>306257</v>
      </c>
      <c r="H22" s="734">
        <v>0</v>
      </c>
      <c r="I22" s="743">
        <v>0</v>
      </c>
      <c r="J22" s="734">
        <v>0</v>
      </c>
      <c r="K22" s="740">
        <v>0</v>
      </c>
      <c r="L22" s="740">
        <v>0</v>
      </c>
      <c r="M22" s="734">
        <v>0</v>
      </c>
      <c r="N22" s="735">
        <v>0</v>
      </c>
      <c r="O22" s="734">
        <v>0</v>
      </c>
      <c r="P22" s="734">
        <v>0</v>
      </c>
      <c r="Q22" s="734">
        <v>0</v>
      </c>
      <c r="R22" s="734">
        <v>0</v>
      </c>
      <c r="S22" s="734">
        <v>0</v>
      </c>
      <c r="T22" s="735">
        <f t="shared" ref="T22:T30" si="9">SUM(H22:S22)</f>
        <v>0</v>
      </c>
      <c r="U22" s="378">
        <f>SUM(U23)</f>
        <v>3030886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2923000</v>
      </c>
      <c r="AF22" s="378">
        <v>0</v>
      </c>
      <c r="AG22" s="378">
        <v>0</v>
      </c>
      <c r="AH22" s="378">
        <f t="shared" si="6"/>
        <v>2923000</v>
      </c>
      <c r="AI22" s="46"/>
      <c r="AJ22" s="58"/>
      <c r="AK22" s="166"/>
      <c r="AL22" s="136">
        <f t="shared" si="0"/>
        <v>0</v>
      </c>
      <c r="AM22" s="136">
        <f t="shared" si="1"/>
        <v>107886</v>
      </c>
      <c r="AN22" s="717"/>
      <c r="AO22" s="136"/>
      <c r="AQ22" s="717"/>
    </row>
    <row r="23" spans="2:43" s="68" customFormat="1" x14ac:dyDescent="0.3">
      <c r="B23" s="744"/>
      <c r="D23" s="67"/>
      <c r="E23" s="86" t="str">
        <f>+'[21]21-22'!$B$63</f>
        <v>Denel (Public Enterprises)</v>
      </c>
      <c r="F23" s="76"/>
      <c r="G23" s="745">
        <f>+'[11]22-23'!$I$61</f>
        <v>204700</v>
      </c>
      <c r="H23" s="743">
        <v>0</v>
      </c>
      <c r="I23" s="743">
        <v>0</v>
      </c>
      <c r="J23" s="743">
        <v>0</v>
      </c>
      <c r="K23" s="746">
        <v>0</v>
      </c>
      <c r="L23" s="746">
        <v>0</v>
      </c>
      <c r="M23" s="743">
        <v>0</v>
      </c>
      <c r="N23" s="747">
        <v>0</v>
      </c>
      <c r="O23" s="743">
        <v>0</v>
      </c>
      <c r="P23" s="743">
        <v>0</v>
      </c>
      <c r="Q23" s="743">
        <v>0</v>
      </c>
      <c r="R23" s="743">
        <v>0</v>
      </c>
      <c r="S23" s="743">
        <v>0</v>
      </c>
      <c r="T23" s="735">
        <f t="shared" si="9"/>
        <v>0</v>
      </c>
      <c r="U23" s="375">
        <f>+'[21]21-22'!$I$63</f>
        <v>3030886</v>
      </c>
      <c r="V23" s="743">
        <v>0</v>
      </c>
      <c r="W23" s="743">
        <v>0</v>
      </c>
      <c r="X23" s="743">
        <v>0</v>
      </c>
      <c r="Y23" s="743">
        <v>0</v>
      </c>
      <c r="Z23" s="743">
        <v>0</v>
      </c>
      <c r="AA23" s="743">
        <v>0</v>
      </c>
      <c r="AB23" s="375">
        <v>0</v>
      </c>
      <c r="AC23" s="743">
        <v>0</v>
      </c>
      <c r="AD23" s="743">
        <v>0</v>
      </c>
      <c r="AE23" s="743">
        <v>2923000</v>
      </c>
      <c r="AF23" s="743">
        <v>0</v>
      </c>
      <c r="AG23" s="743">
        <v>0</v>
      </c>
      <c r="AH23" s="748">
        <f t="shared" si="6"/>
        <v>2923000</v>
      </c>
      <c r="AI23" s="73"/>
      <c r="AJ23" s="76"/>
      <c r="AK23" s="199"/>
      <c r="AL23" s="159"/>
      <c r="AM23" s="159">
        <f>U23-AH23</f>
        <v>107886</v>
      </c>
      <c r="AN23" s="749"/>
      <c r="AO23" s="159"/>
    </row>
    <row r="24" spans="2:43" s="68" customFormat="1" x14ac:dyDescent="0.3">
      <c r="B24" s="744"/>
      <c r="D24" s="67"/>
      <c r="E24" s="86" t="str">
        <f>+'[11]22-23'!$B$62</f>
        <v>Land and Agriculture Development Bank of South Africa</v>
      </c>
      <c r="F24" s="76"/>
      <c r="G24" s="745">
        <f>+'[11]22-23'!$I$62</f>
        <v>101557</v>
      </c>
      <c r="H24" s="743"/>
      <c r="I24" s="743"/>
      <c r="J24" s="743"/>
      <c r="K24" s="746"/>
      <c r="L24" s="746"/>
      <c r="M24" s="743"/>
      <c r="N24" s="747"/>
      <c r="O24" s="743"/>
      <c r="P24" s="743">
        <v>0</v>
      </c>
      <c r="Q24" s="743">
        <v>0</v>
      </c>
      <c r="R24" s="743"/>
      <c r="S24" s="743"/>
      <c r="T24" s="735">
        <f t="shared" si="9"/>
        <v>0</v>
      </c>
      <c r="U24" s="375">
        <v>0</v>
      </c>
      <c r="V24" s="743"/>
      <c r="W24" s="743"/>
      <c r="X24" s="743"/>
      <c r="Y24" s="743"/>
      <c r="Z24" s="743"/>
      <c r="AA24" s="743"/>
      <c r="AB24" s="375"/>
      <c r="AC24" s="743"/>
      <c r="AD24" s="743">
        <v>0</v>
      </c>
      <c r="AE24" s="743">
        <v>0</v>
      </c>
      <c r="AF24" s="743"/>
      <c r="AG24" s="743"/>
      <c r="AH24" s="748">
        <f t="shared" si="6"/>
        <v>0</v>
      </c>
      <c r="AI24" s="73"/>
      <c r="AJ24" s="76"/>
      <c r="AK24" s="199"/>
      <c r="AL24" s="159"/>
      <c r="AM24" s="159"/>
      <c r="AN24" s="749"/>
      <c r="AO24" s="159"/>
    </row>
    <row r="25" spans="2:43" hidden="1" x14ac:dyDescent="0.3">
      <c r="B25" s="454"/>
      <c r="D25" s="17" t="s">
        <v>497</v>
      </c>
      <c r="E25" s="79"/>
      <c r="G25" s="733">
        <v>0</v>
      </c>
      <c r="H25" s="740"/>
      <c r="I25" s="740"/>
      <c r="J25" s="740"/>
      <c r="K25" s="740"/>
      <c r="L25" s="740"/>
      <c r="M25" s="734"/>
      <c r="N25" s="735">
        <v>0</v>
      </c>
      <c r="O25" s="734">
        <v>0</v>
      </c>
      <c r="P25" s="734">
        <v>0</v>
      </c>
      <c r="Q25" s="734">
        <v>0</v>
      </c>
      <c r="R25" s="734"/>
      <c r="S25" s="734"/>
      <c r="T25" s="735">
        <f t="shared" si="9"/>
        <v>0</v>
      </c>
      <c r="U25" s="378">
        <v>0</v>
      </c>
      <c r="V25" s="734"/>
      <c r="W25" s="734"/>
      <c r="X25" s="734"/>
      <c r="Y25" s="734"/>
      <c r="Z25" s="734"/>
      <c r="AA25" s="734"/>
      <c r="AB25" s="735">
        <v>0</v>
      </c>
      <c r="AC25" s="734">
        <v>0</v>
      </c>
      <c r="AD25" s="734">
        <v>0</v>
      </c>
      <c r="AE25" s="734">
        <v>0</v>
      </c>
      <c r="AF25" s="734"/>
      <c r="AG25" s="734"/>
      <c r="AH25" s="736">
        <f t="shared" si="6"/>
        <v>0</v>
      </c>
      <c r="AI25" s="46"/>
      <c r="AJ25" s="58"/>
      <c r="AK25" s="166"/>
      <c r="AL25" s="136"/>
      <c r="AM25" s="136"/>
      <c r="AN25" s="717"/>
      <c r="AO25" s="136"/>
    </row>
    <row r="26" spans="2:43" x14ac:dyDescent="0.3">
      <c r="B26" s="454"/>
      <c r="D26" s="17" t="str">
        <f>+'[12]22-23'!$A$65</f>
        <v>Provisional allocations not assigned to votes</v>
      </c>
      <c r="G26" s="733">
        <f>+'[11]22-23'!$I$70</f>
        <v>150509</v>
      </c>
      <c r="H26" s="734">
        <v>0</v>
      </c>
      <c r="I26" s="734">
        <v>0</v>
      </c>
      <c r="J26" s="734">
        <v>0</v>
      </c>
      <c r="K26" s="734">
        <v>0</v>
      </c>
      <c r="L26" s="734">
        <v>0</v>
      </c>
      <c r="M26" s="734">
        <v>0</v>
      </c>
      <c r="N26" s="735">
        <v>0</v>
      </c>
      <c r="O26" s="734">
        <v>0</v>
      </c>
      <c r="P26" s="734">
        <v>0</v>
      </c>
      <c r="Q26" s="734">
        <v>0</v>
      </c>
      <c r="R26" s="734">
        <v>0</v>
      </c>
      <c r="S26" s="734">
        <v>0</v>
      </c>
      <c r="T26" s="735">
        <f t="shared" si="9"/>
        <v>0</v>
      </c>
      <c r="U26" s="378">
        <v>0</v>
      </c>
      <c r="V26" s="734">
        <v>0</v>
      </c>
      <c r="W26" s="734">
        <v>0</v>
      </c>
      <c r="X26" s="734">
        <v>0</v>
      </c>
      <c r="Y26" s="734">
        <v>0</v>
      </c>
      <c r="Z26" s="734">
        <v>0</v>
      </c>
      <c r="AA26" s="734">
        <v>0</v>
      </c>
      <c r="AB26" s="735">
        <v>0</v>
      </c>
      <c r="AC26" s="734">
        <v>0</v>
      </c>
      <c r="AD26" s="734">
        <v>0</v>
      </c>
      <c r="AE26" s="734">
        <v>0</v>
      </c>
      <c r="AF26" s="734">
        <v>0</v>
      </c>
      <c r="AG26" s="734">
        <v>0</v>
      </c>
      <c r="AH26" s="736">
        <f t="shared" si="6"/>
        <v>0</v>
      </c>
      <c r="AI26" s="46"/>
      <c r="AJ26" s="58"/>
      <c r="AK26" s="166">
        <f>AH26-U26</f>
        <v>0</v>
      </c>
      <c r="AL26" s="136">
        <f>SUM(V26:AG26)-AH26</f>
        <v>0</v>
      </c>
      <c r="AM26" s="136">
        <f t="shared" si="1"/>
        <v>0</v>
      </c>
      <c r="AO26" s="136"/>
    </row>
    <row r="27" spans="2:43" s="6" customFormat="1" hidden="1" x14ac:dyDescent="0.3">
      <c r="B27" s="738"/>
      <c r="D27" s="325" t="str">
        <f>+'[12]22-23'!$A$66</f>
        <v>Infrastructure Fund not assigned to votes</v>
      </c>
      <c r="E27" s="17"/>
      <c r="F27" s="58"/>
      <c r="G27" s="733">
        <v>0</v>
      </c>
      <c r="H27" s="734">
        <v>0</v>
      </c>
      <c r="I27" s="734">
        <v>0</v>
      </c>
      <c r="J27" s="734">
        <v>0</v>
      </c>
      <c r="K27" s="734">
        <v>0</v>
      </c>
      <c r="L27" s="734">
        <v>0</v>
      </c>
      <c r="M27" s="734">
        <v>0</v>
      </c>
      <c r="N27" s="735">
        <v>0</v>
      </c>
      <c r="O27" s="734">
        <v>0</v>
      </c>
      <c r="P27" s="734">
        <v>0</v>
      </c>
      <c r="Q27" s="734">
        <v>0</v>
      </c>
      <c r="R27" s="734">
        <v>0</v>
      </c>
      <c r="S27" s="734">
        <v>0</v>
      </c>
      <c r="T27" s="735">
        <f t="shared" si="9"/>
        <v>0</v>
      </c>
      <c r="U27" s="735">
        <v>0</v>
      </c>
      <c r="V27" s="734">
        <v>0</v>
      </c>
      <c r="W27" s="734">
        <v>0</v>
      </c>
      <c r="X27" s="734">
        <v>0</v>
      </c>
      <c r="Y27" s="734">
        <v>0</v>
      </c>
      <c r="Z27" s="734">
        <v>0</v>
      </c>
      <c r="AA27" s="734">
        <v>0</v>
      </c>
      <c r="AB27" s="735">
        <v>0</v>
      </c>
      <c r="AC27" s="734">
        <v>0</v>
      </c>
      <c r="AD27" s="734">
        <v>0</v>
      </c>
      <c r="AE27" s="734">
        <v>0</v>
      </c>
      <c r="AF27" s="734">
        <v>0</v>
      </c>
      <c r="AG27" s="734"/>
      <c r="AH27" s="735">
        <f t="shared" si="6"/>
        <v>0</v>
      </c>
      <c r="AI27" s="97"/>
      <c r="AJ27" s="50"/>
      <c r="AK27" s="166"/>
      <c r="AL27" s="136"/>
      <c r="AM27" s="136">
        <f t="shared" si="1"/>
        <v>0</v>
      </c>
      <c r="AO27" s="136"/>
    </row>
    <row r="28" spans="2:43" s="6" customFormat="1" x14ac:dyDescent="0.3">
      <c r="B28" s="738"/>
      <c r="D28" s="325" t="str">
        <f>+'[18]22-23'!$A$71</f>
        <v>Contingency reserve</v>
      </c>
      <c r="E28" s="17"/>
      <c r="F28" s="58"/>
      <c r="G28" s="733">
        <f>+'[11]22-23'!$I$72</f>
        <v>5000000</v>
      </c>
      <c r="H28" s="734"/>
      <c r="I28" s="734"/>
      <c r="J28" s="734"/>
      <c r="K28" s="734"/>
      <c r="L28" s="734"/>
      <c r="M28" s="734"/>
      <c r="N28" s="735">
        <v>0</v>
      </c>
      <c r="O28" s="734">
        <v>0</v>
      </c>
      <c r="P28" s="734">
        <v>0</v>
      </c>
      <c r="Q28" s="734">
        <v>0</v>
      </c>
      <c r="R28" s="734"/>
      <c r="S28" s="734"/>
      <c r="T28" s="735">
        <f t="shared" si="9"/>
        <v>0</v>
      </c>
      <c r="U28" s="378">
        <v>0</v>
      </c>
      <c r="V28" s="734"/>
      <c r="W28" s="734"/>
      <c r="X28" s="734"/>
      <c r="Y28" s="734"/>
      <c r="Z28" s="734"/>
      <c r="AA28" s="734"/>
      <c r="AB28" s="735">
        <v>0</v>
      </c>
      <c r="AC28" s="734">
        <v>0</v>
      </c>
      <c r="AD28" s="734">
        <v>0</v>
      </c>
      <c r="AE28" s="734">
        <v>0</v>
      </c>
      <c r="AF28" s="734"/>
      <c r="AG28" s="734"/>
      <c r="AH28" s="378">
        <f t="shared" si="6"/>
        <v>0</v>
      </c>
      <c r="AI28" s="97"/>
      <c r="AJ28" s="50"/>
      <c r="AK28" s="166"/>
      <c r="AL28" s="136"/>
      <c r="AM28" s="136"/>
      <c r="AO28" s="136"/>
    </row>
    <row r="29" spans="2:43" s="6" customFormat="1" x14ac:dyDescent="0.3">
      <c r="B29" s="738"/>
      <c r="D29" s="325" t="str">
        <f>+'[18]22-23'!$A$72</f>
        <v>National government projected underspending</v>
      </c>
      <c r="E29" s="17"/>
      <c r="F29" s="58"/>
      <c r="G29" s="733">
        <f>+'[11]22-23'!$I$73</f>
        <v>-3917343</v>
      </c>
      <c r="H29" s="734">
        <v>0</v>
      </c>
      <c r="I29" s="734">
        <v>0</v>
      </c>
      <c r="J29" s="734">
        <v>0</v>
      </c>
      <c r="K29" s="734">
        <v>0</v>
      </c>
      <c r="L29" s="734">
        <v>0</v>
      </c>
      <c r="M29" s="734">
        <v>0</v>
      </c>
      <c r="N29" s="735">
        <v>0</v>
      </c>
      <c r="O29" s="734">
        <v>0</v>
      </c>
      <c r="P29" s="734">
        <v>0</v>
      </c>
      <c r="Q29" s="734">
        <v>0</v>
      </c>
      <c r="R29" s="734">
        <v>0</v>
      </c>
      <c r="S29" s="734">
        <v>0</v>
      </c>
      <c r="T29" s="735">
        <f>SUM(H29:S29)</f>
        <v>0</v>
      </c>
      <c r="U29" s="378">
        <v>0</v>
      </c>
      <c r="V29" s="734">
        <v>0</v>
      </c>
      <c r="W29" s="734">
        <v>0</v>
      </c>
      <c r="X29" s="734">
        <v>0</v>
      </c>
      <c r="Y29" s="734">
        <v>0</v>
      </c>
      <c r="Z29" s="734">
        <v>0</v>
      </c>
      <c r="AA29" s="734">
        <v>0</v>
      </c>
      <c r="AB29" s="735">
        <v>0</v>
      </c>
      <c r="AC29" s="734">
        <v>0</v>
      </c>
      <c r="AD29" s="734">
        <v>0</v>
      </c>
      <c r="AE29" s="734">
        <v>0</v>
      </c>
      <c r="AF29" s="734">
        <v>0</v>
      </c>
      <c r="AG29" s="734"/>
      <c r="AH29" s="378">
        <f t="shared" si="6"/>
        <v>0</v>
      </c>
      <c r="AI29" s="97"/>
      <c r="AJ29" s="50"/>
      <c r="AK29" s="166"/>
      <c r="AL29" s="136"/>
      <c r="AM29" s="136">
        <f>U29-AH29</f>
        <v>0</v>
      </c>
      <c r="AO29" s="136"/>
    </row>
    <row r="30" spans="2:43" s="6" customFormat="1" x14ac:dyDescent="0.3">
      <c r="B30" s="738"/>
      <c r="D30" s="325" t="str">
        <f>+'[18]22-23'!$A$73</f>
        <v>Local government repayment to the National Revenue Fund</v>
      </c>
      <c r="E30" s="17"/>
      <c r="F30" s="58"/>
      <c r="G30" s="733">
        <f>+'[11]22-23'!$I$74</f>
        <v>-2000000</v>
      </c>
      <c r="H30" s="734"/>
      <c r="I30" s="734"/>
      <c r="J30" s="734"/>
      <c r="K30" s="734"/>
      <c r="L30" s="734"/>
      <c r="M30" s="734"/>
      <c r="N30" s="735">
        <v>0</v>
      </c>
      <c r="O30" s="734">
        <v>0</v>
      </c>
      <c r="P30" s="734">
        <v>0</v>
      </c>
      <c r="Q30" s="734">
        <v>0</v>
      </c>
      <c r="R30" s="734"/>
      <c r="S30" s="734"/>
      <c r="T30" s="735">
        <f t="shared" si="9"/>
        <v>0</v>
      </c>
      <c r="U30" s="378">
        <v>0</v>
      </c>
      <c r="V30" s="734"/>
      <c r="W30" s="734"/>
      <c r="X30" s="734"/>
      <c r="Y30" s="734"/>
      <c r="Z30" s="734"/>
      <c r="AA30" s="734"/>
      <c r="AB30" s="735">
        <v>0</v>
      </c>
      <c r="AC30" s="734">
        <v>0</v>
      </c>
      <c r="AD30" s="734">
        <v>0</v>
      </c>
      <c r="AE30" s="734">
        <v>0</v>
      </c>
      <c r="AF30" s="734"/>
      <c r="AG30" s="734"/>
      <c r="AH30" s="378">
        <f t="shared" si="6"/>
        <v>0</v>
      </c>
      <c r="AI30" s="97"/>
      <c r="AJ30" s="50"/>
      <c r="AK30" s="166"/>
      <c r="AL30" s="136"/>
      <c r="AM30" s="136"/>
      <c r="AO30" s="136"/>
    </row>
    <row r="31" spans="2:43" s="6" customFormat="1" x14ac:dyDescent="0.3">
      <c r="B31" s="738"/>
      <c r="C31" s="14"/>
      <c r="E31" s="42"/>
      <c r="F31" s="50"/>
      <c r="G31" s="399"/>
      <c r="H31" s="750"/>
      <c r="I31" s="750"/>
      <c r="J31" s="750"/>
      <c r="K31" s="750"/>
      <c r="L31" s="750"/>
      <c r="M31" s="750"/>
      <c r="N31" s="750"/>
      <c r="O31" s="750"/>
      <c r="P31" s="750"/>
      <c r="Q31" s="750"/>
      <c r="R31" s="750"/>
      <c r="S31" s="750"/>
      <c r="T31" s="750"/>
      <c r="U31" s="399"/>
      <c r="V31" s="750"/>
      <c r="W31" s="750"/>
      <c r="X31" s="750"/>
      <c r="Y31" s="750"/>
      <c r="Z31" s="750"/>
      <c r="AA31" s="750"/>
      <c r="AB31" s="750"/>
      <c r="AC31" s="750"/>
      <c r="AD31" s="750"/>
      <c r="AE31" s="750"/>
      <c r="AF31" s="750"/>
      <c r="AG31" s="750"/>
      <c r="AH31" s="751"/>
      <c r="AI31" s="97"/>
      <c r="AJ31" s="50"/>
      <c r="AK31" s="166"/>
      <c r="AL31" s="136"/>
      <c r="AM31" s="136">
        <f t="shared" si="1"/>
        <v>0</v>
      </c>
      <c r="AO31" s="136"/>
    </row>
    <row r="32" spans="2:43" s="6" customFormat="1" x14ac:dyDescent="0.3">
      <c r="B32" s="738"/>
      <c r="C32" s="14"/>
      <c r="F32" s="50"/>
      <c r="G32" s="731"/>
      <c r="H32" s="729"/>
      <c r="I32" s="7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31"/>
      <c r="V32" s="729"/>
      <c r="W32" s="729"/>
      <c r="X32" s="729"/>
      <c r="Y32" s="729"/>
      <c r="Z32" s="729"/>
      <c r="AA32" s="729"/>
      <c r="AB32" s="729"/>
      <c r="AC32" s="729"/>
      <c r="AD32" s="729"/>
      <c r="AE32" s="729"/>
      <c r="AF32" s="729"/>
      <c r="AG32" s="729"/>
      <c r="AH32" s="730"/>
      <c r="AI32" s="97"/>
      <c r="AJ32" s="50"/>
      <c r="AK32" s="166"/>
      <c r="AL32" s="136"/>
      <c r="AM32" s="136"/>
      <c r="AO32" s="136"/>
    </row>
    <row r="33" spans="2:41" s="6" customFormat="1" x14ac:dyDescent="0.3">
      <c r="B33" s="738"/>
      <c r="C33" s="14" t="s">
        <v>36</v>
      </c>
      <c r="F33" s="50"/>
      <c r="G33" s="731">
        <f>+G10-G12</f>
        <v>-323735701.13398695</v>
      </c>
      <c r="H33" s="729">
        <f>(H10-H12)</f>
        <v>-78045826</v>
      </c>
      <c r="I33" s="729">
        <f>(I10-I12)</f>
        <v>-22642657</v>
      </c>
      <c r="J33" s="729">
        <f>(J10-J12)</f>
        <v>77416792</v>
      </c>
      <c r="K33" s="729">
        <f t="shared" ref="K33:AG33" si="10">(K10-K12)</f>
        <v>-136719796</v>
      </c>
      <c r="L33" s="729">
        <f t="shared" si="10"/>
        <v>-37077879</v>
      </c>
      <c r="M33" s="729">
        <f>(M10-M12)</f>
        <v>-4862937</v>
      </c>
      <c r="N33" s="729">
        <f t="shared" si="10"/>
        <v>-46699738</v>
      </c>
      <c r="O33" s="729">
        <f>(O10-O12)</f>
        <v>-20839121</v>
      </c>
      <c r="P33" s="729">
        <f>(P10-P12)</f>
        <v>55819531</v>
      </c>
      <c r="Q33" s="729">
        <f t="shared" si="10"/>
        <v>-106826528</v>
      </c>
      <c r="R33" s="729">
        <f t="shared" si="10"/>
        <v>0</v>
      </c>
      <c r="S33" s="729">
        <f t="shared" si="10"/>
        <v>0</v>
      </c>
      <c r="T33" s="729">
        <f t="shared" si="10"/>
        <v>-320478159</v>
      </c>
      <c r="U33" s="729">
        <f>(U10-U12)</f>
        <v>-322070201.95780015</v>
      </c>
      <c r="V33" s="729">
        <f t="shared" si="10"/>
        <v>-74456562</v>
      </c>
      <c r="W33" s="729">
        <f t="shared" si="10"/>
        <v>-17927665</v>
      </c>
      <c r="X33" s="729">
        <f t="shared" si="10"/>
        <v>66356835</v>
      </c>
      <c r="Y33" s="729">
        <f t="shared" si="10"/>
        <v>-139790910</v>
      </c>
      <c r="Z33" s="729">
        <f t="shared" si="10"/>
        <v>-42054187</v>
      </c>
      <c r="AA33" s="729">
        <f t="shared" si="10"/>
        <v>1715485</v>
      </c>
      <c r="AB33" s="729">
        <f t="shared" si="10"/>
        <v>-38246719</v>
      </c>
      <c r="AC33" s="729">
        <f t="shared" si="10"/>
        <v>-11164990</v>
      </c>
      <c r="AD33" s="729">
        <f t="shared" si="10"/>
        <v>42272983</v>
      </c>
      <c r="AE33" s="729">
        <f t="shared" si="10"/>
        <v>-61498210</v>
      </c>
      <c r="AF33" s="729">
        <f t="shared" si="10"/>
        <v>-23275116</v>
      </c>
      <c r="AG33" s="729">
        <f t="shared" si="10"/>
        <v>-20663180</v>
      </c>
      <c r="AH33" s="730">
        <f>(AH10-AH12)</f>
        <v>-274793940</v>
      </c>
      <c r="AI33" s="97"/>
      <c r="AJ33" s="50"/>
      <c r="AK33" s="166">
        <f>AH33-U33</f>
        <v>47276261.95780015</v>
      </c>
      <c r="AL33" s="136">
        <f>SUM(V33:AG33)-AH33</f>
        <v>-43938296</v>
      </c>
      <c r="AM33" s="136">
        <f t="shared" si="1"/>
        <v>-47276261.95780015</v>
      </c>
      <c r="AO33" s="136"/>
    </row>
    <row r="34" spans="2:41" s="6" customFormat="1" x14ac:dyDescent="0.3">
      <c r="B34" s="738"/>
      <c r="C34" s="14"/>
      <c r="E34" s="42"/>
      <c r="F34" s="50"/>
      <c r="G34" s="731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31"/>
      <c r="V34" s="729"/>
      <c r="W34" s="729"/>
      <c r="X34" s="729"/>
      <c r="Y34" s="729"/>
      <c r="Z34" s="729"/>
      <c r="AA34" s="729"/>
      <c r="AB34" s="729"/>
      <c r="AC34" s="729"/>
      <c r="AD34" s="729"/>
      <c r="AE34" s="729"/>
      <c r="AF34" s="729"/>
      <c r="AG34" s="729"/>
      <c r="AH34" s="730"/>
      <c r="AI34" s="97"/>
      <c r="AJ34" s="50"/>
      <c r="AK34" s="166"/>
      <c r="AL34" s="136"/>
      <c r="AM34" s="136"/>
      <c r="AO34" s="136"/>
    </row>
    <row r="35" spans="2:41" s="6" customFormat="1" x14ac:dyDescent="0.3">
      <c r="C35" s="14" t="s">
        <v>498</v>
      </c>
      <c r="F35" s="76"/>
      <c r="G35" s="731">
        <f>+G38+G40+G56+G80</f>
        <v>323735701.13398695</v>
      </c>
      <c r="H35" s="729">
        <f t="shared" ref="H35:S35" si="11">+H38+H40+H56+H80</f>
        <v>78045826</v>
      </c>
      <c r="I35" s="729">
        <f>+I38+I40+I56+I80</f>
        <v>22642657</v>
      </c>
      <c r="J35" s="729">
        <f>+J38+J40+J56+J80</f>
        <v>-77416792</v>
      </c>
      <c r="K35" s="729">
        <f t="shared" si="11"/>
        <v>136719796</v>
      </c>
      <c r="L35" s="729">
        <f t="shared" si="11"/>
        <v>37077879</v>
      </c>
      <c r="M35" s="729">
        <f t="shared" si="11"/>
        <v>4862937</v>
      </c>
      <c r="N35" s="729">
        <f t="shared" si="11"/>
        <v>46699738</v>
      </c>
      <c r="O35" s="729">
        <f>+O38+O40+O56+O80</f>
        <v>20839121</v>
      </c>
      <c r="P35" s="729">
        <f t="shared" si="11"/>
        <v>-55819531</v>
      </c>
      <c r="Q35" s="729">
        <f t="shared" si="11"/>
        <v>106826528</v>
      </c>
      <c r="R35" s="729">
        <f t="shared" si="11"/>
        <v>269962570</v>
      </c>
      <c r="S35" s="729">
        <f t="shared" si="11"/>
        <v>0</v>
      </c>
      <c r="T35" s="729">
        <f>(+T38+T40+T56+T80)</f>
        <v>320478159</v>
      </c>
      <c r="U35" s="729">
        <f t="shared" ref="U35:AG35" si="12">+U38+U40+U56+U80</f>
        <v>322070201.95780015</v>
      </c>
      <c r="V35" s="729">
        <f t="shared" si="12"/>
        <v>74456562</v>
      </c>
      <c r="W35" s="729">
        <f t="shared" si="12"/>
        <v>17927665</v>
      </c>
      <c r="X35" s="729">
        <f t="shared" si="12"/>
        <v>-66356835</v>
      </c>
      <c r="Y35" s="729">
        <f t="shared" si="12"/>
        <v>139790910</v>
      </c>
      <c r="Z35" s="729">
        <f t="shared" si="12"/>
        <v>42054187</v>
      </c>
      <c r="AA35" s="729">
        <f t="shared" si="12"/>
        <v>-1715485</v>
      </c>
      <c r="AB35" s="729">
        <f t="shared" si="12"/>
        <v>38246719</v>
      </c>
      <c r="AC35" s="729">
        <f t="shared" si="12"/>
        <v>11164990</v>
      </c>
      <c r="AD35" s="729">
        <f t="shared" si="12"/>
        <v>-42272983</v>
      </c>
      <c r="AE35" s="729">
        <f t="shared" si="12"/>
        <v>61498210</v>
      </c>
      <c r="AF35" s="729">
        <f t="shared" si="12"/>
        <v>23275116</v>
      </c>
      <c r="AG35" s="729">
        <f t="shared" si="12"/>
        <v>25065405.711029999</v>
      </c>
      <c r="AH35" s="730">
        <f>(+AH38+AH40+AH56+AH80)</f>
        <v>274793940</v>
      </c>
      <c r="AI35" s="97"/>
      <c r="AJ35" s="50"/>
      <c r="AK35" s="166">
        <f>AH35-U35</f>
        <v>-47276261.95780015</v>
      </c>
      <c r="AL35" s="136">
        <f>SUM(V35:AG35)-AH35</f>
        <v>48340521.711030006</v>
      </c>
      <c r="AM35" s="136">
        <f t="shared" si="1"/>
        <v>47276261.95780015</v>
      </c>
      <c r="AN35" s="42"/>
      <c r="AO35" s="136"/>
    </row>
    <row r="36" spans="2:41" s="6" customFormat="1" x14ac:dyDescent="0.3">
      <c r="C36" s="14"/>
      <c r="F36" s="50"/>
      <c r="G36" s="399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399"/>
      <c r="V36" s="750"/>
      <c r="W36" s="750"/>
      <c r="X36" s="750"/>
      <c r="Y36" s="750"/>
      <c r="Z36" s="750"/>
      <c r="AA36" s="750"/>
      <c r="AB36" s="750"/>
      <c r="AC36" s="750"/>
      <c r="AD36" s="750"/>
      <c r="AE36" s="750"/>
      <c r="AF36" s="750"/>
      <c r="AG36" s="750"/>
      <c r="AH36" s="751"/>
      <c r="AI36" s="97"/>
      <c r="AJ36" s="50"/>
      <c r="AK36" s="166"/>
      <c r="AL36" s="136"/>
      <c r="AM36" s="136"/>
      <c r="AO36" s="136"/>
    </row>
    <row r="37" spans="2:41" s="6" customFormat="1" x14ac:dyDescent="0.3">
      <c r="C37" s="14"/>
      <c r="F37" s="50"/>
      <c r="G37" s="731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31"/>
      <c r="V37" s="729"/>
      <c r="W37" s="729"/>
      <c r="X37" s="729"/>
      <c r="Y37" s="729"/>
      <c r="Z37" s="729"/>
      <c r="AA37" s="729"/>
      <c r="AB37" s="729"/>
      <c r="AC37" s="729"/>
      <c r="AD37" s="729"/>
      <c r="AE37" s="729"/>
      <c r="AF37" s="729"/>
      <c r="AG37" s="729"/>
      <c r="AH37" s="730"/>
      <c r="AI37" s="97"/>
      <c r="AJ37" s="50"/>
      <c r="AK37" s="166"/>
      <c r="AL37" s="136"/>
      <c r="AM37" s="136"/>
      <c r="AO37" s="136"/>
    </row>
    <row r="38" spans="2:41" s="6" customFormat="1" x14ac:dyDescent="0.3">
      <c r="C38" s="14" t="s">
        <v>38</v>
      </c>
      <c r="F38" s="50"/>
      <c r="G38" s="731">
        <f>+[31]Summary!$H$13</f>
        <v>-3400000</v>
      </c>
      <c r="H38" s="729">
        <f>[32]Summary!$M$13</f>
        <v>1030450</v>
      </c>
      <c r="I38" s="729">
        <f>+[33]Summary!$R$13</f>
        <v>-592737</v>
      </c>
      <c r="J38" s="729">
        <f>+[43]Summary!$W$13</f>
        <v>3367677</v>
      </c>
      <c r="K38" s="729">
        <f>+[35]Summary!$AB$13</f>
        <v>2072474</v>
      </c>
      <c r="L38" s="729">
        <f>+[36]Summary!$AG$13</f>
        <v>-3444064</v>
      </c>
      <c r="M38" s="729">
        <f>+[37]Summary!$AL$13</f>
        <v>-6180235</v>
      </c>
      <c r="N38" s="729">
        <f>+[38]Summary!$AQ$13</f>
        <v>-7686538</v>
      </c>
      <c r="O38" s="729">
        <f>+[31]Summary!$AV$13</f>
        <v>-9814498</v>
      </c>
      <c r="P38" s="729">
        <f>+[39]Summary!$BA$13</f>
        <v>-4357236</v>
      </c>
      <c r="Q38" s="729">
        <f>[40]Summary!$BF$13</f>
        <v>-4717097</v>
      </c>
      <c r="R38" s="729">
        <v>0</v>
      </c>
      <c r="S38" s="729">
        <v>0</v>
      </c>
      <c r="T38" s="729">
        <f>SUM(H38:S38)</f>
        <v>-30321804</v>
      </c>
      <c r="U38" s="731">
        <f>+[37]Summary!$BZ$13</f>
        <v>-7954770</v>
      </c>
      <c r="V38" s="729">
        <f>[76]Summary!$CE$13</f>
        <v>9415800</v>
      </c>
      <c r="W38" s="729">
        <v>-6660753</v>
      </c>
      <c r="X38" s="729">
        <f>+[43]Summary!$CO$13</f>
        <v>5151867</v>
      </c>
      <c r="Y38" s="729">
        <f>+[35]Summary!$CT$13</f>
        <v>-7112395</v>
      </c>
      <c r="Z38" s="729">
        <f>+[36]Summary!$CY$13</f>
        <v>-2312355</v>
      </c>
      <c r="AA38" s="729">
        <f>+[37]Summary!$DD$13</f>
        <v>2272137</v>
      </c>
      <c r="AB38" s="729">
        <f>+[38]Summary!$DI$13</f>
        <v>-3832432</v>
      </c>
      <c r="AC38" s="729">
        <f>+[31]Summary!$DN$13</f>
        <v>-3742209</v>
      </c>
      <c r="AD38" s="729">
        <f>+[39]Summary!$DS$13</f>
        <v>-1384946</v>
      </c>
      <c r="AE38" s="729">
        <f>[40]Summary!$DX$13</f>
        <v>429685</v>
      </c>
      <c r="AF38" s="729">
        <v>2124947</v>
      </c>
      <c r="AG38" s="729">
        <v>-2304116</v>
      </c>
      <c r="AH38" s="730">
        <f>SUM(V38:AE38)</f>
        <v>-7775601</v>
      </c>
      <c r="AI38" s="97"/>
      <c r="AJ38" s="50"/>
      <c r="AK38" s="166">
        <f t="shared" si="7"/>
        <v>179169</v>
      </c>
      <c r="AL38" s="136">
        <f t="shared" ref="AL38:AL74" si="13">SUM(V38:AG38)-AH38</f>
        <v>-179169</v>
      </c>
      <c r="AM38" s="136">
        <f t="shared" si="1"/>
        <v>-179169</v>
      </c>
      <c r="AO38" s="136"/>
    </row>
    <row r="39" spans="2:41" s="6" customFormat="1" x14ac:dyDescent="0.3">
      <c r="C39" s="14"/>
      <c r="F39" s="50"/>
      <c r="G39" s="731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29"/>
      <c r="S39" s="729"/>
      <c r="T39" s="729"/>
      <c r="U39" s="731"/>
      <c r="V39" s="729"/>
      <c r="W39" s="729"/>
      <c r="X39" s="729"/>
      <c r="Y39" s="729"/>
      <c r="Z39" s="729"/>
      <c r="AA39" s="729"/>
      <c r="AB39" s="729"/>
      <c r="AC39" s="729"/>
      <c r="AD39" s="729"/>
      <c r="AE39" s="729"/>
      <c r="AF39" s="729"/>
      <c r="AG39" s="729"/>
      <c r="AH39" s="730"/>
      <c r="AI39" s="97"/>
      <c r="AJ39" s="50"/>
      <c r="AK39" s="166"/>
      <c r="AL39" s="136"/>
      <c r="AM39" s="136"/>
      <c r="AO39" s="136"/>
    </row>
    <row r="40" spans="2:41" s="6" customFormat="1" x14ac:dyDescent="0.3">
      <c r="C40" s="14" t="s">
        <v>39</v>
      </c>
      <c r="F40" s="50"/>
      <c r="G40" s="731">
        <f>+G42+G47+G52</f>
        <v>227774514</v>
      </c>
      <c r="H40" s="752">
        <f>+H42+H47+H52</f>
        <v>20015505</v>
      </c>
      <c r="I40" s="752">
        <f t="shared" ref="I40:AO40" si="14">+I42+I47+I52</f>
        <v>25455403</v>
      </c>
      <c r="J40" s="752">
        <f t="shared" si="14"/>
        <v>23742808</v>
      </c>
      <c r="K40" s="752">
        <f t="shared" si="14"/>
        <v>45716848</v>
      </c>
      <c r="L40" s="752">
        <f t="shared" si="14"/>
        <v>29377866</v>
      </c>
      <c r="M40" s="752">
        <f t="shared" si="14"/>
        <v>33075335</v>
      </c>
      <c r="N40" s="752">
        <f t="shared" si="14"/>
        <v>28660775</v>
      </c>
      <c r="O40" s="752">
        <f t="shared" si="14"/>
        <v>30014600</v>
      </c>
      <c r="P40" s="752">
        <f t="shared" si="14"/>
        <v>14711827</v>
      </c>
      <c r="Q40" s="752">
        <f t="shared" si="14"/>
        <v>16486408</v>
      </c>
      <c r="R40" s="752">
        <f t="shared" si="14"/>
        <v>0</v>
      </c>
      <c r="S40" s="752">
        <f t="shared" si="14"/>
        <v>0</v>
      </c>
      <c r="T40" s="729">
        <f>+T42+T47+T52</f>
        <v>267257375</v>
      </c>
      <c r="U40" s="731">
        <f t="shared" si="14"/>
        <v>228921382</v>
      </c>
      <c r="V40" s="752">
        <f t="shared" si="14"/>
        <v>26656371</v>
      </c>
      <c r="W40" s="752">
        <f t="shared" si="14"/>
        <v>26132793</v>
      </c>
      <c r="X40" s="752">
        <f t="shared" si="14"/>
        <v>23736909</v>
      </c>
      <c r="Y40" s="752">
        <f t="shared" si="14"/>
        <v>28680625</v>
      </c>
      <c r="Z40" s="752">
        <f t="shared" si="14"/>
        <v>23457599</v>
      </c>
      <c r="AA40" s="752">
        <f t="shared" si="14"/>
        <v>21280959</v>
      </c>
      <c r="AB40" s="752">
        <f t="shared" si="14"/>
        <v>27957835</v>
      </c>
      <c r="AC40" s="752">
        <f t="shared" si="14"/>
        <v>19605231</v>
      </c>
      <c r="AD40" s="752">
        <f t="shared" si="14"/>
        <v>20296122</v>
      </c>
      <c r="AE40" s="752">
        <f t="shared" si="14"/>
        <v>-39139018</v>
      </c>
      <c r="AF40" s="752">
        <f t="shared" si="14"/>
        <v>25287603</v>
      </c>
      <c r="AG40" s="752">
        <f t="shared" si="14"/>
        <v>24968353</v>
      </c>
      <c r="AH40" s="730">
        <f t="shared" si="14"/>
        <v>178665426</v>
      </c>
      <c r="AI40" s="97"/>
      <c r="AJ40" s="50"/>
      <c r="AK40" s="319">
        <f t="shared" si="14"/>
        <v>-50255956</v>
      </c>
      <c r="AL40" s="136">
        <f t="shared" si="14"/>
        <v>50255956</v>
      </c>
      <c r="AM40" s="136">
        <f t="shared" si="14"/>
        <v>50255956</v>
      </c>
      <c r="AO40" s="136"/>
    </row>
    <row r="41" spans="2:41" x14ac:dyDescent="0.3">
      <c r="C41" s="16"/>
      <c r="G41" s="380"/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38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753"/>
      <c r="AI41" s="46"/>
      <c r="AJ41" s="58"/>
      <c r="AK41" s="166"/>
      <c r="AL41" s="136"/>
      <c r="AM41" s="136"/>
      <c r="AO41" s="136"/>
    </row>
    <row r="42" spans="2:41" x14ac:dyDescent="0.3">
      <c r="C42" s="16"/>
      <c r="D42" s="17" t="s">
        <v>499</v>
      </c>
      <c r="G42" s="380">
        <f t="shared" ref="G42:S42" si="15">SUM(G43:G45)</f>
        <v>227688000</v>
      </c>
      <c r="H42" s="460">
        <f>SUM(H43:H45)</f>
        <v>19978246</v>
      </c>
      <c r="I42" s="460">
        <f t="shared" si="15"/>
        <v>25370100</v>
      </c>
      <c r="J42" s="460">
        <f t="shared" si="15"/>
        <v>23778856</v>
      </c>
      <c r="K42" s="460">
        <f t="shared" si="15"/>
        <v>45716848</v>
      </c>
      <c r="L42" s="460">
        <f t="shared" si="15"/>
        <v>29232670</v>
      </c>
      <c r="M42" s="460">
        <f t="shared" si="15"/>
        <v>33220531</v>
      </c>
      <c r="N42" s="460">
        <f t="shared" si="15"/>
        <v>28605582</v>
      </c>
      <c r="O42" s="460">
        <f t="shared" si="15"/>
        <v>30069793</v>
      </c>
      <c r="P42" s="460">
        <f t="shared" si="15"/>
        <v>14711827</v>
      </c>
      <c r="Q42" s="460">
        <f t="shared" si="15"/>
        <v>16486408</v>
      </c>
      <c r="R42" s="460">
        <f t="shared" si="15"/>
        <v>0</v>
      </c>
      <c r="S42" s="460">
        <f t="shared" si="15"/>
        <v>0</v>
      </c>
      <c r="T42" s="735">
        <f>SUM(T43:T45)</f>
        <v>267170861</v>
      </c>
      <c r="U42" s="380">
        <f>SUM(U43:U45)</f>
        <v>228559729</v>
      </c>
      <c r="V42" s="460">
        <f t="shared" ref="V42:AH42" si="16">SUM(V43:V45)</f>
        <v>26533639</v>
      </c>
      <c r="W42" s="460">
        <f t="shared" si="16"/>
        <v>26055503</v>
      </c>
      <c r="X42" s="460">
        <f t="shared" si="16"/>
        <v>23681234</v>
      </c>
      <c r="Y42" s="460">
        <f t="shared" si="16"/>
        <v>28661100</v>
      </c>
      <c r="Z42" s="460">
        <f t="shared" si="16"/>
        <v>23342406</v>
      </c>
      <c r="AA42" s="460">
        <f t="shared" si="16"/>
        <v>21441003</v>
      </c>
      <c r="AB42" s="460">
        <f t="shared" si="16"/>
        <v>27882872</v>
      </c>
      <c r="AC42" s="460">
        <f t="shared" si="16"/>
        <v>19576600</v>
      </c>
      <c r="AD42" s="460">
        <f t="shared" si="16"/>
        <v>20282793</v>
      </c>
      <c r="AE42" s="460">
        <f t="shared" si="16"/>
        <v>-39151262</v>
      </c>
      <c r="AF42" s="460">
        <f t="shared" si="16"/>
        <v>25073273</v>
      </c>
      <c r="AG42" s="460">
        <f t="shared" si="16"/>
        <v>25180568</v>
      </c>
      <c r="AH42" s="737">
        <f t="shared" si="16"/>
        <v>178305888</v>
      </c>
      <c r="AI42" s="46"/>
      <c r="AJ42" s="58"/>
      <c r="AK42" s="319">
        <f>AH42-U42</f>
        <v>-50253841</v>
      </c>
      <c r="AL42" s="136">
        <f t="shared" si="13"/>
        <v>50253841</v>
      </c>
      <c r="AM42" s="136">
        <f t="shared" si="1"/>
        <v>50253841</v>
      </c>
      <c r="AO42" s="136"/>
    </row>
    <row r="43" spans="2:41" x14ac:dyDescent="0.3">
      <c r="C43" s="16"/>
      <c r="E43" s="17" t="s">
        <v>500</v>
      </c>
      <c r="G43" s="378">
        <f>+[31]Summary!$H$25</f>
        <v>344012000</v>
      </c>
      <c r="H43" s="735">
        <f>[32]Summary!$M$25</f>
        <v>23849866</v>
      </c>
      <c r="I43" s="735">
        <f>+[33]Summary!$R$25</f>
        <v>30102790</v>
      </c>
      <c r="J43" s="735">
        <f>+[43]Summary!$W$25</f>
        <v>29395127</v>
      </c>
      <c r="K43" s="735">
        <f>+[35]Summary!$AB$25</f>
        <v>52376510</v>
      </c>
      <c r="L43" s="735">
        <f>+[36]Summary!$AG$25</f>
        <v>35558950</v>
      </c>
      <c r="M43" s="735">
        <f>+[37]Summary!$AL$25</f>
        <v>38933593</v>
      </c>
      <c r="N43" s="735">
        <f>+[38]Summary!$AQ$25</f>
        <v>34472211</v>
      </c>
      <c r="O43" s="735">
        <f>+[31]Summary!$AV$25</f>
        <v>36098316</v>
      </c>
      <c r="P43" s="735">
        <f>+[39]Summary!$BA$25</f>
        <v>18873846</v>
      </c>
      <c r="Q43" s="735">
        <f>[40]Summary!$BF$25</f>
        <v>19538777</v>
      </c>
      <c r="R43" s="735">
        <v>0</v>
      </c>
      <c r="S43" s="735">
        <v>0</v>
      </c>
      <c r="T43" s="735">
        <f>SUM(H43:S43)</f>
        <v>319199986</v>
      </c>
      <c r="U43" s="378">
        <f>+[37]Summary!$BZ$25</f>
        <v>337762752</v>
      </c>
      <c r="V43" s="735">
        <f>[76]Summary!$CE$25</f>
        <v>32347333</v>
      </c>
      <c r="W43" s="735">
        <v>30897412</v>
      </c>
      <c r="X43" s="735">
        <f>+[43]Summary!$CO$25</f>
        <v>27576195</v>
      </c>
      <c r="Y43" s="735">
        <f>+[35]Summary!$CT$25</f>
        <v>32976789</v>
      </c>
      <c r="Z43" s="735">
        <f>+[36]Summary!$CY$25</f>
        <v>27670253</v>
      </c>
      <c r="AA43" s="735">
        <f>+[37]Summary!$DD$25</f>
        <v>25324462</v>
      </c>
      <c r="AB43" s="735">
        <f>+[38]Summary!$DI$25</f>
        <v>33828275</v>
      </c>
      <c r="AC43" s="735">
        <f>+[31]Summary!$DN$25</f>
        <v>23303905</v>
      </c>
      <c r="AD43" s="735">
        <f>+[39]Summary!$DS$25</f>
        <v>24962859</v>
      </c>
      <c r="AE43" s="735">
        <f>[40]Summary!$DX$25</f>
        <v>21654275</v>
      </c>
      <c r="AF43" s="735">
        <v>28691924</v>
      </c>
      <c r="AG43" s="735">
        <v>28529070</v>
      </c>
      <c r="AH43" s="737">
        <f t="shared" ref="AH43:AH45" si="17">SUM(V43:AE43)</f>
        <v>280541758</v>
      </c>
      <c r="AI43" s="46"/>
      <c r="AJ43" s="58"/>
      <c r="AK43" s="319">
        <f>AH43-U43</f>
        <v>-57220994</v>
      </c>
      <c r="AL43" s="136">
        <f t="shared" si="13"/>
        <v>57220994</v>
      </c>
      <c r="AM43" s="136">
        <f t="shared" si="1"/>
        <v>57220994</v>
      </c>
      <c r="AO43" s="136"/>
    </row>
    <row r="44" spans="2:41" x14ac:dyDescent="0.3">
      <c r="C44" s="16"/>
      <c r="E44" s="17" t="s">
        <v>501</v>
      </c>
      <c r="G44" s="378">
        <f>+[31]Summary!$H$26</f>
        <v>-44612000</v>
      </c>
      <c r="H44" s="735">
        <f>[32]Summary!$M$26</f>
        <v>-3357671</v>
      </c>
      <c r="I44" s="735">
        <f>+[33]Summary!$R$26</f>
        <v>-4348042</v>
      </c>
      <c r="J44" s="735">
        <f>+[43]Summary!$W$26</f>
        <v>-5199615</v>
      </c>
      <c r="K44" s="735">
        <f>+[35]Summary!$AB$26</f>
        <v>-6163152</v>
      </c>
      <c r="L44" s="735">
        <f>+[36]Summary!$AG$26</f>
        <v>-5523545</v>
      </c>
      <c r="M44" s="735">
        <f>+[37]Summary!$AL$26</f>
        <v>-5238994</v>
      </c>
      <c r="N44" s="735">
        <f>+[38]Summary!$AQ$26</f>
        <v>-5173710</v>
      </c>
      <c r="O44" s="735">
        <f>+[31]Summary!$AV$26</f>
        <v>-5207637</v>
      </c>
      <c r="P44" s="735">
        <f>+[39]Summary!$BA$26</f>
        <v>-3616198</v>
      </c>
      <c r="Q44" s="735">
        <f>[40]Summary!$BF$26</f>
        <v>-2710299</v>
      </c>
      <c r="R44" s="735">
        <v>0</v>
      </c>
      <c r="S44" s="735">
        <v>0</v>
      </c>
      <c r="T44" s="735">
        <f>SUM(H44:S44)</f>
        <v>-46538863</v>
      </c>
      <c r="U44" s="378">
        <f>+[37]Summary!$BZ$26</f>
        <v>-47829626</v>
      </c>
      <c r="V44" s="735">
        <f>[76]Summary!$CE$26</f>
        <v>-5645039</v>
      </c>
      <c r="W44" s="735">
        <v>-4477496</v>
      </c>
      <c r="X44" s="735">
        <f>+[43]Summary!$CO$26</f>
        <v>-3697051</v>
      </c>
      <c r="Y44" s="735">
        <f>+[35]Summary!$CT$26</f>
        <v>-4028774</v>
      </c>
      <c r="Z44" s="735">
        <f>+[36]Summary!$CY$26</f>
        <v>-4063950</v>
      </c>
      <c r="AA44" s="735">
        <f>+[37]Summary!$DD$26</f>
        <v>-3732222</v>
      </c>
      <c r="AB44" s="735">
        <f>+[38]Summary!$DI$26</f>
        <v>-5478270</v>
      </c>
      <c r="AC44" s="735">
        <f>+[31]Summary!$DN$26</f>
        <v>-3339881</v>
      </c>
      <c r="AD44" s="735">
        <f>+[39]Summary!$DS$26</f>
        <v>-4186870</v>
      </c>
      <c r="AE44" s="735">
        <f>[40]Summary!$DX$26</f>
        <v>-2875651</v>
      </c>
      <c r="AF44" s="735">
        <v>-3208682</v>
      </c>
      <c r="AG44" s="735">
        <v>-3095740</v>
      </c>
      <c r="AH44" s="737">
        <f t="shared" si="17"/>
        <v>-41525204</v>
      </c>
      <c r="AI44" s="46"/>
      <c r="AJ44" s="58"/>
      <c r="AK44" s="319">
        <f t="shared" si="7"/>
        <v>6304422</v>
      </c>
      <c r="AL44" s="136">
        <f t="shared" si="13"/>
        <v>-6304422</v>
      </c>
      <c r="AM44" s="136">
        <f t="shared" si="1"/>
        <v>-6304422</v>
      </c>
      <c r="AO44" s="136"/>
    </row>
    <row r="45" spans="2:41" x14ac:dyDescent="0.3">
      <c r="C45" s="16"/>
      <c r="E45" s="17" t="s">
        <v>445</v>
      </c>
      <c r="G45" s="378">
        <f>+[31]Summary!$H$27</f>
        <v>-71712000</v>
      </c>
      <c r="H45" s="735">
        <f>[32]Summary!$M$27</f>
        <v>-513949</v>
      </c>
      <c r="I45" s="735">
        <f>+[33]Summary!$R$27</f>
        <v>-384648</v>
      </c>
      <c r="J45" s="735">
        <f>+[43]Summary!$W$27</f>
        <v>-416656</v>
      </c>
      <c r="K45" s="735">
        <f>+[35]Summary!$AB$27</f>
        <v>-496510</v>
      </c>
      <c r="L45" s="735">
        <f>+[36]Summary!$AG$27</f>
        <v>-802735</v>
      </c>
      <c r="M45" s="735">
        <f>+[37]Summary!$AL$27</f>
        <v>-474068</v>
      </c>
      <c r="N45" s="735">
        <f>+[38]Summary!$AQ$27</f>
        <v>-692919</v>
      </c>
      <c r="O45" s="735">
        <f>+[31]Summary!$AV$27</f>
        <v>-820886</v>
      </c>
      <c r="P45" s="735">
        <f>+[39]Summary!$BA$27</f>
        <v>-545821</v>
      </c>
      <c r="Q45" s="735">
        <f>[40]Summary!$BF$27</f>
        <v>-342070</v>
      </c>
      <c r="R45" s="735">
        <v>0</v>
      </c>
      <c r="S45" s="735">
        <v>0</v>
      </c>
      <c r="T45" s="735">
        <f>SUM(H45:S45)</f>
        <v>-5490262</v>
      </c>
      <c r="U45" s="378">
        <f>+[37]Summary!$BZ$27</f>
        <v>-61373397</v>
      </c>
      <c r="V45" s="735">
        <f>[76]Summary!$CE$27</f>
        <v>-168655</v>
      </c>
      <c r="W45" s="735">
        <v>-364413</v>
      </c>
      <c r="X45" s="735">
        <f>+[43]Summary!$CO$27</f>
        <v>-197910</v>
      </c>
      <c r="Y45" s="735">
        <f>+[35]Summary!$CT$27</f>
        <v>-286915</v>
      </c>
      <c r="Z45" s="735">
        <f>+[36]Summary!$CY$27</f>
        <v>-263897</v>
      </c>
      <c r="AA45" s="735">
        <f>+[37]Summary!$DD$27</f>
        <v>-151237</v>
      </c>
      <c r="AB45" s="735">
        <f>+[38]Summary!$DI$27</f>
        <v>-467133</v>
      </c>
      <c r="AC45" s="735">
        <f>+[31]Summary!$DN$27</f>
        <v>-387424</v>
      </c>
      <c r="AD45" s="735">
        <f>+[39]Summary!$DS$27</f>
        <v>-493196</v>
      </c>
      <c r="AE45" s="735">
        <f>[40]Summary!$DX$27</f>
        <v>-57929886</v>
      </c>
      <c r="AF45" s="735">
        <v>-409969</v>
      </c>
      <c r="AG45" s="735">
        <v>-252762</v>
      </c>
      <c r="AH45" s="737">
        <f t="shared" si="17"/>
        <v>-60710666</v>
      </c>
      <c r="AI45" s="46"/>
      <c r="AJ45" s="58"/>
      <c r="AK45" s="166">
        <f t="shared" si="7"/>
        <v>662731</v>
      </c>
      <c r="AL45" s="136">
        <f t="shared" si="13"/>
        <v>-662731</v>
      </c>
      <c r="AM45" s="136">
        <f t="shared" si="1"/>
        <v>-662731</v>
      </c>
      <c r="AO45" s="136"/>
    </row>
    <row r="46" spans="2:41" x14ac:dyDescent="0.3">
      <c r="C46" s="16"/>
      <c r="G46" s="378"/>
      <c r="H46" s="735"/>
      <c r="I46" s="735"/>
      <c r="J46" s="735"/>
      <c r="K46" s="735"/>
      <c r="L46" s="735"/>
      <c r="M46" s="735"/>
      <c r="N46" s="735"/>
      <c r="O46" s="735"/>
      <c r="P46" s="735"/>
      <c r="Q46" s="735"/>
      <c r="R46" s="735"/>
      <c r="S46" s="735"/>
      <c r="T46" s="735"/>
      <c r="U46" s="378"/>
      <c r="V46" s="735"/>
      <c r="W46" s="735"/>
      <c r="X46" s="735"/>
      <c r="Y46" s="735"/>
      <c r="Z46" s="735"/>
      <c r="AA46" s="735"/>
      <c r="AB46" s="735"/>
      <c r="AC46" s="735"/>
      <c r="AD46" s="735"/>
      <c r="AE46" s="735"/>
      <c r="AF46" s="735"/>
      <c r="AG46" s="735"/>
      <c r="AH46" s="737"/>
      <c r="AI46" s="46"/>
      <c r="AJ46" s="58"/>
      <c r="AK46" s="166"/>
      <c r="AL46" s="136"/>
      <c r="AM46" s="136"/>
      <c r="AO46" s="136"/>
    </row>
    <row r="47" spans="2:41" x14ac:dyDescent="0.3">
      <c r="C47" s="16"/>
      <c r="D47" s="17" t="s">
        <v>502</v>
      </c>
      <c r="G47" s="378">
        <f t="shared" ref="G47:S47" si="18">SUM(G48:G50)</f>
        <v>86514</v>
      </c>
      <c r="H47" s="460">
        <f t="shared" si="18"/>
        <v>37259</v>
      </c>
      <c r="I47" s="460">
        <f t="shared" si="18"/>
        <v>39042</v>
      </c>
      <c r="J47" s="460">
        <f t="shared" si="18"/>
        <v>10213</v>
      </c>
      <c r="K47" s="460">
        <f>SUM(K48:K50)</f>
        <v>0</v>
      </c>
      <c r="L47" s="460">
        <f t="shared" si="18"/>
        <v>0</v>
      </c>
      <c r="M47" s="460">
        <f t="shared" si="18"/>
        <v>0</v>
      </c>
      <c r="N47" s="460">
        <f t="shared" si="18"/>
        <v>0</v>
      </c>
      <c r="O47" s="460">
        <f t="shared" si="18"/>
        <v>0</v>
      </c>
      <c r="P47" s="460">
        <f t="shared" si="18"/>
        <v>0</v>
      </c>
      <c r="Q47" s="460">
        <f>SUM(Q48:Q50)</f>
        <v>0</v>
      </c>
      <c r="R47" s="460">
        <f t="shared" si="18"/>
        <v>0</v>
      </c>
      <c r="S47" s="460">
        <f t="shared" si="18"/>
        <v>0</v>
      </c>
      <c r="T47" s="460">
        <f>SUM(T48:T50)</f>
        <v>86514</v>
      </c>
      <c r="U47" s="378">
        <f>SUM(U48:U50)</f>
        <v>361653</v>
      </c>
      <c r="V47" s="460">
        <f t="shared" ref="V47:AG47" si="19">SUM(V48:V50)</f>
        <v>122732</v>
      </c>
      <c r="W47" s="460">
        <f t="shared" si="19"/>
        <v>77290</v>
      </c>
      <c r="X47" s="460">
        <f t="shared" si="19"/>
        <v>55675</v>
      </c>
      <c r="Y47" s="460">
        <f t="shared" si="19"/>
        <v>19525</v>
      </c>
      <c r="Z47" s="460">
        <f t="shared" si="19"/>
        <v>115193</v>
      </c>
      <c r="AA47" s="460">
        <f t="shared" si="19"/>
        <v>-160044</v>
      </c>
      <c r="AB47" s="460">
        <f t="shared" si="19"/>
        <v>74963</v>
      </c>
      <c r="AC47" s="460">
        <f t="shared" si="19"/>
        <v>28631</v>
      </c>
      <c r="AD47" s="460">
        <f t="shared" si="19"/>
        <v>13329</v>
      </c>
      <c r="AE47" s="460">
        <f t="shared" si="19"/>
        <v>12244</v>
      </c>
      <c r="AF47" s="460">
        <f t="shared" si="19"/>
        <v>124085</v>
      </c>
      <c r="AG47" s="460">
        <f t="shared" si="19"/>
        <v>-121970</v>
      </c>
      <c r="AH47" s="737">
        <f>SUM(AH48:AH50)</f>
        <v>359538</v>
      </c>
      <c r="AI47" s="46"/>
      <c r="AJ47" s="58"/>
      <c r="AK47" s="166">
        <f t="shared" si="7"/>
        <v>-2115</v>
      </c>
      <c r="AL47" s="136">
        <f t="shared" si="13"/>
        <v>2115</v>
      </c>
      <c r="AM47" s="136">
        <f t="shared" si="1"/>
        <v>2115</v>
      </c>
      <c r="AO47" s="136"/>
    </row>
    <row r="48" spans="2:41" x14ac:dyDescent="0.3">
      <c r="C48" s="16"/>
      <c r="E48" s="17" t="s">
        <v>500</v>
      </c>
      <c r="G48" s="378">
        <f>+[31]Summary!$H$31</f>
        <v>8874774</v>
      </c>
      <c r="H48" s="735">
        <f>[32]Summary!$M$31</f>
        <v>3409508</v>
      </c>
      <c r="I48" s="735">
        <f>+[33]Summary!$R$31</f>
        <v>4054354</v>
      </c>
      <c r="J48" s="735">
        <f>+[43]Summary!$W$31</f>
        <v>1410912</v>
      </c>
      <c r="K48" s="735">
        <f>+[35]Summary!$AB$31</f>
        <v>0</v>
      </c>
      <c r="L48" s="735">
        <f>+[36]Summary!$AG$31</f>
        <v>0</v>
      </c>
      <c r="M48" s="735">
        <f>+[37]Summary!$AL$31</f>
        <v>0</v>
      </c>
      <c r="N48" s="735">
        <f>+[38]Summary!$AQ$31</f>
        <v>0</v>
      </c>
      <c r="O48" s="735">
        <f>+[31]Summary!$AV$31</f>
        <v>0</v>
      </c>
      <c r="P48" s="735">
        <f>+[39]Summary!$BA$31</f>
        <v>0</v>
      </c>
      <c r="Q48" s="735">
        <f>[40]Summary!$BF$31</f>
        <v>0</v>
      </c>
      <c r="R48" s="735">
        <v>0</v>
      </c>
      <c r="S48" s="735">
        <v>0</v>
      </c>
      <c r="T48" s="735">
        <f>SUM(H48:S48)</f>
        <v>8874774</v>
      </c>
      <c r="U48" s="378">
        <f>+[37]Summary!$BZ$31</f>
        <v>53972577</v>
      </c>
      <c r="V48" s="735">
        <f>[76]Summary!$CE$31</f>
        <v>11663028</v>
      </c>
      <c r="W48" s="735">
        <v>3767776</v>
      </c>
      <c r="X48" s="735">
        <f>+[43]Summary!$CO$31</f>
        <v>7710681</v>
      </c>
      <c r="Y48" s="735">
        <f>+[35]Summary!$CT$31</f>
        <v>3456518</v>
      </c>
      <c r="Z48" s="735">
        <f>+[36]Summary!$CY$31</f>
        <v>4835965</v>
      </c>
      <c r="AA48" s="735">
        <f>+[37]Summary!$DD$31</f>
        <v>2187184</v>
      </c>
      <c r="AB48" s="735">
        <f>+[38]Summary!$DI$31</f>
        <v>5017820</v>
      </c>
      <c r="AC48" s="735">
        <f>+[31]Summary!$DN$31</f>
        <v>4108885</v>
      </c>
      <c r="AD48" s="735">
        <f>+[39]Summary!$DS$31</f>
        <v>3708680</v>
      </c>
      <c r="AE48" s="735">
        <f>[40]Summary!$DX$31</f>
        <v>2673022</v>
      </c>
      <c r="AF48" s="735">
        <v>3014010</v>
      </c>
      <c r="AG48" s="735">
        <v>1829008</v>
      </c>
      <c r="AH48" s="737">
        <f t="shared" ref="AH48:AH50" si="20">SUM(V48:AE48)</f>
        <v>49129559</v>
      </c>
      <c r="AI48" s="46"/>
      <c r="AJ48" s="58"/>
      <c r="AK48" s="166">
        <f t="shared" si="7"/>
        <v>-4843018</v>
      </c>
      <c r="AL48" s="136">
        <f t="shared" si="13"/>
        <v>4843018</v>
      </c>
      <c r="AM48" s="136">
        <f t="shared" si="1"/>
        <v>4843018</v>
      </c>
      <c r="AO48" s="136"/>
    </row>
    <row r="49" spans="3:41" x14ac:dyDescent="0.3">
      <c r="C49" s="16"/>
      <c r="E49" s="17" t="s">
        <v>501</v>
      </c>
      <c r="G49" s="378">
        <f>+[31]Summary!$H$32</f>
        <v>-1093260</v>
      </c>
      <c r="H49" s="735">
        <f>[32]Summary!$M$32</f>
        <v>-337249</v>
      </c>
      <c r="I49" s="735">
        <f>[33]Summary!$R$32</f>
        <v>-605312</v>
      </c>
      <c r="J49" s="735">
        <f>+[43]Summary!$W$32</f>
        <v>-150699</v>
      </c>
      <c r="K49" s="735">
        <f>+[35]Summary!$AB$32</f>
        <v>0</v>
      </c>
      <c r="L49" s="735">
        <f>+[36]Summary!$AG$32</f>
        <v>0</v>
      </c>
      <c r="M49" s="735">
        <f>+[37]Summary!$AL$32</f>
        <v>0</v>
      </c>
      <c r="N49" s="735">
        <f>+[38]Summary!$AQ$32</f>
        <v>0</v>
      </c>
      <c r="O49" s="735">
        <f>+[31]Summary!$AV$32</f>
        <v>0</v>
      </c>
      <c r="P49" s="735">
        <f>+[39]Summary!$BA$32</f>
        <v>0</v>
      </c>
      <c r="Q49" s="735">
        <f>[40]Summary!$BF$32</f>
        <v>0</v>
      </c>
      <c r="R49" s="735">
        <v>0</v>
      </c>
      <c r="S49" s="735">
        <v>0</v>
      </c>
      <c r="T49" s="735">
        <f>SUM(H49:S49)</f>
        <v>-1093260</v>
      </c>
      <c r="U49" s="378">
        <f>+[37]Summary!$BZ$32</f>
        <v>-5585924</v>
      </c>
      <c r="V49" s="735">
        <f>[76]Summary!$CE$32</f>
        <v>-1360296</v>
      </c>
      <c r="W49" s="735">
        <v>-515486</v>
      </c>
      <c r="X49" s="735">
        <f>+[43]Summary!$CO$32</f>
        <v>-670006</v>
      </c>
      <c r="Y49" s="735">
        <f>+[35]Summary!$CT$32</f>
        <v>-271993</v>
      </c>
      <c r="Z49" s="735">
        <f>+[36]Summary!$CY$32</f>
        <v>-350772</v>
      </c>
      <c r="AA49" s="735">
        <f>+[37]Summary!$DD$32</f>
        <v>-77228</v>
      </c>
      <c r="AB49" s="735">
        <f>+[38]Summary!$DI$32</f>
        <v>-682857</v>
      </c>
      <c r="AC49" s="735">
        <f>+[31]Summary!$DN$32</f>
        <v>-605254</v>
      </c>
      <c r="AD49" s="735">
        <f>+[39]Summary!$DS$32</f>
        <v>-375351</v>
      </c>
      <c r="AE49" s="735">
        <f>[40]Summary!$DX$32</f>
        <v>-335778</v>
      </c>
      <c r="AF49" s="735">
        <v>-274925</v>
      </c>
      <c r="AG49" s="735">
        <v>-65978</v>
      </c>
      <c r="AH49" s="737">
        <f t="shared" si="20"/>
        <v>-5245021</v>
      </c>
      <c r="AI49" s="46"/>
      <c r="AJ49" s="58"/>
      <c r="AK49" s="166">
        <f t="shared" si="7"/>
        <v>340903</v>
      </c>
      <c r="AL49" s="136">
        <f t="shared" si="13"/>
        <v>-340903</v>
      </c>
      <c r="AM49" s="136">
        <f t="shared" si="1"/>
        <v>-340903</v>
      </c>
      <c r="AN49" s="136"/>
      <c r="AO49" s="136"/>
    </row>
    <row r="50" spans="3:41" x14ac:dyDescent="0.3">
      <c r="C50" s="16"/>
      <c r="E50" s="17" t="s">
        <v>503</v>
      </c>
      <c r="G50" s="378">
        <f>+[31]Summary!$H$33</f>
        <v>-7695000</v>
      </c>
      <c r="H50" s="735">
        <f>[32]Summary!$M$33</f>
        <v>-3035000</v>
      </c>
      <c r="I50" s="735">
        <f>[33]Summary!$R$33</f>
        <v>-3410000</v>
      </c>
      <c r="J50" s="735">
        <f>+[43]Summary!$W$33</f>
        <v>-1250000</v>
      </c>
      <c r="K50" s="735">
        <f>+[35]Summary!$AB$33</f>
        <v>0</v>
      </c>
      <c r="L50" s="735">
        <f>+[36]Summary!$AG$33</f>
        <v>0</v>
      </c>
      <c r="M50" s="735">
        <f>+[37]Summary!$AL$33</f>
        <v>0</v>
      </c>
      <c r="N50" s="735">
        <f>+[38]Summary!$AQ$33</f>
        <v>0</v>
      </c>
      <c r="O50" s="735">
        <f>+[31]Summary!$AV$33</f>
        <v>0</v>
      </c>
      <c r="P50" s="735">
        <f>+[39]Summary!$BA$33</f>
        <v>0</v>
      </c>
      <c r="Q50" s="735">
        <f>[40]Summary!$BF$33</f>
        <v>0</v>
      </c>
      <c r="R50" s="735">
        <v>0</v>
      </c>
      <c r="S50" s="735">
        <v>0</v>
      </c>
      <c r="T50" s="735">
        <f>SUM(H50:S50)</f>
        <v>-7695000</v>
      </c>
      <c r="U50" s="378">
        <f>+[37]Summary!$BZ$33</f>
        <v>-48025000</v>
      </c>
      <c r="V50" s="735">
        <f>[76]Summary!$CE$33</f>
        <v>-10180000</v>
      </c>
      <c r="W50" s="735">
        <v>-3175000</v>
      </c>
      <c r="X50" s="735">
        <f>+[43]Summary!$CO$33</f>
        <v>-6985000</v>
      </c>
      <c r="Y50" s="735">
        <f>+[35]Summary!$CT$33</f>
        <v>-3165000</v>
      </c>
      <c r="Z50" s="735">
        <f>+[36]Summary!$CY$33</f>
        <v>-4370000</v>
      </c>
      <c r="AA50" s="735">
        <f>+[37]Summary!$DD$33</f>
        <v>-2270000</v>
      </c>
      <c r="AB50" s="735">
        <f>+[38]Summary!$DI$33</f>
        <v>-4260000</v>
      </c>
      <c r="AC50" s="735">
        <f>+[31]Summary!$DN$33</f>
        <v>-3475000</v>
      </c>
      <c r="AD50" s="735">
        <f>+[39]Summary!$DS$33</f>
        <v>-3320000</v>
      </c>
      <c r="AE50" s="735">
        <f>[40]Summary!$DX$33</f>
        <v>-2325000</v>
      </c>
      <c r="AF50" s="735">
        <v>-2615000</v>
      </c>
      <c r="AG50" s="735">
        <v>-1885000</v>
      </c>
      <c r="AH50" s="737">
        <f t="shared" si="20"/>
        <v>-43525000</v>
      </c>
      <c r="AI50" s="46"/>
      <c r="AJ50" s="58"/>
      <c r="AK50" s="166">
        <f t="shared" si="7"/>
        <v>4500000</v>
      </c>
      <c r="AL50" s="136">
        <f t="shared" si="13"/>
        <v>-4500000</v>
      </c>
      <c r="AM50" s="136">
        <f t="shared" si="1"/>
        <v>-4500000</v>
      </c>
      <c r="AO50" s="136"/>
    </row>
    <row r="51" spans="3:41" x14ac:dyDescent="0.3">
      <c r="C51" s="16"/>
      <c r="G51" s="378"/>
      <c r="H51" s="735"/>
      <c r="I51" s="735"/>
      <c r="J51" s="735"/>
      <c r="K51" s="735"/>
      <c r="L51" s="735"/>
      <c r="M51" s="735"/>
      <c r="N51" s="735"/>
      <c r="O51" s="735"/>
      <c r="P51" s="735"/>
      <c r="Q51" s="735"/>
      <c r="R51" s="735"/>
      <c r="S51" s="735"/>
      <c r="T51" s="735"/>
      <c r="U51" s="378"/>
      <c r="V51" s="735"/>
      <c r="W51" s="735"/>
      <c r="X51" s="735"/>
      <c r="Y51" s="735"/>
      <c r="Z51" s="735"/>
      <c r="AA51" s="735"/>
      <c r="AB51" s="735"/>
      <c r="AC51" s="735"/>
      <c r="AD51" s="735"/>
      <c r="AE51" s="735"/>
      <c r="AF51" s="735"/>
      <c r="AG51" s="735"/>
      <c r="AH51" s="737"/>
      <c r="AI51" s="46"/>
      <c r="AJ51" s="58"/>
      <c r="AK51" s="166"/>
      <c r="AL51" s="136"/>
      <c r="AM51" s="136"/>
      <c r="AO51" s="136"/>
    </row>
    <row r="52" spans="3:41" x14ac:dyDescent="0.3">
      <c r="C52" s="16"/>
      <c r="D52" s="17" t="s">
        <v>504</v>
      </c>
      <c r="G52" s="378">
        <f t="shared" ref="G52:AF52" si="21">SUM(G53:G54)</f>
        <v>0</v>
      </c>
      <c r="H52" s="460">
        <f t="shared" si="21"/>
        <v>0</v>
      </c>
      <c r="I52" s="460">
        <f>SUM(I53:I54)</f>
        <v>46261</v>
      </c>
      <c r="J52" s="460">
        <f>SUM(J53:J54)</f>
        <v>-46261</v>
      </c>
      <c r="K52" s="460">
        <f>SUM(K53:K54)</f>
        <v>0</v>
      </c>
      <c r="L52" s="460">
        <f t="shared" si="21"/>
        <v>145196</v>
      </c>
      <c r="M52" s="460">
        <f t="shared" si="21"/>
        <v>-145196</v>
      </c>
      <c r="N52" s="460">
        <f t="shared" si="21"/>
        <v>55193</v>
      </c>
      <c r="O52" s="460">
        <f t="shared" si="21"/>
        <v>-55193</v>
      </c>
      <c r="P52" s="460">
        <f t="shared" si="21"/>
        <v>0</v>
      </c>
      <c r="Q52" s="460">
        <f t="shared" si="21"/>
        <v>0</v>
      </c>
      <c r="R52" s="460">
        <f t="shared" si="21"/>
        <v>0</v>
      </c>
      <c r="S52" s="460">
        <f t="shared" si="21"/>
        <v>0</v>
      </c>
      <c r="T52" s="735">
        <f t="shared" si="21"/>
        <v>0</v>
      </c>
      <c r="U52" s="378">
        <f t="shared" si="21"/>
        <v>0</v>
      </c>
      <c r="V52" s="460">
        <f t="shared" si="21"/>
        <v>0</v>
      </c>
      <c r="W52" s="460">
        <f t="shared" si="21"/>
        <v>0</v>
      </c>
      <c r="X52" s="460">
        <f t="shared" si="21"/>
        <v>0</v>
      </c>
      <c r="Y52" s="460">
        <f t="shared" si="21"/>
        <v>0</v>
      </c>
      <c r="Z52" s="460">
        <f t="shared" si="21"/>
        <v>0</v>
      </c>
      <c r="AA52" s="460">
        <f t="shared" si="21"/>
        <v>0</v>
      </c>
      <c r="AB52" s="460">
        <f t="shared" si="21"/>
        <v>0</v>
      </c>
      <c r="AC52" s="460">
        <f>SUM(AC53:AC54)</f>
        <v>0</v>
      </c>
      <c r="AD52" s="460">
        <f t="shared" si="21"/>
        <v>0</v>
      </c>
      <c r="AE52" s="460">
        <f t="shared" si="21"/>
        <v>0</v>
      </c>
      <c r="AF52" s="460">
        <f t="shared" si="21"/>
        <v>90245</v>
      </c>
      <c r="AG52" s="460">
        <f>SUM(AG53:AG54)</f>
        <v>-90245</v>
      </c>
      <c r="AH52" s="737">
        <f>SUM(AH53:AH54)</f>
        <v>0</v>
      </c>
      <c r="AI52" s="46"/>
      <c r="AJ52" s="58"/>
      <c r="AK52" s="166">
        <f t="shared" si="7"/>
        <v>0</v>
      </c>
      <c r="AL52" s="136">
        <f t="shared" si="13"/>
        <v>0</v>
      </c>
      <c r="AM52" s="136">
        <f t="shared" si="1"/>
        <v>0</v>
      </c>
      <c r="AO52" s="136"/>
    </row>
    <row r="53" spans="3:41" x14ac:dyDescent="0.3">
      <c r="C53" s="16"/>
      <c r="E53" s="17" t="s">
        <v>505</v>
      </c>
      <c r="G53" s="378">
        <f>+[31]Summary!$H$36</f>
        <v>8349673</v>
      </c>
      <c r="H53" s="735">
        <f>[32]Summary!$M$36</f>
        <v>827198</v>
      </c>
      <c r="I53" s="735">
        <f>[33]Summary!$R$36</f>
        <v>3114442</v>
      </c>
      <c r="J53" s="735">
        <f>+[43]Summary!$W$36</f>
        <v>860933</v>
      </c>
      <c r="K53" s="735">
        <f>+[35]Summary!$AB$36</f>
        <v>95339</v>
      </c>
      <c r="L53" s="735">
        <f>+[36]Summary!$AG$36</f>
        <v>2945441</v>
      </c>
      <c r="M53" s="735">
        <f>+[37]Summary!$AL$36</f>
        <v>506320</v>
      </c>
      <c r="N53" s="735">
        <f>+[38]Summary!$AQ$36</f>
        <v>513226</v>
      </c>
      <c r="O53" s="735">
        <f>+[31]Summary!$AV$36</f>
        <v>532749</v>
      </c>
      <c r="P53" s="735">
        <f>+[39]Summary!$BA$36</f>
        <v>328260</v>
      </c>
      <c r="Q53" s="735">
        <f>[40]Summary!$BF$36</f>
        <v>29969</v>
      </c>
      <c r="R53" s="735">
        <v>0</v>
      </c>
      <c r="S53" s="735">
        <v>0</v>
      </c>
      <c r="T53" s="735">
        <f>SUM(H53:S53)</f>
        <v>9753877</v>
      </c>
      <c r="U53" s="378">
        <f>+[37]Summary!$BZ$36</f>
        <v>7476976</v>
      </c>
      <c r="V53" s="735">
        <f>[76]Summary!$CE$36</f>
        <v>195061</v>
      </c>
      <c r="W53" s="735">
        <v>0</v>
      </c>
      <c r="X53" s="735">
        <f>+[43]Summary!$CO$36</f>
        <v>956108</v>
      </c>
      <c r="Y53" s="735">
        <f>+[35]Summary!$CT$36</f>
        <v>380371</v>
      </c>
      <c r="Z53" s="735">
        <f>+[36]Summary!$CY$36</f>
        <v>83879</v>
      </c>
      <c r="AA53" s="735">
        <f>+[37]Summary!$DD$36</f>
        <v>27624</v>
      </c>
      <c r="AB53" s="735">
        <f>+[38]Summary!$DI$36</f>
        <v>481602</v>
      </c>
      <c r="AC53" s="735">
        <f>+[31]Summary!$DN$36</f>
        <v>1204105</v>
      </c>
      <c r="AD53" s="735">
        <f>+[39]Summary!$DS$36</f>
        <v>342784</v>
      </c>
      <c r="AE53" s="735">
        <f>[40]Summary!$DX$36</f>
        <v>0</v>
      </c>
      <c r="AF53" s="735">
        <v>772365</v>
      </c>
      <c r="AG53" s="735">
        <v>3033077</v>
      </c>
      <c r="AH53" s="737">
        <f t="shared" ref="AH53:AH54" si="22">SUM(V53:AE53)</f>
        <v>3671534</v>
      </c>
      <c r="AI53" s="46"/>
      <c r="AJ53" s="58"/>
      <c r="AK53" s="166">
        <f t="shared" si="7"/>
        <v>-3805442</v>
      </c>
      <c r="AL53" s="136">
        <f t="shared" si="13"/>
        <v>3805442</v>
      </c>
      <c r="AM53" s="136">
        <f t="shared" si="1"/>
        <v>3805442</v>
      </c>
      <c r="AO53" s="136"/>
    </row>
    <row r="54" spans="3:41" x14ac:dyDescent="0.3">
      <c r="C54" s="16"/>
      <c r="E54" s="17" t="s">
        <v>506</v>
      </c>
      <c r="G54" s="378">
        <f>+[31]Summary!$H$37</f>
        <v>-8349673</v>
      </c>
      <c r="H54" s="735">
        <f>[32]Summary!$M$37</f>
        <v>-827198</v>
      </c>
      <c r="I54" s="735">
        <f>[33]Summary!$R$37</f>
        <v>-3068181</v>
      </c>
      <c r="J54" s="735">
        <f>+[43]Summary!$W$37</f>
        <v>-907194</v>
      </c>
      <c r="K54" s="735">
        <f>+[35]Summary!$AB$37</f>
        <v>-95339</v>
      </c>
      <c r="L54" s="735">
        <f>+[36]Summary!$AG$37</f>
        <v>-2800245</v>
      </c>
      <c r="M54" s="735">
        <f>+[37]Summary!$AL$37</f>
        <v>-651516</v>
      </c>
      <c r="N54" s="735">
        <f>+[38]Summary!$AQ$37</f>
        <v>-458033</v>
      </c>
      <c r="O54" s="735">
        <f>+[31]Summary!$AV$37</f>
        <v>-587942</v>
      </c>
      <c r="P54" s="735">
        <f>+[39]Summary!$BA$37</f>
        <v>-328260</v>
      </c>
      <c r="Q54" s="735">
        <f>[40]Summary!$BF$37</f>
        <v>-29969</v>
      </c>
      <c r="R54" s="735">
        <v>0</v>
      </c>
      <c r="S54" s="735">
        <v>0</v>
      </c>
      <c r="T54" s="735">
        <f>SUM(H54:S54)</f>
        <v>-9753877</v>
      </c>
      <c r="U54" s="378">
        <f>+[37]Summary!$BZ$37</f>
        <v>-7476976</v>
      </c>
      <c r="V54" s="735">
        <f>[76]Summary!$CE$37</f>
        <v>-195061</v>
      </c>
      <c r="W54" s="735">
        <v>0</v>
      </c>
      <c r="X54" s="735">
        <f>+[43]Summary!$CO$37</f>
        <v>-956108</v>
      </c>
      <c r="Y54" s="735">
        <f>+[35]Summary!$CT$37</f>
        <v>-380371</v>
      </c>
      <c r="Z54" s="735">
        <f>+[36]Summary!$CY$37</f>
        <v>-83879</v>
      </c>
      <c r="AA54" s="735">
        <f>+[37]Summary!$DD$37</f>
        <v>-27624</v>
      </c>
      <c r="AB54" s="735">
        <f>+[38]Summary!$DI$37</f>
        <v>-481602</v>
      </c>
      <c r="AC54" s="735">
        <f>+[31]Summary!$DN$37</f>
        <v>-1204105</v>
      </c>
      <c r="AD54" s="735">
        <f>+[39]Summary!$DS$37</f>
        <v>-342784</v>
      </c>
      <c r="AE54" s="735">
        <f>[40]Summary!$DX$37</f>
        <v>0</v>
      </c>
      <c r="AF54" s="735">
        <v>-682120</v>
      </c>
      <c r="AG54" s="735">
        <v>-3123322</v>
      </c>
      <c r="AH54" s="737">
        <f t="shared" si="22"/>
        <v>-3671534</v>
      </c>
      <c r="AI54" s="46"/>
      <c r="AJ54" s="58"/>
      <c r="AK54" s="166">
        <f t="shared" si="7"/>
        <v>3805442</v>
      </c>
      <c r="AL54" s="136">
        <f t="shared" si="13"/>
        <v>-3805442</v>
      </c>
      <c r="AM54" s="136">
        <f t="shared" si="1"/>
        <v>-3805442</v>
      </c>
      <c r="AO54" s="136"/>
    </row>
    <row r="55" spans="3:41" x14ac:dyDescent="0.3">
      <c r="C55" s="16"/>
      <c r="G55" s="378"/>
      <c r="H55" s="735"/>
      <c r="I55" s="735"/>
      <c r="J55" s="735"/>
      <c r="K55" s="735"/>
      <c r="L55" s="735"/>
      <c r="M55" s="735"/>
      <c r="N55" s="735"/>
      <c r="O55" s="735"/>
      <c r="P55" s="735"/>
      <c r="Q55" s="735"/>
      <c r="R55" s="735"/>
      <c r="S55" s="735"/>
      <c r="T55" s="735"/>
      <c r="U55" s="378"/>
      <c r="V55" s="735"/>
      <c r="W55" s="735"/>
      <c r="X55" s="735"/>
      <c r="Y55" s="735"/>
      <c r="Z55" s="735"/>
      <c r="AA55" s="735"/>
      <c r="AB55" s="735"/>
      <c r="AC55" s="735"/>
      <c r="AD55" s="735"/>
      <c r="AE55" s="735"/>
      <c r="AF55" s="735"/>
      <c r="AG55" s="735"/>
      <c r="AH55" s="737"/>
      <c r="AI55" s="46"/>
      <c r="AJ55" s="58"/>
      <c r="AK55" s="166"/>
      <c r="AL55" s="136"/>
      <c r="AM55" s="136"/>
      <c r="AO55" s="136"/>
    </row>
    <row r="56" spans="3:41" s="6" customFormat="1" x14ac:dyDescent="0.3">
      <c r="C56" s="14" t="s">
        <v>308</v>
      </c>
      <c r="F56" s="50"/>
      <c r="G56" s="731">
        <f t="shared" ref="G56:AC56" si="23">+G58+G65+G72</f>
        <v>58059400</v>
      </c>
      <c r="H56" s="729">
        <f>+H58+H65+H72</f>
        <v>46626420</v>
      </c>
      <c r="I56" s="729">
        <f t="shared" si="23"/>
        <v>-15761600</v>
      </c>
      <c r="J56" s="729">
        <f t="shared" si="23"/>
        <v>0</v>
      </c>
      <c r="K56" s="729">
        <f t="shared" si="23"/>
        <v>0</v>
      </c>
      <c r="L56" s="729">
        <f t="shared" si="23"/>
        <v>0</v>
      </c>
      <c r="M56" s="729">
        <f t="shared" si="23"/>
        <v>6790681</v>
      </c>
      <c r="N56" s="729">
        <f t="shared" si="23"/>
        <v>0</v>
      </c>
      <c r="O56" s="729">
        <f t="shared" si="23"/>
        <v>0</v>
      </c>
      <c r="P56" s="729">
        <f t="shared" si="23"/>
        <v>5451574</v>
      </c>
      <c r="Q56" s="729">
        <f t="shared" si="23"/>
        <v>5596913</v>
      </c>
      <c r="R56" s="729">
        <f t="shared" si="23"/>
        <v>0</v>
      </c>
      <c r="S56" s="729">
        <f t="shared" si="23"/>
        <v>0</v>
      </c>
      <c r="T56" s="729">
        <f t="shared" si="23"/>
        <v>48703988</v>
      </c>
      <c r="U56" s="731">
        <f t="shared" si="23"/>
        <v>27396681</v>
      </c>
      <c r="V56" s="729">
        <f t="shared" si="23"/>
        <v>0</v>
      </c>
      <c r="W56" s="729">
        <f t="shared" si="23"/>
        <v>-6054</v>
      </c>
      <c r="X56" s="729">
        <f t="shared" si="23"/>
        <v>14088400</v>
      </c>
      <c r="Y56" s="729">
        <f t="shared" si="23"/>
        <v>0</v>
      </c>
      <c r="Z56" s="729">
        <f t="shared" si="23"/>
        <v>0</v>
      </c>
      <c r="AA56" s="729">
        <f t="shared" si="23"/>
        <v>-3912780</v>
      </c>
      <c r="AB56" s="729">
        <f t="shared" si="23"/>
        <v>0</v>
      </c>
      <c r="AC56" s="729">
        <f t="shared" si="23"/>
        <v>6098240</v>
      </c>
      <c r="AD56" s="729">
        <f>+AD58+AD65+AD72</f>
        <v>0</v>
      </c>
      <c r="AE56" s="729">
        <f>+AE58+AE65+AE72</f>
        <v>0</v>
      </c>
      <c r="AF56" s="729">
        <f>+AF58+AF65+AF72</f>
        <v>0</v>
      </c>
      <c r="AG56" s="729">
        <f>+AG58+AG65+AG72</f>
        <v>11128875</v>
      </c>
      <c r="AH56" s="730">
        <f>+AH58+AH65+AH72</f>
        <v>16267806</v>
      </c>
      <c r="AI56" s="97"/>
      <c r="AJ56" s="50"/>
      <c r="AK56" s="166">
        <f t="shared" si="7"/>
        <v>-11128875</v>
      </c>
      <c r="AL56" s="136">
        <f t="shared" si="13"/>
        <v>11128875</v>
      </c>
      <c r="AM56" s="136">
        <f t="shared" si="1"/>
        <v>11128875</v>
      </c>
      <c r="AO56" s="136"/>
    </row>
    <row r="57" spans="3:41" hidden="1" x14ac:dyDescent="0.3">
      <c r="C57" s="16"/>
      <c r="G57" s="378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378"/>
      <c r="V57" s="735"/>
      <c r="W57" s="735"/>
      <c r="X57" s="735"/>
      <c r="Y57" s="735"/>
      <c r="Z57" s="735"/>
      <c r="AA57" s="735"/>
      <c r="AB57" s="735"/>
      <c r="AC57" s="735"/>
      <c r="AD57" s="735"/>
      <c r="AE57" s="735"/>
      <c r="AF57" s="735"/>
      <c r="AG57" s="735"/>
      <c r="AH57" s="737"/>
      <c r="AI57" s="46"/>
      <c r="AJ57" s="58"/>
      <c r="AK57" s="166"/>
      <c r="AL57" s="136"/>
      <c r="AM57" s="136"/>
      <c r="AO57" s="136"/>
    </row>
    <row r="58" spans="3:41" x14ac:dyDescent="0.3">
      <c r="C58" s="16"/>
      <c r="D58" s="17" t="s">
        <v>499</v>
      </c>
      <c r="G58" s="378">
        <f t="shared" ref="G58:L58" si="24">SUM(G59:G63)</f>
        <v>58059400</v>
      </c>
      <c r="H58" s="378">
        <f t="shared" si="24"/>
        <v>46626420</v>
      </c>
      <c r="I58" s="378">
        <f t="shared" si="24"/>
        <v>-15761600</v>
      </c>
      <c r="J58" s="378">
        <f t="shared" si="24"/>
        <v>0</v>
      </c>
      <c r="K58" s="378">
        <f t="shared" si="24"/>
        <v>0</v>
      </c>
      <c r="L58" s="378">
        <f t="shared" si="24"/>
        <v>0</v>
      </c>
      <c r="M58" s="378">
        <f t="shared" ref="M58:AH58" si="25">SUM(M59:M63)</f>
        <v>6790681</v>
      </c>
      <c r="N58" s="378">
        <f>SUM(N59:N63)</f>
        <v>0</v>
      </c>
      <c r="O58" s="378">
        <f t="shared" si="25"/>
        <v>0</v>
      </c>
      <c r="P58" s="378">
        <f>SUM(P59:P63)</f>
        <v>5451574</v>
      </c>
      <c r="Q58" s="378">
        <f>SUM(Q59:Q63)</f>
        <v>5596913</v>
      </c>
      <c r="R58" s="378">
        <f>SUM(R59:R63)</f>
        <v>0</v>
      </c>
      <c r="S58" s="378">
        <f>SUM(S59:S63)</f>
        <v>0</v>
      </c>
      <c r="T58" s="378">
        <f>SUM(T59:T63)</f>
        <v>48703988</v>
      </c>
      <c r="U58" s="378">
        <f t="shared" si="25"/>
        <v>27396681</v>
      </c>
      <c r="V58" s="378">
        <f t="shared" si="25"/>
        <v>0</v>
      </c>
      <c r="W58" s="378">
        <f t="shared" si="25"/>
        <v>-6054</v>
      </c>
      <c r="X58" s="378">
        <f t="shared" si="25"/>
        <v>14088400</v>
      </c>
      <c r="Y58" s="378">
        <f t="shared" si="25"/>
        <v>0</v>
      </c>
      <c r="Z58" s="378">
        <f t="shared" si="25"/>
        <v>0</v>
      </c>
      <c r="AA58" s="378">
        <f t="shared" si="25"/>
        <v>-3912780</v>
      </c>
      <c r="AB58" s="378">
        <f t="shared" si="25"/>
        <v>0</v>
      </c>
      <c r="AC58" s="378">
        <f t="shared" si="25"/>
        <v>6098240</v>
      </c>
      <c r="AD58" s="378">
        <f t="shared" si="25"/>
        <v>0</v>
      </c>
      <c r="AE58" s="378">
        <f t="shared" si="25"/>
        <v>0</v>
      </c>
      <c r="AF58" s="378">
        <f t="shared" si="25"/>
        <v>0</v>
      </c>
      <c r="AG58" s="378">
        <f t="shared" si="25"/>
        <v>11128875</v>
      </c>
      <c r="AH58" s="737">
        <f t="shared" si="25"/>
        <v>16267806</v>
      </c>
      <c r="AI58" s="46"/>
      <c r="AJ58" s="58"/>
      <c r="AK58" s="166">
        <f t="shared" si="7"/>
        <v>-11128875</v>
      </c>
      <c r="AL58" s="136">
        <f t="shared" si="13"/>
        <v>11128875</v>
      </c>
      <c r="AM58" s="136">
        <f t="shared" si="1"/>
        <v>11128875</v>
      </c>
      <c r="AO58" s="136"/>
    </row>
    <row r="59" spans="3:41" x14ac:dyDescent="0.3">
      <c r="C59" s="16"/>
      <c r="E59" s="17" t="s">
        <v>500</v>
      </c>
      <c r="G59" s="378">
        <f>+[31]Summary!$H$42</f>
        <v>73821000</v>
      </c>
      <c r="H59" s="735">
        <f>[32]Summary!$M$42</f>
        <v>46626420</v>
      </c>
      <c r="I59" s="735">
        <f>[33]Summary!$R$42</f>
        <v>0</v>
      </c>
      <c r="J59" s="735">
        <f>+[43]Summary!$W$42</f>
        <v>0</v>
      </c>
      <c r="K59" s="735">
        <f>+[35]Summary!$AB$42</f>
        <v>0</v>
      </c>
      <c r="L59" s="735">
        <f>+[36]Summary!$AG$42</f>
        <v>0</v>
      </c>
      <c r="M59" s="735">
        <f>+[37]Summary!$AL$42</f>
        <v>6790681</v>
      </c>
      <c r="N59" s="735">
        <f>+[38]Summary!$AQ$42</f>
        <v>0</v>
      </c>
      <c r="O59" s="735">
        <f>+[31]Summary!$AV$42</f>
        <v>0</v>
      </c>
      <c r="P59" s="735">
        <f>+[39]Summary!$BA$42</f>
        <v>5451574</v>
      </c>
      <c r="Q59" s="735">
        <f>[40]Summary!$BF$42</f>
        <v>5596913</v>
      </c>
      <c r="R59" s="735">
        <v>0</v>
      </c>
      <c r="S59" s="735">
        <v>0</v>
      </c>
      <c r="T59" s="735">
        <f>SUM(H59:S59)</f>
        <v>64465588</v>
      </c>
      <c r="U59" s="378">
        <f>+[37]Summary!$BZ$42</f>
        <v>31315515</v>
      </c>
      <c r="V59" s="735">
        <f>[76]Summary!$CE$42</f>
        <v>0</v>
      </c>
      <c r="W59" s="735">
        <v>0</v>
      </c>
      <c r="X59" s="735">
        <f>+[43]Summary!$CO$42</f>
        <v>14088400</v>
      </c>
      <c r="Y59" s="735">
        <f>+[35]Summary!$CT$42</f>
        <v>0</v>
      </c>
      <c r="Z59" s="735">
        <f>+[36]Summary!$CY$42</f>
        <v>0</v>
      </c>
      <c r="AA59" s="735">
        <f>+[37]Summary!$DD$42</f>
        <v>0</v>
      </c>
      <c r="AB59" s="735">
        <f>+[38]Summary!$DI$42</f>
        <v>0</v>
      </c>
      <c r="AC59" s="735">
        <f>+[31]Summary!$DN$42</f>
        <v>6098240</v>
      </c>
      <c r="AD59" s="735">
        <f>+[39]Summary!$DS$42</f>
        <v>0</v>
      </c>
      <c r="AE59" s="735">
        <f>[40]Summary!$DX$42</f>
        <v>0</v>
      </c>
      <c r="AF59" s="735">
        <v>0</v>
      </c>
      <c r="AG59" s="735">
        <v>11128875</v>
      </c>
      <c r="AH59" s="737">
        <f t="shared" ref="AH59:AH63" si="26">SUM(V59:AE59)</f>
        <v>20186640</v>
      </c>
      <c r="AI59" s="46"/>
      <c r="AJ59" s="58"/>
      <c r="AK59" s="166">
        <f t="shared" si="7"/>
        <v>-11128875</v>
      </c>
      <c r="AL59" s="136">
        <f t="shared" si="13"/>
        <v>11128875</v>
      </c>
      <c r="AM59" s="136">
        <f t="shared" si="1"/>
        <v>11128875</v>
      </c>
      <c r="AO59" s="136"/>
    </row>
    <row r="60" spans="3:41" hidden="1" x14ac:dyDescent="0.3">
      <c r="C60" s="16"/>
      <c r="E60" s="17" t="s">
        <v>501</v>
      </c>
      <c r="G60" s="378">
        <f>[76]Summary!$H$43</f>
        <v>0</v>
      </c>
      <c r="H60" s="735">
        <v>0</v>
      </c>
      <c r="I60" s="735">
        <v>0</v>
      </c>
      <c r="J60" s="735">
        <v>0</v>
      </c>
      <c r="K60" s="735">
        <v>0</v>
      </c>
      <c r="L60" s="735">
        <v>0</v>
      </c>
      <c r="M60" s="735">
        <v>0</v>
      </c>
      <c r="N60" s="735">
        <v>0</v>
      </c>
      <c r="O60" s="735">
        <v>0</v>
      </c>
      <c r="P60" s="735">
        <v>0</v>
      </c>
      <c r="Q60" s="735">
        <v>0</v>
      </c>
      <c r="R60" s="735">
        <v>0</v>
      </c>
      <c r="S60" s="735">
        <v>0</v>
      </c>
      <c r="T60" s="735">
        <f>SUM(H60:S60)</f>
        <v>0</v>
      </c>
      <c r="U60" s="378">
        <f>[76]Summary!$BZ$43</f>
        <v>0</v>
      </c>
      <c r="V60" s="735">
        <f>[76]Summary!$CE$43</f>
        <v>0</v>
      </c>
      <c r="W60" s="735">
        <v>0</v>
      </c>
      <c r="X60" s="735">
        <v>0</v>
      </c>
      <c r="Y60" s="735">
        <v>0</v>
      </c>
      <c r="Z60" s="735">
        <v>0</v>
      </c>
      <c r="AA60" s="735">
        <v>0</v>
      </c>
      <c r="AB60" s="735">
        <v>0</v>
      </c>
      <c r="AC60" s="735">
        <v>0</v>
      </c>
      <c r="AD60" s="735">
        <v>0</v>
      </c>
      <c r="AE60" s="735">
        <v>0</v>
      </c>
      <c r="AF60" s="735">
        <v>0</v>
      </c>
      <c r="AG60" s="735">
        <v>0</v>
      </c>
      <c r="AH60" s="737">
        <f t="shared" si="26"/>
        <v>0</v>
      </c>
      <c r="AI60" s="46"/>
      <c r="AJ60" s="58"/>
      <c r="AK60" s="166">
        <f t="shared" si="7"/>
        <v>0</v>
      </c>
      <c r="AL60" s="136">
        <f t="shared" si="13"/>
        <v>0</v>
      </c>
      <c r="AM60" s="136">
        <f t="shared" si="1"/>
        <v>0</v>
      </c>
      <c r="AO60" s="136"/>
    </row>
    <row r="61" spans="3:41" x14ac:dyDescent="0.3">
      <c r="C61" s="16"/>
      <c r="E61" s="17" t="s">
        <v>445</v>
      </c>
      <c r="G61" s="378"/>
      <c r="H61" s="735"/>
      <c r="I61" s="735"/>
      <c r="J61" s="735"/>
      <c r="K61" s="735"/>
      <c r="L61" s="735"/>
      <c r="M61" s="735"/>
      <c r="N61" s="735"/>
      <c r="O61" s="735"/>
      <c r="P61" s="735"/>
      <c r="Q61" s="735"/>
      <c r="R61" s="735"/>
      <c r="S61" s="735"/>
      <c r="T61" s="735"/>
      <c r="U61" s="378"/>
      <c r="V61" s="735"/>
      <c r="W61" s="735"/>
      <c r="X61" s="735"/>
      <c r="Y61" s="735"/>
      <c r="Z61" s="735"/>
      <c r="AA61" s="735"/>
      <c r="AB61" s="735"/>
      <c r="AC61" s="735"/>
      <c r="AD61" s="735"/>
      <c r="AE61" s="735"/>
      <c r="AF61" s="735"/>
      <c r="AG61" s="735"/>
      <c r="AH61" s="737"/>
      <c r="AI61" s="46"/>
      <c r="AJ61" s="58"/>
      <c r="AK61" s="166"/>
      <c r="AL61" s="136"/>
      <c r="AM61" s="136"/>
      <c r="AO61" s="136"/>
    </row>
    <row r="62" spans="3:41" x14ac:dyDescent="0.3">
      <c r="C62" s="16"/>
      <c r="E62" s="79" t="s">
        <v>507</v>
      </c>
      <c r="G62" s="378">
        <f>+[31]Summary!$H$45</f>
        <v>-7115000</v>
      </c>
      <c r="H62" s="735">
        <f>[32]Summary!$M$45</f>
        <v>0</v>
      </c>
      <c r="I62" s="735">
        <f>[33]Summary!$R$45</f>
        <v>-7115000</v>
      </c>
      <c r="J62" s="735">
        <f>+[43]Summary!$W$45</f>
        <v>0</v>
      </c>
      <c r="K62" s="735">
        <f>+[35]Summary!$AB$45</f>
        <v>0</v>
      </c>
      <c r="L62" s="735">
        <f>+[36]Summary!$AG$45</f>
        <v>0</v>
      </c>
      <c r="M62" s="735">
        <f>+[37]Summary!$AL$45</f>
        <v>0</v>
      </c>
      <c r="N62" s="735">
        <f>+[38]Summary!$AQ$45</f>
        <v>0</v>
      </c>
      <c r="O62" s="735">
        <f>+[31]Summary!$AV$45</f>
        <v>0</v>
      </c>
      <c r="P62" s="735">
        <f>+[39]Summary!$BA$45</f>
        <v>0</v>
      </c>
      <c r="Q62" s="735">
        <f>[40]Summary!$BF$45</f>
        <v>0</v>
      </c>
      <c r="R62" s="735">
        <v>0</v>
      </c>
      <c r="S62" s="735">
        <v>0</v>
      </c>
      <c r="T62" s="735">
        <f>SUM(H62:S62)</f>
        <v>-7115000</v>
      </c>
      <c r="U62" s="378">
        <f>+[37]Summary!$BZ$45</f>
        <v>-1995428</v>
      </c>
      <c r="V62" s="735">
        <f>[76]Summary!$CE$45</f>
        <v>0</v>
      </c>
      <c r="W62" s="735">
        <v>-1940</v>
      </c>
      <c r="X62" s="735">
        <f>+[43]Summary!$CO$45</f>
        <v>0</v>
      </c>
      <c r="Y62" s="735">
        <f>+[35]Summary!$CT$45</f>
        <v>0</v>
      </c>
      <c r="Z62" s="735">
        <f>+[36]Summary!$CY$45</f>
        <v>0</v>
      </c>
      <c r="AA62" s="735">
        <f>+[37]Summary!$DD$45</f>
        <v>-1993488</v>
      </c>
      <c r="AB62" s="735">
        <f>+[38]Summary!$DI$45</f>
        <v>0</v>
      </c>
      <c r="AC62" s="735">
        <f>+[31]Summary!$DN$45</f>
        <v>0</v>
      </c>
      <c r="AD62" s="735">
        <f>+[39]Summary!$DS$45</f>
        <v>0</v>
      </c>
      <c r="AE62" s="735">
        <f>[40]Summary!$DX$45</f>
        <v>0</v>
      </c>
      <c r="AF62" s="735">
        <v>0</v>
      </c>
      <c r="AG62" s="735">
        <v>0</v>
      </c>
      <c r="AH62" s="737">
        <f t="shared" si="26"/>
        <v>-1995428</v>
      </c>
      <c r="AI62" s="46"/>
      <c r="AJ62" s="58"/>
      <c r="AK62" s="166">
        <f t="shared" si="7"/>
        <v>0</v>
      </c>
      <c r="AL62" s="136">
        <f t="shared" si="13"/>
        <v>0</v>
      </c>
      <c r="AM62" s="136">
        <f t="shared" si="1"/>
        <v>0</v>
      </c>
      <c r="AO62" s="136"/>
    </row>
    <row r="63" spans="3:41" x14ac:dyDescent="0.3">
      <c r="C63" s="16"/>
      <c r="E63" s="79" t="s">
        <v>508</v>
      </c>
      <c r="F63" s="742"/>
      <c r="G63" s="378">
        <f>+[31]Summary!$H$46</f>
        <v>-8646600</v>
      </c>
      <c r="H63" s="735">
        <f>[32]Summary!$M$46</f>
        <v>0</v>
      </c>
      <c r="I63" s="735">
        <f>[33]Summary!$R$46</f>
        <v>-8646600</v>
      </c>
      <c r="J63" s="735">
        <f>+[43]Summary!$W$46</f>
        <v>0</v>
      </c>
      <c r="K63" s="735">
        <f>+[35]Summary!$AB$46</f>
        <v>0</v>
      </c>
      <c r="L63" s="735">
        <f>+[36]Summary!$AG$46</f>
        <v>0</v>
      </c>
      <c r="M63" s="735">
        <f>+[37]Summary!$AL$46</f>
        <v>0</v>
      </c>
      <c r="N63" s="735">
        <f>+[38]Summary!$AQ$46</f>
        <v>0</v>
      </c>
      <c r="O63" s="735">
        <f>+[31]Summary!$AV$46</f>
        <v>0</v>
      </c>
      <c r="P63" s="735">
        <f>+[39]Summary!$BA$46</f>
        <v>0</v>
      </c>
      <c r="Q63" s="735">
        <f>[40]Summary!$BF$46</f>
        <v>0</v>
      </c>
      <c r="R63" s="735">
        <v>0</v>
      </c>
      <c r="S63" s="735">
        <v>0</v>
      </c>
      <c r="T63" s="735">
        <f>SUM(H63:S63)</f>
        <v>-8646600</v>
      </c>
      <c r="U63" s="378">
        <f>+[37]Summary!$BZ$46</f>
        <v>-1923406</v>
      </c>
      <c r="V63" s="735">
        <f>[76]Summary!$CE$46</f>
        <v>0</v>
      </c>
      <c r="W63" s="735">
        <v>-4114</v>
      </c>
      <c r="X63" s="735">
        <f>+[43]Summary!$CO$46</f>
        <v>0</v>
      </c>
      <c r="Y63" s="735">
        <f>+[35]Summary!$CT$46</f>
        <v>0</v>
      </c>
      <c r="Z63" s="735">
        <f>+[36]Summary!$CY$46</f>
        <v>0</v>
      </c>
      <c r="AA63" s="735">
        <f>+[37]Summary!$DD$46</f>
        <v>-1919292</v>
      </c>
      <c r="AB63" s="735">
        <f>+[38]Summary!$DI$46</f>
        <v>0</v>
      </c>
      <c r="AC63" s="735">
        <f>+[31]Summary!$DN$46</f>
        <v>0</v>
      </c>
      <c r="AD63" s="735">
        <f>+[39]Summary!$DS$46</f>
        <v>0</v>
      </c>
      <c r="AE63" s="735">
        <f>[40]Summary!$DX$46</f>
        <v>0</v>
      </c>
      <c r="AF63" s="735">
        <v>0</v>
      </c>
      <c r="AG63" s="735">
        <v>0</v>
      </c>
      <c r="AH63" s="737">
        <f t="shared" si="26"/>
        <v>-1923406</v>
      </c>
      <c r="AI63" s="46"/>
      <c r="AJ63" s="58"/>
      <c r="AK63" s="166">
        <f t="shared" si="7"/>
        <v>0</v>
      </c>
      <c r="AL63" s="136">
        <f t="shared" si="13"/>
        <v>0</v>
      </c>
      <c r="AM63" s="136">
        <f t="shared" si="1"/>
        <v>0</v>
      </c>
      <c r="AO63" s="136"/>
    </row>
    <row r="64" spans="3:41" x14ac:dyDescent="0.3">
      <c r="C64" s="16"/>
      <c r="E64" s="79"/>
      <c r="F64" s="742"/>
      <c r="G64" s="378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378"/>
      <c r="V64" s="735"/>
      <c r="W64" s="735"/>
      <c r="X64" s="735"/>
      <c r="Y64" s="735"/>
      <c r="Z64" s="735"/>
      <c r="AA64" s="735"/>
      <c r="AB64" s="735"/>
      <c r="AC64" s="735"/>
      <c r="AD64" s="735"/>
      <c r="AE64" s="735"/>
      <c r="AF64" s="735"/>
      <c r="AG64" s="735"/>
      <c r="AH64" s="737"/>
      <c r="AI64" s="46"/>
      <c r="AJ64" s="58"/>
      <c r="AK64" s="166"/>
      <c r="AL64" s="136"/>
      <c r="AM64" s="136"/>
      <c r="AO64" s="136"/>
    </row>
    <row r="65" spans="3:41" hidden="1" x14ac:dyDescent="0.3">
      <c r="C65" s="16"/>
      <c r="D65" s="17" t="s">
        <v>502</v>
      </c>
      <c r="F65" s="742"/>
      <c r="G65" s="378">
        <f t="shared" ref="G65:S65" si="27">SUM(G66:G70)</f>
        <v>0</v>
      </c>
      <c r="H65" s="378">
        <f t="shared" si="27"/>
        <v>0</v>
      </c>
      <c r="I65" s="378">
        <f t="shared" si="27"/>
        <v>0</v>
      </c>
      <c r="J65" s="378">
        <f t="shared" si="27"/>
        <v>0</v>
      </c>
      <c r="K65" s="378">
        <f t="shared" si="27"/>
        <v>0</v>
      </c>
      <c r="L65" s="378">
        <f t="shared" si="27"/>
        <v>0</v>
      </c>
      <c r="M65" s="378">
        <f t="shared" si="27"/>
        <v>0</v>
      </c>
      <c r="N65" s="378">
        <f t="shared" si="27"/>
        <v>0</v>
      </c>
      <c r="O65" s="378">
        <f t="shared" si="27"/>
        <v>0</v>
      </c>
      <c r="P65" s="378">
        <f t="shared" si="27"/>
        <v>0</v>
      </c>
      <c r="Q65" s="378">
        <f t="shared" si="27"/>
        <v>0</v>
      </c>
      <c r="R65" s="378">
        <f t="shared" si="27"/>
        <v>0</v>
      </c>
      <c r="S65" s="378">
        <f t="shared" si="27"/>
        <v>0</v>
      </c>
      <c r="T65" s="735">
        <f>SUM(T66:T70)</f>
        <v>0</v>
      </c>
      <c r="U65" s="378">
        <v>0</v>
      </c>
      <c r="V65" s="378">
        <f t="shared" ref="V65:AG65" si="28">SUM(V66:V70)</f>
        <v>0</v>
      </c>
      <c r="W65" s="378">
        <f t="shared" si="28"/>
        <v>0</v>
      </c>
      <c r="X65" s="378">
        <f t="shared" si="28"/>
        <v>0</v>
      </c>
      <c r="Y65" s="378">
        <f t="shared" si="28"/>
        <v>0</v>
      </c>
      <c r="Z65" s="378">
        <f t="shared" si="28"/>
        <v>0</v>
      </c>
      <c r="AA65" s="378">
        <f t="shared" si="28"/>
        <v>0</v>
      </c>
      <c r="AB65" s="378">
        <f t="shared" si="28"/>
        <v>0</v>
      </c>
      <c r="AC65" s="378">
        <f t="shared" si="28"/>
        <v>0</v>
      </c>
      <c r="AD65" s="378">
        <f t="shared" si="28"/>
        <v>0</v>
      </c>
      <c r="AE65" s="378">
        <f t="shared" si="28"/>
        <v>0</v>
      </c>
      <c r="AF65" s="378">
        <f t="shared" si="28"/>
        <v>0</v>
      </c>
      <c r="AG65" s="378">
        <f t="shared" si="28"/>
        <v>0</v>
      </c>
      <c r="AH65" s="737">
        <f>SUM(AH66:AH70)</f>
        <v>0</v>
      </c>
      <c r="AI65" s="46"/>
      <c r="AJ65" s="58"/>
      <c r="AK65" s="166">
        <f t="shared" si="7"/>
        <v>0</v>
      </c>
      <c r="AL65" s="136">
        <f t="shared" si="13"/>
        <v>0</v>
      </c>
      <c r="AM65" s="136">
        <f t="shared" si="1"/>
        <v>0</v>
      </c>
      <c r="AO65" s="136"/>
    </row>
    <row r="66" spans="3:41" hidden="1" x14ac:dyDescent="0.3">
      <c r="C66" s="16"/>
      <c r="E66" s="17" t="s">
        <v>500</v>
      </c>
      <c r="F66" s="742"/>
      <c r="G66" s="378">
        <f>[77]summary!$H$55</f>
        <v>0</v>
      </c>
      <c r="H66" s="378">
        <f>[77]summary!$M$55</f>
        <v>0</v>
      </c>
      <c r="I66" s="378">
        <f>[78]summary!$R$55</f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f>[79]summary!$BP$55</f>
        <v>0</v>
      </c>
      <c r="T66" s="735">
        <f>SUM(H66:I66)</f>
        <v>0</v>
      </c>
      <c r="U66" s="378">
        <v>0</v>
      </c>
      <c r="V66" s="378">
        <f>[77]summary!$M$55</f>
        <v>0</v>
      </c>
      <c r="W66" s="378">
        <f>[78]summary!$R$55</f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f>[79]summary!$BP$55</f>
        <v>0</v>
      </c>
      <c r="AH66" s="737">
        <f>SUM(V66:W66)</f>
        <v>0</v>
      </c>
      <c r="AI66" s="46"/>
      <c r="AJ66" s="58"/>
      <c r="AK66" s="166">
        <f t="shared" si="7"/>
        <v>0</v>
      </c>
      <c r="AL66" s="136">
        <f t="shared" si="13"/>
        <v>0</v>
      </c>
      <c r="AM66" s="136">
        <f t="shared" si="1"/>
        <v>0</v>
      </c>
      <c r="AO66" s="136"/>
    </row>
    <row r="67" spans="3:41" hidden="1" x14ac:dyDescent="0.3">
      <c r="C67" s="16"/>
      <c r="E67" s="17" t="s">
        <v>501</v>
      </c>
      <c r="F67" s="742"/>
      <c r="G67" s="378">
        <f>[77]summary!$H$56</f>
        <v>0</v>
      </c>
      <c r="H67" s="378">
        <f>[77]summary!$M$56</f>
        <v>0</v>
      </c>
      <c r="I67" s="378">
        <f>[78]summary!$R$56</f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f>[79]summary!$BP$56</f>
        <v>0</v>
      </c>
      <c r="T67" s="735">
        <f>SUM(H67:I67)</f>
        <v>0</v>
      </c>
      <c r="U67" s="378">
        <v>0</v>
      </c>
      <c r="V67" s="378">
        <f>[77]summary!$M$56</f>
        <v>0</v>
      </c>
      <c r="W67" s="378">
        <f>[78]summary!$R$56</f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f>[79]summary!$BP$56</f>
        <v>0</v>
      </c>
      <c r="AH67" s="737">
        <f>SUM(V67:W67)</f>
        <v>0</v>
      </c>
      <c r="AI67" s="46"/>
      <c r="AJ67" s="58"/>
      <c r="AK67" s="166">
        <f t="shared" si="7"/>
        <v>0</v>
      </c>
      <c r="AL67" s="136">
        <f t="shared" si="13"/>
        <v>0</v>
      </c>
      <c r="AM67" s="136">
        <f t="shared" si="1"/>
        <v>0</v>
      </c>
      <c r="AO67" s="136"/>
    </row>
    <row r="68" spans="3:41" hidden="1" x14ac:dyDescent="0.3">
      <c r="C68" s="16"/>
      <c r="E68" s="17" t="s">
        <v>509</v>
      </c>
      <c r="F68" s="742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735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737"/>
      <c r="AI68" s="46"/>
      <c r="AJ68" s="58"/>
      <c r="AK68" s="166">
        <f t="shared" si="7"/>
        <v>0</v>
      </c>
      <c r="AL68" s="136">
        <f t="shared" si="13"/>
        <v>0</v>
      </c>
      <c r="AM68" s="136">
        <f t="shared" si="1"/>
        <v>0</v>
      </c>
      <c r="AO68" s="136"/>
    </row>
    <row r="69" spans="3:41" hidden="1" x14ac:dyDescent="0.3">
      <c r="C69" s="16"/>
      <c r="E69" s="79" t="s">
        <v>507</v>
      </c>
      <c r="F69" s="742"/>
      <c r="G69" s="378">
        <f>[77]summary!$H$58</f>
        <v>0</v>
      </c>
      <c r="H69" s="378">
        <f>[77]summary!$M$58</f>
        <v>0</v>
      </c>
      <c r="I69" s="378">
        <f>[78]summary!$R$58</f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f>[79]summary!$BP$58</f>
        <v>0</v>
      </c>
      <c r="T69" s="735">
        <f>SUM(H69:I69)</f>
        <v>0</v>
      </c>
      <c r="U69" s="378">
        <v>0</v>
      </c>
      <c r="V69" s="378">
        <f>[77]summary!$M$58</f>
        <v>0</v>
      </c>
      <c r="W69" s="378">
        <f>[78]summary!$R$58</f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f>[79]summary!$BP$58</f>
        <v>0</v>
      </c>
      <c r="AH69" s="737">
        <f>SUM(V69:W69)</f>
        <v>0</v>
      </c>
      <c r="AI69" s="46"/>
      <c r="AJ69" s="58"/>
      <c r="AK69" s="166">
        <f t="shared" si="7"/>
        <v>0</v>
      </c>
      <c r="AL69" s="136">
        <f t="shared" si="13"/>
        <v>0</v>
      </c>
      <c r="AM69" s="136">
        <f t="shared" si="1"/>
        <v>0</v>
      </c>
      <c r="AO69" s="136"/>
    </row>
    <row r="70" spans="3:41" hidden="1" x14ac:dyDescent="0.3">
      <c r="C70" s="16"/>
      <c r="E70" s="79" t="s">
        <v>508</v>
      </c>
      <c r="F70" s="742"/>
      <c r="G70" s="378">
        <f>[77]summary!$H$59</f>
        <v>0</v>
      </c>
      <c r="H70" s="378">
        <f>[77]summary!$M$59</f>
        <v>0</v>
      </c>
      <c r="I70" s="378">
        <f>[78]summary!$R$59</f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f>[79]summary!$BP$59</f>
        <v>0</v>
      </c>
      <c r="T70" s="735">
        <f>SUM(H70:I70)</f>
        <v>0</v>
      </c>
      <c r="U70" s="378">
        <v>0</v>
      </c>
      <c r="V70" s="378">
        <f>[77]summary!$M$59</f>
        <v>0</v>
      </c>
      <c r="W70" s="378">
        <f>[78]summary!$R$59</f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f>[79]summary!$BP$59</f>
        <v>0</v>
      </c>
      <c r="AH70" s="737">
        <f>SUM(V70:W70)</f>
        <v>0</v>
      </c>
      <c r="AI70" s="46"/>
      <c r="AJ70" s="58"/>
      <c r="AK70" s="166">
        <f t="shared" si="7"/>
        <v>0</v>
      </c>
      <c r="AL70" s="136">
        <f t="shared" si="13"/>
        <v>0</v>
      </c>
      <c r="AM70" s="136">
        <f t="shared" si="1"/>
        <v>0</v>
      </c>
      <c r="AO70" s="136"/>
    </row>
    <row r="71" spans="3:41" hidden="1" x14ac:dyDescent="0.3">
      <c r="C71" s="16"/>
      <c r="E71" s="79"/>
      <c r="F71" s="742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735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737"/>
      <c r="AI71" s="46"/>
      <c r="AJ71" s="58"/>
      <c r="AK71" s="166">
        <f t="shared" si="7"/>
        <v>0</v>
      </c>
      <c r="AL71" s="136">
        <f t="shared" si="13"/>
        <v>0</v>
      </c>
      <c r="AM71" s="136">
        <f t="shared" si="1"/>
        <v>0</v>
      </c>
      <c r="AO71" s="136"/>
    </row>
    <row r="72" spans="3:41" hidden="1" x14ac:dyDescent="0.3">
      <c r="C72" s="16"/>
      <c r="D72" s="17" t="s">
        <v>510</v>
      </c>
      <c r="F72" s="742"/>
      <c r="G72" s="378">
        <v>0</v>
      </c>
      <c r="H72" s="378">
        <f t="shared" ref="H72:S72" si="29">SUM(H73:H77)</f>
        <v>0</v>
      </c>
      <c r="I72" s="378">
        <f t="shared" si="29"/>
        <v>0</v>
      </c>
      <c r="J72" s="378">
        <f t="shared" si="29"/>
        <v>0</v>
      </c>
      <c r="K72" s="378">
        <f t="shared" si="29"/>
        <v>0</v>
      </c>
      <c r="L72" s="378">
        <f t="shared" si="29"/>
        <v>0</v>
      </c>
      <c r="M72" s="378">
        <f t="shared" si="29"/>
        <v>0</v>
      </c>
      <c r="N72" s="378">
        <f t="shared" si="29"/>
        <v>0</v>
      </c>
      <c r="O72" s="378">
        <f t="shared" si="29"/>
        <v>0</v>
      </c>
      <c r="P72" s="378">
        <f t="shared" si="29"/>
        <v>0</v>
      </c>
      <c r="Q72" s="378">
        <f t="shared" si="29"/>
        <v>0</v>
      </c>
      <c r="R72" s="378">
        <f t="shared" si="29"/>
        <v>0</v>
      </c>
      <c r="S72" s="378">
        <f t="shared" si="29"/>
        <v>0</v>
      </c>
      <c r="T72" s="735">
        <f>SUM(T73:T77)</f>
        <v>0</v>
      </c>
      <c r="U72" s="378">
        <v>0</v>
      </c>
      <c r="V72" s="378">
        <f t="shared" ref="V72:AG72" si="30">SUM(V73:V77)</f>
        <v>0</v>
      </c>
      <c r="W72" s="378">
        <f t="shared" si="30"/>
        <v>0</v>
      </c>
      <c r="X72" s="378">
        <f t="shared" si="30"/>
        <v>0</v>
      </c>
      <c r="Y72" s="378">
        <f t="shared" si="30"/>
        <v>0</v>
      </c>
      <c r="Z72" s="378">
        <f t="shared" si="30"/>
        <v>0</v>
      </c>
      <c r="AA72" s="378">
        <f t="shared" si="30"/>
        <v>0</v>
      </c>
      <c r="AB72" s="378">
        <f t="shared" si="30"/>
        <v>0</v>
      </c>
      <c r="AC72" s="378">
        <f t="shared" si="30"/>
        <v>0</v>
      </c>
      <c r="AD72" s="378">
        <f t="shared" si="30"/>
        <v>0</v>
      </c>
      <c r="AE72" s="378">
        <f t="shared" si="30"/>
        <v>0</v>
      </c>
      <c r="AF72" s="378">
        <f t="shared" si="30"/>
        <v>0</v>
      </c>
      <c r="AG72" s="378">
        <f t="shared" si="30"/>
        <v>0</v>
      </c>
      <c r="AH72" s="737">
        <f>SUM(AH73:AH77)</f>
        <v>0</v>
      </c>
      <c r="AI72" s="46"/>
      <c r="AJ72" s="58"/>
      <c r="AK72" s="166">
        <f t="shared" si="7"/>
        <v>0</v>
      </c>
      <c r="AL72" s="136">
        <f t="shared" si="13"/>
        <v>0</v>
      </c>
      <c r="AM72" s="136">
        <f t="shared" si="1"/>
        <v>0</v>
      </c>
      <c r="AO72" s="136"/>
    </row>
    <row r="73" spans="3:41" hidden="1" x14ac:dyDescent="0.3">
      <c r="C73" s="16"/>
      <c r="E73" s="17" t="s">
        <v>500</v>
      </c>
      <c r="F73" s="742"/>
      <c r="G73" s="378">
        <v>0</v>
      </c>
      <c r="H73" s="378">
        <v>0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735">
        <f>SUM(H73:S73)</f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737">
        <f>SUM(V73:AG73)</f>
        <v>0</v>
      </c>
      <c r="AI73" s="46"/>
      <c r="AJ73" s="58"/>
      <c r="AK73" s="166">
        <f t="shared" si="7"/>
        <v>0</v>
      </c>
      <c r="AL73" s="136">
        <f t="shared" si="13"/>
        <v>0</v>
      </c>
      <c r="AM73" s="136">
        <f t="shared" si="1"/>
        <v>0</v>
      </c>
      <c r="AO73" s="136"/>
    </row>
    <row r="74" spans="3:41" hidden="1" x14ac:dyDescent="0.3">
      <c r="C74" s="16"/>
      <c r="E74" s="17" t="s">
        <v>501</v>
      </c>
      <c r="F74" s="742"/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735">
        <f>SUM(H74:S74)</f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737">
        <f>SUM(V74:AG74)</f>
        <v>0</v>
      </c>
      <c r="AI74" s="46"/>
      <c r="AJ74" s="58"/>
      <c r="AK74" s="166">
        <f t="shared" si="7"/>
        <v>0</v>
      </c>
      <c r="AL74" s="136">
        <f t="shared" si="13"/>
        <v>0</v>
      </c>
      <c r="AM74" s="136">
        <f t="shared" si="1"/>
        <v>0</v>
      </c>
      <c r="AO74" s="136"/>
    </row>
    <row r="75" spans="3:41" hidden="1" x14ac:dyDescent="0.3">
      <c r="C75" s="16"/>
      <c r="E75" s="17" t="s">
        <v>511</v>
      </c>
      <c r="F75" s="742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735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737"/>
      <c r="AI75" s="46"/>
      <c r="AJ75" s="58"/>
      <c r="AK75" s="166">
        <f t="shared" si="7"/>
        <v>0</v>
      </c>
      <c r="AL75" s="136">
        <f t="shared" ref="AL75:AL88" si="31">SUM(V75:AG75)-AH75</f>
        <v>0</v>
      </c>
      <c r="AM75" s="136">
        <f t="shared" si="1"/>
        <v>0</v>
      </c>
      <c r="AO75" s="136"/>
    </row>
    <row r="76" spans="3:41" hidden="1" x14ac:dyDescent="0.3">
      <c r="C76" s="16"/>
      <c r="E76" s="79" t="s">
        <v>507</v>
      </c>
      <c r="F76" s="742"/>
      <c r="G76" s="378">
        <v>0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735">
        <f>SUM(H76:S76)</f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737">
        <f>SUM(V76:AG76)</f>
        <v>0</v>
      </c>
      <c r="AI76" s="46"/>
      <c r="AJ76" s="58"/>
      <c r="AK76" s="166">
        <f t="shared" si="7"/>
        <v>0</v>
      </c>
      <c r="AL76" s="136">
        <f t="shared" si="31"/>
        <v>0</v>
      </c>
      <c r="AM76" s="136">
        <f t="shared" ref="AM76:AM99" si="32">U76-AH76</f>
        <v>0</v>
      </c>
      <c r="AO76" s="136"/>
    </row>
    <row r="77" spans="3:41" hidden="1" x14ac:dyDescent="0.3">
      <c r="C77" s="16"/>
      <c r="E77" s="79" t="s">
        <v>508</v>
      </c>
      <c r="F77" s="742"/>
      <c r="G77" s="378">
        <v>0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735">
        <f>SUM(H77:S77)</f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737">
        <f>SUM(V77:AG77)</f>
        <v>0</v>
      </c>
      <c r="AI77" s="46"/>
      <c r="AJ77" s="58"/>
      <c r="AK77" s="166">
        <f t="shared" si="7"/>
        <v>0</v>
      </c>
      <c r="AL77" s="136">
        <f t="shared" si="31"/>
        <v>0</v>
      </c>
      <c r="AM77" s="136">
        <f t="shared" si="32"/>
        <v>0</v>
      </c>
      <c r="AO77" s="136"/>
    </row>
    <row r="78" spans="3:41" hidden="1" x14ac:dyDescent="0.3">
      <c r="C78" s="16"/>
      <c r="F78" s="742"/>
      <c r="G78" s="378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378"/>
      <c r="V78" s="735"/>
      <c r="W78" s="735"/>
      <c r="X78" s="735"/>
      <c r="Y78" s="735"/>
      <c r="Z78" s="735"/>
      <c r="AA78" s="735"/>
      <c r="AB78" s="735"/>
      <c r="AC78" s="735"/>
      <c r="AD78" s="735"/>
      <c r="AE78" s="735"/>
      <c r="AF78" s="735"/>
      <c r="AG78" s="735"/>
      <c r="AH78" s="737"/>
      <c r="AI78" s="46"/>
      <c r="AJ78" s="58"/>
      <c r="AK78" s="166">
        <f t="shared" si="7"/>
        <v>0</v>
      </c>
      <c r="AL78" s="136">
        <f t="shared" si="31"/>
        <v>0</v>
      </c>
      <c r="AM78" s="136">
        <f t="shared" si="32"/>
        <v>0</v>
      </c>
      <c r="AO78" s="136"/>
    </row>
    <row r="79" spans="3:41" hidden="1" x14ac:dyDescent="0.3">
      <c r="C79" s="16"/>
      <c r="G79" s="378"/>
      <c r="H79" s="735"/>
      <c r="I79" s="735"/>
      <c r="J79" s="735"/>
      <c r="K79" s="735"/>
      <c r="L79" s="735"/>
      <c r="M79" s="735"/>
      <c r="N79" s="735"/>
      <c r="O79" s="735"/>
      <c r="P79" s="735"/>
      <c r="Q79" s="735"/>
      <c r="R79" s="735"/>
      <c r="S79" s="735"/>
      <c r="T79" s="735"/>
      <c r="U79" s="378"/>
      <c r="V79" s="735"/>
      <c r="W79" s="735"/>
      <c r="X79" s="735"/>
      <c r="Y79" s="735"/>
      <c r="Z79" s="735"/>
      <c r="AA79" s="735"/>
      <c r="AB79" s="735"/>
      <c r="AC79" s="735"/>
      <c r="AD79" s="735"/>
      <c r="AE79" s="735"/>
      <c r="AF79" s="735"/>
      <c r="AG79" s="735"/>
      <c r="AH79" s="737"/>
      <c r="AI79" s="46"/>
      <c r="AJ79" s="58"/>
      <c r="AK79" s="166">
        <f t="shared" si="7"/>
        <v>0</v>
      </c>
      <c r="AL79" s="136">
        <f t="shared" si="31"/>
        <v>0</v>
      </c>
      <c r="AM79" s="136">
        <f t="shared" si="32"/>
        <v>0</v>
      </c>
      <c r="AO79" s="136"/>
    </row>
    <row r="80" spans="3:41" s="6" customFormat="1" x14ac:dyDescent="0.3">
      <c r="C80" s="14" t="s">
        <v>512</v>
      </c>
      <c r="F80" s="76" t="s">
        <v>513</v>
      </c>
      <c r="G80" s="731">
        <f t="shared" ref="G80:AD80" si="33">SUM(G81:G84)</f>
        <v>41301787.13398695</v>
      </c>
      <c r="H80" s="729">
        <f>SUM(H81:H84)</f>
        <v>10373451</v>
      </c>
      <c r="I80" s="729">
        <f t="shared" si="33"/>
        <v>13541591</v>
      </c>
      <c r="J80" s="729">
        <f>SUM(J81:J84)</f>
        <v>-104527277</v>
      </c>
      <c r="K80" s="729">
        <f t="shared" si="33"/>
        <v>88930474</v>
      </c>
      <c r="L80" s="729">
        <f t="shared" si="33"/>
        <v>11144077</v>
      </c>
      <c r="M80" s="729">
        <f t="shared" si="33"/>
        <v>-28822844</v>
      </c>
      <c r="N80" s="729">
        <f t="shared" si="33"/>
        <v>25725501</v>
      </c>
      <c r="O80" s="729">
        <f t="shared" si="33"/>
        <v>639019</v>
      </c>
      <c r="P80" s="729">
        <f t="shared" si="33"/>
        <v>-71625696</v>
      </c>
      <c r="Q80" s="729">
        <f t="shared" si="33"/>
        <v>89460304</v>
      </c>
      <c r="R80" s="729">
        <f t="shared" si="33"/>
        <v>269962570</v>
      </c>
      <c r="S80" s="729">
        <f t="shared" si="33"/>
        <v>0</v>
      </c>
      <c r="T80" s="729">
        <f>SUM(T81:T84)</f>
        <v>34838600</v>
      </c>
      <c r="U80" s="731">
        <f t="shared" si="33"/>
        <v>73706908.95780015</v>
      </c>
      <c r="V80" s="729">
        <f t="shared" si="33"/>
        <v>38384391</v>
      </c>
      <c r="W80" s="729">
        <f t="shared" si="33"/>
        <v>-1538321</v>
      </c>
      <c r="X80" s="729">
        <f t="shared" si="33"/>
        <v>-109334011</v>
      </c>
      <c r="Y80" s="729">
        <f t="shared" si="33"/>
        <v>118222680</v>
      </c>
      <c r="Z80" s="729">
        <f t="shared" si="33"/>
        <v>20908943</v>
      </c>
      <c r="AA80" s="729">
        <f t="shared" si="33"/>
        <v>-21355801</v>
      </c>
      <c r="AB80" s="729">
        <f t="shared" si="33"/>
        <v>14121316</v>
      </c>
      <c r="AC80" s="729">
        <f t="shared" si="33"/>
        <v>-10796272</v>
      </c>
      <c r="AD80" s="729">
        <f t="shared" si="33"/>
        <v>-61184159</v>
      </c>
      <c r="AE80" s="729">
        <f>SUM(AE81:AE84)</f>
        <v>100207543</v>
      </c>
      <c r="AF80" s="729">
        <f>SUM(AF81:AF84)</f>
        <v>-4137434</v>
      </c>
      <c r="AG80" s="729">
        <f>SUM(AG81:AG84)</f>
        <v>-8727706.2889699992</v>
      </c>
      <c r="AH80" s="730">
        <f>SUM(AH81:AH84)</f>
        <v>87636309</v>
      </c>
      <c r="AI80" s="97"/>
      <c r="AJ80" s="50"/>
      <c r="AK80" s="166">
        <f t="shared" si="7"/>
        <v>13929400.04219985</v>
      </c>
      <c r="AL80" s="136">
        <f t="shared" si="31"/>
        <v>-12865140.288969994</v>
      </c>
      <c r="AM80" s="136">
        <f t="shared" si="32"/>
        <v>-13929400.04219985</v>
      </c>
      <c r="AO80" s="136"/>
    </row>
    <row r="81" spans="2:41" x14ac:dyDescent="0.3">
      <c r="C81" s="16"/>
      <c r="E81" s="17" t="s">
        <v>514</v>
      </c>
      <c r="G81" s="378">
        <f>+[31]Summary!$H$67+[31]Summary!$H$68</f>
        <v>-776091.86601304996</v>
      </c>
      <c r="H81" s="735">
        <f>[32]Summary!$M$67+[32]Summary!$M$68</f>
        <v>1585476</v>
      </c>
      <c r="I81" s="735">
        <f>[33]Summary!$R$67+[33]Summary!$R$68</f>
        <v>1883939</v>
      </c>
      <c r="J81" s="735">
        <f>+[43]Summary!$W$67+[43]Summary!$W$68</f>
        <v>-26966</v>
      </c>
      <c r="K81" s="735">
        <f>+[35]Summary!$AB$67+[35]Summary!$AB$68</f>
        <v>35934</v>
      </c>
      <c r="L81" s="735">
        <f>+[36]Summary!$AG$67+[36]Summary!$AG$68</f>
        <v>2754955</v>
      </c>
      <c r="M81" s="735">
        <f>+[37]Summary!$AL$67+[37]Summary!$AL$68</f>
        <v>4605696</v>
      </c>
      <c r="N81" s="735">
        <f>+[38]Summary!$AQ$67+[38]Summary!$AQ$68</f>
        <v>378105</v>
      </c>
      <c r="O81" s="735">
        <f>+[31]Summary!$AV$67+[31]Summary!$AV$68</f>
        <v>1361987</v>
      </c>
      <c r="P81" s="735">
        <f>+[39]Summary!$BA$67+[39]Summary!$BA$68</f>
        <v>4840836</v>
      </c>
      <c r="Q81" s="735">
        <f>[40]Summary!$BF$67+[40]Summary!$BF$68</f>
        <v>400240</v>
      </c>
      <c r="R81" s="735">
        <v>0</v>
      </c>
      <c r="S81" s="735">
        <v>0</v>
      </c>
      <c r="T81" s="735">
        <f>SUM(H81:S81)</f>
        <v>17820202</v>
      </c>
      <c r="U81" s="378">
        <f>+[37]Summary!$BZ$67+[37]Summary!$BZ$68</f>
        <v>24426108</v>
      </c>
      <c r="V81" s="735">
        <f>[76]Summary!$CE$67+[76]Summary!$CE$68</f>
        <v>1088487</v>
      </c>
      <c r="W81" s="735">
        <v>1683039</v>
      </c>
      <c r="X81" s="735">
        <f>+[43]Summary!$CO$67+[43]Summary!$CO$68</f>
        <v>205110</v>
      </c>
      <c r="Y81" s="735">
        <f>+[35]Summary!$CT$67+[35]Summary!$CT$68</f>
        <v>17656</v>
      </c>
      <c r="Z81" s="735">
        <f>+[36]Summary!$CY$67+[36]Summary!$CY$68</f>
        <v>1013935</v>
      </c>
      <c r="AA81" s="735">
        <f>+[37]Summary!$DD$67+[37]Summary!$DD$68</f>
        <v>533280</v>
      </c>
      <c r="AB81" s="735">
        <f>+[38]Summary!$DI$67+[38]Summary!$DI$68</f>
        <v>530072</v>
      </c>
      <c r="AC81" s="735">
        <f>+[31]Summary!$DN$67+[31]Summary!$DN$68</f>
        <v>6244768</v>
      </c>
      <c r="AD81" s="735">
        <f>+[39]Summary!$DS$67+[39]Summary!$DS$68</f>
        <v>560492</v>
      </c>
      <c r="AE81" s="735">
        <f>[40]Summary!$DX$67+[40]Summary!$DX$68</f>
        <v>2756088</v>
      </c>
      <c r="AF81" s="735">
        <v>8018455</v>
      </c>
      <c r="AG81" s="735">
        <v>1774726</v>
      </c>
      <c r="AH81" s="737">
        <f t="shared" ref="AH81:AH83" si="34">SUM(V81:AE81)</f>
        <v>14632927</v>
      </c>
      <c r="AI81" s="46"/>
      <c r="AJ81" s="58"/>
      <c r="AK81" s="166">
        <f t="shared" si="7"/>
        <v>-9793181</v>
      </c>
      <c r="AL81" s="136">
        <f t="shared" si="31"/>
        <v>9793181</v>
      </c>
      <c r="AM81" s="136">
        <f t="shared" si="32"/>
        <v>9793181</v>
      </c>
      <c r="AO81" s="136"/>
    </row>
    <row r="82" spans="2:41" x14ac:dyDescent="0.3">
      <c r="C82" s="16"/>
      <c r="E82" s="17" t="s">
        <v>515</v>
      </c>
      <c r="F82" s="754"/>
      <c r="G82" s="735">
        <f>+[31]Summary!$H$65</f>
        <v>0</v>
      </c>
      <c r="H82" s="755">
        <f>[32]Summary!$M$65</f>
        <v>32499994</v>
      </c>
      <c r="I82" s="755">
        <f>[33]Summary!$R$65</f>
        <v>1683425</v>
      </c>
      <c r="J82" s="755">
        <f>+[43]Summary!$W$65</f>
        <v>3575832</v>
      </c>
      <c r="K82" s="755">
        <f>+[35]Summary!$AB$65</f>
        <v>53727650</v>
      </c>
      <c r="L82" s="755">
        <f>+[36]Summary!$AG$65</f>
        <v>-54202159</v>
      </c>
      <c r="M82" s="755">
        <f>+[37]Summary!$AL$65</f>
        <v>-3465898</v>
      </c>
      <c r="N82" s="755">
        <f>+[38]Summary!$AQ$65</f>
        <v>8772236</v>
      </c>
      <c r="O82" s="755">
        <f>+[31]Summary!$AV$65</f>
        <v>-3753879</v>
      </c>
      <c r="P82" s="755">
        <f>+[39]Summary!$BA$65</f>
        <v>-20434962</v>
      </c>
      <c r="Q82" s="755">
        <f>[40]Summary!$BF$65</f>
        <v>14593850</v>
      </c>
      <c r="R82" s="755">
        <v>0</v>
      </c>
      <c r="S82" s="755">
        <v>0</v>
      </c>
      <c r="T82" s="735">
        <f>SUM(H82:S82)</f>
        <v>32996089</v>
      </c>
      <c r="U82" s="735">
        <f>+[37]Summary!$BZ$65</f>
        <v>-17675966</v>
      </c>
      <c r="V82" s="755">
        <f>[76]Summary!$CE$65</f>
        <v>-8786316</v>
      </c>
      <c r="W82" s="755">
        <v>10103585</v>
      </c>
      <c r="X82" s="755">
        <f>+[43]Summary!$CO$65</f>
        <v>-1521846</v>
      </c>
      <c r="Y82" s="755">
        <f>+[35]Summary!$CT$65</f>
        <v>6074461</v>
      </c>
      <c r="Z82" s="755">
        <f>+[36]Summary!$CY$65</f>
        <v>516138</v>
      </c>
      <c r="AA82" s="755">
        <f>+[37]Summary!$DD$65</f>
        <v>-12799947</v>
      </c>
      <c r="AB82" s="755">
        <f>+[38]Summary!$DI$65</f>
        <v>4934831</v>
      </c>
      <c r="AC82" s="755">
        <f>+[31]Summary!$DN$65</f>
        <v>-5282423</v>
      </c>
      <c r="AD82" s="755">
        <f>+[39]Summary!$DS$65</f>
        <v>2079416</v>
      </c>
      <c r="AE82" s="755">
        <f>[40]Summary!$DX$65</f>
        <v>-12244714</v>
      </c>
      <c r="AF82" s="755">
        <v>14186127</v>
      </c>
      <c r="AG82" s="755">
        <v>-14935278</v>
      </c>
      <c r="AH82" s="737">
        <f t="shared" si="34"/>
        <v>-16926815</v>
      </c>
      <c r="AI82" s="46"/>
      <c r="AJ82" s="58"/>
      <c r="AK82" s="166">
        <f t="shared" ref="AK82:AK98" si="35">AH82-U82</f>
        <v>749151</v>
      </c>
      <c r="AL82" s="136">
        <f t="shared" si="31"/>
        <v>-749151</v>
      </c>
      <c r="AM82" s="136">
        <f t="shared" si="32"/>
        <v>-749151</v>
      </c>
      <c r="AO82" s="136"/>
    </row>
    <row r="83" spans="2:41" x14ac:dyDescent="0.3">
      <c r="C83" s="16"/>
      <c r="E83" s="17" t="s">
        <v>320</v>
      </c>
      <c r="G83" s="378">
        <f>+[31]Summary!$H$66</f>
        <v>0</v>
      </c>
      <c r="H83" s="735">
        <f>[32]Summary!$M$66</f>
        <v>0</v>
      </c>
      <c r="I83" s="735">
        <f>[33]Summary!$R$66</f>
        <v>0</v>
      </c>
      <c r="J83" s="735">
        <f>+[43]Summary!$W$66</f>
        <v>0</v>
      </c>
      <c r="K83" s="735">
        <f>+[35]Summary!$AB$66</f>
        <v>0</v>
      </c>
      <c r="L83" s="735">
        <f>+[36]Summary!$AG$66</f>
        <v>0</v>
      </c>
      <c r="M83" s="735">
        <f>+[37]Summary!$AL$66</f>
        <v>0</v>
      </c>
      <c r="N83" s="735">
        <f>+[38]Summary!$AQ$66</f>
        <v>0</v>
      </c>
      <c r="O83" s="735">
        <f>+[31]Summary!$AV$66</f>
        <v>0</v>
      </c>
      <c r="P83" s="735">
        <f>+[39]Summary!$BA$66</f>
        <v>0</v>
      </c>
      <c r="Q83" s="735">
        <f>[40]Summary!$BF$66</f>
        <v>0</v>
      </c>
      <c r="R83" s="735">
        <v>0</v>
      </c>
      <c r="S83" s="735">
        <v>0</v>
      </c>
      <c r="T83" s="735">
        <f>SUM(H83:S83)</f>
        <v>0</v>
      </c>
      <c r="U83" s="378">
        <f>+[38]Summary!$BZ$66</f>
        <v>3337965.9578001499</v>
      </c>
      <c r="V83" s="735">
        <f>[76]Summary!$CE$66</f>
        <v>0</v>
      </c>
      <c r="W83" s="735">
        <v>0</v>
      </c>
      <c r="X83" s="735">
        <f>+[43]Summary!$CO$66</f>
        <v>0</v>
      </c>
      <c r="Y83" s="735">
        <f>+[35]Summary!$CT$66</f>
        <v>0</v>
      </c>
      <c r="Z83" s="735">
        <f>+[36]Summary!$CY$66</f>
        <v>0</v>
      </c>
      <c r="AA83" s="735">
        <f>+[37]Summary!$DD$66</f>
        <v>0</v>
      </c>
      <c r="AB83" s="735">
        <f>+[38]Summary!$DI$66</f>
        <v>0</v>
      </c>
      <c r="AC83" s="735">
        <f>+[31]Summary!$DN$66</f>
        <v>0</v>
      </c>
      <c r="AD83" s="735">
        <f>+[39]Summary!$DS$66</f>
        <v>0</v>
      </c>
      <c r="AE83" s="735">
        <f>[40]Summary!$DX$66</f>
        <v>0</v>
      </c>
      <c r="AF83" s="735">
        <v>0</v>
      </c>
      <c r="AG83" s="735">
        <v>4402225.7110300008</v>
      </c>
      <c r="AH83" s="737">
        <f t="shared" si="34"/>
        <v>0</v>
      </c>
      <c r="AI83" s="46"/>
      <c r="AJ83" s="58"/>
      <c r="AK83" s="166">
        <f t="shared" si="35"/>
        <v>-3337965.9578001499</v>
      </c>
      <c r="AL83" s="136">
        <f t="shared" si="31"/>
        <v>4402225.7110300008</v>
      </c>
      <c r="AM83" s="136">
        <f t="shared" si="32"/>
        <v>3337965.9578001499</v>
      </c>
      <c r="AO83" s="136"/>
    </row>
    <row r="84" spans="2:41" x14ac:dyDescent="0.3">
      <c r="C84" s="16"/>
      <c r="E84" s="17" t="s">
        <v>516</v>
      </c>
      <c r="G84" s="378">
        <f>+G88</f>
        <v>42077879</v>
      </c>
      <c r="H84" s="735">
        <f>+H88</f>
        <v>-23712019</v>
      </c>
      <c r="I84" s="735">
        <f>+I88</f>
        <v>9974227</v>
      </c>
      <c r="J84" s="735">
        <f>+J88</f>
        <v>-108076143</v>
      </c>
      <c r="K84" s="735">
        <f>+K88</f>
        <v>35166890</v>
      </c>
      <c r="L84" s="735">
        <f>L88</f>
        <v>62591281</v>
      </c>
      <c r="M84" s="735">
        <f t="shared" ref="M84:R84" si="36">M88</f>
        <v>-29962642</v>
      </c>
      <c r="N84" s="735">
        <f>N88</f>
        <v>16575160</v>
      </c>
      <c r="O84" s="735">
        <f t="shared" si="36"/>
        <v>3030911</v>
      </c>
      <c r="P84" s="735">
        <f>P88</f>
        <v>-56031570</v>
      </c>
      <c r="Q84" s="735">
        <f t="shared" si="36"/>
        <v>74466214</v>
      </c>
      <c r="R84" s="735">
        <f t="shared" si="36"/>
        <v>269962570</v>
      </c>
      <c r="S84" s="735">
        <f>S88</f>
        <v>0</v>
      </c>
      <c r="T84" s="735">
        <f t="shared" ref="T84:Y84" si="37">+T88</f>
        <v>-15977691</v>
      </c>
      <c r="U84" s="378">
        <f t="shared" si="37"/>
        <v>63618801</v>
      </c>
      <c r="V84" s="735">
        <f t="shared" si="37"/>
        <v>46082220</v>
      </c>
      <c r="W84" s="735">
        <f t="shared" si="37"/>
        <v>-13324945</v>
      </c>
      <c r="X84" s="735">
        <f t="shared" si="37"/>
        <v>-108017275</v>
      </c>
      <c r="Y84" s="735">
        <f t="shared" si="37"/>
        <v>112130563</v>
      </c>
      <c r="Z84" s="735">
        <f t="shared" ref="Z84:AG84" si="38">Z88</f>
        <v>19378870</v>
      </c>
      <c r="AA84" s="735">
        <f t="shared" si="38"/>
        <v>-9089134</v>
      </c>
      <c r="AB84" s="735">
        <f t="shared" si="38"/>
        <v>8656413</v>
      </c>
      <c r="AC84" s="735">
        <f t="shared" si="38"/>
        <v>-11758617</v>
      </c>
      <c r="AD84" s="735">
        <f t="shared" si="38"/>
        <v>-63824067</v>
      </c>
      <c r="AE84" s="735">
        <f t="shared" si="38"/>
        <v>109696169</v>
      </c>
      <c r="AF84" s="735">
        <f t="shared" si="38"/>
        <v>-26342016</v>
      </c>
      <c r="AG84" s="735">
        <f t="shared" si="38"/>
        <v>30620</v>
      </c>
      <c r="AH84" s="737">
        <f>+AH88</f>
        <v>89930197</v>
      </c>
      <c r="AI84" s="46"/>
      <c r="AJ84" s="58"/>
      <c r="AK84" s="166">
        <f t="shared" si="35"/>
        <v>26311396</v>
      </c>
      <c r="AL84" s="136">
        <f t="shared" si="31"/>
        <v>-26311396</v>
      </c>
      <c r="AM84" s="136">
        <f t="shared" si="32"/>
        <v>-26311396</v>
      </c>
      <c r="AO84" s="136"/>
    </row>
    <row r="85" spans="2:41" x14ac:dyDescent="0.3">
      <c r="C85" s="121"/>
      <c r="D85" s="122"/>
      <c r="E85" s="122"/>
      <c r="F85" s="756"/>
      <c r="G85" s="757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7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9"/>
      <c r="AI85" s="46"/>
      <c r="AJ85" s="58"/>
      <c r="AK85" s="166"/>
      <c r="AL85" s="136"/>
      <c r="AM85" s="136"/>
      <c r="AO85" s="136"/>
    </row>
    <row r="86" spans="2:41" x14ac:dyDescent="0.3">
      <c r="G86" s="760"/>
      <c r="H86" s="760"/>
      <c r="I86" s="760"/>
      <c r="J86" s="760"/>
      <c r="K86" s="760"/>
      <c r="L86" s="760"/>
      <c r="M86" s="760"/>
      <c r="N86" s="760"/>
      <c r="O86" s="760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58"/>
      <c r="AJ86" s="58"/>
      <c r="AK86" s="166"/>
      <c r="AL86" s="136"/>
      <c r="AM86" s="136"/>
      <c r="AO86" s="136"/>
    </row>
    <row r="87" spans="2:41" x14ac:dyDescent="0.3">
      <c r="B87" s="454"/>
      <c r="C87" s="761"/>
      <c r="D87" s="762"/>
      <c r="E87" s="763"/>
      <c r="F87" s="764"/>
      <c r="G87" s="765"/>
      <c r="H87" s="766"/>
      <c r="I87" s="766"/>
      <c r="J87" s="766"/>
      <c r="K87" s="766"/>
      <c r="L87" s="766"/>
      <c r="M87" s="766"/>
      <c r="N87" s="766"/>
      <c r="O87" s="766"/>
      <c r="P87" s="766"/>
      <c r="Q87" s="766"/>
      <c r="R87" s="766"/>
      <c r="S87" s="766"/>
      <c r="T87" s="765"/>
      <c r="U87" s="765"/>
      <c r="V87" s="766"/>
      <c r="W87" s="766"/>
      <c r="X87" s="766"/>
      <c r="Y87" s="766"/>
      <c r="Z87" s="766"/>
      <c r="AA87" s="766"/>
      <c r="AB87" s="766"/>
      <c r="AC87" s="766"/>
      <c r="AD87" s="766"/>
      <c r="AE87" s="766"/>
      <c r="AF87" s="766"/>
      <c r="AG87" s="766"/>
      <c r="AH87" s="767"/>
      <c r="AI87" s="97"/>
      <c r="AJ87" s="58"/>
      <c r="AK87" s="166"/>
      <c r="AL87" s="136"/>
      <c r="AM87" s="136"/>
      <c r="AO87" s="136"/>
    </row>
    <row r="88" spans="2:41" s="6" customFormat="1" x14ac:dyDescent="0.3">
      <c r="B88" s="738"/>
      <c r="C88" s="302" t="s">
        <v>517</v>
      </c>
      <c r="D88" s="768"/>
      <c r="F88" s="76" t="s">
        <v>518</v>
      </c>
      <c r="G88" s="731">
        <f>+G90-G95</f>
        <v>42077879</v>
      </c>
      <c r="H88" s="729">
        <f t="shared" ref="H88:AH88" si="39">+H90-H95</f>
        <v>-23712019</v>
      </c>
      <c r="I88" s="729">
        <f t="shared" si="39"/>
        <v>9974227</v>
      </c>
      <c r="J88" s="729">
        <f t="shared" si="39"/>
        <v>-108076143</v>
      </c>
      <c r="K88" s="729">
        <f t="shared" si="39"/>
        <v>35166890</v>
      </c>
      <c r="L88" s="729">
        <f t="shared" si="39"/>
        <v>62591281</v>
      </c>
      <c r="M88" s="729">
        <f t="shared" si="39"/>
        <v>-29962642</v>
      </c>
      <c r="N88" s="729">
        <f t="shared" si="39"/>
        <v>16575160</v>
      </c>
      <c r="O88" s="729">
        <f t="shared" si="39"/>
        <v>3030911</v>
      </c>
      <c r="P88" s="729">
        <f t="shared" si="39"/>
        <v>-56031570</v>
      </c>
      <c r="Q88" s="729">
        <f t="shared" si="39"/>
        <v>74466214</v>
      </c>
      <c r="R88" s="729">
        <f t="shared" si="39"/>
        <v>269962570</v>
      </c>
      <c r="S88" s="729">
        <f t="shared" si="39"/>
        <v>0</v>
      </c>
      <c r="T88" s="731">
        <f t="shared" si="39"/>
        <v>-15977691</v>
      </c>
      <c r="U88" s="731">
        <f t="shared" si="39"/>
        <v>63618801</v>
      </c>
      <c r="V88" s="729">
        <f t="shared" si="39"/>
        <v>46082220</v>
      </c>
      <c r="W88" s="729">
        <f t="shared" si="39"/>
        <v>-13324945</v>
      </c>
      <c r="X88" s="729">
        <f t="shared" si="39"/>
        <v>-108017275</v>
      </c>
      <c r="Y88" s="729">
        <f t="shared" si="39"/>
        <v>112130563</v>
      </c>
      <c r="Z88" s="729">
        <f t="shared" si="39"/>
        <v>19378870</v>
      </c>
      <c r="AA88" s="729">
        <f t="shared" si="39"/>
        <v>-9089134</v>
      </c>
      <c r="AB88" s="729">
        <f t="shared" si="39"/>
        <v>8656413</v>
      </c>
      <c r="AC88" s="729">
        <f t="shared" si="39"/>
        <v>-11758617</v>
      </c>
      <c r="AD88" s="729">
        <f t="shared" si="39"/>
        <v>-63824067</v>
      </c>
      <c r="AE88" s="729">
        <f t="shared" si="39"/>
        <v>109696169</v>
      </c>
      <c r="AF88" s="729">
        <f t="shared" si="39"/>
        <v>-26342016</v>
      </c>
      <c r="AG88" s="729">
        <f t="shared" si="39"/>
        <v>30620</v>
      </c>
      <c r="AH88" s="730">
        <f t="shared" si="39"/>
        <v>89930197</v>
      </c>
      <c r="AI88" s="46"/>
      <c r="AJ88" s="50"/>
      <c r="AK88" s="166">
        <f t="shared" si="35"/>
        <v>26311396</v>
      </c>
      <c r="AL88" s="136">
        <f t="shared" si="31"/>
        <v>-26311396</v>
      </c>
      <c r="AM88" s="136">
        <f t="shared" si="32"/>
        <v>-26311396</v>
      </c>
      <c r="AO88" s="136"/>
    </row>
    <row r="89" spans="2:41" x14ac:dyDescent="0.3">
      <c r="B89" s="454"/>
      <c r="C89" s="769"/>
      <c r="D89" s="770"/>
      <c r="G89" s="378"/>
      <c r="H89" s="735"/>
      <c r="I89" s="735"/>
      <c r="J89" s="735"/>
      <c r="K89" s="735"/>
      <c r="L89" s="735"/>
      <c r="M89" s="735"/>
      <c r="N89" s="735"/>
      <c r="O89" s="735"/>
      <c r="P89" s="735"/>
      <c r="Q89" s="735"/>
      <c r="R89" s="735"/>
      <c r="S89" s="735"/>
      <c r="T89" s="378"/>
      <c r="U89" s="378"/>
      <c r="V89" s="735"/>
      <c r="W89" s="735"/>
      <c r="X89" s="735"/>
      <c r="Y89" s="735"/>
      <c r="Z89" s="735"/>
      <c r="AA89" s="735"/>
      <c r="AB89" s="735"/>
      <c r="AC89" s="735"/>
      <c r="AD89" s="735"/>
      <c r="AE89" s="735"/>
      <c r="AF89" s="735"/>
      <c r="AG89" s="735"/>
      <c r="AH89" s="737"/>
      <c r="AI89" s="46"/>
      <c r="AJ89" s="58"/>
      <c r="AK89" s="166"/>
      <c r="AL89" s="136"/>
      <c r="AM89" s="136"/>
      <c r="AO89" s="136"/>
    </row>
    <row r="90" spans="2:41" x14ac:dyDescent="0.3">
      <c r="B90" s="454"/>
      <c r="C90" s="16" t="s">
        <v>519</v>
      </c>
      <c r="F90" s="76" t="s">
        <v>520</v>
      </c>
      <c r="G90" s="771">
        <f t="shared" ref="G90:AG90" si="40">SUM(G91:G93)</f>
        <v>273984879</v>
      </c>
      <c r="H90" s="508">
        <f t="shared" si="40"/>
        <v>273984879</v>
      </c>
      <c r="I90" s="508">
        <f t="shared" si="40"/>
        <v>297696898</v>
      </c>
      <c r="J90" s="508">
        <f t="shared" si="40"/>
        <v>287722671</v>
      </c>
      <c r="K90" s="508">
        <f t="shared" si="40"/>
        <v>395798814</v>
      </c>
      <c r="L90" s="508">
        <f t="shared" si="40"/>
        <v>360631924</v>
      </c>
      <c r="M90" s="508">
        <f t="shared" si="40"/>
        <v>298040643</v>
      </c>
      <c r="N90" s="508">
        <f t="shared" si="40"/>
        <v>328003285</v>
      </c>
      <c r="O90" s="508">
        <f t="shared" si="40"/>
        <v>311428125</v>
      </c>
      <c r="P90" s="508">
        <f t="shared" si="40"/>
        <v>308397214</v>
      </c>
      <c r="Q90" s="508">
        <f t="shared" si="40"/>
        <v>364428784</v>
      </c>
      <c r="R90" s="508">
        <f t="shared" si="40"/>
        <v>269962570</v>
      </c>
      <c r="S90" s="508">
        <f t="shared" si="40"/>
        <v>0</v>
      </c>
      <c r="T90" s="494">
        <f>SUM(T91:T93)</f>
        <v>273984879</v>
      </c>
      <c r="U90" s="771">
        <f>SUM(U91:U93)</f>
        <v>337603680</v>
      </c>
      <c r="V90" s="508">
        <f t="shared" si="40"/>
        <v>337603680</v>
      </c>
      <c r="W90" s="508">
        <f t="shared" si="40"/>
        <v>291521460</v>
      </c>
      <c r="X90" s="508">
        <f t="shared" si="40"/>
        <v>304846405</v>
      </c>
      <c r="Y90" s="508">
        <f t="shared" si="40"/>
        <v>412863680</v>
      </c>
      <c r="Z90" s="508">
        <f t="shared" si="40"/>
        <v>300733117</v>
      </c>
      <c r="AA90" s="508">
        <f t="shared" si="40"/>
        <v>281354247</v>
      </c>
      <c r="AB90" s="508">
        <f t="shared" si="40"/>
        <v>290443381</v>
      </c>
      <c r="AC90" s="508">
        <f t="shared" si="40"/>
        <v>281786968</v>
      </c>
      <c r="AD90" s="508">
        <f t="shared" si="40"/>
        <v>293545585</v>
      </c>
      <c r="AE90" s="508">
        <f t="shared" si="40"/>
        <v>357369652</v>
      </c>
      <c r="AF90" s="508">
        <f t="shared" si="40"/>
        <v>247673483</v>
      </c>
      <c r="AG90" s="508">
        <f t="shared" si="40"/>
        <v>274015499</v>
      </c>
      <c r="AH90" s="772">
        <f>SUM(AH91:AH93)</f>
        <v>337603680</v>
      </c>
      <c r="AI90" s="46"/>
      <c r="AJ90" s="58"/>
      <c r="AK90" s="166">
        <f t="shared" si="35"/>
        <v>0</v>
      </c>
      <c r="AL90" s="136"/>
      <c r="AM90" s="136">
        <f t="shared" si="32"/>
        <v>0</v>
      </c>
      <c r="AO90" s="136"/>
    </row>
    <row r="91" spans="2:41" x14ac:dyDescent="0.3">
      <c r="B91" s="454"/>
      <c r="C91" s="358"/>
      <c r="D91" s="325"/>
      <c r="E91" s="17" t="s">
        <v>521</v>
      </c>
      <c r="G91" s="378">
        <f>+[39]Cashbalances!$H$14</f>
        <v>145289346</v>
      </c>
      <c r="H91" s="460">
        <f>[32]Cashbalances!$M$14</f>
        <v>145289346</v>
      </c>
      <c r="I91" s="460">
        <f t="shared" ref="I91:S93" si="41">H96</f>
        <v>189293723</v>
      </c>
      <c r="J91" s="460">
        <f t="shared" si="41"/>
        <v>172981345</v>
      </c>
      <c r="K91" s="460">
        <f t="shared" si="41"/>
        <v>170907699</v>
      </c>
      <c r="L91" s="460">
        <f t="shared" si="41"/>
        <v>169083708</v>
      </c>
      <c r="M91" s="460">
        <f t="shared" si="41"/>
        <v>168176276</v>
      </c>
      <c r="N91" s="460">
        <f t="shared" si="41"/>
        <v>169665345</v>
      </c>
      <c r="O91" s="460">
        <f t="shared" si="41"/>
        <v>166304630</v>
      </c>
      <c r="P91" s="460">
        <f t="shared" si="41"/>
        <v>164446646</v>
      </c>
      <c r="Q91" s="460">
        <f>P96</f>
        <v>157446097</v>
      </c>
      <c r="R91" s="460">
        <f t="shared" si="41"/>
        <v>161501086</v>
      </c>
      <c r="S91" s="460">
        <f t="shared" si="41"/>
        <v>0</v>
      </c>
      <c r="T91" s="378">
        <f>H91</f>
        <v>145289346</v>
      </c>
      <c r="U91" s="378">
        <f>+[39]Cashbalances!$BZ$14</f>
        <v>139049630</v>
      </c>
      <c r="V91" s="460">
        <f>U91</f>
        <v>139049630</v>
      </c>
      <c r="W91" s="460">
        <f>V96</f>
        <v>137054271</v>
      </c>
      <c r="X91" s="460">
        <f t="shared" ref="X91:AG93" si="42">W96</f>
        <v>136607709</v>
      </c>
      <c r="Y91" s="460">
        <f t="shared" si="42"/>
        <v>148178204</v>
      </c>
      <c r="Z91" s="460">
        <f t="shared" si="42"/>
        <v>146233206</v>
      </c>
      <c r="AA91" s="460">
        <f t="shared" si="42"/>
        <v>144539099</v>
      </c>
      <c r="AB91" s="460">
        <f t="shared" si="42"/>
        <v>136722463</v>
      </c>
      <c r="AC91" s="460">
        <f t="shared" si="42"/>
        <v>134466283</v>
      </c>
      <c r="AD91" s="460">
        <f t="shared" si="42"/>
        <v>148540639</v>
      </c>
      <c r="AE91" s="460">
        <f t="shared" si="42"/>
        <v>142485704</v>
      </c>
      <c r="AF91" s="460">
        <f t="shared" si="42"/>
        <v>141049011</v>
      </c>
      <c r="AG91" s="460">
        <f t="shared" si="42"/>
        <v>140242471</v>
      </c>
      <c r="AH91" s="737">
        <f>V91</f>
        <v>139049630</v>
      </c>
      <c r="AI91" s="46"/>
      <c r="AJ91" s="58"/>
      <c r="AK91" s="166">
        <f t="shared" si="35"/>
        <v>0</v>
      </c>
      <c r="AL91" s="136"/>
      <c r="AM91" s="136">
        <f t="shared" si="32"/>
        <v>0</v>
      </c>
      <c r="AO91" s="136"/>
    </row>
    <row r="92" spans="2:41" x14ac:dyDescent="0.3">
      <c r="B92" s="454"/>
      <c r="C92" s="358"/>
      <c r="D92" s="325"/>
      <c r="E92" s="17" t="s">
        <v>293</v>
      </c>
      <c r="F92" s="76" t="s">
        <v>522</v>
      </c>
      <c r="G92" s="378">
        <f>+[39]Cashbalances!$H$15</f>
        <v>0</v>
      </c>
      <c r="H92" s="460">
        <v>0</v>
      </c>
      <c r="I92" s="460">
        <f t="shared" si="41"/>
        <v>0</v>
      </c>
      <c r="J92" s="460">
        <f t="shared" si="41"/>
        <v>0</v>
      </c>
      <c r="K92" s="460">
        <f t="shared" si="41"/>
        <v>0</v>
      </c>
      <c r="L92" s="460">
        <f t="shared" si="41"/>
        <v>0</v>
      </c>
      <c r="M92" s="460">
        <f t="shared" si="41"/>
        <v>0</v>
      </c>
      <c r="N92" s="460">
        <f t="shared" si="41"/>
        <v>0</v>
      </c>
      <c r="O92" s="460">
        <f t="shared" si="41"/>
        <v>0</v>
      </c>
      <c r="P92" s="460">
        <f t="shared" si="41"/>
        <v>0</v>
      </c>
      <c r="Q92" s="460">
        <f>P97</f>
        <v>30000000</v>
      </c>
      <c r="R92" s="460"/>
      <c r="S92" s="460"/>
      <c r="T92" s="378">
        <f>H92</f>
        <v>0</v>
      </c>
      <c r="U92" s="378">
        <f>+[39]Cashbalances!$BZ$15</f>
        <v>0</v>
      </c>
      <c r="V92" s="460">
        <f>+U92</f>
        <v>0</v>
      </c>
      <c r="W92" s="460">
        <f>V97</f>
        <v>0</v>
      </c>
      <c r="X92" s="460">
        <f t="shared" si="42"/>
        <v>0</v>
      </c>
      <c r="Y92" s="460">
        <f t="shared" si="42"/>
        <v>0</v>
      </c>
      <c r="Z92" s="460">
        <f t="shared" si="42"/>
        <v>0</v>
      </c>
      <c r="AA92" s="460">
        <f t="shared" si="42"/>
        <v>0</v>
      </c>
      <c r="AB92" s="460">
        <f t="shared" si="42"/>
        <v>0</v>
      </c>
      <c r="AC92" s="460">
        <f t="shared" si="42"/>
        <v>0</v>
      </c>
      <c r="AD92" s="460">
        <f t="shared" si="42"/>
        <v>0</v>
      </c>
      <c r="AE92" s="460">
        <f t="shared" si="42"/>
        <v>0</v>
      </c>
      <c r="AF92" s="460">
        <f t="shared" si="42"/>
        <v>0</v>
      </c>
      <c r="AG92" s="460">
        <f t="shared" si="42"/>
        <v>0</v>
      </c>
      <c r="AH92" s="737">
        <f>V92</f>
        <v>0</v>
      </c>
      <c r="AI92" s="46"/>
      <c r="AJ92" s="58"/>
      <c r="AK92" s="166"/>
      <c r="AL92" s="136"/>
      <c r="AM92" s="136"/>
      <c r="AO92" s="136"/>
    </row>
    <row r="93" spans="2:41" x14ac:dyDescent="0.3">
      <c r="B93" s="454"/>
      <c r="C93" s="358"/>
      <c r="D93" s="325"/>
      <c r="E93" s="17" t="s">
        <v>523</v>
      </c>
      <c r="G93" s="378">
        <f>+[39]Cashbalances!$H$16</f>
        <v>128695533</v>
      </c>
      <c r="H93" s="460">
        <f>[32]Cashbalances!$M$15</f>
        <v>128695533</v>
      </c>
      <c r="I93" s="460">
        <f t="shared" si="41"/>
        <v>108403175</v>
      </c>
      <c r="J93" s="460">
        <f>I98</f>
        <v>114741326</v>
      </c>
      <c r="K93" s="460">
        <f t="shared" si="41"/>
        <v>224891115</v>
      </c>
      <c r="L93" s="460">
        <f t="shared" si="41"/>
        <v>191548216</v>
      </c>
      <c r="M93" s="460">
        <f t="shared" si="41"/>
        <v>129864367</v>
      </c>
      <c r="N93" s="460">
        <f>M98</f>
        <v>158337940</v>
      </c>
      <c r="O93" s="460">
        <f t="shared" si="41"/>
        <v>145123495</v>
      </c>
      <c r="P93" s="460">
        <f t="shared" si="41"/>
        <v>143950568</v>
      </c>
      <c r="Q93" s="460">
        <f t="shared" si="41"/>
        <v>176982687</v>
      </c>
      <c r="R93" s="460">
        <f>Q98</f>
        <v>108461484</v>
      </c>
      <c r="S93" s="460">
        <f>R98</f>
        <v>0</v>
      </c>
      <c r="T93" s="378">
        <f>H93</f>
        <v>128695533</v>
      </c>
      <c r="U93" s="378">
        <f>+[39]Cashbalances!$BZ$16</f>
        <v>198554050</v>
      </c>
      <c r="V93" s="460">
        <f>U93</f>
        <v>198554050</v>
      </c>
      <c r="W93" s="460">
        <f t="shared" ref="W93:AE93" si="43">V98</f>
        <v>154467189</v>
      </c>
      <c r="X93" s="460">
        <f t="shared" si="43"/>
        <v>168238696</v>
      </c>
      <c r="Y93" s="460">
        <f t="shared" si="43"/>
        <v>264685476</v>
      </c>
      <c r="Z93" s="460">
        <f t="shared" si="43"/>
        <v>154499911</v>
      </c>
      <c r="AA93" s="460">
        <f t="shared" si="43"/>
        <v>136815148</v>
      </c>
      <c r="AB93" s="460">
        <f t="shared" si="43"/>
        <v>153720918</v>
      </c>
      <c r="AC93" s="460">
        <f t="shared" si="43"/>
        <v>147320685</v>
      </c>
      <c r="AD93" s="460">
        <f t="shared" si="43"/>
        <v>145004946</v>
      </c>
      <c r="AE93" s="460">
        <f t="shared" si="43"/>
        <v>214883948</v>
      </c>
      <c r="AF93" s="460">
        <f t="shared" si="42"/>
        <v>106624472</v>
      </c>
      <c r="AG93" s="460">
        <f t="shared" si="42"/>
        <v>133773028</v>
      </c>
      <c r="AH93" s="737">
        <f>V93</f>
        <v>198554050</v>
      </c>
      <c r="AI93" s="46"/>
      <c r="AJ93" s="58"/>
      <c r="AK93" s="166">
        <f t="shared" si="35"/>
        <v>0</v>
      </c>
      <c r="AL93" s="136"/>
      <c r="AM93" s="136">
        <f t="shared" si="32"/>
        <v>0</v>
      </c>
      <c r="AO93" s="136"/>
    </row>
    <row r="94" spans="2:41" x14ac:dyDescent="0.3">
      <c r="B94" s="454"/>
      <c r="C94" s="16"/>
      <c r="G94" s="378"/>
      <c r="H94" s="735"/>
      <c r="I94" s="735"/>
      <c r="J94" s="735"/>
      <c r="K94" s="735"/>
      <c r="L94" s="735"/>
      <c r="M94" s="735"/>
      <c r="N94" s="735"/>
      <c r="O94" s="735"/>
      <c r="P94" s="735"/>
      <c r="Q94" s="735"/>
      <c r="R94" s="735"/>
      <c r="S94" s="735"/>
      <c r="T94" s="378"/>
      <c r="U94" s="378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7"/>
      <c r="AI94" s="46"/>
      <c r="AJ94" s="58"/>
      <c r="AK94" s="166">
        <f t="shared" si="35"/>
        <v>0</v>
      </c>
      <c r="AL94" s="136"/>
      <c r="AM94" s="136">
        <f t="shared" si="32"/>
        <v>0</v>
      </c>
      <c r="AO94" s="136"/>
    </row>
    <row r="95" spans="2:41" x14ac:dyDescent="0.3">
      <c r="B95" s="454"/>
      <c r="C95" s="16" t="s">
        <v>524</v>
      </c>
      <c r="G95" s="460">
        <f t="shared" ref="G95:AG95" si="44">SUM(G96:G98)</f>
        <v>231907000</v>
      </c>
      <c r="H95" s="735">
        <f t="shared" si="44"/>
        <v>297696898</v>
      </c>
      <c r="I95" s="735">
        <f t="shared" si="44"/>
        <v>287722671</v>
      </c>
      <c r="J95" s="735">
        <f t="shared" si="44"/>
        <v>395798814</v>
      </c>
      <c r="K95" s="735">
        <f t="shared" si="44"/>
        <v>360631924</v>
      </c>
      <c r="L95" s="735">
        <f t="shared" si="44"/>
        <v>298040643</v>
      </c>
      <c r="M95" s="735">
        <f t="shared" si="44"/>
        <v>328003285</v>
      </c>
      <c r="N95" s="735">
        <f t="shared" si="44"/>
        <v>311428125</v>
      </c>
      <c r="O95" s="735">
        <f t="shared" si="44"/>
        <v>308397214</v>
      </c>
      <c r="P95" s="735">
        <f t="shared" si="44"/>
        <v>364428784</v>
      </c>
      <c r="Q95" s="735">
        <f t="shared" si="44"/>
        <v>289962570</v>
      </c>
      <c r="R95" s="735">
        <f t="shared" si="44"/>
        <v>0</v>
      </c>
      <c r="S95" s="735">
        <f t="shared" si="44"/>
        <v>0</v>
      </c>
      <c r="T95" s="378">
        <f>SUM(T96:T98)</f>
        <v>289962570</v>
      </c>
      <c r="U95" s="460">
        <f t="shared" si="44"/>
        <v>273984879</v>
      </c>
      <c r="V95" s="735">
        <f t="shared" si="44"/>
        <v>291521460</v>
      </c>
      <c r="W95" s="735">
        <f t="shared" si="44"/>
        <v>304846405</v>
      </c>
      <c r="X95" s="735">
        <f t="shared" si="44"/>
        <v>412863680</v>
      </c>
      <c r="Y95" s="735">
        <f t="shared" si="44"/>
        <v>300733117</v>
      </c>
      <c r="Z95" s="735">
        <f t="shared" si="44"/>
        <v>281354247</v>
      </c>
      <c r="AA95" s="735">
        <f t="shared" si="44"/>
        <v>290443381</v>
      </c>
      <c r="AB95" s="735">
        <f t="shared" si="44"/>
        <v>281786968</v>
      </c>
      <c r="AC95" s="735">
        <f t="shared" si="44"/>
        <v>293545585</v>
      </c>
      <c r="AD95" s="735">
        <f t="shared" si="44"/>
        <v>357369652</v>
      </c>
      <c r="AE95" s="735">
        <f t="shared" si="44"/>
        <v>247673483</v>
      </c>
      <c r="AF95" s="735">
        <f t="shared" si="44"/>
        <v>274015499</v>
      </c>
      <c r="AG95" s="735">
        <f t="shared" si="44"/>
        <v>273984879</v>
      </c>
      <c r="AH95" s="737">
        <f>SUM(AH96:AH98)</f>
        <v>247673483</v>
      </c>
      <c r="AI95" s="46"/>
      <c r="AJ95" s="58"/>
      <c r="AK95" s="166">
        <f>AH95-U95</f>
        <v>-26311396</v>
      </c>
      <c r="AL95" s="136"/>
      <c r="AM95" s="136">
        <f t="shared" si="32"/>
        <v>26311396</v>
      </c>
      <c r="AO95" s="136"/>
    </row>
    <row r="96" spans="2:41" x14ac:dyDescent="0.3">
      <c r="B96" s="454"/>
      <c r="C96" s="16"/>
      <c r="E96" s="17" t="s">
        <v>521</v>
      </c>
      <c r="G96" s="378">
        <f>+[39]Cashbalances!$H$19</f>
        <v>124462000</v>
      </c>
      <c r="H96" s="460">
        <f>[32]Cashbalances!$M$18</f>
        <v>189293723</v>
      </c>
      <c r="I96" s="460">
        <f>+[33]Cashbalances!$R$18</f>
        <v>172981345</v>
      </c>
      <c r="J96" s="460">
        <f>+[43]Cashbalances!$W$18</f>
        <v>170907699</v>
      </c>
      <c r="K96" s="460">
        <f>+[35]Cashbalances!$AB$18</f>
        <v>169083708</v>
      </c>
      <c r="L96" s="460">
        <f>+[36]Cashbalances!$AG$18</f>
        <v>168176276</v>
      </c>
      <c r="M96" s="460">
        <f>+[37]Cashbalances!$BU$18</f>
        <v>169665345</v>
      </c>
      <c r="N96" s="460">
        <f>+[38]Cashbalances!$AQ$18</f>
        <v>166304630</v>
      </c>
      <c r="O96" s="460">
        <f>+[31]Cashbalances!$AV$18</f>
        <v>164446646</v>
      </c>
      <c r="P96" s="460">
        <f>+[39]Cashbalances!$BA$19</f>
        <v>157446097</v>
      </c>
      <c r="Q96" s="460">
        <f>[40]Cashbalances!$BF$19</f>
        <v>161501086</v>
      </c>
      <c r="R96" s="460">
        <v>0</v>
      </c>
      <c r="S96" s="460">
        <v>0</v>
      </c>
      <c r="T96" s="378">
        <f>Q96</f>
        <v>161501086</v>
      </c>
      <c r="U96" s="378">
        <f>+[39]Cashbalances!$BZ$19</f>
        <v>145289346</v>
      </c>
      <c r="V96" s="460">
        <f>[76]Cashbalances!$CE$18</f>
        <v>137054271</v>
      </c>
      <c r="W96" s="460">
        <f>+[33]Cashbalances!$CJ$18</f>
        <v>136607709</v>
      </c>
      <c r="X96" s="460">
        <f>+[43]Cashbalances!$CO$18</f>
        <v>148178204</v>
      </c>
      <c r="Y96" s="460">
        <v>146233206</v>
      </c>
      <c r="Z96" s="460">
        <f>+[36]Cashbalances!$CY$18</f>
        <v>144539099</v>
      </c>
      <c r="AA96" s="460">
        <f>+[37]Cashbalances!$DD$18</f>
        <v>136722463</v>
      </c>
      <c r="AB96" s="460">
        <f>+[38]Cashbalances!$DI$18</f>
        <v>134466283</v>
      </c>
      <c r="AC96" s="460">
        <f>+[31]Cashbalances!$DN$18</f>
        <v>148540639</v>
      </c>
      <c r="AD96" s="460">
        <f>+[39]Cashbalances!$DS$19</f>
        <v>142485704</v>
      </c>
      <c r="AE96" s="460">
        <f>[40]Cashbalances!$DX$19</f>
        <v>141049011</v>
      </c>
      <c r="AF96" s="460">
        <v>140242471</v>
      </c>
      <c r="AG96" s="460">
        <v>145289346</v>
      </c>
      <c r="AH96" s="753">
        <f>SUM(AE96)</f>
        <v>141049011</v>
      </c>
      <c r="AI96" s="46"/>
      <c r="AJ96" s="58"/>
      <c r="AK96" s="166">
        <f>AH96-U96</f>
        <v>-4240335</v>
      </c>
      <c r="AL96" s="136"/>
      <c r="AM96" s="136">
        <f t="shared" si="32"/>
        <v>4240335</v>
      </c>
      <c r="AO96" s="136"/>
    </row>
    <row r="97" spans="2:41" x14ac:dyDescent="0.3">
      <c r="B97" s="454"/>
      <c r="C97" s="16"/>
      <c r="E97" s="17" t="s">
        <v>293</v>
      </c>
      <c r="F97" s="76" t="s">
        <v>522</v>
      </c>
      <c r="G97" s="378">
        <f>+[39]Cashbalances!$H$20</f>
        <v>0</v>
      </c>
      <c r="H97" s="460">
        <f>+[39]Cashbalances!$M$20</f>
        <v>0</v>
      </c>
      <c r="I97" s="460">
        <f>+[39]Cashbalances!$R$20</f>
        <v>0</v>
      </c>
      <c r="J97" s="460">
        <f>+[39]Cashbalances!$W$20</f>
        <v>0</v>
      </c>
      <c r="K97" s="460">
        <f>+[39]Cashbalances!$AB$20</f>
        <v>0</v>
      </c>
      <c r="L97" s="460">
        <f>+[39]Cashbalances!$AG$20</f>
        <v>0</v>
      </c>
      <c r="M97" s="460">
        <f>+[39]Cashbalances!$AL$20</f>
        <v>0</v>
      </c>
      <c r="N97" s="460">
        <f>+[39]Cashbalances!$AQ$20</f>
        <v>0</v>
      </c>
      <c r="O97" s="460">
        <f>+[39]Cashbalances!$AV$20</f>
        <v>0</v>
      </c>
      <c r="P97" s="460">
        <f>+[39]Cashbalances!$BA$20</f>
        <v>30000000</v>
      </c>
      <c r="Q97" s="460">
        <f>[40]Cashbalances!$BF$20</f>
        <v>20000000</v>
      </c>
      <c r="R97" s="460"/>
      <c r="S97" s="460"/>
      <c r="T97" s="378">
        <f t="shared" ref="T97:T98" si="45">Q97</f>
        <v>20000000</v>
      </c>
      <c r="U97" s="378">
        <f>+[39]Cashbalances!$BZ$20</f>
        <v>0</v>
      </c>
      <c r="V97" s="460">
        <f>+[39]Cashbalances!$CE$20</f>
        <v>0</v>
      </c>
      <c r="W97" s="460">
        <f>+[39]Cashbalances!$CJ$20</f>
        <v>0</v>
      </c>
      <c r="X97" s="460">
        <f>+[39]Cashbalances!$CO$20</f>
        <v>0</v>
      </c>
      <c r="Y97" s="460">
        <f>+[39]Cashbalances!$CT$20</f>
        <v>0</v>
      </c>
      <c r="Z97" s="460">
        <f>+[39]Cashbalances!$CY$20</f>
        <v>0</v>
      </c>
      <c r="AA97" s="460">
        <f>+[39]Cashbalances!$DD$20</f>
        <v>0</v>
      </c>
      <c r="AB97" s="460">
        <f>+[39]Cashbalances!$DI$20</f>
        <v>0</v>
      </c>
      <c r="AC97" s="460">
        <f>+[39]Cashbalances!$DN$20</f>
        <v>0</v>
      </c>
      <c r="AD97" s="460">
        <f>+[39]Cashbalances!$DS$20</f>
        <v>0</v>
      </c>
      <c r="AE97" s="460">
        <f>[40]Cashbalances!$DX$20</f>
        <v>0</v>
      </c>
      <c r="AF97" s="460">
        <f>+[39]Cashbalances!$EC$20</f>
        <v>0</v>
      </c>
      <c r="AG97" s="460">
        <f>+[39]Cashbalances!$EH$20</f>
        <v>0</v>
      </c>
      <c r="AH97" s="753">
        <f>SUM(AE97)</f>
        <v>0</v>
      </c>
      <c r="AI97" s="46"/>
      <c r="AJ97" s="58"/>
      <c r="AK97" s="166"/>
      <c r="AL97" s="136"/>
      <c r="AM97" s="136"/>
      <c r="AO97" s="136"/>
    </row>
    <row r="98" spans="2:41" x14ac:dyDescent="0.3">
      <c r="B98" s="454"/>
      <c r="C98" s="16"/>
      <c r="E98" s="17" t="s">
        <v>525</v>
      </c>
      <c r="F98" s="76"/>
      <c r="G98" s="378">
        <f>+[39]Cashbalances!$H$21</f>
        <v>107445000</v>
      </c>
      <c r="H98" s="460">
        <f>[32]Cashbalances!$M$19</f>
        <v>108403175</v>
      </c>
      <c r="I98" s="460">
        <f>+[33]Cashbalances!$R$19</f>
        <v>114741326</v>
      </c>
      <c r="J98" s="460">
        <f>+[43]Cashbalances!$W$19</f>
        <v>224891115</v>
      </c>
      <c r="K98" s="460">
        <f>+[35]Cashbalances!$AB$19</f>
        <v>191548216</v>
      </c>
      <c r="L98" s="460">
        <f>+[36]Cashbalances!$AG$19</f>
        <v>129864367</v>
      </c>
      <c r="M98" s="460">
        <f>+[37]Cashbalances!$BU$19</f>
        <v>158337940</v>
      </c>
      <c r="N98" s="460">
        <f>+[38]Cashbalances!$AQ$19</f>
        <v>145123495</v>
      </c>
      <c r="O98" s="460">
        <f>+[31]Cashbalances!$AV$19</f>
        <v>143950568</v>
      </c>
      <c r="P98" s="460">
        <f>+[39]Cashbalances!$BA$21</f>
        <v>176982687</v>
      </c>
      <c r="Q98" s="460">
        <f>[40]Cashbalances!$BF$21</f>
        <v>108461484</v>
      </c>
      <c r="R98" s="460">
        <v>0</v>
      </c>
      <c r="S98" s="460">
        <v>0</v>
      </c>
      <c r="T98" s="378">
        <f t="shared" si="45"/>
        <v>108461484</v>
      </c>
      <c r="U98" s="378">
        <f>+[39]Cashbalances!$BZ$21</f>
        <v>128695533</v>
      </c>
      <c r="V98" s="460">
        <f>[76]Cashbalances!$CE$19</f>
        <v>154467189</v>
      </c>
      <c r="W98" s="460">
        <f>[33]Cashbalances!$CJ$19</f>
        <v>168238696</v>
      </c>
      <c r="X98" s="460">
        <f>+[43]Cashbalances!$CO$19</f>
        <v>264685476</v>
      </c>
      <c r="Y98" s="460">
        <v>154499911</v>
      </c>
      <c r="Z98" s="460">
        <f>+[36]Cashbalances!$CY$19</f>
        <v>136815148</v>
      </c>
      <c r="AA98" s="460">
        <f>+[37]Cashbalances!$DD$19</f>
        <v>153720918</v>
      </c>
      <c r="AB98" s="460">
        <f>+[38]Cashbalances!$DI$19</f>
        <v>147320685</v>
      </c>
      <c r="AC98" s="460">
        <f>+[31]Cashbalances!$DN$19</f>
        <v>145004946</v>
      </c>
      <c r="AD98" s="460">
        <f>+[39]Cashbalances!$DS$21</f>
        <v>214883948</v>
      </c>
      <c r="AE98" s="460">
        <f>[40]Cashbalances!$DX$21</f>
        <v>106624472</v>
      </c>
      <c r="AF98" s="460">
        <v>133773028</v>
      </c>
      <c r="AG98" s="460">
        <v>128695533</v>
      </c>
      <c r="AH98" s="753">
        <f>SUM(AE98)</f>
        <v>106624472</v>
      </c>
      <c r="AI98" s="46"/>
      <c r="AJ98" s="58"/>
      <c r="AK98" s="166">
        <f>AH98-U98</f>
        <v>-22071061</v>
      </c>
      <c r="AL98" s="136"/>
      <c r="AM98" s="136">
        <f t="shared" si="32"/>
        <v>22071061</v>
      </c>
      <c r="AO98" s="136"/>
    </row>
    <row r="99" spans="2:41" x14ac:dyDescent="0.3">
      <c r="C99" s="121"/>
      <c r="D99" s="122"/>
      <c r="E99" s="122"/>
      <c r="F99" s="756"/>
      <c r="G99" s="757"/>
      <c r="H99" s="757"/>
      <c r="I99" s="757"/>
      <c r="J99" s="757"/>
      <c r="K99" s="757"/>
      <c r="L99" s="757"/>
      <c r="M99" s="757"/>
      <c r="N99" s="757"/>
      <c r="O99" s="758"/>
      <c r="P99" s="757"/>
      <c r="Q99" s="758"/>
      <c r="R99" s="758"/>
      <c r="S99" s="757"/>
      <c r="T99" s="758"/>
      <c r="U99" s="758"/>
      <c r="V99" s="757"/>
      <c r="W99" s="758"/>
      <c r="X99" s="757"/>
      <c r="Y99" s="758"/>
      <c r="Z99" s="758"/>
      <c r="AA99" s="758"/>
      <c r="AB99" s="757"/>
      <c r="AC99" s="758"/>
      <c r="AD99" s="757"/>
      <c r="AE99" s="758"/>
      <c r="AF99" s="758"/>
      <c r="AG99" s="758"/>
      <c r="AH99" s="759"/>
      <c r="AI99" s="46"/>
      <c r="AJ99" s="58"/>
      <c r="AK99" s="166"/>
      <c r="AL99" s="136"/>
      <c r="AM99" s="136"/>
    </row>
    <row r="100" spans="2:41" x14ac:dyDescent="0.3">
      <c r="C100" s="390" t="s">
        <v>526</v>
      </c>
      <c r="D100" s="390"/>
      <c r="E100" s="68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379"/>
      <c r="AF100" s="379"/>
      <c r="AG100" s="379"/>
      <c r="AH100" s="379"/>
      <c r="AI100" s="58"/>
      <c r="AJ100" s="58"/>
      <c r="AK100" s="166"/>
      <c r="AL100" s="136"/>
      <c r="AM100" s="136"/>
    </row>
    <row r="101" spans="2:41" x14ac:dyDescent="0.3">
      <c r="C101" s="390" t="s">
        <v>527</v>
      </c>
      <c r="D101" s="390"/>
      <c r="E101" s="68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79"/>
      <c r="AG101" s="379"/>
      <c r="AH101" s="379"/>
      <c r="AI101" s="58"/>
      <c r="AJ101" s="58"/>
      <c r="AK101" s="166"/>
      <c r="AL101" s="136"/>
      <c r="AM101" s="136"/>
    </row>
    <row r="102" spans="2:41" x14ac:dyDescent="0.3">
      <c r="C102" s="390" t="s">
        <v>528</v>
      </c>
      <c r="D102" s="390"/>
      <c r="E102" s="68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  <c r="AG102" s="379"/>
      <c r="AH102" s="379"/>
      <c r="AI102" s="58"/>
      <c r="AJ102" s="58"/>
      <c r="AK102" s="166"/>
      <c r="AL102" s="136"/>
      <c r="AM102" s="136"/>
    </row>
    <row r="103" spans="2:41" x14ac:dyDescent="0.3">
      <c r="C103" s="773" t="s">
        <v>529</v>
      </c>
      <c r="D103" s="68"/>
      <c r="E103" s="68"/>
      <c r="F103" s="76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379"/>
      <c r="Z103" s="379"/>
      <c r="AA103" s="379"/>
      <c r="AB103" s="379"/>
      <c r="AC103" s="379"/>
      <c r="AD103" s="379"/>
      <c r="AE103" s="379"/>
      <c r="AF103" s="379"/>
      <c r="AG103" s="379"/>
      <c r="AH103" s="379"/>
      <c r="AI103" s="58"/>
      <c r="AJ103" s="58"/>
      <c r="AK103" s="166"/>
      <c r="AL103" s="136"/>
      <c r="AM103" s="136"/>
    </row>
    <row r="104" spans="2:41" x14ac:dyDescent="0.3">
      <c r="C104" s="774" t="s">
        <v>530</v>
      </c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  <c r="AG104" s="379"/>
      <c r="AH104" s="379"/>
      <c r="AI104" s="58"/>
      <c r="AJ104" s="58"/>
      <c r="AK104" s="58"/>
      <c r="AM104" s="136"/>
    </row>
    <row r="105" spans="2:41" s="806" customFormat="1" x14ac:dyDescent="0.3">
      <c r="F105" s="807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807"/>
      <c r="AJ105" s="807"/>
      <c r="AK105" s="807"/>
      <c r="AM105" s="808"/>
    </row>
    <row r="106" spans="2:41" s="806" customFormat="1" x14ac:dyDescent="0.3">
      <c r="F106" s="807"/>
      <c r="G106" s="379"/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807"/>
      <c r="AJ106" s="807"/>
      <c r="AK106" s="807"/>
      <c r="AM106" s="808"/>
    </row>
    <row r="107" spans="2:41" s="809" customFormat="1" x14ac:dyDescent="0.3">
      <c r="F107" s="810"/>
      <c r="G107" s="793"/>
      <c r="H107" s="793"/>
      <c r="I107" s="793"/>
      <c r="J107" s="793"/>
      <c r="K107" s="793"/>
      <c r="L107" s="793"/>
      <c r="M107" s="793"/>
      <c r="N107" s="793"/>
      <c r="O107" s="793"/>
      <c r="P107" s="793"/>
      <c r="Q107" s="793"/>
      <c r="R107" s="793"/>
      <c r="S107" s="793"/>
      <c r="T107" s="793"/>
      <c r="U107" s="793"/>
      <c r="V107" s="793"/>
      <c r="W107" s="793"/>
      <c r="X107" s="793"/>
      <c r="Y107" s="793"/>
      <c r="Z107" s="793"/>
      <c r="AA107" s="793"/>
      <c r="AB107" s="793"/>
      <c r="AC107" s="793"/>
      <c r="AD107" s="793"/>
      <c r="AE107" s="793"/>
      <c r="AF107" s="793"/>
      <c r="AG107" s="793"/>
      <c r="AH107" s="793"/>
      <c r="AI107" s="810"/>
      <c r="AJ107" s="810"/>
      <c r="AK107" s="810"/>
      <c r="AL107" s="811"/>
      <c r="AM107" s="811"/>
    </row>
    <row r="108" spans="2:41" s="806" customFormat="1" x14ac:dyDescent="0.3">
      <c r="F108" s="807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807"/>
      <c r="AJ108" s="807"/>
      <c r="AK108" s="807"/>
      <c r="AM108" s="808"/>
    </row>
    <row r="109" spans="2:41" s="806" customFormat="1" x14ac:dyDescent="0.3">
      <c r="F109" s="807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  <c r="AG109" s="379"/>
      <c r="AH109" s="379"/>
      <c r="AI109" s="807"/>
      <c r="AJ109" s="807"/>
      <c r="AK109" s="807"/>
      <c r="AM109" s="808"/>
    </row>
    <row r="110" spans="2:41" s="809" customFormat="1" x14ac:dyDescent="0.3">
      <c r="F110" s="810"/>
      <c r="G110" s="793"/>
      <c r="H110" s="793"/>
      <c r="I110" s="793"/>
      <c r="J110" s="793"/>
      <c r="K110" s="793"/>
      <c r="L110" s="793"/>
      <c r="M110" s="793"/>
      <c r="N110" s="793"/>
      <c r="O110" s="793"/>
      <c r="P110" s="793"/>
      <c r="Q110" s="793"/>
      <c r="R110" s="793"/>
      <c r="S110" s="793"/>
      <c r="T110" s="793"/>
      <c r="U110" s="793"/>
      <c r="V110" s="793"/>
      <c r="W110" s="793"/>
      <c r="X110" s="793"/>
      <c r="Y110" s="793"/>
      <c r="Z110" s="793"/>
      <c r="AA110" s="793"/>
      <c r="AB110" s="793"/>
      <c r="AC110" s="793"/>
      <c r="AD110" s="793"/>
      <c r="AE110" s="793"/>
      <c r="AF110" s="793"/>
      <c r="AG110" s="793"/>
      <c r="AH110" s="793"/>
      <c r="AI110" s="810"/>
      <c r="AJ110" s="810"/>
      <c r="AK110" s="810"/>
      <c r="AM110" s="811"/>
    </row>
    <row r="111" spans="2:41" s="806" customFormat="1" x14ac:dyDescent="0.3">
      <c r="F111" s="807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79"/>
      <c r="AG111" s="379"/>
      <c r="AH111" s="379"/>
      <c r="AI111" s="807"/>
      <c r="AJ111" s="807"/>
      <c r="AK111" s="807"/>
      <c r="AM111" s="808"/>
    </row>
    <row r="112" spans="2:41" s="806" customFormat="1" x14ac:dyDescent="0.3">
      <c r="F112" s="807"/>
      <c r="G112" s="775"/>
      <c r="H112" s="379"/>
      <c r="I112" s="379"/>
      <c r="J112" s="379"/>
      <c r="K112" s="379"/>
      <c r="L112" s="776"/>
      <c r="M112" s="379"/>
      <c r="N112" s="379"/>
      <c r="O112" s="379"/>
      <c r="P112" s="775"/>
      <c r="Q112" s="379"/>
      <c r="R112" s="379"/>
      <c r="S112" s="379"/>
      <c r="T112" s="379"/>
      <c r="U112" s="379"/>
      <c r="V112" s="379"/>
      <c r="W112" s="379"/>
      <c r="X112" s="379"/>
      <c r="Y112" s="379"/>
      <c r="Z112" s="379"/>
      <c r="AA112" s="379"/>
      <c r="AB112" s="379"/>
      <c r="AC112" s="379"/>
      <c r="AD112" s="379"/>
      <c r="AE112" s="379"/>
      <c r="AF112" s="379"/>
      <c r="AG112" s="379"/>
      <c r="AH112" s="379"/>
      <c r="AI112" s="807"/>
      <c r="AJ112" s="807"/>
      <c r="AK112" s="807"/>
      <c r="AM112" s="808"/>
    </row>
    <row r="113" spans="2:39" s="806" customFormat="1" x14ac:dyDescent="0.3">
      <c r="F113" s="807"/>
      <c r="G113" s="812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775"/>
      <c r="S113" s="379"/>
      <c r="T113" s="379"/>
      <c r="U113" s="379"/>
      <c r="V113" s="379"/>
      <c r="W113" s="379"/>
      <c r="X113" s="379"/>
      <c r="Y113" s="379"/>
      <c r="Z113" s="379"/>
      <c r="AA113" s="379"/>
      <c r="AB113" s="379"/>
      <c r="AC113" s="379"/>
      <c r="AD113" s="379"/>
      <c r="AE113" s="379"/>
      <c r="AF113" s="379"/>
      <c r="AG113" s="379"/>
      <c r="AH113" s="379"/>
      <c r="AI113" s="807"/>
      <c r="AJ113" s="807"/>
      <c r="AK113" s="807"/>
      <c r="AM113" s="808"/>
    </row>
    <row r="114" spans="2:39" s="806" customFormat="1" x14ac:dyDescent="0.3">
      <c r="F114" s="807"/>
      <c r="G114" s="812"/>
      <c r="H114" s="379"/>
      <c r="I114" s="379"/>
      <c r="J114" s="379"/>
      <c r="K114" s="379"/>
      <c r="L114" s="379"/>
      <c r="M114" s="379"/>
      <c r="N114" s="379"/>
      <c r="O114" s="775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  <c r="Z114" s="379"/>
      <c r="AA114" s="379"/>
      <c r="AB114" s="379"/>
      <c r="AC114" s="379"/>
      <c r="AD114" s="379"/>
      <c r="AE114" s="379"/>
      <c r="AF114" s="379"/>
      <c r="AG114" s="379"/>
      <c r="AH114" s="379"/>
      <c r="AI114" s="807"/>
      <c r="AJ114" s="807"/>
      <c r="AK114" s="807"/>
      <c r="AM114" s="808"/>
    </row>
    <row r="115" spans="2:39" s="806" customFormat="1" x14ac:dyDescent="0.3">
      <c r="F115" s="807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807"/>
      <c r="AJ115" s="807"/>
      <c r="AK115" s="807"/>
      <c r="AM115" s="808"/>
    </row>
    <row r="116" spans="2:39" s="806" customFormat="1" x14ac:dyDescent="0.3">
      <c r="F116" s="807"/>
      <c r="G116" s="379"/>
      <c r="H116" s="379"/>
      <c r="I116" s="379"/>
      <c r="J116" s="379"/>
      <c r="K116" s="379"/>
      <c r="L116" s="379"/>
      <c r="M116" s="379"/>
      <c r="N116" s="379"/>
      <c r="O116" s="379"/>
      <c r="P116" s="379"/>
      <c r="Q116" s="379"/>
      <c r="R116" s="379"/>
      <c r="S116" s="379"/>
      <c r="T116" s="379"/>
      <c r="U116" s="379"/>
      <c r="V116" s="379"/>
      <c r="W116" s="379"/>
      <c r="X116" s="379"/>
      <c r="Y116" s="379"/>
      <c r="Z116" s="379"/>
      <c r="AA116" s="379"/>
      <c r="AB116" s="379"/>
      <c r="AC116" s="379"/>
      <c r="AD116" s="379"/>
      <c r="AE116" s="379"/>
      <c r="AF116" s="379"/>
      <c r="AG116" s="379"/>
      <c r="AH116" s="379"/>
      <c r="AI116" s="807"/>
      <c r="AJ116" s="807"/>
      <c r="AK116" s="807"/>
      <c r="AM116" s="808"/>
    </row>
    <row r="117" spans="2:39" s="806" customFormat="1" x14ac:dyDescent="0.3">
      <c r="F117" s="807"/>
      <c r="G117" s="379"/>
      <c r="H117" s="379"/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79"/>
      <c r="X117" s="379"/>
      <c r="Y117" s="379"/>
      <c r="Z117" s="379"/>
      <c r="AA117" s="379"/>
      <c r="AB117" s="379"/>
      <c r="AC117" s="379"/>
      <c r="AD117" s="379"/>
      <c r="AE117" s="379"/>
      <c r="AF117" s="379"/>
      <c r="AG117" s="379"/>
      <c r="AH117" s="379"/>
      <c r="AI117" s="807"/>
      <c r="AJ117" s="807"/>
      <c r="AK117" s="807"/>
      <c r="AM117" s="808"/>
    </row>
    <row r="118" spans="2:39" s="806" customFormat="1" x14ac:dyDescent="0.3">
      <c r="F118" s="807"/>
      <c r="G118" s="379"/>
      <c r="H118" s="379"/>
      <c r="I118" s="379"/>
      <c r="J118" s="379"/>
      <c r="K118" s="379"/>
      <c r="L118" s="379"/>
      <c r="M118" s="379"/>
      <c r="N118" s="379"/>
      <c r="O118" s="379"/>
      <c r="P118" s="379"/>
      <c r="Q118" s="379"/>
      <c r="R118" s="379"/>
      <c r="S118" s="379"/>
      <c r="T118" s="379"/>
      <c r="U118" s="379"/>
      <c r="V118" s="379"/>
      <c r="W118" s="379"/>
      <c r="X118" s="379"/>
      <c r="Y118" s="379"/>
      <c r="Z118" s="379"/>
      <c r="AA118" s="379"/>
      <c r="AB118" s="379"/>
      <c r="AC118" s="379"/>
      <c r="AD118" s="379"/>
      <c r="AE118" s="379"/>
      <c r="AF118" s="379"/>
      <c r="AG118" s="379"/>
      <c r="AH118" s="379"/>
      <c r="AI118" s="807"/>
      <c r="AJ118" s="807"/>
      <c r="AK118" s="807"/>
      <c r="AM118" s="808"/>
    </row>
    <row r="119" spans="2:39" s="806" customFormat="1" x14ac:dyDescent="0.3">
      <c r="F119" s="807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379"/>
      <c r="AA119" s="379"/>
      <c r="AB119" s="379"/>
      <c r="AC119" s="379"/>
      <c r="AD119" s="379"/>
      <c r="AE119" s="379"/>
      <c r="AF119" s="379"/>
      <c r="AG119" s="379"/>
      <c r="AH119" s="379"/>
      <c r="AI119" s="807"/>
      <c r="AJ119" s="807"/>
      <c r="AK119" s="807"/>
      <c r="AM119" s="808"/>
    </row>
    <row r="120" spans="2:39" s="806" customFormat="1" x14ac:dyDescent="0.3">
      <c r="F120" s="807"/>
      <c r="G120" s="379"/>
      <c r="H120" s="379"/>
      <c r="I120" s="379"/>
      <c r="J120" s="379"/>
      <c r="K120" s="379"/>
      <c r="L120" s="379"/>
      <c r="M120" s="379"/>
      <c r="N120" s="379"/>
      <c r="O120" s="379"/>
      <c r="P120" s="379"/>
      <c r="Q120" s="379"/>
      <c r="R120" s="37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  <c r="AG120" s="379"/>
      <c r="AH120" s="379"/>
      <c r="AI120" s="807"/>
      <c r="AJ120" s="807"/>
      <c r="AK120" s="807"/>
      <c r="AM120" s="808"/>
    </row>
    <row r="121" spans="2:39" s="806" customFormat="1" x14ac:dyDescent="0.3">
      <c r="F121" s="807"/>
      <c r="G121" s="379"/>
      <c r="H121" s="379"/>
      <c r="I121" s="379"/>
      <c r="J121" s="379"/>
      <c r="K121" s="379"/>
      <c r="L121" s="379"/>
      <c r="M121" s="379"/>
      <c r="N121" s="379"/>
      <c r="O121" s="379"/>
      <c r="P121" s="379"/>
      <c r="Q121" s="379"/>
      <c r="R121" s="379"/>
      <c r="S121" s="379"/>
      <c r="T121" s="379"/>
      <c r="U121" s="379"/>
      <c r="V121" s="379"/>
      <c r="W121" s="379"/>
      <c r="X121" s="379"/>
      <c r="Y121" s="379"/>
      <c r="Z121" s="379"/>
      <c r="AA121" s="379"/>
      <c r="AB121" s="379"/>
      <c r="AC121" s="379"/>
      <c r="AD121" s="379"/>
      <c r="AE121" s="379"/>
      <c r="AF121" s="379"/>
      <c r="AG121" s="379"/>
      <c r="AH121" s="379"/>
      <c r="AI121" s="807"/>
      <c r="AJ121" s="807"/>
      <c r="AK121" s="807"/>
      <c r="AM121" s="808"/>
    </row>
    <row r="122" spans="2:39" s="806" customFormat="1" x14ac:dyDescent="0.3">
      <c r="F122" s="807"/>
      <c r="G122" s="379"/>
      <c r="H122" s="379"/>
      <c r="I122" s="379"/>
      <c r="J122" s="379"/>
      <c r="K122" s="379"/>
      <c r="L122" s="379"/>
      <c r="M122" s="379"/>
      <c r="N122" s="379"/>
      <c r="O122" s="379"/>
      <c r="P122" s="379"/>
      <c r="Q122" s="379"/>
      <c r="R122" s="379"/>
      <c r="S122" s="379"/>
      <c r="T122" s="379"/>
      <c r="U122" s="379"/>
      <c r="V122" s="379"/>
      <c r="W122" s="379"/>
      <c r="X122" s="379"/>
      <c r="Y122" s="379"/>
      <c r="Z122" s="379"/>
      <c r="AA122" s="379"/>
      <c r="AB122" s="379"/>
      <c r="AC122" s="379"/>
      <c r="AD122" s="379"/>
      <c r="AE122" s="379"/>
      <c r="AF122" s="379"/>
      <c r="AG122" s="379"/>
      <c r="AH122" s="379"/>
      <c r="AI122" s="807"/>
      <c r="AJ122" s="807"/>
      <c r="AK122" s="807"/>
      <c r="AM122" s="808"/>
    </row>
    <row r="123" spans="2:39" s="806" customFormat="1" x14ac:dyDescent="0.3">
      <c r="F123" s="807"/>
      <c r="G123" s="379"/>
      <c r="H123" s="379"/>
      <c r="I123" s="379"/>
      <c r="J123" s="379"/>
      <c r="K123" s="379"/>
      <c r="L123" s="379"/>
      <c r="M123" s="379"/>
      <c r="N123" s="379"/>
      <c r="O123" s="379"/>
      <c r="P123" s="379"/>
      <c r="Q123" s="379"/>
      <c r="R123" s="379"/>
      <c r="S123" s="379"/>
      <c r="T123" s="379"/>
      <c r="U123" s="379"/>
      <c r="V123" s="379"/>
      <c r="W123" s="379"/>
      <c r="X123" s="379"/>
      <c r="Y123" s="379"/>
      <c r="Z123" s="379"/>
      <c r="AA123" s="379"/>
      <c r="AB123" s="379"/>
      <c r="AC123" s="379"/>
      <c r="AD123" s="379"/>
      <c r="AE123" s="379"/>
      <c r="AF123" s="379"/>
      <c r="AG123" s="379"/>
      <c r="AH123" s="379"/>
      <c r="AI123" s="807"/>
      <c r="AJ123" s="807"/>
      <c r="AK123" s="807"/>
      <c r="AM123" s="808"/>
    </row>
    <row r="124" spans="2:39" s="806" customFormat="1" x14ac:dyDescent="0.3">
      <c r="F124" s="807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79"/>
      <c r="AG124" s="379"/>
      <c r="AH124" s="379"/>
      <c r="AI124" s="807"/>
      <c r="AJ124" s="807"/>
      <c r="AK124" s="807"/>
      <c r="AM124" s="808"/>
    </row>
    <row r="125" spans="2:39" s="806" customFormat="1" x14ac:dyDescent="0.3">
      <c r="F125" s="807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79"/>
      <c r="AH125" s="379"/>
      <c r="AI125" s="807"/>
      <c r="AJ125" s="807"/>
      <c r="AK125" s="807"/>
      <c r="AM125" s="808"/>
    </row>
    <row r="126" spans="2:39" s="806" customFormat="1" x14ac:dyDescent="0.3">
      <c r="F126" s="807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79"/>
      <c r="AG126" s="379"/>
      <c r="AH126" s="379"/>
      <c r="AI126" s="807"/>
      <c r="AJ126" s="807"/>
      <c r="AK126" s="807"/>
      <c r="AM126" s="808"/>
    </row>
    <row r="127" spans="2:39" s="806" customFormat="1" x14ac:dyDescent="0.3">
      <c r="F127" s="807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9"/>
      <c r="X127" s="379"/>
      <c r="Y127" s="379"/>
      <c r="Z127" s="379"/>
      <c r="AA127" s="379"/>
      <c r="AB127" s="379"/>
      <c r="AC127" s="379"/>
      <c r="AD127" s="379"/>
      <c r="AE127" s="379"/>
      <c r="AF127" s="379"/>
      <c r="AG127" s="379"/>
      <c r="AH127" s="379"/>
      <c r="AI127" s="807"/>
      <c r="AJ127" s="807"/>
      <c r="AK127" s="807"/>
      <c r="AM127" s="808"/>
    </row>
    <row r="128" spans="2:39" s="806" customFormat="1" x14ac:dyDescent="0.3">
      <c r="B128" s="813"/>
      <c r="F128" s="807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807"/>
      <c r="AJ128" s="807"/>
      <c r="AK128" s="807"/>
      <c r="AM128" s="808"/>
    </row>
    <row r="129" spans="6:39" s="806" customFormat="1" x14ac:dyDescent="0.3">
      <c r="F129" s="807"/>
      <c r="G129" s="379"/>
      <c r="H129" s="379"/>
      <c r="I129" s="379"/>
      <c r="J129" s="379"/>
      <c r="K129" s="379"/>
      <c r="L129" s="379"/>
      <c r="M129" s="379"/>
      <c r="N129" s="379"/>
      <c r="O129" s="379"/>
      <c r="P129" s="379"/>
      <c r="Q129" s="379"/>
      <c r="R129" s="379"/>
      <c r="S129" s="379"/>
      <c r="T129" s="379"/>
      <c r="U129" s="379"/>
      <c r="V129" s="379"/>
      <c r="W129" s="379"/>
      <c r="X129" s="379"/>
      <c r="Y129" s="379"/>
      <c r="Z129" s="379"/>
      <c r="AA129" s="379"/>
      <c r="AB129" s="379"/>
      <c r="AC129" s="379"/>
      <c r="AD129" s="379"/>
      <c r="AE129" s="379"/>
      <c r="AF129" s="379"/>
      <c r="AG129" s="379"/>
      <c r="AH129" s="379"/>
      <c r="AI129" s="807"/>
      <c r="AJ129" s="807"/>
      <c r="AK129" s="807"/>
      <c r="AM129" s="808"/>
    </row>
    <row r="130" spans="6:39" s="806" customFormat="1" x14ac:dyDescent="0.3">
      <c r="F130" s="807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79"/>
      <c r="AI130" s="807"/>
      <c r="AJ130" s="807"/>
      <c r="AK130" s="807"/>
      <c r="AM130" s="808"/>
    </row>
    <row r="131" spans="6:39" s="806" customFormat="1" x14ac:dyDescent="0.3">
      <c r="F131" s="807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9"/>
      <c r="V131" s="379"/>
      <c r="W131" s="379"/>
      <c r="X131" s="379"/>
      <c r="Y131" s="379"/>
      <c r="Z131" s="379"/>
      <c r="AA131" s="379"/>
      <c r="AB131" s="379"/>
      <c r="AC131" s="379"/>
      <c r="AD131" s="379"/>
      <c r="AE131" s="379"/>
      <c r="AF131" s="379"/>
      <c r="AG131" s="379"/>
      <c r="AH131" s="379"/>
      <c r="AI131" s="807"/>
      <c r="AJ131" s="807"/>
      <c r="AK131" s="807"/>
      <c r="AM131" s="808"/>
    </row>
    <row r="132" spans="6:39" s="806" customFormat="1" x14ac:dyDescent="0.3">
      <c r="F132" s="807"/>
      <c r="G132" s="379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79"/>
      <c r="S132" s="379"/>
      <c r="T132" s="379"/>
      <c r="U132" s="379"/>
      <c r="V132" s="379"/>
      <c r="W132" s="379"/>
      <c r="X132" s="379"/>
      <c r="Y132" s="379"/>
      <c r="Z132" s="379"/>
      <c r="AA132" s="379"/>
      <c r="AB132" s="379"/>
      <c r="AC132" s="379"/>
      <c r="AD132" s="379"/>
      <c r="AE132" s="379"/>
      <c r="AF132" s="379"/>
      <c r="AG132" s="379"/>
      <c r="AH132" s="379"/>
      <c r="AI132" s="807"/>
      <c r="AJ132" s="807"/>
      <c r="AK132" s="807"/>
      <c r="AM132" s="808"/>
    </row>
    <row r="133" spans="6:39" s="806" customFormat="1" x14ac:dyDescent="0.3">
      <c r="F133" s="807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807"/>
      <c r="AJ133" s="807"/>
      <c r="AK133" s="807"/>
      <c r="AM133" s="808"/>
    </row>
    <row r="134" spans="6:39" s="806" customFormat="1" x14ac:dyDescent="0.3">
      <c r="F134" s="807"/>
      <c r="G134" s="379"/>
      <c r="H134" s="379"/>
      <c r="I134" s="379"/>
      <c r="J134" s="379"/>
      <c r="K134" s="379"/>
      <c r="L134" s="379"/>
      <c r="M134" s="379"/>
      <c r="N134" s="379"/>
      <c r="O134" s="379"/>
      <c r="P134" s="379"/>
      <c r="Q134" s="379"/>
      <c r="R134" s="379"/>
      <c r="S134" s="379"/>
      <c r="T134" s="379"/>
      <c r="U134" s="379"/>
      <c r="V134" s="379"/>
      <c r="W134" s="379"/>
      <c r="X134" s="379"/>
      <c r="Y134" s="379"/>
      <c r="Z134" s="379"/>
      <c r="AA134" s="379"/>
      <c r="AB134" s="379"/>
      <c r="AC134" s="379"/>
      <c r="AD134" s="379"/>
      <c r="AE134" s="379"/>
      <c r="AF134" s="379"/>
      <c r="AG134" s="379"/>
      <c r="AH134" s="379"/>
      <c r="AI134" s="807"/>
      <c r="AJ134" s="807"/>
      <c r="AK134" s="807"/>
      <c r="AM134" s="808"/>
    </row>
    <row r="135" spans="6:39" s="806" customFormat="1" x14ac:dyDescent="0.3">
      <c r="F135" s="807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807"/>
      <c r="AJ135" s="807"/>
      <c r="AK135" s="807"/>
      <c r="AM135" s="808"/>
    </row>
    <row r="136" spans="6:39" s="806" customFormat="1" x14ac:dyDescent="0.3">
      <c r="F136" s="807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79"/>
      <c r="S136" s="379"/>
      <c r="T136" s="379"/>
      <c r="U136" s="379"/>
      <c r="V136" s="379"/>
      <c r="W136" s="379"/>
      <c r="X136" s="379"/>
      <c r="Y136" s="379"/>
      <c r="Z136" s="379"/>
      <c r="AA136" s="379"/>
      <c r="AB136" s="379"/>
      <c r="AC136" s="379"/>
      <c r="AD136" s="379"/>
      <c r="AE136" s="379"/>
      <c r="AF136" s="379"/>
      <c r="AG136" s="379"/>
      <c r="AH136" s="379"/>
      <c r="AI136" s="807"/>
      <c r="AJ136" s="807"/>
      <c r="AK136" s="807"/>
      <c r="AM136" s="808"/>
    </row>
    <row r="137" spans="6:39" s="806" customFormat="1" x14ac:dyDescent="0.3">
      <c r="F137" s="807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79"/>
      <c r="S137" s="379"/>
      <c r="T137" s="379"/>
      <c r="U137" s="379"/>
      <c r="V137" s="379"/>
      <c r="W137" s="379"/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379"/>
      <c r="AH137" s="379"/>
      <c r="AI137" s="807"/>
      <c r="AJ137" s="807"/>
      <c r="AK137" s="807"/>
      <c r="AM137" s="808"/>
    </row>
    <row r="138" spans="6:39" s="806" customFormat="1" x14ac:dyDescent="0.3">
      <c r="F138" s="807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79"/>
      <c r="S138" s="379"/>
      <c r="T138" s="379"/>
      <c r="U138" s="379"/>
      <c r="V138" s="379"/>
      <c r="W138" s="379"/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379"/>
      <c r="AH138" s="379"/>
      <c r="AI138" s="807"/>
      <c r="AJ138" s="807"/>
      <c r="AK138" s="807"/>
      <c r="AM138" s="808"/>
    </row>
    <row r="139" spans="6:39" s="806" customFormat="1" x14ac:dyDescent="0.3">
      <c r="F139" s="807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79"/>
      <c r="Y139" s="379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807"/>
      <c r="AJ139" s="807"/>
      <c r="AK139" s="807"/>
      <c r="AM139" s="808"/>
    </row>
    <row r="140" spans="6:39" s="806" customFormat="1" x14ac:dyDescent="0.3">
      <c r="F140" s="807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79"/>
      <c r="S140" s="379"/>
      <c r="T140" s="379"/>
      <c r="U140" s="379"/>
      <c r="V140" s="379"/>
      <c r="W140" s="379"/>
      <c r="X140" s="379"/>
      <c r="Y140" s="379"/>
      <c r="Z140" s="379"/>
      <c r="AA140" s="379"/>
      <c r="AB140" s="379"/>
      <c r="AC140" s="379"/>
      <c r="AD140" s="379"/>
      <c r="AE140" s="379"/>
      <c r="AF140" s="379"/>
      <c r="AG140" s="379"/>
      <c r="AH140" s="379"/>
      <c r="AI140" s="807"/>
      <c r="AJ140" s="807"/>
      <c r="AK140" s="807"/>
      <c r="AM140" s="808"/>
    </row>
    <row r="141" spans="6:39" s="806" customFormat="1" x14ac:dyDescent="0.3">
      <c r="F141" s="807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79"/>
      <c r="S141" s="379"/>
      <c r="T141" s="379"/>
      <c r="U141" s="379"/>
      <c r="V141" s="379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807"/>
      <c r="AJ141" s="807"/>
      <c r="AK141" s="807"/>
      <c r="AM141" s="808"/>
    </row>
    <row r="142" spans="6:39" s="806" customFormat="1" x14ac:dyDescent="0.3">
      <c r="F142" s="807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807"/>
      <c r="AJ142" s="807"/>
      <c r="AK142" s="807"/>
      <c r="AM142" s="808"/>
    </row>
    <row r="143" spans="6:39" s="806" customFormat="1" x14ac:dyDescent="0.3">
      <c r="F143" s="807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79"/>
      <c r="AG143" s="379"/>
      <c r="AH143" s="379"/>
      <c r="AI143" s="807"/>
      <c r="AJ143" s="807"/>
      <c r="AK143" s="807"/>
      <c r="AM143" s="808"/>
    </row>
    <row r="144" spans="6:39" s="806" customFormat="1" x14ac:dyDescent="0.3">
      <c r="F144" s="807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79"/>
      <c r="AG144" s="379"/>
      <c r="AH144" s="379"/>
      <c r="AI144" s="807"/>
      <c r="AJ144" s="807"/>
      <c r="AK144" s="807"/>
      <c r="AM144" s="808"/>
    </row>
    <row r="145" spans="6:39" s="806" customFormat="1" x14ac:dyDescent="0.3">
      <c r="F145" s="807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807"/>
      <c r="AJ145" s="807"/>
      <c r="AK145" s="807"/>
      <c r="AM145" s="808"/>
    </row>
    <row r="146" spans="6:39" s="806" customFormat="1" x14ac:dyDescent="0.3">
      <c r="F146" s="807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807"/>
      <c r="AJ146" s="807"/>
      <c r="AK146" s="807"/>
      <c r="AM146" s="808"/>
    </row>
    <row r="147" spans="6:39" s="806" customFormat="1" x14ac:dyDescent="0.3">
      <c r="F147" s="807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807"/>
      <c r="AJ147" s="807"/>
      <c r="AK147" s="807"/>
      <c r="AM147" s="808"/>
    </row>
    <row r="148" spans="6:39" s="806" customFormat="1" x14ac:dyDescent="0.3">
      <c r="F148" s="807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807"/>
      <c r="AJ148" s="807"/>
      <c r="AK148" s="807"/>
      <c r="AM148" s="808"/>
    </row>
    <row r="149" spans="6:39" s="806" customFormat="1" x14ac:dyDescent="0.3">
      <c r="F149" s="807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807"/>
      <c r="AJ149" s="807"/>
      <c r="AK149" s="807"/>
      <c r="AM149" s="808"/>
    </row>
    <row r="150" spans="6:39" s="806" customFormat="1" x14ac:dyDescent="0.3">
      <c r="F150" s="807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807"/>
      <c r="AJ150" s="807"/>
      <c r="AK150" s="807"/>
      <c r="AM150" s="808"/>
    </row>
    <row r="151" spans="6:39" s="806" customFormat="1" x14ac:dyDescent="0.3">
      <c r="F151" s="807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807"/>
      <c r="AJ151" s="807"/>
      <c r="AK151" s="807"/>
      <c r="AM151" s="808"/>
    </row>
    <row r="152" spans="6:39" s="806" customFormat="1" x14ac:dyDescent="0.3">
      <c r="F152" s="807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807"/>
      <c r="AJ152" s="807"/>
      <c r="AK152" s="807"/>
      <c r="AM152" s="808"/>
    </row>
    <row r="153" spans="6:39" s="806" customFormat="1" x14ac:dyDescent="0.3">
      <c r="F153" s="807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807"/>
      <c r="AJ153" s="807"/>
      <c r="AK153" s="807"/>
      <c r="AM153" s="808"/>
    </row>
    <row r="154" spans="6:39" s="806" customFormat="1" x14ac:dyDescent="0.3">
      <c r="F154" s="807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807"/>
      <c r="AJ154" s="807"/>
      <c r="AK154" s="807"/>
      <c r="AM154" s="808"/>
    </row>
    <row r="155" spans="6:39" s="806" customFormat="1" x14ac:dyDescent="0.3">
      <c r="F155" s="807"/>
      <c r="G155" s="379"/>
      <c r="H155" s="379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807"/>
      <c r="AJ155" s="807"/>
      <c r="AK155" s="807"/>
      <c r="AM155" s="808"/>
    </row>
    <row r="156" spans="6:39" s="806" customFormat="1" x14ac:dyDescent="0.3">
      <c r="F156" s="807"/>
      <c r="G156" s="379"/>
      <c r="H156" s="379"/>
      <c r="I156" s="379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807"/>
      <c r="AJ156" s="807"/>
      <c r="AK156" s="807"/>
      <c r="AM156" s="808"/>
    </row>
    <row r="157" spans="6:39" s="806" customFormat="1" x14ac:dyDescent="0.3">
      <c r="F157" s="807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807"/>
      <c r="AJ157" s="807"/>
      <c r="AK157" s="807"/>
      <c r="AM157" s="808"/>
    </row>
    <row r="158" spans="6:39" s="806" customFormat="1" x14ac:dyDescent="0.3">
      <c r="F158" s="807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807"/>
      <c r="AJ158" s="807"/>
      <c r="AK158" s="807"/>
      <c r="AM158" s="808"/>
    </row>
    <row r="159" spans="6:39" s="806" customFormat="1" x14ac:dyDescent="0.3">
      <c r="F159" s="807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807"/>
      <c r="AJ159" s="807"/>
      <c r="AK159" s="807"/>
      <c r="AM159" s="808"/>
    </row>
    <row r="160" spans="6:39" s="806" customFormat="1" x14ac:dyDescent="0.3">
      <c r="F160" s="807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807"/>
      <c r="AJ160" s="807"/>
      <c r="AK160" s="807"/>
      <c r="AM160" s="808"/>
    </row>
    <row r="161" spans="6:39" s="806" customFormat="1" x14ac:dyDescent="0.3">
      <c r="F161" s="807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807"/>
      <c r="AJ161" s="807"/>
      <c r="AK161" s="807"/>
      <c r="AM161" s="808"/>
    </row>
    <row r="162" spans="6:39" s="806" customFormat="1" x14ac:dyDescent="0.3">
      <c r="F162" s="807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807"/>
      <c r="AJ162" s="807"/>
      <c r="AK162" s="807"/>
      <c r="AM162" s="808"/>
    </row>
    <row r="163" spans="6:39" s="806" customFormat="1" x14ac:dyDescent="0.3">
      <c r="F163" s="807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807"/>
      <c r="AJ163" s="807"/>
      <c r="AK163" s="807"/>
      <c r="AM163" s="808"/>
    </row>
    <row r="164" spans="6:39" s="806" customFormat="1" x14ac:dyDescent="0.3">
      <c r="F164" s="807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807"/>
      <c r="Y164" s="807"/>
      <c r="Z164" s="807"/>
      <c r="AA164" s="807"/>
      <c r="AB164" s="807"/>
      <c r="AC164" s="807"/>
      <c r="AD164" s="807"/>
      <c r="AE164" s="807"/>
      <c r="AF164" s="807"/>
      <c r="AG164" s="807"/>
      <c r="AH164" s="807"/>
      <c r="AI164" s="807"/>
      <c r="AJ164" s="807"/>
      <c r="AK164" s="807"/>
      <c r="AM164" s="808"/>
    </row>
    <row r="165" spans="6:39" s="806" customFormat="1" x14ac:dyDescent="0.3">
      <c r="F165" s="807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807"/>
      <c r="Y165" s="807"/>
      <c r="Z165" s="807"/>
      <c r="AA165" s="807"/>
      <c r="AB165" s="807"/>
      <c r="AC165" s="807"/>
      <c r="AD165" s="807"/>
      <c r="AE165" s="807"/>
      <c r="AF165" s="807"/>
      <c r="AG165" s="807"/>
      <c r="AH165" s="807"/>
      <c r="AI165" s="807"/>
      <c r="AJ165" s="807"/>
      <c r="AK165" s="807"/>
      <c r="AM165" s="808"/>
    </row>
    <row r="166" spans="6:39" s="806" customFormat="1" x14ac:dyDescent="0.3">
      <c r="F166" s="807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807"/>
      <c r="Y166" s="807"/>
      <c r="Z166" s="807"/>
      <c r="AA166" s="807"/>
      <c r="AB166" s="807"/>
      <c r="AC166" s="807"/>
      <c r="AD166" s="807"/>
      <c r="AE166" s="807"/>
      <c r="AF166" s="807"/>
      <c r="AG166" s="807"/>
      <c r="AH166" s="807"/>
      <c r="AI166" s="807"/>
      <c r="AJ166" s="807"/>
      <c r="AK166" s="807"/>
      <c r="AM166" s="808"/>
    </row>
    <row r="167" spans="6:39" s="806" customFormat="1" x14ac:dyDescent="0.3">
      <c r="F167" s="807"/>
      <c r="G167" s="379"/>
      <c r="H167" s="379"/>
      <c r="I167" s="379"/>
      <c r="J167" s="379"/>
      <c r="K167" s="379"/>
      <c r="L167" s="379"/>
      <c r="M167" s="379"/>
      <c r="N167" s="379"/>
      <c r="O167" s="379"/>
      <c r="P167" s="379"/>
      <c r="Q167" s="379"/>
      <c r="R167" s="379"/>
      <c r="S167" s="379"/>
      <c r="T167" s="379"/>
      <c r="U167" s="379"/>
      <c r="V167" s="379"/>
      <c r="W167" s="379"/>
      <c r="X167" s="807"/>
      <c r="Y167" s="807"/>
      <c r="Z167" s="807"/>
      <c r="AA167" s="807"/>
      <c r="AB167" s="807"/>
      <c r="AC167" s="807"/>
      <c r="AD167" s="807"/>
      <c r="AE167" s="807"/>
      <c r="AF167" s="807"/>
      <c r="AG167" s="807"/>
      <c r="AH167" s="807"/>
      <c r="AI167" s="807"/>
      <c r="AJ167" s="807"/>
      <c r="AK167" s="807"/>
      <c r="AM167" s="808"/>
    </row>
    <row r="168" spans="6:39" s="806" customFormat="1" x14ac:dyDescent="0.3">
      <c r="F168" s="807"/>
      <c r="G168" s="379"/>
      <c r="H168" s="379"/>
      <c r="I168" s="379"/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807"/>
      <c r="Y168" s="807"/>
      <c r="Z168" s="807"/>
      <c r="AA168" s="807"/>
      <c r="AB168" s="807"/>
      <c r="AC168" s="807"/>
      <c r="AD168" s="807"/>
      <c r="AE168" s="807"/>
      <c r="AF168" s="807"/>
      <c r="AG168" s="807"/>
      <c r="AH168" s="807"/>
      <c r="AI168" s="807"/>
      <c r="AJ168" s="807"/>
      <c r="AK168" s="807"/>
      <c r="AM168" s="808"/>
    </row>
    <row r="169" spans="6:39" s="806" customFormat="1" x14ac:dyDescent="0.3">
      <c r="F169" s="807"/>
      <c r="G169" s="379"/>
      <c r="H169" s="379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807"/>
      <c r="Y169" s="807"/>
      <c r="Z169" s="807"/>
      <c r="AA169" s="807"/>
      <c r="AB169" s="807"/>
      <c r="AC169" s="807"/>
      <c r="AD169" s="807"/>
      <c r="AE169" s="807"/>
      <c r="AF169" s="807"/>
      <c r="AG169" s="807"/>
      <c r="AH169" s="807"/>
      <c r="AI169" s="807"/>
      <c r="AJ169" s="807"/>
      <c r="AK169" s="807"/>
      <c r="AM169" s="808"/>
    </row>
    <row r="170" spans="6:39" s="806" customFormat="1" x14ac:dyDescent="0.3">
      <c r="F170" s="807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807"/>
      <c r="Y170" s="807"/>
      <c r="Z170" s="807"/>
      <c r="AA170" s="807"/>
      <c r="AB170" s="807"/>
      <c r="AC170" s="807"/>
      <c r="AD170" s="807"/>
      <c r="AE170" s="807"/>
      <c r="AF170" s="807"/>
      <c r="AG170" s="807"/>
      <c r="AH170" s="807"/>
      <c r="AI170" s="807"/>
      <c r="AJ170" s="807"/>
      <c r="AK170" s="807"/>
      <c r="AM170" s="808"/>
    </row>
    <row r="171" spans="6:39" s="806" customFormat="1" x14ac:dyDescent="0.3">
      <c r="F171" s="807"/>
      <c r="G171" s="379"/>
      <c r="H171" s="379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79"/>
      <c r="V171" s="379"/>
      <c r="W171" s="379"/>
      <c r="X171" s="807"/>
      <c r="Y171" s="807"/>
      <c r="Z171" s="807"/>
      <c r="AA171" s="807"/>
      <c r="AB171" s="807"/>
      <c r="AC171" s="807"/>
      <c r="AD171" s="807"/>
      <c r="AE171" s="807"/>
      <c r="AF171" s="807"/>
      <c r="AG171" s="807"/>
      <c r="AH171" s="807"/>
      <c r="AI171" s="807"/>
      <c r="AJ171" s="807"/>
      <c r="AK171" s="807"/>
      <c r="AM171" s="808"/>
    </row>
    <row r="172" spans="6:39" s="806" customFormat="1" x14ac:dyDescent="0.3">
      <c r="F172" s="807"/>
      <c r="G172" s="379"/>
      <c r="H172" s="379"/>
      <c r="I172" s="379"/>
      <c r="J172" s="379"/>
      <c r="K172" s="379"/>
      <c r="L172" s="379"/>
      <c r="M172" s="379"/>
      <c r="N172" s="379"/>
      <c r="O172" s="379"/>
      <c r="P172" s="379"/>
      <c r="Q172" s="379"/>
      <c r="R172" s="379"/>
      <c r="S172" s="379"/>
      <c r="T172" s="379"/>
      <c r="U172" s="379"/>
      <c r="V172" s="379"/>
      <c r="W172" s="379"/>
      <c r="X172" s="807"/>
      <c r="Y172" s="807"/>
      <c r="Z172" s="807"/>
      <c r="AA172" s="807"/>
      <c r="AB172" s="807"/>
      <c r="AC172" s="807"/>
      <c r="AD172" s="807"/>
      <c r="AE172" s="807"/>
      <c r="AF172" s="807"/>
      <c r="AG172" s="807"/>
      <c r="AH172" s="807"/>
      <c r="AI172" s="807"/>
      <c r="AJ172" s="807"/>
      <c r="AK172" s="807"/>
      <c r="AM172" s="808"/>
    </row>
    <row r="173" spans="6:39" s="806" customFormat="1" x14ac:dyDescent="0.3">
      <c r="F173" s="807"/>
      <c r="G173" s="379"/>
      <c r="H173" s="379"/>
      <c r="I173" s="379"/>
      <c r="J173" s="379"/>
      <c r="K173" s="379"/>
      <c r="L173" s="379"/>
      <c r="M173" s="379"/>
      <c r="N173" s="379"/>
      <c r="O173" s="379"/>
      <c r="P173" s="379"/>
      <c r="Q173" s="379"/>
      <c r="R173" s="379"/>
      <c r="S173" s="379"/>
      <c r="T173" s="379"/>
      <c r="U173" s="379"/>
      <c r="V173" s="379"/>
      <c r="W173" s="379"/>
      <c r="X173" s="807"/>
      <c r="Y173" s="807"/>
      <c r="Z173" s="807"/>
      <c r="AA173" s="807"/>
      <c r="AB173" s="807"/>
      <c r="AC173" s="807"/>
      <c r="AD173" s="807"/>
      <c r="AE173" s="807"/>
      <c r="AF173" s="807"/>
      <c r="AG173" s="807"/>
      <c r="AH173" s="807"/>
      <c r="AI173" s="807"/>
      <c r="AJ173" s="807"/>
      <c r="AK173" s="807"/>
      <c r="AM173" s="808"/>
    </row>
    <row r="174" spans="6:39" s="806" customFormat="1" x14ac:dyDescent="0.3">
      <c r="F174" s="807"/>
      <c r="G174" s="379"/>
      <c r="H174" s="379"/>
      <c r="I174" s="379"/>
      <c r="J174" s="379"/>
      <c r="K174" s="379"/>
      <c r="L174" s="379"/>
      <c r="M174" s="379"/>
      <c r="N174" s="379"/>
      <c r="O174" s="379"/>
      <c r="P174" s="379"/>
      <c r="Q174" s="379"/>
      <c r="R174" s="379"/>
      <c r="S174" s="379"/>
      <c r="T174" s="379"/>
      <c r="U174" s="379"/>
      <c r="V174" s="379"/>
      <c r="W174" s="379"/>
      <c r="X174" s="807"/>
      <c r="Y174" s="807"/>
      <c r="Z174" s="807"/>
      <c r="AA174" s="807"/>
      <c r="AB174" s="807"/>
      <c r="AC174" s="807"/>
      <c r="AD174" s="807"/>
      <c r="AE174" s="807"/>
      <c r="AF174" s="807"/>
      <c r="AG174" s="807"/>
      <c r="AH174" s="807"/>
      <c r="AI174" s="807"/>
      <c r="AJ174" s="807"/>
      <c r="AK174" s="807"/>
      <c r="AM174" s="808"/>
    </row>
    <row r="175" spans="6:39" s="806" customFormat="1" x14ac:dyDescent="0.3">
      <c r="F175" s="807"/>
      <c r="G175" s="379"/>
      <c r="H175" s="379"/>
      <c r="I175" s="379"/>
      <c r="J175" s="379"/>
      <c r="K175" s="379"/>
      <c r="L175" s="379"/>
      <c r="M175" s="379"/>
      <c r="N175" s="379"/>
      <c r="O175" s="379"/>
      <c r="P175" s="379"/>
      <c r="Q175" s="379"/>
      <c r="R175" s="379"/>
      <c r="S175" s="379"/>
      <c r="T175" s="379"/>
      <c r="U175" s="379"/>
      <c r="V175" s="379"/>
      <c r="W175" s="379"/>
      <c r="X175" s="807"/>
      <c r="Y175" s="807"/>
      <c r="Z175" s="807"/>
      <c r="AA175" s="807"/>
      <c r="AB175" s="807"/>
      <c r="AC175" s="807"/>
      <c r="AD175" s="807"/>
      <c r="AE175" s="807"/>
      <c r="AF175" s="807"/>
      <c r="AG175" s="807"/>
      <c r="AH175" s="807"/>
      <c r="AI175" s="807"/>
      <c r="AJ175" s="807"/>
      <c r="AK175" s="807"/>
      <c r="AM175" s="808"/>
    </row>
    <row r="176" spans="6:39" s="806" customFormat="1" x14ac:dyDescent="0.3">
      <c r="F176" s="807"/>
      <c r="G176" s="379"/>
      <c r="H176" s="379"/>
      <c r="I176" s="379"/>
      <c r="J176" s="379"/>
      <c r="K176" s="379"/>
      <c r="L176" s="379"/>
      <c r="M176" s="379"/>
      <c r="N176" s="379"/>
      <c r="O176" s="379"/>
      <c r="P176" s="379"/>
      <c r="Q176" s="379"/>
      <c r="R176" s="379"/>
      <c r="S176" s="379"/>
      <c r="T176" s="379"/>
      <c r="U176" s="379"/>
      <c r="V176" s="379"/>
      <c r="W176" s="379"/>
      <c r="X176" s="807"/>
      <c r="Y176" s="807"/>
      <c r="Z176" s="807"/>
      <c r="AA176" s="807"/>
      <c r="AB176" s="807"/>
      <c r="AC176" s="807"/>
      <c r="AD176" s="807"/>
      <c r="AE176" s="807"/>
      <c r="AF176" s="807"/>
      <c r="AG176" s="807"/>
      <c r="AH176" s="807"/>
      <c r="AI176" s="807"/>
      <c r="AJ176" s="807"/>
      <c r="AK176" s="807"/>
      <c r="AM176" s="808"/>
    </row>
    <row r="177" spans="6:39" s="806" customFormat="1" x14ac:dyDescent="0.3">
      <c r="F177" s="807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379"/>
      <c r="R177" s="379"/>
      <c r="S177" s="379"/>
      <c r="T177" s="379"/>
      <c r="U177" s="379"/>
      <c r="V177" s="379"/>
      <c r="W177" s="379"/>
      <c r="X177" s="807"/>
      <c r="Y177" s="807"/>
      <c r="Z177" s="807"/>
      <c r="AA177" s="807"/>
      <c r="AB177" s="807"/>
      <c r="AC177" s="807"/>
      <c r="AD177" s="807"/>
      <c r="AE177" s="807"/>
      <c r="AF177" s="807"/>
      <c r="AG177" s="807"/>
      <c r="AH177" s="807"/>
      <c r="AI177" s="807"/>
      <c r="AJ177" s="807"/>
      <c r="AK177" s="807"/>
      <c r="AM177" s="808"/>
    </row>
    <row r="178" spans="6:39" s="806" customFormat="1" x14ac:dyDescent="0.3">
      <c r="F178" s="807"/>
      <c r="G178" s="379"/>
      <c r="H178" s="379"/>
      <c r="I178" s="379"/>
      <c r="J178" s="379"/>
      <c r="K178" s="379"/>
      <c r="L178" s="379"/>
      <c r="M178" s="379"/>
      <c r="N178" s="379"/>
      <c r="O178" s="379"/>
      <c r="P178" s="379"/>
      <c r="Q178" s="379"/>
      <c r="R178" s="379"/>
      <c r="S178" s="379"/>
      <c r="T178" s="379"/>
      <c r="U178" s="379"/>
      <c r="V178" s="379"/>
      <c r="W178" s="379"/>
      <c r="X178" s="807"/>
      <c r="Y178" s="807"/>
      <c r="Z178" s="807"/>
      <c r="AA178" s="807"/>
      <c r="AB178" s="807"/>
      <c r="AC178" s="807"/>
      <c r="AD178" s="807"/>
      <c r="AE178" s="807"/>
      <c r="AF178" s="807"/>
      <c r="AG178" s="807"/>
      <c r="AH178" s="807"/>
      <c r="AI178" s="807"/>
      <c r="AJ178" s="807"/>
      <c r="AK178" s="807"/>
      <c r="AM178" s="808"/>
    </row>
    <row r="179" spans="6:39" s="806" customFormat="1" x14ac:dyDescent="0.3">
      <c r="F179" s="807"/>
      <c r="G179" s="379"/>
      <c r="H179" s="379"/>
      <c r="I179" s="379"/>
      <c r="J179" s="379"/>
      <c r="K179" s="379"/>
      <c r="L179" s="379"/>
      <c r="M179" s="379"/>
      <c r="N179" s="379"/>
      <c r="O179" s="379"/>
      <c r="P179" s="379"/>
      <c r="Q179" s="379"/>
      <c r="R179" s="379"/>
      <c r="S179" s="379"/>
      <c r="T179" s="379"/>
      <c r="U179" s="379"/>
      <c r="V179" s="379"/>
      <c r="W179" s="379"/>
      <c r="X179" s="807"/>
      <c r="Y179" s="807"/>
      <c r="Z179" s="807"/>
      <c r="AA179" s="807"/>
      <c r="AB179" s="807"/>
      <c r="AC179" s="807"/>
      <c r="AD179" s="807"/>
      <c r="AE179" s="807"/>
      <c r="AF179" s="807"/>
      <c r="AG179" s="807"/>
      <c r="AH179" s="807"/>
      <c r="AI179" s="807"/>
      <c r="AJ179" s="807"/>
      <c r="AK179" s="807"/>
      <c r="AM179" s="808"/>
    </row>
    <row r="180" spans="6:39" s="806" customFormat="1" x14ac:dyDescent="0.3">
      <c r="F180" s="807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79"/>
      <c r="T180" s="379"/>
      <c r="U180" s="379"/>
      <c r="V180" s="379"/>
      <c r="W180" s="379"/>
      <c r="X180" s="807"/>
      <c r="Y180" s="807"/>
      <c r="Z180" s="807"/>
      <c r="AA180" s="807"/>
      <c r="AB180" s="807"/>
      <c r="AC180" s="807"/>
      <c r="AD180" s="807"/>
      <c r="AE180" s="807"/>
      <c r="AF180" s="807"/>
      <c r="AG180" s="807"/>
      <c r="AH180" s="807"/>
      <c r="AI180" s="807"/>
      <c r="AJ180" s="807"/>
      <c r="AK180" s="807"/>
      <c r="AM180" s="808"/>
    </row>
    <row r="181" spans="6:39" s="806" customFormat="1" x14ac:dyDescent="0.3">
      <c r="F181" s="807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79"/>
      <c r="T181" s="379"/>
      <c r="U181" s="379"/>
      <c r="V181" s="379"/>
      <c r="W181" s="379"/>
      <c r="X181" s="807"/>
      <c r="Y181" s="807"/>
      <c r="Z181" s="807"/>
      <c r="AA181" s="807"/>
      <c r="AB181" s="807"/>
      <c r="AC181" s="807"/>
      <c r="AD181" s="807"/>
      <c r="AE181" s="807"/>
      <c r="AF181" s="807"/>
      <c r="AG181" s="807"/>
      <c r="AH181" s="807"/>
      <c r="AI181" s="807"/>
      <c r="AJ181" s="807"/>
      <c r="AK181" s="807"/>
      <c r="AM181" s="808"/>
    </row>
    <row r="182" spans="6:39" s="806" customFormat="1" x14ac:dyDescent="0.3">
      <c r="F182" s="807"/>
      <c r="G182" s="379"/>
      <c r="H182" s="379"/>
      <c r="I182" s="379"/>
      <c r="J182" s="379"/>
      <c r="K182" s="379"/>
      <c r="L182" s="379"/>
      <c r="M182" s="379"/>
      <c r="N182" s="379"/>
      <c r="O182" s="379"/>
      <c r="P182" s="379"/>
      <c r="Q182" s="379"/>
      <c r="R182" s="379"/>
      <c r="S182" s="379"/>
      <c r="T182" s="379"/>
      <c r="U182" s="379"/>
      <c r="V182" s="379"/>
      <c r="W182" s="379"/>
      <c r="X182" s="807"/>
      <c r="Y182" s="807"/>
      <c r="Z182" s="807"/>
      <c r="AA182" s="807"/>
      <c r="AB182" s="807"/>
      <c r="AC182" s="807"/>
      <c r="AD182" s="807"/>
      <c r="AE182" s="807"/>
      <c r="AF182" s="807"/>
      <c r="AG182" s="807"/>
      <c r="AH182" s="807"/>
      <c r="AI182" s="807"/>
      <c r="AJ182" s="807"/>
      <c r="AK182" s="807"/>
      <c r="AM182" s="808"/>
    </row>
    <row r="183" spans="6:39" s="806" customFormat="1" x14ac:dyDescent="0.3">
      <c r="F183" s="807"/>
      <c r="G183" s="379"/>
      <c r="H183" s="379"/>
      <c r="I183" s="379"/>
      <c r="J183" s="379"/>
      <c r="K183" s="379"/>
      <c r="L183" s="379"/>
      <c r="M183" s="379"/>
      <c r="N183" s="379"/>
      <c r="O183" s="379"/>
      <c r="P183" s="379"/>
      <c r="Q183" s="379"/>
      <c r="R183" s="379"/>
      <c r="S183" s="379"/>
      <c r="T183" s="379"/>
      <c r="U183" s="379"/>
      <c r="V183" s="379"/>
      <c r="W183" s="379"/>
      <c r="X183" s="807"/>
      <c r="Y183" s="807"/>
      <c r="Z183" s="807"/>
      <c r="AA183" s="807"/>
      <c r="AB183" s="807"/>
      <c r="AC183" s="807"/>
      <c r="AD183" s="807"/>
      <c r="AE183" s="807"/>
      <c r="AF183" s="807"/>
      <c r="AG183" s="807"/>
      <c r="AH183" s="807"/>
      <c r="AI183" s="807"/>
      <c r="AJ183" s="807"/>
      <c r="AK183" s="807"/>
      <c r="AM183" s="808"/>
    </row>
    <row r="184" spans="6:39" s="806" customFormat="1" x14ac:dyDescent="0.3">
      <c r="F184" s="807"/>
      <c r="G184" s="379"/>
      <c r="H184" s="379"/>
      <c r="I184" s="379"/>
      <c r="J184" s="379"/>
      <c r="K184" s="379"/>
      <c r="L184" s="379"/>
      <c r="M184" s="379"/>
      <c r="N184" s="379"/>
      <c r="O184" s="379"/>
      <c r="P184" s="379"/>
      <c r="Q184" s="379"/>
      <c r="R184" s="379"/>
      <c r="S184" s="379"/>
      <c r="T184" s="379"/>
      <c r="U184" s="379"/>
      <c r="V184" s="379"/>
      <c r="W184" s="379"/>
      <c r="X184" s="807"/>
      <c r="Y184" s="807"/>
      <c r="Z184" s="807"/>
      <c r="AA184" s="807"/>
      <c r="AB184" s="807"/>
      <c r="AC184" s="807"/>
      <c r="AD184" s="807"/>
      <c r="AE184" s="807"/>
      <c r="AF184" s="807"/>
      <c r="AG184" s="807"/>
      <c r="AH184" s="807"/>
      <c r="AI184" s="807"/>
      <c r="AJ184" s="807"/>
      <c r="AK184" s="807"/>
      <c r="AM184" s="808"/>
    </row>
    <row r="185" spans="6:39" s="806" customFormat="1" x14ac:dyDescent="0.3">
      <c r="F185" s="807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807"/>
      <c r="Y185" s="807"/>
      <c r="Z185" s="807"/>
      <c r="AA185" s="807"/>
      <c r="AB185" s="807"/>
      <c r="AC185" s="807"/>
      <c r="AD185" s="807"/>
      <c r="AE185" s="807"/>
      <c r="AF185" s="807"/>
      <c r="AG185" s="807"/>
      <c r="AH185" s="807"/>
      <c r="AI185" s="807"/>
      <c r="AJ185" s="807"/>
      <c r="AK185" s="807"/>
      <c r="AM185" s="808"/>
    </row>
    <row r="186" spans="6:39" s="806" customFormat="1" x14ac:dyDescent="0.3">
      <c r="F186" s="807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807"/>
      <c r="Y186" s="807"/>
      <c r="Z186" s="807"/>
      <c r="AA186" s="807"/>
      <c r="AB186" s="807"/>
      <c r="AC186" s="807"/>
      <c r="AD186" s="807"/>
      <c r="AE186" s="807"/>
      <c r="AF186" s="807"/>
      <c r="AG186" s="807"/>
      <c r="AH186" s="807"/>
      <c r="AI186" s="807"/>
      <c r="AJ186" s="807"/>
      <c r="AK186" s="807"/>
      <c r="AM186" s="808"/>
    </row>
    <row r="187" spans="6:39" s="806" customFormat="1" x14ac:dyDescent="0.3">
      <c r="F187" s="807"/>
      <c r="G187" s="379"/>
      <c r="H187" s="379"/>
      <c r="I187" s="379"/>
      <c r="J187" s="379"/>
      <c r="K187" s="379"/>
      <c r="L187" s="379"/>
      <c r="M187" s="379"/>
      <c r="N187" s="379"/>
      <c r="O187" s="379"/>
      <c r="P187" s="379"/>
      <c r="Q187" s="379"/>
      <c r="R187" s="379"/>
      <c r="S187" s="379"/>
      <c r="T187" s="379"/>
      <c r="U187" s="379"/>
      <c r="V187" s="379"/>
      <c r="W187" s="379"/>
      <c r="X187" s="807"/>
      <c r="Y187" s="807"/>
      <c r="Z187" s="807"/>
      <c r="AA187" s="807"/>
      <c r="AB187" s="807"/>
      <c r="AC187" s="807"/>
      <c r="AD187" s="807"/>
      <c r="AE187" s="807"/>
      <c r="AF187" s="807"/>
      <c r="AG187" s="807"/>
      <c r="AH187" s="807"/>
      <c r="AI187" s="807"/>
      <c r="AJ187" s="807"/>
      <c r="AK187" s="807"/>
      <c r="AM187" s="808"/>
    </row>
    <row r="188" spans="6:39" s="806" customFormat="1" x14ac:dyDescent="0.3">
      <c r="F188" s="807"/>
      <c r="G188" s="379"/>
      <c r="H188" s="379"/>
      <c r="I188" s="379"/>
      <c r="J188" s="379"/>
      <c r="K188" s="379"/>
      <c r="L188" s="379"/>
      <c r="M188" s="379"/>
      <c r="N188" s="379"/>
      <c r="O188" s="379"/>
      <c r="P188" s="379"/>
      <c r="Q188" s="379"/>
      <c r="R188" s="379"/>
      <c r="S188" s="379"/>
      <c r="T188" s="379"/>
      <c r="U188" s="807"/>
      <c r="V188" s="807"/>
      <c r="W188" s="807"/>
      <c r="X188" s="807"/>
      <c r="Y188" s="807"/>
      <c r="Z188" s="807"/>
      <c r="AA188" s="807"/>
      <c r="AB188" s="807"/>
      <c r="AC188" s="807"/>
      <c r="AD188" s="807"/>
      <c r="AE188" s="807"/>
      <c r="AF188" s="807"/>
      <c r="AG188" s="807"/>
      <c r="AH188" s="807"/>
      <c r="AI188" s="807"/>
      <c r="AJ188" s="807"/>
      <c r="AK188" s="807"/>
      <c r="AM188" s="808"/>
    </row>
    <row r="189" spans="6:39" s="806" customFormat="1" x14ac:dyDescent="0.3">
      <c r="F189" s="807"/>
      <c r="G189" s="379"/>
      <c r="H189" s="379"/>
      <c r="I189" s="379"/>
      <c r="J189" s="379"/>
      <c r="K189" s="379"/>
      <c r="L189" s="379"/>
      <c r="M189" s="379"/>
      <c r="N189" s="379"/>
      <c r="O189" s="379"/>
      <c r="P189" s="379"/>
      <c r="Q189" s="379"/>
      <c r="R189" s="379"/>
      <c r="S189" s="379"/>
      <c r="T189" s="379"/>
      <c r="U189" s="807"/>
      <c r="V189" s="807"/>
      <c r="W189" s="807"/>
      <c r="X189" s="807"/>
      <c r="Y189" s="807"/>
      <c r="Z189" s="807"/>
      <c r="AA189" s="807"/>
      <c r="AB189" s="807"/>
      <c r="AC189" s="807"/>
      <c r="AD189" s="807"/>
      <c r="AE189" s="807"/>
      <c r="AF189" s="807"/>
      <c r="AG189" s="807"/>
      <c r="AH189" s="807"/>
      <c r="AI189" s="807"/>
      <c r="AJ189" s="807"/>
      <c r="AK189" s="807"/>
      <c r="AM189" s="808"/>
    </row>
    <row r="190" spans="6:39" s="806" customFormat="1" x14ac:dyDescent="0.3">
      <c r="F190" s="807"/>
      <c r="G190" s="379"/>
      <c r="H190" s="379"/>
      <c r="I190" s="379"/>
      <c r="J190" s="379"/>
      <c r="K190" s="379"/>
      <c r="L190" s="379"/>
      <c r="M190" s="379"/>
      <c r="N190" s="379"/>
      <c r="O190" s="379"/>
      <c r="P190" s="379"/>
      <c r="Q190" s="379"/>
      <c r="R190" s="379"/>
      <c r="S190" s="379"/>
      <c r="T190" s="379"/>
      <c r="U190" s="807"/>
      <c r="V190" s="807"/>
      <c r="W190" s="807"/>
      <c r="X190" s="807"/>
      <c r="Y190" s="807"/>
      <c r="Z190" s="807"/>
      <c r="AA190" s="807"/>
      <c r="AB190" s="807"/>
      <c r="AC190" s="807"/>
      <c r="AD190" s="807"/>
      <c r="AE190" s="807"/>
      <c r="AF190" s="807"/>
      <c r="AG190" s="807"/>
      <c r="AH190" s="807"/>
      <c r="AI190" s="807"/>
      <c r="AJ190" s="807"/>
      <c r="AK190" s="807"/>
      <c r="AM190" s="808"/>
    </row>
    <row r="191" spans="6:39" s="806" customFormat="1" x14ac:dyDescent="0.3">
      <c r="F191" s="807"/>
      <c r="G191" s="379"/>
      <c r="H191" s="379"/>
      <c r="I191" s="379"/>
      <c r="J191" s="379"/>
      <c r="K191" s="379"/>
      <c r="L191" s="379"/>
      <c r="M191" s="379"/>
      <c r="N191" s="379"/>
      <c r="O191" s="379"/>
      <c r="P191" s="379"/>
      <c r="Q191" s="379"/>
      <c r="R191" s="379"/>
      <c r="S191" s="379"/>
      <c r="T191" s="379"/>
      <c r="U191" s="807"/>
      <c r="V191" s="807"/>
      <c r="W191" s="807"/>
      <c r="X191" s="807"/>
      <c r="Y191" s="807"/>
      <c r="Z191" s="807"/>
      <c r="AA191" s="807"/>
      <c r="AB191" s="807"/>
      <c r="AC191" s="807"/>
      <c r="AD191" s="807"/>
      <c r="AE191" s="807"/>
      <c r="AF191" s="807"/>
      <c r="AG191" s="807"/>
      <c r="AH191" s="807"/>
      <c r="AI191" s="807"/>
      <c r="AJ191" s="807"/>
      <c r="AK191" s="807"/>
      <c r="AM191" s="808"/>
    </row>
    <row r="192" spans="6:39" s="806" customFormat="1" x14ac:dyDescent="0.3">
      <c r="F192" s="807"/>
      <c r="G192" s="379"/>
      <c r="H192" s="379"/>
      <c r="I192" s="379"/>
      <c r="J192" s="379"/>
      <c r="K192" s="379"/>
      <c r="L192" s="379"/>
      <c r="M192" s="379"/>
      <c r="N192" s="379"/>
      <c r="O192" s="379"/>
      <c r="P192" s="379"/>
      <c r="Q192" s="379"/>
      <c r="R192" s="379"/>
      <c r="S192" s="379"/>
      <c r="T192" s="379"/>
      <c r="U192" s="807"/>
      <c r="V192" s="807"/>
      <c r="W192" s="807"/>
      <c r="X192" s="807"/>
      <c r="Y192" s="807"/>
      <c r="Z192" s="807"/>
      <c r="AA192" s="807"/>
      <c r="AB192" s="807"/>
      <c r="AC192" s="807"/>
      <c r="AD192" s="807"/>
      <c r="AE192" s="807"/>
      <c r="AF192" s="807"/>
      <c r="AG192" s="807"/>
      <c r="AH192" s="807"/>
      <c r="AI192" s="807"/>
      <c r="AJ192" s="807"/>
      <c r="AK192" s="807"/>
      <c r="AM192" s="808"/>
    </row>
    <row r="193" spans="6:39" s="806" customFormat="1" x14ac:dyDescent="0.3">
      <c r="F193" s="807"/>
      <c r="G193" s="379"/>
      <c r="H193" s="379"/>
      <c r="I193" s="379"/>
      <c r="J193" s="379"/>
      <c r="K193" s="379"/>
      <c r="L193" s="379"/>
      <c r="M193" s="379"/>
      <c r="N193" s="379"/>
      <c r="O193" s="379"/>
      <c r="P193" s="379"/>
      <c r="Q193" s="379"/>
      <c r="R193" s="379"/>
      <c r="S193" s="379"/>
      <c r="T193" s="379"/>
      <c r="U193" s="807"/>
      <c r="V193" s="807"/>
      <c r="W193" s="807"/>
      <c r="X193" s="807"/>
      <c r="Y193" s="807"/>
      <c r="Z193" s="807"/>
      <c r="AA193" s="807"/>
      <c r="AB193" s="807"/>
      <c r="AC193" s="807"/>
      <c r="AD193" s="807"/>
      <c r="AE193" s="807"/>
      <c r="AF193" s="807"/>
      <c r="AG193" s="807"/>
      <c r="AH193" s="807"/>
      <c r="AI193" s="807"/>
      <c r="AJ193" s="807"/>
      <c r="AK193" s="807"/>
      <c r="AM193" s="808"/>
    </row>
    <row r="194" spans="6:39" s="806" customFormat="1" x14ac:dyDescent="0.3">
      <c r="F194" s="807"/>
      <c r="G194" s="379"/>
      <c r="H194" s="379"/>
      <c r="I194" s="379"/>
      <c r="J194" s="379"/>
      <c r="K194" s="379"/>
      <c r="L194" s="379"/>
      <c r="M194" s="379"/>
      <c r="N194" s="379"/>
      <c r="O194" s="379"/>
      <c r="P194" s="379"/>
      <c r="Q194" s="379"/>
      <c r="R194" s="379"/>
      <c r="S194" s="379"/>
      <c r="T194" s="379"/>
      <c r="U194" s="807"/>
      <c r="V194" s="807"/>
      <c r="W194" s="807"/>
      <c r="X194" s="807"/>
      <c r="Y194" s="807"/>
      <c r="Z194" s="807"/>
      <c r="AA194" s="807"/>
      <c r="AB194" s="807"/>
      <c r="AC194" s="807"/>
      <c r="AD194" s="807"/>
      <c r="AE194" s="807"/>
      <c r="AF194" s="807"/>
      <c r="AG194" s="807"/>
      <c r="AH194" s="807"/>
      <c r="AI194" s="807"/>
      <c r="AJ194" s="807"/>
      <c r="AK194" s="807"/>
      <c r="AM194" s="808"/>
    </row>
    <row r="195" spans="6:39" s="806" customFormat="1" x14ac:dyDescent="0.3">
      <c r="F195" s="807"/>
      <c r="G195" s="379"/>
      <c r="H195" s="379"/>
      <c r="I195" s="379"/>
      <c r="J195" s="379"/>
      <c r="K195" s="379"/>
      <c r="L195" s="379"/>
      <c r="M195" s="379"/>
      <c r="N195" s="379"/>
      <c r="O195" s="379"/>
      <c r="P195" s="379"/>
      <c r="Q195" s="379"/>
      <c r="R195" s="379"/>
      <c r="S195" s="379"/>
      <c r="T195" s="379"/>
      <c r="U195" s="807"/>
      <c r="V195" s="807"/>
      <c r="W195" s="807"/>
      <c r="X195" s="807"/>
      <c r="Y195" s="807"/>
      <c r="Z195" s="807"/>
      <c r="AA195" s="807"/>
      <c r="AB195" s="807"/>
      <c r="AC195" s="807"/>
      <c r="AD195" s="807"/>
      <c r="AE195" s="807"/>
      <c r="AF195" s="807"/>
      <c r="AG195" s="807"/>
      <c r="AH195" s="807"/>
      <c r="AI195" s="807"/>
      <c r="AJ195" s="807"/>
      <c r="AK195" s="807"/>
      <c r="AM195" s="808"/>
    </row>
    <row r="196" spans="6:39" s="806" customFormat="1" x14ac:dyDescent="0.3">
      <c r="F196" s="807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807"/>
      <c r="V196" s="807"/>
      <c r="W196" s="807"/>
      <c r="X196" s="807"/>
      <c r="Y196" s="807"/>
      <c r="Z196" s="807"/>
      <c r="AA196" s="807"/>
      <c r="AB196" s="807"/>
      <c r="AC196" s="807"/>
      <c r="AD196" s="807"/>
      <c r="AE196" s="807"/>
      <c r="AF196" s="807"/>
      <c r="AG196" s="807"/>
      <c r="AH196" s="807"/>
      <c r="AI196" s="807"/>
      <c r="AJ196" s="807"/>
      <c r="AK196" s="807"/>
      <c r="AM196" s="808"/>
    </row>
    <row r="197" spans="6:39" s="806" customFormat="1" x14ac:dyDescent="0.3">
      <c r="F197" s="807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807"/>
      <c r="V197" s="807"/>
      <c r="W197" s="807"/>
      <c r="X197" s="807"/>
      <c r="Y197" s="807"/>
      <c r="Z197" s="807"/>
      <c r="AA197" s="807"/>
      <c r="AB197" s="807"/>
      <c r="AC197" s="807"/>
      <c r="AD197" s="807"/>
      <c r="AE197" s="807"/>
      <c r="AF197" s="807"/>
      <c r="AG197" s="807"/>
      <c r="AH197" s="807"/>
      <c r="AI197" s="807"/>
      <c r="AJ197" s="807"/>
      <c r="AK197" s="807"/>
      <c r="AM197" s="808"/>
    </row>
    <row r="198" spans="6:39" s="806" customFormat="1" x14ac:dyDescent="0.3">
      <c r="F198" s="807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807"/>
      <c r="V198" s="807"/>
      <c r="W198" s="807"/>
      <c r="X198" s="807"/>
      <c r="Y198" s="807"/>
      <c r="Z198" s="807"/>
      <c r="AA198" s="807"/>
      <c r="AB198" s="807"/>
      <c r="AC198" s="807"/>
      <c r="AD198" s="807"/>
      <c r="AE198" s="807"/>
      <c r="AF198" s="807"/>
      <c r="AG198" s="807"/>
      <c r="AH198" s="807"/>
      <c r="AI198" s="807"/>
      <c r="AJ198" s="807"/>
      <c r="AK198" s="807"/>
      <c r="AM198" s="808"/>
    </row>
    <row r="199" spans="6:39" s="806" customFormat="1" x14ac:dyDescent="0.3">
      <c r="F199" s="807"/>
      <c r="G199" s="379"/>
      <c r="H199" s="379"/>
      <c r="I199" s="379"/>
      <c r="J199" s="379"/>
      <c r="K199" s="379"/>
      <c r="L199" s="379"/>
      <c r="M199" s="379"/>
      <c r="N199" s="379"/>
      <c r="O199" s="379"/>
      <c r="P199" s="379"/>
      <c r="Q199" s="379"/>
      <c r="R199" s="379"/>
      <c r="S199" s="379"/>
      <c r="T199" s="379"/>
      <c r="U199" s="807"/>
      <c r="V199" s="807"/>
      <c r="W199" s="807"/>
      <c r="X199" s="807"/>
      <c r="Y199" s="807"/>
      <c r="Z199" s="807"/>
      <c r="AA199" s="807"/>
      <c r="AB199" s="807"/>
      <c r="AC199" s="807"/>
      <c r="AD199" s="807"/>
      <c r="AE199" s="807"/>
      <c r="AF199" s="807"/>
      <c r="AG199" s="807"/>
      <c r="AH199" s="807"/>
      <c r="AI199" s="807"/>
      <c r="AJ199" s="807"/>
      <c r="AK199" s="807"/>
      <c r="AM199" s="808"/>
    </row>
    <row r="200" spans="6:39" s="806" customFormat="1" x14ac:dyDescent="0.3">
      <c r="F200" s="807"/>
      <c r="G200" s="379"/>
      <c r="H200" s="379"/>
      <c r="I200" s="379"/>
      <c r="J200" s="379"/>
      <c r="K200" s="379"/>
      <c r="L200" s="379"/>
      <c r="M200" s="379"/>
      <c r="N200" s="379"/>
      <c r="O200" s="379"/>
      <c r="P200" s="379"/>
      <c r="Q200" s="379"/>
      <c r="R200" s="379"/>
      <c r="S200" s="379"/>
      <c r="T200" s="379"/>
      <c r="U200" s="807"/>
      <c r="V200" s="807"/>
      <c r="W200" s="807"/>
      <c r="X200" s="807"/>
      <c r="Y200" s="807"/>
      <c r="Z200" s="807"/>
      <c r="AA200" s="807"/>
      <c r="AB200" s="807"/>
      <c r="AC200" s="807"/>
      <c r="AD200" s="807"/>
      <c r="AE200" s="807"/>
      <c r="AF200" s="807"/>
      <c r="AG200" s="807"/>
      <c r="AH200" s="807"/>
      <c r="AI200" s="807"/>
      <c r="AJ200" s="807"/>
      <c r="AK200" s="807"/>
      <c r="AM200" s="808"/>
    </row>
    <row r="201" spans="6:39" s="806" customFormat="1" x14ac:dyDescent="0.3">
      <c r="F201" s="807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807"/>
      <c r="V201" s="807"/>
      <c r="W201" s="807"/>
      <c r="X201" s="807"/>
      <c r="Y201" s="807"/>
      <c r="Z201" s="807"/>
      <c r="AA201" s="807"/>
      <c r="AB201" s="807"/>
      <c r="AC201" s="807"/>
      <c r="AD201" s="807"/>
      <c r="AE201" s="807"/>
      <c r="AF201" s="807"/>
      <c r="AG201" s="807"/>
      <c r="AH201" s="807"/>
      <c r="AI201" s="807"/>
      <c r="AJ201" s="807"/>
      <c r="AK201" s="807"/>
      <c r="AM201" s="808"/>
    </row>
    <row r="202" spans="6:39" s="806" customFormat="1" x14ac:dyDescent="0.3">
      <c r="F202" s="807"/>
      <c r="G202" s="379"/>
      <c r="H202" s="379"/>
      <c r="I202" s="379"/>
      <c r="J202" s="379"/>
      <c r="K202" s="379"/>
      <c r="L202" s="379"/>
      <c r="M202" s="379"/>
      <c r="N202" s="379"/>
      <c r="O202" s="379"/>
      <c r="P202" s="379"/>
      <c r="Q202" s="379"/>
      <c r="R202" s="379"/>
      <c r="S202" s="379"/>
      <c r="T202" s="379"/>
      <c r="U202" s="807"/>
      <c r="V202" s="807"/>
      <c r="W202" s="807"/>
      <c r="X202" s="807"/>
      <c r="Y202" s="807"/>
      <c r="Z202" s="807"/>
      <c r="AA202" s="807"/>
      <c r="AB202" s="807"/>
      <c r="AC202" s="807"/>
      <c r="AD202" s="807"/>
      <c r="AE202" s="807"/>
      <c r="AF202" s="807"/>
      <c r="AG202" s="807"/>
      <c r="AH202" s="807"/>
      <c r="AI202" s="807"/>
      <c r="AJ202" s="807"/>
      <c r="AK202" s="807"/>
      <c r="AM202" s="808"/>
    </row>
    <row r="203" spans="6:39" s="806" customFormat="1" x14ac:dyDescent="0.3">
      <c r="F203" s="807"/>
      <c r="G203" s="379"/>
      <c r="H203" s="379"/>
      <c r="I203" s="379"/>
      <c r="J203" s="379"/>
      <c r="K203" s="379"/>
      <c r="L203" s="379"/>
      <c r="M203" s="379"/>
      <c r="N203" s="379"/>
      <c r="O203" s="379"/>
      <c r="P203" s="379"/>
      <c r="Q203" s="379"/>
      <c r="R203" s="379"/>
      <c r="S203" s="379"/>
      <c r="T203" s="379"/>
      <c r="U203" s="807"/>
      <c r="V203" s="807"/>
      <c r="W203" s="807"/>
      <c r="X203" s="807"/>
      <c r="Y203" s="807"/>
      <c r="Z203" s="807"/>
      <c r="AA203" s="807"/>
      <c r="AB203" s="807"/>
      <c r="AC203" s="807"/>
      <c r="AD203" s="807"/>
      <c r="AE203" s="807"/>
      <c r="AF203" s="807"/>
      <c r="AG203" s="807"/>
      <c r="AH203" s="807"/>
      <c r="AI203" s="807"/>
      <c r="AJ203" s="807"/>
      <c r="AK203" s="807"/>
      <c r="AM203" s="808"/>
    </row>
    <row r="204" spans="6:39" s="806" customFormat="1" x14ac:dyDescent="0.3">
      <c r="F204" s="807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807"/>
      <c r="V204" s="807"/>
      <c r="W204" s="807"/>
      <c r="X204" s="807"/>
      <c r="Y204" s="807"/>
      <c r="Z204" s="807"/>
      <c r="AA204" s="807"/>
      <c r="AB204" s="807"/>
      <c r="AC204" s="807"/>
      <c r="AD204" s="807"/>
      <c r="AE204" s="807"/>
      <c r="AF204" s="807"/>
      <c r="AG204" s="807"/>
      <c r="AH204" s="807"/>
      <c r="AI204" s="807"/>
      <c r="AJ204" s="807"/>
      <c r="AK204" s="807"/>
      <c r="AM204" s="808"/>
    </row>
    <row r="205" spans="6:39" s="806" customFormat="1" x14ac:dyDescent="0.3">
      <c r="F205" s="807"/>
      <c r="G205" s="379"/>
      <c r="H205" s="379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79"/>
      <c r="T205" s="379"/>
      <c r="U205" s="807"/>
      <c r="V205" s="807"/>
      <c r="W205" s="807"/>
      <c r="X205" s="807"/>
      <c r="Y205" s="807"/>
      <c r="Z205" s="807"/>
      <c r="AA205" s="807"/>
      <c r="AB205" s="807"/>
      <c r="AC205" s="807"/>
      <c r="AD205" s="807"/>
      <c r="AE205" s="807"/>
      <c r="AF205" s="807"/>
      <c r="AG205" s="807"/>
      <c r="AH205" s="807"/>
      <c r="AI205" s="807"/>
      <c r="AJ205" s="807"/>
      <c r="AK205" s="807"/>
      <c r="AM205" s="808"/>
    </row>
    <row r="206" spans="6:39" s="806" customFormat="1" x14ac:dyDescent="0.3">
      <c r="F206" s="807"/>
      <c r="G206" s="379"/>
      <c r="H206" s="379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79"/>
      <c r="T206" s="379"/>
      <c r="U206" s="807"/>
      <c r="V206" s="807"/>
      <c r="W206" s="807"/>
      <c r="X206" s="807"/>
      <c r="Y206" s="807"/>
      <c r="Z206" s="807"/>
      <c r="AA206" s="807"/>
      <c r="AB206" s="807"/>
      <c r="AC206" s="807"/>
      <c r="AD206" s="807"/>
      <c r="AE206" s="807"/>
      <c r="AF206" s="807"/>
      <c r="AG206" s="807"/>
      <c r="AH206" s="807"/>
      <c r="AI206" s="807"/>
      <c r="AJ206" s="807"/>
      <c r="AK206" s="807"/>
      <c r="AM206" s="808"/>
    </row>
    <row r="207" spans="6:39" s="806" customFormat="1" x14ac:dyDescent="0.3">
      <c r="F207" s="807"/>
      <c r="G207" s="379"/>
      <c r="H207" s="379"/>
      <c r="I207" s="379"/>
      <c r="J207" s="379"/>
      <c r="K207" s="379"/>
      <c r="L207" s="379"/>
      <c r="M207" s="379"/>
      <c r="N207" s="379"/>
      <c r="O207" s="379"/>
      <c r="P207" s="379"/>
      <c r="Q207" s="379"/>
      <c r="R207" s="379"/>
      <c r="S207" s="379"/>
      <c r="T207" s="379"/>
      <c r="U207" s="807"/>
      <c r="V207" s="807"/>
      <c r="W207" s="807"/>
      <c r="X207" s="807"/>
      <c r="Y207" s="807"/>
      <c r="Z207" s="807"/>
      <c r="AA207" s="807"/>
      <c r="AB207" s="807"/>
      <c r="AC207" s="807"/>
      <c r="AD207" s="807"/>
      <c r="AE207" s="807"/>
      <c r="AF207" s="807"/>
      <c r="AG207" s="807"/>
      <c r="AH207" s="807"/>
      <c r="AI207" s="807"/>
      <c r="AJ207" s="807"/>
      <c r="AK207" s="807"/>
      <c r="AM207" s="808"/>
    </row>
    <row r="208" spans="6:39" s="806" customFormat="1" x14ac:dyDescent="0.3">
      <c r="F208" s="807"/>
      <c r="G208" s="379"/>
      <c r="H208" s="379"/>
      <c r="I208" s="379"/>
      <c r="J208" s="379"/>
      <c r="K208" s="379"/>
      <c r="L208" s="379"/>
      <c r="M208" s="379"/>
      <c r="N208" s="379"/>
      <c r="O208" s="379"/>
      <c r="P208" s="379"/>
      <c r="Q208" s="379"/>
      <c r="R208" s="379"/>
      <c r="S208" s="379"/>
      <c r="T208" s="379"/>
      <c r="U208" s="807"/>
      <c r="V208" s="807"/>
      <c r="W208" s="807"/>
      <c r="X208" s="807"/>
      <c r="Y208" s="807"/>
      <c r="Z208" s="807"/>
      <c r="AA208" s="807"/>
      <c r="AB208" s="807"/>
      <c r="AC208" s="807"/>
      <c r="AD208" s="807"/>
      <c r="AE208" s="807"/>
      <c r="AF208" s="807"/>
      <c r="AG208" s="807"/>
      <c r="AH208" s="807"/>
      <c r="AI208" s="807"/>
      <c r="AJ208" s="807"/>
      <c r="AK208" s="807"/>
      <c r="AM208" s="808"/>
    </row>
    <row r="209" spans="6:39" s="806" customFormat="1" x14ac:dyDescent="0.3">
      <c r="F209" s="807"/>
      <c r="G209" s="379"/>
      <c r="H209" s="379"/>
      <c r="I209" s="379"/>
      <c r="J209" s="379"/>
      <c r="K209" s="379"/>
      <c r="L209" s="379"/>
      <c r="M209" s="379"/>
      <c r="N209" s="379"/>
      <c r="O209" s="379"/>
      <c r="P209" s="379"/>
      <c r="Q209" s="379"/>
      <c r="R209" s="379"/>
      <c r="S209" s="379"/>
      <c r="T209" s="379"/>
      <c r="U209" s="807"/>
      <c r="V209" s="807"/>
      <c r="W209" s="807"/>
      <c r="X209" s="807"/>
      <c r="Y209" s="807"/>
      <c r="Z209" s="807"/>
      <c r="AA209" s="807"/>
      <c r="AB209" s="807"/>
      <c r="AC209" s="807"/>
      <c r="AD209" s="807"/>
      <c r="AE209" s="807"/>
      <c r="AF209" s="807"/>
      <c r="AG209" s="807"/>
      <c r="AH209" s="807"/>
      <c r="AI209" s="807"/>
      <c r="AJ209" s="807"/>
      <c r="AK209" s="807"/>
      <c r="AM209" s="808"/>
    </row>
    <row r="210" spans="6:39" s="806" customFormat="1" x14ac:dyDescent="0.3">
      <c r="F210" s="807"/>
      <c r="G210" s="379"/>
      <c r="H210" s="379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79"/>
      <c r="T210" s="379"/>
      <c r="U210" s="807"/>
      <c r="V210" s="807"/>
      <c r="W210" s="807"/>
      <c r="X210" s="807"/>
      <c r="Y210" s="807"/>
      <c r="Z210" s="807"/>
      <c r="AA210" s="807"/>
      <c r="AB210" s="807"/>
      <c r="AC210" s="807"/>
      <c r="AD210" s="807"/>
      <c r="AE210" s="807"/>
      <c r="AF210" s="807"/>
      <c r="AG210" s="807"/>
      <c r="AH210" s="807"/>
      <c r="AI210" s="807"/>
      <c r="AJ210" s="807"/>
      <c r="AK210" s="807"/>
      <c r="AM210" s="808"/>
    </row>
    <row r="211" spans="6:39" s="806" customFormat="1" x14ac:dyDescent="0.3">
      <c r="F211" s="807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807"/>
      <c r="V211" s="807"/>
      <c r="W211" s="807"/>
      <c r="X211" s="807"/>
      <c r="Y211" s="807"/>
      <c r="Z211" s="807"/>
      <c r="AA211" s="807"/>
      <c r="AB211" s="807"/>
      <c r="AC211" s="807"/>
      <c r="AD211" s="807"/>
      <c r="AE211" s="807"/>
      <c r="AF211" s="807"/>
      <c r="AG211" s="807"/>
      <c r="AH211" s="807"/>
      <c r="AI211" s="807"/>
      <c r="AJ211" s="807"/>
      <c r="AK211" s="807"/>
      <c r="AM211" s="808"/>
    </row>
    <row r="212" spans="6:39" s="806" customFormat="1" x14ac:dyDescent="0.3">
      <c r="F212" s="807"/>
      <c r="G212" s="379"/>
      <c r="H212" s="379"/>
      <c r="I212" s="379"/>
      <c r="J212" s="379"/>
      <c r="K212" s="379"/>
      <c r="L212" s="379"/>
      <c r="M212" s="379"/>
      <c r="N212" s="379"/>
      <c r="O212" s="379"/>
      <c r="P212" s="379"/>
      <c r="Q212" s="379"/>
      <c r="R212" s="379"/>
      <c r="S212" s="379"/>
      <c r="T212" s="379"/>
      <c r="U212" s="807"/>
      <c r="V212" s="807"/>
      <c r="W212" s="807"/>
      <c r="X212" s="807"/>
      <c r="Y212" s="807"/>
      <c r="Z212" s="807"/>
      <c r="AA212" s="807"/>
      <c r="AB212" s="807"/>
      <c r="AC212" s="807"/>
      <c r="AD212" s="807"/>
      <c r="AE212" s="807"/>
      <c r="AF212" s="807"/>
      <c r="AG212" s="807"/>
      <c r="AH212" s="807"/>
      <c r="AI212" s="807"/>
      <c r="AJ212" s="807"/>
      <c r="AK212" s="807"/>
      <c r="AM212" s="808"/>
    </row>
    <row r="213" spans="6:39" s="806" customFormat="1" x14ac:dyDescent="0.3">
      <c r="F213" s="807"/>
      <c r="G213" s="379"/>
      <c r="H213" s="379"/>
      <c r="I213" s="379"/>
      <c r="J213" s="379"/>
      <c r="K213" s="379"/>
      <c r="L213" s="379"/>
      <c r="M213" s="379"/>
      <c r="N213" s="379"/>
      <c r="O213" s="379"/>
      <c r="P213" s="379"/>
      <c r="Q213" s="379"/>
      <c r="R213" s="379"/>
      <c r="S213" s="379"/>
      <c r="T213" s="379"/>
      <c r="U213" s="807"/>
      <c r="V213" s="807"/>
      <c r="W213" s="807"/>
      <c r="X213" s="807"/>
      <c r="Y213" s="807"/>
      <c r="Z213" s="807"/>
      <c r="AA213" s="807"/>
      <c r="AB213" s="807"/>
      <c r="AC213" s="807"/>
      <c r="AD213" s="807"/>
      <c r="AE213" s="807"/>
      <c r="AF213" s="807"/>
      <c r="AG213" s="807"/>
      <c r="AH213" s="807"/>
      <c r="AI213" s="807"/>
      <c r="AJ213" s="807"/>
      <c r="AK213" s="807"/>
      <c r="AM213" s="808"/>
    </row>
    <row r="214" spans="6:39" s="806" customFormat="1" x14ac:dyDescent="0.3">
      <c r="F214" s="807"/>
      <c r="G214" s="379"/>
      <c r="H214" s="379"/>
      <c r="I214" s="379"/>
      <c r="J214" s="379"/>
      <c r="K214" s="379"/>
      <c r="L214" s="379"/>
      <c r="M214" s="379"/>
      <c r="N214" s="379"/>
      <c r="O214" s="379"/>
      <c r="P214" s="379"/>
      <c r="Q214" s="379"/>
      <c r="R214" s="379"/>
      <c r="S214" s="379"/>
      <c r="T214" s="379"/>
      <c r="U214" s="807"/>
      <c r="V214" s="807"/>
      <c r="W214" s="807"/>
      <c r="X214" s="807"/>
      <c r="Y214" s="807"/>
      <c r="Z214" s="807"/>
      <c r="AA214" s="807"/>
      <c r="AB214" s="807"/>
      <c r="AC214" s="807"/>
      <c r="AD214" s="807"/>
      <c r="AE214" s="807"/>
      <c r="AF214" s="807"/>
      <c r="AG214" s="807"/>
      <c r="AH214" s="807"/>
      <c r="AI214" s="807"/>
      <c r="AJ214" s="807"/>
      <c r="AK214" s="807"/>
      <c r="AM214" s="808"/>
    </row>
    <row r="215" spans="6:39" s="806" customFormat="1" x14ac:dyDescent="0.3">
      <c r="F215" s="807"/>
      <c r="G215" s="379"/>
      <c r="H215" s="379"/>
      <c r="I215" s="807"/>
      <c r="J215" s="807"/>
      <c r="K215" s="807"/>
      <c r="L215" s="807"/>
      <c r="M215" s="807"/>
      <c r="N215" s="807"/>
      <c r="O215" s="807"/>
      <c r="P215" s="807"/>
      <c r="Q215" s="807"/>
      <c r="R215" s="807"/>
      <c r="S215" s="807"/>
      <c r="T215" s="807"/>
      <c r="U215" s="807"/>
      <c r="V215" s="807"/>
      <c r="W215" s="807"/>
      <c r="X215" s="807"/>
      <c r="Y215" s="807"/>
      <c r="Z215" s="807"/>
      <c r="AA215" s="807"/>
      <c r="AB215" s="807"/>
      <c r="AC215" s="807"/>
      <c r="AD215" s="807"/>
      <c r="AE215" s="807"/>
      <c r="AF215" s="807"/>
      <c r="AG215" s="807"/>
      <c r="AH215" s="807"/>
      <c r="AI215" s="807"/>
      <c r="AJ215" s="807"/>
      <c r="AK215" s="807"/>
    </row>
    <row r="216" spans="6:39" s="806" customFormat="1" x14ac:dyDescent="0.3">
      <c r="F216" s="807"/>
      <c r="G216" s="379"/>
      <c r="H216" s="807"/>
      <c r="I216" s="807"/>
      <c r="J216" s="807"/>
      <c r="K216" s="807"/>
      <c r="L216" s="807"/>
      <c r="M216" s="807"/>
      <c r="N216" s="807"/>
      <c r="O216" s="807"/>
      <c r="P216" s="807"/>
      <c r="Q216" s="807"/>
      <c r="R216" s="807"/>
      <c r="S216" s="807"/>
      <c r="T216" s="807"/>
      <c r="U216" s="807"/>
      <c r="V216" s="807"/>
      <c r="W216" s="807"/>
      <c r="X216" s="807"/>
      <c r="Y216" s="807"/>
      <c r="Z216" s="807"/>
      <c r="AA216" s="807"/>
      <c r="AB216" s="807"/>
      <c r="AC216" s="807"/>
      <c r="AD216" s="807"/>
      <c r="AE216" s="807"/>
      <c r="AF216" s="807"/>
      <c r="AG216" s="807"/>
      <c r="AH216" s="807"/>
      <c r="AI216" s="807"/>
      <c r="AJ216" s="807"/>
      <c r="AK216" s="807"/>
    </row>
    <row r="217" spans="6:39" s="806" customFormat="1" x14ac:dyDescent="0.3">
      <c r="F217" s="807"/>
      <c r="G217" s="379"/>
      <c r="H217" s="807"/>
      <c r="I217" s="807"/>
      <c r="J217" s="807"/>
      <c r="K217" s="807"/>
      <c r="L217" s="807"/>
      <c r="M217" s="807"/>
      <c r="N217" s="807"/>
      <c r="O217" s="807"/>
      <c r="P217" s="807"/>
      <c r="Q217" s="807"/>
      <c r="R217" s="807"/>
      <c r="S217" s="807"/>
      <c r="T217" s="807"/>
      <c r="U217" s="807"/>
      <c r="V217" s="807"/>
      <c r="W217" s="807"/>
      <c r="X217" s="807"/>
      <c r="Y217" s="807"/>
      <c r="Z217" s="807"/>
      <c r="AA217" s="807"/>
      <c r="AB217" s="807"/>
      <c r="AC217" s="807"/>
      <c r="AD217" s="807"/>
      <c r="AE217" s="807"/>
      <c r="AF217" s="807"/>
      <c r="AG217" s="807"/>
      <c r="AH217" s="807"/>
      <c r="AI217" s="807"/>
      <c r="AJ217" s="807"/>
      <c r="AK217" s="807"/>
    </row>
    <row r="218" spans="6:39" s="806" customFormat="1" x14ac:dyDescent="0.3">
      <c r="F218" s="807"/>
      <c r="G218" s="379"/>
      <c r="H218" s="807"/>
      <c r="I218" s="807"/>
      <c r="J218" s="807"/>
      <c r="K218" s="807"/>
      <c r="L218" s="807"/>
      <c r="M218" s="807"/>
      <c r="N218" s="807"/>
      <c r="O218" s="807"/>
      <c r="P218" s="807"/>
      <c r="Q218" s="807"/>
      <c r="R218" s="807"/>
      <c r="S218" s="807"/>
      <c r="T218" s="807"/>
      <c r="U218" s="807"/>
      <c r="V218" s="807"/>
      <c r="W218" s="807"/>
      <c r="X218" s="807"/>
      <c r="Y218" s="807"/>
      <c r="Z218" s="807"/>
      <c r="AA218" s="807"/>
      <c r="AB218" s="807"/>
      <c r="AC218" s="807"/>
      <c r="AD218" s="807"/>
      <c r="AE218" s="807"/>
      <c r="AF218" s="807"/>
      <c r="AG218" s="807"/>
      <c r="AH218" s="807"/>
      <c r="AI218" s="807"/>
      <c r="AJ218" s="807"/>
      <c r="AK218" s="807"/>
    </row>
    <row r="219" spans="6:39" s="806" customFormat="1" x14ac:dyDescent="0.3">
      <c r="F219" s="807"/>
      <c r="G219" s="379"/>
      <c r="H219" s="807"/>
      <c r="I219" s="807"/>
      <c r="J219" s="807"/>
      <c r="K219" s="807"/>
      <c r="L219" s="807"/>
      <c r="M219" s="807"/>
      <c r="N219" s="807"/>
      <c r="O219" s="807"/>
      <c r="P219" s="807"/>
      <c r="Q219" s="807"/>
      <c r="R219" s="807"/>
      <c r="S219" s="807"/>
      <c r="T219" s="807"/>
      <c r="U219" s="807"/>
      <c r="V219" s="807"/>
      <c r="W219" s="807"/>
      <c r="X219" s="807"/>
      <c r="Y219" s="807"/>
      <c r="Z219" s="807"/>
      <c r="AA219" s="807"/>
      <c r="AB219" s="807"/>
      <c r="AC219" s="807"/>
      <c r="AD219" s="807"/>
      <c r="AE219" s="807"/>
      <c r="AF219" s="807"/>
      <c r="AG219" s="807"/>
      <c r="AH219" s="807"/>
      <c r="AI219" s="807"/>
      <c r="AJ219" s="807"/>
      <c r="AK219" s="807"/>
    </row>
    <row r="220" spans="6:39" s="806" customFormat="1" x14ac:dyDescent="0.3">
      <c r="F220" s="807"/>
      <c r="G220" s="379"/>
      <c r="H220" s="807"/>
      <c r="I220" s="807"/>
      <c r="J220" s="807"/>
      <c r="K220" s="807"/>
      <c r="L220" s="807"/>
      <c r="M220" s="807"/>
      <c r="N220" s="807"/>
      <c r="O220" s="807"/>
      <c r="P220" s="807"/>
      <c r="Q220" s="807"/>
      <c r="R220" s="807"/>
      <c r="S220" s="807"/>
      <c r="T220" s="807"/>
      <c r="U220" s="807"/>
      <c r="V220" s="807"/>
      <c r="W220" s="807"/>
      <c r="X220" s="807"/>
      <c r="Y220" s="807"/>
      <c r="Z220" s="807"/>
      <c r="AA220" s="807"/>
      <c r="AB220" s="807"/>
      <c r="AC220" s="807"/>
      <c r="AD220" s="807"/>
      <c r="AE220" s="807"/>
      <c r="AF220" s="807"/>
      <c r="AG220" s="807"/>
      <c r="AH220" s="807"/>
      <c r="AI220" s="807"/>
      <c r="AJ220" s="807"/>
      <c r="AK220" s="807"/>
    </row>
    <row r="221" spans="6:39" s="806" customFormat="1" x14ac:dyDescent="0.3">
      <c r="F221" s="807"/>
      <c r="G221" s="379"/>
      <c r="H221" s="807"/>
      <c r="I221" s="807"/>
      <c r="J221" s="807"/>
      <c r="K221" s="807"/>
      <c r="L221" s="807"/>
      <c r="M221" s="807"/>
      <c r="N221" s="807"/>
      <c r="O221" s="807"/>
      <c r="P221" s="807"/>
      <c r="Q221" s="807"/>
      <c r="R221" s="807"/>
      <c r="S221" s="807"/>
      <c r="T221" s="807"/>
      <c r="U221" s="807"/>
      <c r="V221" s="807"/>
      <c r="W221" s="807"/>
      <c r="X221" s="807"/>
      <c r="Y221" s="807"/>
      <c r="Z221" s="807"/>
      <c r="AA221" s="807"/>
      <c r="AB221" s="807"/>
      <c r="AC221" s="807"/>
      <c r="AD221" s="807"/>
      <c r="AE221" s="807"/>
      <c r="AF221" s="807"/>
      <c r="AG221" s="807"/>
      <c r="AH221" s="807"/>
      <c r="AI221" s="807"/>
      <c r="AJ221" s="807"/>
      <c r="AK221" s="807"/>
    </row>
    <row r="222" spans="6:39" s="806" customFormat="1" x14ac:dyDescent="0.3">
      <c r="F222" s="807"/>
      <c r="G222" s="379"/>
      <c r="H222" s="807"/>
      <c r="I222" s="807"/>
      <c r="J222" s="807"/>
      <c r="K222" s="807"/>
      <c r="L222" s="807"/>
      <c r="M222" s="807"/>
      <c r="N222" s="807"/>
      <c r="O222" s="807"/>
      <c r="P222" s="807"/>
      <c r="Q222" s="807"/>
      <c r="R222" s="807"/>
      <c r="S222" s="807"/>
      <c r="T222" s="807"/>
      <c r="U222" s="807"/>
      <c r="V222" s="807"/>
      <c r="W222" s="807"/>
      <c r="X222" s="807"/>
      <c r="Y222" s="807"/>
      <c r="Z222" s="807"/>
      <c r="AA222" s="807"/>
      <c r="AB222" s="807"/>
      <c r="AC222" s="807"/>
      <c r="AD222" s="807"/>
      <c r="AE222" s="807"/>
      <c r="AF222" s="807"/>
      <c r="AG222" s="807"/>
      <c r="AH222" s="807"/>
      <c r="AI222" s="807"/>
      <c r="AJ222" s="807"/>
      <c r="AK222" s="807"/>
    </row>
    <row r="223" spans="6:39" s="806" customFormat="1" x14ac:dyDescent="0.3">
      <c r="F223" s="807"/>
      <c r="G223" s="379"/>
      <c r="H223" s="807"/>
      <c r="I223" s="807"/>
      <c r="J223" s="807"/>
      <c r="K223" s="807"/>
      <c r="L223" s="807"/>
      <c r="M223" s="807"/>
      <c r="N223" s="807"/>
      <c r="O223" s="807"/>
      <c r="P223" s="807"/>
      <c r="Q223" s="807"/>
      <c r="R223" s="807"/>
      <c r="S223" s="807"/>
      <c r="T223" s="807"/>
      <c r="U223" s="807"/>
      <c r="V223" s="807"/>
      <c r="W223" s="807"/>
      <c r="X223" s="807"/>
      <c r="Y223" s="807"/>
      <c r="Z223" s="807"/>
      <c r="AA223" s="807"/>
      <c r="AB223" s="807"/>
      <c r="AC223" s="807"/>
      <c r="AD223" s="807"/>
      <c r="AE223" s="807"/>
      <c r="AF223" s="807"/>
      <c r="AG223" s="807"/>
      <c r="AH223" s="807"/>
      <c r="AI223" s="807"/>
      <c r="AJ223" s="807"/>
      <c r="AK223" s="807"/>
    </row>
    <row r="224" spans="6:39" s="806" customFormat="1" x14ac:dyDescent="0.3">
      <c r="F224" s="807"/>
      <c r="G224" s="379"/>
      <c r="H224" s="807"/>
      <c r="I224" s="807"/>
      <c r="J224" s="807"/>
      <c r="K224" s="807"/>
      <c r="L224" s="807"/>
      <c r="M224" s="807"/>
      <c r="N224" s="807"/>
      <c r="O224" s="807"/>
      <c r="P224" s="807"/>
      <c r="Q224" s="807"/>
      <c r="R224" s="807"/>
      <c r="S224" s="807"/>
      <c r="T224" s="807"/>
      <c r="U224" s="807"/>
      <c r="V224" s="807"/>
      <c r="W224" s="807"/>
      <c r="X224" s="807"/>
      <c r="Y224" s="807"/>
      <c r="Z224" s="807"/>
      <c r="AA224" s="807"/>
      <c r="AB224" s="807"/>
      <c r="AC224" s="807"/>
      <c r="AD224" s="807"/>
      <c r="AE224" s="807"/>
      <c r="AF224" s="807"/>
      <c r="AG224" s="807"/>
      <c r="AH224" s="807"/>
      <c r="AI224" s="807"/>
      <c r="AJ224" s="807"/>
      <c r="AK224" s="807"/>
    </row>
    <row r="225" spans="6:37" s="806" customFormat="1" x14ac:dyDescent="0.3">
      <c r="F225" s="807"/>
      <c r="G225" s="379"/>
      <c r="H225" s="807"/>
      <c r="I225" s="807"/>
      <c r="J225" s="807"/>
      <c r="K225" s="807"/>
      <c r="L225" s="807"/>
      <c r="M225" s="807"/>
      <c r="N225" s="807"/>
      <c r="O225" s="807"/>
      <c r="P225" s="807"/>
      <c r="Q225" s="807"/>
      <c r="R225" s="807"/>
      <c r="S225" s="807"/>
      <c r="T225" s="807"/>
      <c r="U225" s="807"/>
      <c r="V225" s="807"/>
      <c r="W225" s="807"/>
      <c r="X225" s="807"/>
      <c r="Y225" s="807"/>
      <c r="Z225" s="807"/>
      <c r="AA225" s="807"/>
      <c r="AB225" s="807"/>
      <c r="AC225" s="807"/>
      <c r="AD225" s="807"/>
      <c r="AE225" s="807"/>
      <c r="AF225" s="807"/>
      <c r="AG225" s="807"/>
      <c r="AH225" s="807"/>
      <c r="AI225" s="807"/>
      <c r="AJ225" s="807"/>
      <c r="AK225" s="807"/>
    </row>
    <row r="226" spans="6:37" s="806" customFormat="1" x14ac:dyDescent="0.3">
      <c r="F226" s="807"/>
      <c r="G226" s="379"/>
      <c r="H226" s="807"/>
      <c r="I226" s="807"/>
      <c r="J226" s="807"/>
      <c r="K226" s="807"/>
      <c r="L226" s="807"/>
      <c r="M226" s="807"/>
      <c r="N226" s="807"/>
      <c r="O226" s="807"/>
      <c r="P226" s="807"/>
      <c r="Q226" s="807"/>
      <c r="R226" s="807"/>
      <c r="S226" s="807"/>
      <c r="T226" s="807"/>
      <c r="U226" s="807"/>
      <c r="V226" s="807"/>
      <c r="W226" s="807"/>
      <c r="X226" s="807"/>
      <c r="Y226" s="807"/>
      <c r="Z226" s="807"/>
      <c r="AA226" s="807"/>
      <c r="AB226" s="807"/>
      <c r="AC226" s="807"/>
      <c r="AD226" s="807"/>
      <c r="AE226" s="807"/>
      <c r="AF226" s="807"/>
      <c r="AG226" s="807"/>
      <c r="AH226" s="807"/>
      <c r="AI226" s="807"/>
      <c r="AJ226" s="807"/>
      <c r="AK226" s="807"/>
    </row>
    <row r="227" spans="6:37" s="806" customFormat="1" x14ac:dyDescent="0.3">
      <c r="F227" s="807"/>
      <c r="G227" s="379"/>
      <c r="H227" s="807"/>
      <c r="I227" s="807"/>
      <c r="J227" s="807"/>
      <c r="K227" s="807"/>
      <c r="L227" s="807"/>
      <c r="M227" s="807"/>
      <c r="N227" s="807"/>
      <c r="O227" s="807"/>
      <c r="P227" s="807"/>
      <c r="Q227" s="807"/>
      <c r="R227" s="807"/>
      <c r="S227" s="807"/>
      <c r="T227" s="807"/>
      <c r="U227" s="807"/>
      <c r="V227" s="807"/>
      <c r="W227" s="807"/>
      <c r="X227" s="807"/>
      <c r="Y227" s="807"/>
      <c r="Z227" s="807"/>
      <c r="AA227" s="807"/>
      <c r="AB227" s="807"/>
      <c r="AC227" s="807"/>
      <c r="AD227" s="807"/>
      <c r="AE227" s="807"/>
      <c r="AF227" s="807"/>
      <c r="AG227" s="807"/>
      <c r="AH227" s="807"/>
      <c r="AI227" s="807"/>
      <c r="AJ227" s="807"/>
      <c r="AK227" s="807"/>
    </row>
    <row r="228" spans="6:37" s="806" customFormat="1" x14ac:dyDescent="0.3">
      <c r="F228" s="807"/>
      <c r="G228" s="379"/>
      <c r="H228" s="807"/>
      <c r="I228" s="807"/>
      <c r="J228" s="807"/>
      <c r="K228" s="807"/>
      <c r="L228" s="807"/>
      <c r="M228" s="807"/>
      <c r="N228" s="807"/>
      <c r="O228" s="807"/>
      <c r="P228" s="807"/>
      <c r="Q228" s="807"/>
      <c r="R228" s="807"/>
      <c r="S228" s="807"/>
      <c r="T228" s="807"/>
      <c r="U228" s="807"/>
      <c r="V228" s="807"/>
      <c r="W228" s="807"/>
      <c r="X228" s="807"/>
      <c r="Y228" s="807"/>
      <c r="Z228" s="807"/>
      <c r="AA228" s="807"/>
      <c r="AB228" s="807"/>
      <c r="AC228" s="807"/>
      <c r="AD228" s="807"/>
      <c r="AE228" s="807"/>
      <c r="AF228" s="807"/>
      <c r="AG228" s="807"/>
      <c r="AH228" s="807"/>
      <c r="AI228" s="807"/>
      <c r="AJ228" s="807"/>
      <c r="AK228" s="807"/>
    </row>
    <row r="229" spans="6:37" s="806" customFormat="1" x14ac:dyDescent="0.3">
      <c r="F229" s="807"/>
      <c r="G229" s="379"/>
      <c r="H229" s="807"/>
      <c r="I229" s="807"/>
      <c r="J229" s="807"/>
      <c r="K229" s="807"/>
      <c r="L229" s="807"/>
      <c r="M229" s="807"/>
      <c r="N229" s="807"/>
      <c r="O229" s="807"/>
      <c r="P229" s="807"/>
      <c r="Q229" s="807"/>
      <c r="R229" s="807"/>
      <c r="S229" s="807"/>
      <c r="T229" s="807"/>
      <c r="U229" s="807"/>
      <c r="V229" s="807"/>
      <c r="W229" s="807"/>
      <c r="X229" s="807"/>
      <c r="Y229" s="807"/>
      <c r="Z229" s="807"/>
      <c r="AA229" s="807"/>
      <c r="AB229" s="807"/>
      <c r="AC229" s="807"/>
      <c r="AD229" s="807"/>
      <c r="AE229" s="807"/>
      <c r="AF229" s="807"/>
      <c r="AG229" s="807"/>
      <c r="AH229" s="807"/>
      <c r="AI229" s="807"/>
      <c r="AJ229" s="807"/>
      <c r="AK229" s="807"/>
    </row>
    <row r="230" spans="6:37" s="806" customFormat="1" x14ac:dyDescent="0.3">
      <c r="F230" s="807"/>
      <c r="G230" s="379"/>
      <c r="H230" s="807"/>
      <c r="I230" s="807"/>
      <c r="J230" s="807"/>
      <c r="K230" s="807"/>
      <c r="L230" s="807"/>
      <c r="M230" s="807"/>
      <c r="N230" s="807"/>
      <c r="O230" s="807"/>
      <c r="P230" s="807"/>
      <c r="Q230" s="807"/>
      <c r="R230" s="807"/>
      <c r="S230" s="807"/>
      <c r="T230" s="807"/>
      <c r="U230" s="807"/>
      <c r="V230" s="807"/>
      <c r="W230" s="807"/>
      <c r="X230" s="807"/>
      <c r="Y230" s="807"/>
      <c r="Z230" s="807"/>
      <c r="AA230" s="807"/>
      <c r="AB230" s="807"/>
      <c r="AC230" s="807"/>
      <c r="AD230" s="807"/>
      <c r="AE230" s="807"/>
      <c r="AF230" s="807"/>
      <c r="AG230" s="807"/>
      <c r="AH230" s="807"/>
      <c r="AI230" s="807"/>
      <c r="AJ230" s="807"/>
      <c r="AK230" s="807"/>
    </row>
    <row r="231" spans="6:37" s="806" customFormat="1" x14ac:dyDescent="0.3">
      <c r="F231" s="807"/>
      <c r="G231" s="379"/>
      <c r="H231" s="807"/>
      <c r="I231" s="807"/>
      <c r="J231" s="807"/>
      <c r="K231" s="807"/>
      <c r="L231" s="807"/>
      <c r="M231" s="807"/>
      <c r="N231" s="807"/>
      <c r="O231" s="807"/>
      <c r="P231" s="807"/>
      <c r="Q231" s="807"/>
      <c r="R231" s="807"/>
      <c r="S231" s="807"/>
      <c r="T231" s="807"/>
      <c r="U231" s="807"/>
      <c r="V231" s="807"/>
      <c r="W231" s="807"/>
      <c r="X231" s="807"/>
      <c r="Y231" s="807"/>
      <c r="Z231" s="807"/>
      <c r="AA231" s="807"/>
      <c r="AB231" s="807"/>
      <c r="AC231" s="807"/>
      <c r="AD231" s="807"/>
      <c r="AE231" s="807"/>
      <c r="AF231" s="807"/>
      <c r="AG231" s="807"/>
      <c r="AH231" s="807"/>
      <c r="AI231" s="807"/>
      <c r="AJ231" s="807"/>
      <c r="AK231" s="807"/>
    </row>
    <row r="232" spans="6:37" s="806" customFormat="1" x14ac:dyDescent="0.3">
      <c r="F232" s="807"/>
      <c r="G232" s="379"/>
      <c r="H232" s="807"/>
      <c r="I232" s="807"/>
      <c r="J232" s="807"/>
      <c r="K232" s="807"/>
      <c r="L232" s="807"/>
      <c r="M232" s="807"/>
      <c r="N232" s="807"/>
      <c r="O232" s="807"/>
      <c r="P232" s="807"/>
      <c r="Q232" s="807"/>
      <c r="R232" s="807"/>
      <c r="S232" s="807"/>
      <c r="T232" s="807"/>
      <c r="U232" s="807"/>
      <c r="V232" s="807"/>
      <c r="W232" s="807"/>
      <c r="X232" s="807"/>
      <c r="Y232" s="807"/>
      <c r="Z232" s="807"/>
      <c r="AA232" s="807"/>
      <c r="AB232" s="807"/>
      <c r="AC232" s="807"/>
      <c r="AD232" s="807"/>
      <c r="AE232" s="807"/>
      <c r="AF232" s="807"/>
      <c r="AG232" s="807"/>
      <c r="AH232" s="807"/>
      <c r="AI232" s="807"/>
      <c r="AJ232" s="807"/>
      <c r="AK232" s="807"/>
    </row>
    <row r="233" spans="6:37" s="806" customFormat="1" x14ac:dyDescent="0.3">
      <c r="F233" s="807"/>
      <c r="G233" s="379"/>
      <c r="H233" s="807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  <c r="AD233" s="807"/>
      <c r="AE233" s="807"/>
      <c r="AF233" s="807"/>
      <c r="AG233" s="807"/>
      <c r="AH233" s="807"/>
      <c r="AI233" s="807"/>
      <c r="AJ233" s="807"/>
      <c r="AK233" s="807"/>
    </row>
    <row r="234" spans="6:37" s="806" customFormat="1" x14ac:dyDescent="0.3">
      <c r="F234" s="807"/>
      <c r="G234" s="807"/>
      <c r="H234" s="807"/>
      <c r="I234" s="807"/>
      <c r="J234" s="807"/>
      <c r="K234" s="807"/>
      <c r="L234" s="807"/>
      <c r="M234" s="807"/>
      <c r="N234" s="807"/>
      <c r="O234" s="807"/>
      <c r="P234" s="807"/>
      <c r="Q234" s="807"/>
      <c r="R234" s="807"/>
      <c r="S234" s="807"/>
      <c r="T234" s="807"/>
      <c r="U234" s="807"/>
      <c r="V234" s="807"/>
      <c r="W234" s="807"/>
      <c r="X234" s="807"/>
      <c r="Y234" s="807"/>
      <c r="Z234" s="807"/>
      <c r="AA234" s="807"/>
      <c r="AB234" s="807"/>
      <c r="AC234" s="807"/>
      <c r="AD234" s="807"/>
      <c r="AE234" s="807"/>
      <c r="AF234" s="807"/>
      <c r="AG234" s="807"/>
      <c r="AH234" s="807"/>
      <c r="AI234" s="807"/>
      <c r="AJ234" s="807"/>
      <c r="AK234" s="807"/>
    </row>
    <row r="235" spans="6:37" s="806" customFormat="1" x14ac:dyDescent="0.3">
      <c r="F235" s="807"/>
      <c r="G235" s="807"/>
      <c r="H235" s="807"/>
      <c r="I235" s="807"/>
      <c r="J235" s="807"/>
      <c r="K235" s="807"/>
      <c r="L235" s="807"/>
      <c r="M235" s="807"/>
      <c r="N235" s="807"/>
      <c r="O235" s="807"/>
      <c r="P235" s="807"/>
      <c r="Q235" s="807"/>
      <c r="R235" s="807"/>
      <c r="S235" s="807"/>
      <c r="T235" s="807"/>
      <c r="U235" s="807"/>
      <c r="V235" s="807"/>
      <c r="W235" s="807"/>
      <c r="X235" s="807"/>
      <c r="Y235" s="807"/>
      <c r="Z235" s="807"/>
      <c r="AA235" s="807"/>
      <c r="AB235" s="807"/>
      <c r="AC235" s="807"/>
      <c r="AD235" s="807"/>
      <c r="AE235" s="807"/>
      <c r="AF235" s="807"/>
      <c r="AG235" s="807"/>
      <c r="AH235" s="807"/>
      <c r="AI235" s="807"/>
      <c r="AJ235" s="807"/>
      <c r="AK235" s="807"/>
    </row>
    <row r="236" spans="6:37" s="806" customFormat="1" x14ac:dyDescent="0.3">
      <c r="F236" s="807"/>
      <c r="G236" s="807"/>
      <c r="H236" s="807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  <c r="AD236" s="807"/>
      <c r="AE236" s="807"/>
      <c r="AF236" s="807"/>
      <c r="AG236" s="807"/>
      <c r="AH236" s="807"/>
      <c r="AI236" s="807"/>
      <c r="AJ236" s="807"/>
      <c r="AK236" s="807"/>
    </row>
    <row r="237" spans="6:37" s="806" customFormat="1" x14ac:dyDescent="0.3">
      <c r="F237" s="807"/>
      <c r="G237" s="807"/>
      <c r="H237" s="807"/>
      <c r="I237" s="807"/>
      <c r="J237" s="807"/>
      <c r="K237" s="807"/>
      <c r="L237" s="807"/>
      <c r="M237" s="807"/>
      <c r="N237" s="807"/>
      <c r="O237" s="807"/>
      <c r="P237" s="807"/>
      <c r="Q237" s="807"/>
      <c r="R237" s="807"/>
      <c r="S237" s="807"/>
      <c r="T237" s="807"/>
      <c r="U237" s="807"/>
      <c r="V237" s="807"/>
      <c r="W237" s="807"/>
      <c r="X237" s="807"/>
      <c r="Y237" s="807"/>
      <c r="Z237" s="807"/>
      <c r="AA237" s="807"/>
      <c r="AB237" s="807"/>
      <c r="AC237" s="807"/>
      <c r="AD237" s="807"/>
      <c r="AE237" s="807"/>
      <c r="AF237" s="807"/>
      <c r="AG237" s="807"/>
      <c r="AH237" s="807"/>
      <c r="AI237" s="807"/>
      <c r="AJ237" s="807"/>
      <c r="AK237" s="807"/>
    </row>
    <row r="238" spans="6:37" s="806" customFormat="1" x14ac:dyDescent="0.3">
      <c r="F238" s="807"/>
      <c r="G238" s="807"/>
      <c r="H238" s="807"/>
      <c r="I238" s="807"/>
      <c r="J238" s="807"/>
      <c r="K238" s="807"/>
      <c r="L238" s="807"/>
      <c r="M238" s="807"/>
      <c r="N238" s="807"/>
      <c r="O238" s="807"/>
      <c r="P238" s="807"/>
      <c r="Q238" s="807"/>
      <c r="R238" s="807"/>
      <c r="S238" s="807"/>
      <c r="T238" s="807"/>
      <c r="U238" s="807"/>
      <c r="V238" s="807"/>
      <c r="W238" s="807"/>
      <c r="X238" s="807"/>
      <c r="Y238" s="807"/>
      <c r="Z238" s="807"/>
      <c r="AA238" s="807"/>
      <c r="AB238" s="807"/>
      <c r="AC238" s="807"/>
      <c r="AD238" s="807"/>
      <c r="AE238" s="807"/>
      <c r="AF238" s="807"/>
      <c r="AG238" s="807"/>
      <c r="AH238" s="807"/>
      <c r="AI238" s="807"/>
      <c r="AJ238" s="807"/>
      <c r="AK238" s="807"/>
    </row>
    <row r="239" spans="6:37" s="806" customFormat="1" x14ac:dyDescent="0.3">
      <c r="F239" s="807"/>
      <c r="G239" s="807"/>
      <c r="H239" s="807"/>
      <c r="I239" s="807"/>
      <c r="J239" s="807"/>
      <c r="K239" s="807"/>
      <c r="L239" s="807"/>
      <c r="M239" s="807"/>
      <c r="N239" s="807"/>
      <c r="O239" s="807"/>
      <c r="P239" s="807"/>
      <c r="Q239" s="807"/>
      <c r="R239" s="807"/>
      <c r="S239" s="807"/>
      <c r="T239" s="807"/>
      <c r="U239" s="807"/>
      <c r="V239" s="807"/>
      <c r="W239" s="807"/>
      <c r="X239" s="807"/>
      <c r="Y239" s="807"/>
      <c r="Z239" s="807"/>
      <c r="AA239" s="807"/>
      <c r="AB239" s="807"/>
      <c r="AC239" s="807"/>
      <c r="AD239" s="807"/>
      <c r="AE239" s="807"/>
      <c r="AF239" s="807"/>
      <c r="AG239" s="807"/>
      <c r="AH239" s="807"/>
      <c r="AI239" s="807"/>
      <c r="AJ239" s="807"/>
      <c r="AK239" s="807"/>
    </row>
    <row r="240" spans="6:37" s="806" customFormat="1" x14ac:dyDescent="0.3">
      <c r="F240" s="807"/>
      <c r="G240" s="807"/>
      <c r="H240" s="807"/>
      <c r="I240" s="807"/>
      <c r="J240" s="807"/>
      <c r="K240" s="807"/>
      <c r="L240" s="807"/>
      <c r="M240" s="807"/>
      <c r="N240" s="807"/>
      <c r="O240" s="807"/>
      <c r="P240" s="807"/>
      <c r="Q240" s="807"/>
      <c r="R240" s="807"/>
      <c r="S240" s="807"/>
      <c r="T240" s="807"/>
      <c r="U240" s="807"/>
      <c r="V240" s="807"/>
      <c r="W240" s="807"/>
      <c r="X240" s="807"/>
      <c r="Y240" s="807"/>
      <c r="Z240" s="807"/>
      <c r="AA240" s="807"/>
      <c r="AB240" s="807"/>
      <c r="AC240" s="807"/>
      <c r="AD240" s="807"/>
      <c r="AE240" s="807"/>
      <c r="AF240" s="807"/>
      <c r="AG240" s="807"/>
      <c r="AH240" s="807"/>
      <c r="AI240" s="807"/>
      <c r="AJ240" s="807"/>
      <c r="AK240" s="807"/>
    </row>
    <row r="241" spans="6:37" s="806" customFormat="1" x14ac:dyDescent="0.3">
      <c r="F241" s="807"/>
      <c r="G241" s="807"/>
      <c r="H241" s="807"/>
      <c r="I241" s="807"/>
      <c r="J241" s="807"/>
      <c r="K241" s="807"/>
      <c r="L241" s="807"/>
      <c r="M241" s="807"/>
      <c r="N241" s="807"/>
      <c r="O241" s="807"/>
      <c r="P241" s="807"/>
      <c r="Q241" s="807"/>
      <c r="R241" s="807"/>
      <c r="S241" s="807"/>
      <c r="T241" s="807"/>
      <c r="U241" s="807"/>
      <c r="V241" s="807"/>
      <c r="W241" s="807"/>
      <c r="X241" s="807"/>
      <c r="Y241" s="807"/>
      <c r="Z241" s="807"/>
      <c r="AA241" s="807"/>
      <c r="AB241" s="807"/>
      <c r="AC241" s="807"/>
      <c r="AD241" s="807"/>
      <c r="AE241" s="807"/>
      <c r="AF241" s="807"/>
      <c r="AG241" s="807"/>
      <c r="AH241" s="807"/>
      <c r="AI241" s="807"/>
      <c r="AJ241" s="807"/>
      <c r="AK241" s="807"/>
    </row>
    <row r="242" spans="6:37" s="806" customFormat="1" x14ac:dyDescent="0.3">
      <c r="F242" s="807"/>
      <c r="G242" s="807"/>
      <c r="H242" s="807"/>
      <c r="I242" s="807"/>
      <c r="J242" s="807"/>
      <c r="K242" s="807"/>
      <c r="L242" s="807"/>
      <c r="M242" s="807"/>
      <c r="N242" s="807"/>
      <c r="O242" s="807"/>
      <c r="P242" s="807"/>
      <c r="Q242" s="807"/>
      <c r="R242" s="807"/>
      <c r="S242" s="807"/>
      <c r="T242" s="807"/>
      <c r="U242" s="807"/>
      <c r="V242" s="807"/>
      <c r="W242" s="807"/>
      <c r="X242" s="807"/>
      <c r="Y242" s="807"/>
      <c r="Z242" s="807"/>
      <c r="AA242" s="807"/>
      <c r="AB242" s="807"/>
      <c r="AC242" s="807"/>
      <c r="AD242" s="807"/>
      <c r="AE242" s="807"/>
      <c r="AF242" s="807"/>
      <c r="AG242" s="807"/>
      <c r="AH242" s="807"/>
      <c r="AI242" s="807"/>
      <c r="AJ242" s="807"/>
      <c r="AK242" s="807"/>
    </row>
    <row r="243" spans="6:37" s="806" customFormat="1" x14ac:dyDescent="0.3">
      <c r="F243" s="807"/>
      <c r="G243" s="807"/>
      <c r="H243" s="807"/>
      <c r="I243" s="807"/>
      <c r="J243" s="807"/>
      <c r="K243" s="807"/>
      <c r="L243" s="807"/>
      <c r="M243" s="807"/>
      <c r="N243" s="807"/>
      <c r="O243" s="807"/>
      <c r="P243" s="807"/>
      <c r="Q243" s="807"/>
      <c r="R243" s="807"/>
      <c r="S243" s="807"/>
      <c r="T243" s="807"/>
      <c r="U243" s="807"/>
      <c r="V243" s="807"/>
      <c r="W243" s="807"/>
      <c r="X243" s="807"/>
      <c r="Y243" s="807"/>
      <c r="Z243" s="807"/>
      <c r="AA243" s="807"/>
      <c r="AB243" s="807"/>
      <c r="AC243" s="807"/>
      <c r="AD243" s="807"/>
      <c r="AE243" s="807"/>
      <c r="AF243" s="807"/>
      <c r="AG243" s="807"/>
      <c r="AH243" s="807"/>
      <c r="AI243" s="807"/>
      <c r="AJ243" s="807"/>
      <c r="AK243" s="807"/>
    </row>
    <row r="244" spans="6:37" s="806" customFormat="1" x14ac:dyDescent="0.3">
      <c r="F244" s="807"/>
      <c r="G244" s="807"/>
      <c r="H244" s="807"/>
      <c r="I244" s="807"/>
      <c r="J244" s="807"/>
      <c r="K244" s="807"/>
      <c r="L244" s="807"/>
      <c r="M244" s="807"/>
      <c r="N244" s="807"/>
      <c r="O244" s="807"/>
      <c r="P244" s="807"/>
      <c r="Q244" s="807"/>
      <c r="R244" s="807"/>
      <c r="S244" s="807"/>
      <c r="T244" s="807"/>
      <c r="U244" s="807"/>
      <c r="V244" s="807"/>
      <c r="W244" s="807"/>
      <c r="X244" s="807"/>
      <c r="Y244" s="807"/>
      <c r="Z244" s="807"/>
      <c r="AA244" s="807"/>
      <c r="AB244" s="807"/>
      <c r="AC244" s="807"/>
      <c r="AD244" s="807"/>
      <c r="AE244" s="807"/>
      <c r="AF244" s="807"/>
      <c r="AG244" s="807"/>
      <c r="AH244" s="807"/>
      <c r="AI244" s="807"/>
      <c r="AJ244" s="807"/>
      <c r="AK244" s="807"/>
    </row>
    <row r="245" spans="6:37" s="806" customFormat="1" x14ac:dyDescent="0.3">
      <c r="F245" s="807"/>
      <c r="G245" s="807"/>
      <c r="H245" s="807"/>
      <c r="I245" s="807"/>
      <c r="J245" s="807"/>
      <c r="K245" s="807"/>
      <c r="L245" s="807"/>
      <c r="M245" s="807"/>
      <c r="N245" s="807"/>
      <c r="O245" s="807"/>
      <c r="P245" s="807"/>
      <c r="Q245" s="807"/>
      <c r="R245" s="807"/>
      <c r="S245" s="807"/>
      <c r="T245" s="807"/>
      <c r="U245" s="807"/>
      <c r="V245" s="807"/>
      <c r="W245" s="807"/>
      <c r="X245" s="807"/>
      <c r="Y245" s="807"/>
      <c r="Z245" s="807"/>
      <c r="AA245" s="807"/>
      <c r="AB245" s="807"/>
      <c r="AC245" s="807"/>
      <c r="AD245" s="807"/>
      <c r="AE245" s="807"/>
      <c r="AF245" s="807"/>
      <c r="AG245" s="807"/>
      <c r="AH245" s="807"/>
      <c r="AI245" s="807"/>
      <c r="AJ245" s="807"/>
      <c r="AK245" s="807"/>
    </row>
    <row r="246" spans="6:37" s="806" customFormat="1" x14ac:dyDescent="0.3">
      <c r="F246" s="807"/>
      <c r="G246" s="807"/>
      <c r="H246" s="807"/>
      <c r="I246" s="807"/>
      <c r="J246" s="807"/>
      <c r="K246" s="807"/>
      <c r="L246" s="807"/>
      <c r="M246" s="807"/>
      <c r="N246" s="807"/>
      <c r="O246" s="807"/>
      <c r="P246" s="807"/>
      <c r="Q246" s="807"/>
      <c r="R246" s="807"/>
      <c r="S246" s="807"/>
      <c r="T246" s="807"/>
      <c r="U246" s="807"/>
      <c r="V246" s="807"/>
      <c r="W246" s="807"/>
      <c r="X246" s="807"/>
      <c r="Y246" s="807"/>
      <c r="Z246" s="807"/>
      <c r="AA246" s="807"/>
      <c r="AB246" s="807"/>
      <c r="AC246" s="807"/>
      <c r="AD246" s="807"/>
      <c r="AE246" s="807"/>
      <c r="AF246" s="807"/>
      <c r="AG246" s="807"/>
      <c r="AH246" s="807"/>
      <c r="AI246" s="807"/>
      <c r="AJ246" s="807"/>
      <c r="AK246" s="807"/>
    </row>
    <row r="247" spans="6:37" s="806" customFormat="1" x14ac:dyDescent="0.3">
      <c r="F247" s="807"/>
      <c r="G247" s="379"/>
      <c r="H247" s="807"/>
      <c r="I247" s="807"/>
      <c r="J247" s="807"/>
      <c r="K247" s="807"/>
      <c r="L247" s="807"/>
      <c r="M247" s="807"/>
      <c r="N247" s="807"/>
      <c r="O247" s="807"/>
      <c r="P247" s="807"/>
      <c r="Q247" s="807"/>
      <c r="R247" s="807"/>
      <c r="S247" s="807"/>
      <c r="T247" s="807"/>
      <c r="U247" s="807"/>
      <c r="V247" s="807"/>
      <c r="W247" s="807"/>
      <c r="X247" s="807"/>
      <c r="Y247" s="807"/>
      <c r="Z247" s="807"/>
      <c r="AA247" s="807"/>
      <c r="AB247" s="807"/>
      <c r="AC247" s="807"/>
      <c r="AD247" s="807"/>
      <c r="AE247" s="807"/>
      <c r="AF247" s="807"/>
      <c r="AG247" s="807"/>
      <c r="AH247" s="807"/>
      <c r="AI247" s="807"/>
      <c r="AJ247" s="807"/>
      <c r="AK247" s="807"/>
    </row>
    <row r="248" spans="6:37" s="806" customFormat="1" x14ac:dyDescent="0.3">
      <c r="F248" s="807"/>
      <c r="G248" s="379"/>
      <c r="H248" s="807"/>
      <c r="I248" s="807"/>
      <c r="J248" s="807"/>
      <c r="K248" s="807"/>
      <c r="L248" s="807"/>
      <c r="M248" s="807"/>
      <c r="N248" s="807"/>
      <c r="O248" s="807"/>
      <c r="P248" s="807"/>
      <c r="Q248" s="807"/>
      <c r="R248" s="807"/>
      <c r="S248" s="807"/>
      <c r="T248" s="807"/>
      <c r="U248" s="807"/>
      <c r="V248" s="807"/>
      <c r="W248" s="807"/>
      <c r="X248" s="807"/>
      <c r="Y248" s="807"/>
      <c r="Z248" s="807"/>
      <c r="AA248" s="807"/>
      <c r="AB248" s="807"/>
      <c r="AC248" s="807"/>
      <c r="AD248" s="807"/>
      <c r="AE248" s="807"/>
      <c r="AF248" s="807"/>
      <c r="AG248" s="807"/>
      <c r="AH248" s="807"/>
      <c r="AI248" s="807"/>
      <c r="AJ248" s="807"/>
      <c r="AK248" s="807"/>
    </row>
    <row r="249" spans="6:37" s="806" customFormat="1" x14ac:dyDescent="0.3">
      <c r="F249" s="807"/>
      <c r="G249" s="379"/>
      <c r="H249" s="807"/>
      <c r="I249" s="807"/>
      <c r="J249" s="807"/>
      <c r="K249" s="807"/>
      <c r="L249" s="807"/>
      <c r="M249" s="807"/>
      <c r="N249" s="807"/>
      <c r="O249" s="807"/>
      <c r="P249" s="807"/>
      <c r="Q249" s="807"/>
      <c r="R249" s="807"/>
      <c r="S249" s="807"/>
      <c r="T249" s="807"/>
      <c r="U249" s="807"/>
      <c r="V249" s="807"/>
      <c r="W249" s="807"/>
      <c r="X249" s="807"/>
      <c r="Y249" s="807"/>
      <c r="Z249" s="807"/>
      <c r="AA249" s="807"/>
      <c r="AB249" s="807"/>
      <c r="AC249" s="807"/>
      <c r="AD249" s="807"/>
      <c r="AE249" s="807"/>
      <c r="AF249" s="807"/>
      <c r="AG249" s="807"/>
      <c r="AH249" s="807"/>
      <c r="AI249" s="807"/>
      <c r="AJ249" s="807"/>
      <c r="AK249" s="807"/>
    </row>
    <row r="250" spans="6:37" s="806" customFormat="1" x14ac:dyDescent="0.3">
      <c r="F250" s="807"/>
      <c r="G250" s="379"/>
      <c r="H250" s="807"/>
      <c r="I250" s="807"/>
      <c r="J250" s="807"/>
      <c r="K250" s="807"/>
      <c r="L250" s="807"/>
      <c r="M250" s="807"/>
      <c r="N250" s="807"/>
      <c r="O250" s="807"/>
      <c r="P250" s="807"/>
      <c r="Q250" s="807"/>
      <c r="R250" s="807"/>
      <c r="S250" s="807"/>
      <c r="T250" s="807"/>
      <c r="U250" s="807"/>
      <c r="V250" s="807"/>
      <c r="W250" s="807"/>
      <c r="X250" s="807"/>
      <c r="Y250" s="807"/>
      <c r="Z250" s="807"/>
      <c r="AA250" s="807"/>
      <c r="AB250" s="807"/>
      <c r="AC250" s="807"/>
      <c r="AD250" s="807"/>
      <c r="AE250" s="807"/>
      <c r="AF250" s="807"/>
      <c r="AG250" s="807"/>
      <c r="AH250" s="807"/>
      <c r="AI250" s="807"/>
      <c r="AJ250" s="807"/>
      <c r="AK250" s="807"/>
    </row>
    <row r="251" spans="6:37" s="806" customFormat="1" x14ac:dyDescent="0.3">
      <c r="F251" s="807"/>
      <c r="G251" s="379"/>
      <c r="H251" s="807"/>
      <c r="I251" s="807"/>
      <c r="J251" s="807"/>
      <c r="K251" s="807"/>
      <c r="L251" s="807"/>
      <c r="M251" s="807"/>
      <c r="N251" s="807"/>
      <c r="O251" s="807"/>
      <c r="P251" s="807"/>
      <c r="Q251" s="807"/>
      <c r="R251" s="807"/>
      <c r="S251" s="807"/>
      <c r="T251" s="807"/>
      <c r="U251" s="807"/>
      <c r="V251" s="807"/>
      <c r="W251" s="807"/>
      <c r="X251" s="807"/>
      <c r="Y251" s="807"/>
      <c r="Z251" s="807"/>
      <c r="AA251" s="807"/>
      <c r="AB251" s="807"/>
      <c r="AC251" s="807"/>
      <c r="AD251" s="807"/>
      <c r="AE251" s="807"/>
      <c r="AF251" s="807"/>
      <c r="AG251" s="807"/>
      <c r="AH251" s="807"/>
      <c r="AI251" s="807"/>
      <c r="AJ251" s="807"/>
      <c r="AK251" s="807"/>
    </row>
    <row r="252" spans="6:37" s="806" customFormat="1" x14ac:dyDescent="0.3">
      <c r="F252" s="807"/>
      <c r="G252" s="379"/>
      <c r="H252" s="807"/>
      <c r="I252" s="807"/>
      <c r="J252" s="807"/>
      <c r="K252" s="807"/>
      <c r="L252" s="807"/>
      <c r="M252" s="807"/>
      <c r="N252" s="807"/>
      <c r="O252" s="807"/>
      <c r="P252" s="807"/>
      <c r="Q252" s="807"/>
      <c r="R252" s="807"/>
      <c r="S252" s="807"/>
      <c r="T252" s="807"/>
      <c r="U252" s="807"/>
      <c r="V252" s="807"/>
      <c r="W252" s="807"/>
      <c r="X252" s="807"/>
      <c r="Y252" s="807"/>
      <c r="Z252" s="807"/>
      <c r="AA252" s="807"/>
      <c r="AB252" s="807"/>
      <c r="AC252" s="807"/>
      <c r="AD252" s="807"/>
      <c r="AE252" s="807"/>
      <c r="AF252" s="807"/>
      <c r="AG252" s="807"/>
      <c r="AH252" s="807"/>
      <c r="AI252" s="807"/>
      <c r="AJ252" s="807"/>
      <c r="AK252" s="807"/>
    </row>
    <row r="253" spans="6:37" s="806" customFormat="1" x14ac:dyDescent="0.3">
      <c r="F253" s="807"/>
      <c r="G253" s="379"/>
      <c r="H253" s="807"/>
      <c r="I253" s="807"/>
      <c r="J253" s="807"/>
      <c r="K253" s="807"/>
      <c r="L253" s="807"/>
      <c r="M253" s="807"/>
      <c r="N253" s="807"/>
      <c r="O253" s="807"/>
      <c r="P253" s="807"/>
      <c r="Q253" s="807"/>
      <c r="R253" s="807"/>
      <c r="S253" s="807"/>
      <c r="T253" s="807"/>
      <c r="U253" s="807"/>
      <c r="V253" s="807"/>
      <c r="W253" s="807"/>
      <c r="X253" s="807"/>
      <c r="Y253" s="807"/>
      <c r="Z253" s="807"/>
      <c r="AA253" s="807"/>
      <c r="AB253" s="807"/>
      <c r="AC253" s="807"/>
      <c r="AD253" s="807"/>
      <c r="AE253" s="807"/>
      <c r="AF253" s="807"/>
      <c r="AG253" s="807"/>
      <c r="AH253" s="807"/>
      <c r="AI253" s="807"/>
      <c r="AJ253" s="807"/>
      <c r="AK253" s="807"/>
    </row>
    <row r="254" spans="6:37" s="806" customFormat="1" x14ac:dyDescent="0.3">
      <c r="F254" s="807"/>
      <c r="G254" s="807"/>
      <c r="H254" s="807"/>
      <c r="I254" s="807"/>
      <c r="J254" s="807"/>
      <c r="K254" s="807"/>
      <c r="L254" s="807"/>
      <c r="M254" s="807"/>
      <c r="N254" s="807"/>
      <c r="O254" s="807"/>
      <c r="P254" s="807"/>
      <c r="Q254" s="807"/>
      <c r="R254" s="807"/>
      <c r="S254" s="807"/>
      <c r="T254" s="807"/>
      <c r="U254" s="807"/>
      <c r="V254" s="807"/>
      <c r="W254" s="807"/>
      <c r="X254" s="807"/>
      <c r="Y254" s="807"/>
      <c r="Z254" s="807"/>
      <c r="AA254" s="807"/>
      <c r="AB254" s="807"/>
      <c r="AC254" s="807"/>
      <c r="AD254" s="807"/>
      <c r="AE254" s="807"/>
      <c r="AF254" s="807"/>
      <c r="AG254" s="807"/>
      <c r="AH254" s="807"/>
      <c r="AI254" s="807"/>
      <c r="AJ254" s="807"/>
      <c r="AK254" s="807"/>
    </row>
    <row r="255" spans="6:37" s="806" customFormat="1" x14ac:dyDescent="0.3">
      <c r="F255" s="807"/>
      <c r="G255" s="807"/>
      <c r="H255" s="807"/>
      <c r="I255" s="807"/>
      <c r="J255" s="807"/>
      <c r="K255" s="807"/>
      <c r="L255" s="807"/>
      <c r="M255" s="807"/>
      <c r="N255" s="807"/>
      <c r="O255" s="807"/>
      <c r="P255" s="807"/>
      <c r="Q255" s="807"/>
      <c r="R255" s="807"/>
      <c r="S255" s="807"/>
      <c r="T255" s="807"/>
      <c r="U255" s="807"/>
      <c r="V255" s="807"/>
      <c r="W255" s="807"/>
      <c r="X255" s="807"/>
      <c r="Y255" s="807"/>
      <c r="Z255" s="807"/>
      <c r="AA255" s="807"/>
      <c r="AB255" s="807"/>
      <c r="AC255" s="807"/>
      <c r="AD255" s="807"/>
      <c r="AE255" s="807"/>
      <c r="AF255" s="807"/>
      <c r="AG255" s="807"/>
      <c r="AH255" s="807"/>
      <c r="AI255" s="807"/>
      <c r="AJ255" s="807"/>
      <c r="AK255" s="807"/>
    </row>
    <row r="256" spans="6:37" s="806" customFormat="1" x14ac:dyDescent="0.3">
      <c r="F256" s="807"/>
      <c r="G256" s="807"/>
      <c r="H256" s="807"/>
      <c r="I256" s="807"/>
      <c r="J256" s="807"/>
      <c r="K256" s="807"/>
      <c r="L256" s="807"/>
      <c r="M256" s="807"/>
      <c r="N256" s="807"/>
      <c r="O256" s="807"/>
      <c r="P256" s="807"/>
      <c r="Q256" s="807"/>
      <c r="R256" s="807"/>
      <c r="S256" s="807"/>
      <c r="T256" s="807"/>
      <c r="U256" s="807"/>
      <c r="V256" s="807"/>
      <c r="W256" s="807"/>
      <c r="X256" s="807"/>
      <c r="Y256" s="807"/>
      <c r="Z256" s="807"/>
      <c r="AA256" s="807"/>
      <c r="AB256" s="807"/>
      <c r="AC256" s="807"/>
      <c r="AD256" s="807"/>
      <c r="AE256" s="807"/>
      <c r="AF256" s="807"/>
      <c r="AG256" s="807"/>
      <c r="AH256" s="807"/>
      <c r="AI256" s="807"/>
      <c r="AJ256" s="807"/>
      <c r="AK256" s="807"/>
    </row>
    <row r="257" spans="6:37" s="806" customFormat="1" x14ac:dyDescent="0.3">
      <c r="F257" s="807"/>
      <c r="G257" s="807"/>
      <c r="H257" s="807"/>
      <c r="I257" s="807"/>
      <c r="J257" s="807"/>
      <c r="K257" s="807"/>
      <c r="L257" s="807"/>
      <c r="M257" s="807"/>
      <c r="N257" s="807"/>
      <c r="O257" s="807"/>
      <c r="P257" s="807"/>
      <c r="Q257" s="807"/>
      <c r="R257" s="807"/>
      <c r="S257" s="807"/>
      <c r="T257" s="807"/>
      <c r="U257" s="807"/>
      <c r="V257" s="807"/>
      <c r="W257" s="807"/>
      <c r="X257" s="807"/>
      <c r="Y257" s="807"/>
      <c r="Z257" s="807"/>
      <c r="AA257" s="807"/>
      <c r="AB257" s="807"/>
      <c r="AC257" s="807"/>
      <c r="AD257" s="807"/>
      <c r="AE257" s="807"/>
      <c r="AF257" s="807"/>
      <c r="AG257" s="807"/>
      <c r="AH257" s="807"/>
      <c r="AI257" s="807"/>
      <c r="AJ257" s="807"/>
      <c r="AK257" s="807"/>
    </row>
    <row r="258" spans="6:37" s="806" customFormat="1" x14ac:dyDescent="0.3">
      <c r="F258" s="807"/>
      <c r="G258" s="807"/>
      <c r="H258" s="807"/>
      <c r="I258" s="807"/>
      <c r="J258" s="807"/>
      <c r="K258" s="807"/>
      <c r="L258" s="807"/>
      <c r="M258" s="807"/>
      <c r="N258" s="807"/>
      <c r="O258" s="807"/>
      <c r="P258" s="807"/>
      <c r="Q258" s="807"/>
      <c r="R258" s="807"/>
      <c r="S258" s="807"/>
      <c r="T258" s="807"/>
      <c r="U258" s="807"/>
      <c r="V258" s="807"/>
      <c r="W258" s="807"/>
      <c r="X258" s="807"/>
      <c r="Y258" s="807"/>
      <c r="Z258" s="807"/>
      <c r="AA258" s="807"/>
      <c r="AB258" s="807"/>
      <c r="AC258" s="807"/>
      <c r="AD258" s="807"/>
      <c r="AE258" s="807"/>
      <c r="AF258" s="807"/>
      <c r="AG258" s="807"/>
      <c r="AH258" s="807"/>
      <c r="AI258" s="807"/>
      <c r="AJ258" s="807"/>
      <c r="AK258" s="807"/>
    </row>
    <row r="259" spans="6:37" s="806" customFormat="1" x14ac:dyDescent="0.3">
      <c r="F259" s="807"/>
      <c r="G259" s="807"/>
      <c r="H259" s="807"/>
      <c r="I259" s="807"/>
      <c r="J259" s="807"/>
      <c r="K259" s="807"/>
      <c r="L259" s="807"/>
      <c r="M259" s="807"/>
      <c r="N259" s="807"/>
      <c r="O259" s="807"/>
      <c r="P259" s="807"/>
      <c r="Q259" s="807"/>
      <c r="R259" s="807"/>
      <c r="S259" s="807"/>
      <c r="T259" s="807"/>
      <c r="U259" s="807"/>
      <c r="V259" s="807"/>
      <c r="W259" s="807"/>
      <c r="X259" s="807"/>
      <c r="Y259" s="807"/>
      <c r="Z259" s="807"/>
      <c r="AA259" s="807"/>
      <c r="AB259" s="807"/>
      <c r="AC259" s="807"/>
      <c r="AD259" s="807"/>
      <c r="AE259" s="807"/>
      <c r="AF259" s="807"/>
      <c r="AG259" s="807"/>
      <c r="AH259" s="807"/>
      <c r="AI259" s="807"/>
      <c r="AJ259" s="807"/>
      <c r="AK259" s="807"/>
    </row>
    <row r="260" spans="6:37" s="806" customFormat="1" x14ac:dyDescent="0.3">
      <c r="F260" s="807"/>
      <c r="G260" s="807"/>
      <c r="H260" s="807"/>
      <c r="I260" s="807"/>
      <c r="J260" s="807"/>
      <c r="K260" s="807"/>
      <c r="L260" s="807"/>
      <c r="M260" s="807"/>
      <c r="N260" s="807"/>
      <c r="O260" s="807"/>
      <c r="P260" s="807"/>
      <c r="Q260" s="807"/>
      <c r="R260" s="807"/>
      <c r="S260" s="807"/>
      <c r="T260" s="807"/>
      <c r="U260" s="807"/>
      <c r="V260" s="807"/>
      <c r="W260" s="807"/>
      <c r="X260" s="807"/>
      <c r="Y260" s="807"/>
      <c r="Z260" s="807"/>
      <c r="AA260" s="807"/>
      <c r="AB260" s="807"/>
      <c r="AC260" s="807"/>
      <c r="AD260" s="807"/>
      <c r="AE260" s="807"/>
      <c r="AF260" s="807"/>
      <c r="AG260" s="807"/>
      <c r="AH260" s="807"/>
      <c r="AI260" s="807"/>
      <c r="AJ260" s="807"/>
      <c r="AK260" s="807"/>
    </row>
    <row r="261" spans="6:37" s="806" customFormat="1" x14ac:dyDescent="0.3">
      <c r="F261" s="807"/>
      <c r="G261" s="807"/>
      <c r="H261" s="807"/>
      <c r="I261" s="807"/>
      <c r="J261" s="807"/>
      <c r="K261" s="807"/>
      <c r="L261" s="807"/>
      <c r="M261" s="807"/>
      <c r="N261" s="807"/>
      <c r="O261" s="807"/>
      <c r="P261" s="807"/>
      <c r="Q261" s="807"/>
      <c r="R261" s="807"/>
      <c r="S261" s="807"/>
      <c r="T261" s="807"/>
      <c r="U261" s="807"/>
      <c r="V261" s="807"/>
      <c r="W261" s="807"/>
      <c r="X261" s="807"/>
      <c r="Y261" s="807"/>
      <c r="Z261" s="807"/>
      <c r="AA261" s="807"/>
      <c r="AB261" s="807"/>
      <c r="AC261" s="807"/>
      <c r="AD261" s="807"/>
      <c r="AE261" s="807"/>
      <c r="AF261" s="807"/>
      <c r="AG261" s="807"/>
      <c r="AH261" s="807"/>
      <c r="AI261" s="807"/>
      <c r="AJ261" s="807"/>
      <c r="AK261" s="807"/>
    </row>
    <row r="262" spans="6:37" s="806" customFormat="1" x14ac:dyDescent="0.3">
      <c r="F262" s="807"/>
      <c r="G262" s="807"/>
      <c r="H262" s="807"/>
      <c r="I262" s="807"/>
      <c r="J262" s="807"/>
      <c r="K262" s="807"/>
      <c r="L262" s="807"/>
      <c r="M262" s="807"/>
      <c r="N262" s="807"/>
      <c r="O262" s="807"/>
      <c r="P262" s="807"/>
      <c r="Q262" s="807"/>
      <c r="R262" s="807"/>
      <c r="S262" s="807"/>
      <c r="T262" s="807"/>
      <c r="U262" s="807"/>
      <c r="V262" s="807"/>
      <c r="W262" s="807"/>
      <c r="X262" s="807"/>
      <c r="Y262" s="807"/>
      <c r="Z262" s="807"/>
      <c r="AA262" s="807"/>
      <c r="AB262" s="807"/>
      <c r="AC262" s="807"/>
      <c r="AD262" s="807"/>
      <c r="AE262" s="807"/>
      <c r="AF262" s="807"/>
      <c r="AG262" s="807"/>
      <c r="AH262" s="807"/>
      <c r="AI262" s="807"/>
      <c r="AJ262" s="807"/>
      <c r="AK262" s="807"/>
    </row>
    <row r="263" spans="6:37" s="806" customFormat="1" x14ac:dyDescent="0.3">
      <c r="F263" s="807"/>
      <c r="G263" s="807"/>
      <c r="H263" s="807"/>
      <c r="I263" s="807"/>
      <c r="J263" s="807"/>
      <c r="K263" s="807"/>
      <c r="L263" s="807"/>
      <c r="M263" s="807"/>
      <c r="N263" s="807"/>
      <c r="O263" s="807"/>
      <c r="P263" s="807"/>
      <c r="Q263" s="807"/>
      <c r="R263" s="807"/>
      <c r="S263" s="807"/>
      <c r="T263" s="807"/>
      <c r="U263" s="807"/>
      <c r="V263" s="807"/>
      <c r="W263" s="807"/>
      <c r="X263" s="807"/>
      <c r="Y263" s="807"/>
      <c r="Z263" s="807"/>
      <c r="AA263" s="807"/>
      <c r="AB263" s="807"/>
      <c r="AC263" s="807"/>
      <c r="AD263" s="807"/>
      <c r="AE263" s="807"/>
      <c r="AF263" s="807"/>
      <c r="AG263" s="807"/>
      <c r="AH263" s="807"/>
      <c r="AI263" s="807"/>
      <c r="AJ263" s="807"/>
      <c r="AK263" s="807"/>
    </row>
    <row r="264" spans="6:37" s="806" customFormat="1" x14ac:dyDescent="0.3">
      <c r="F264" s="807"/>
      <c r="G264" s="807"/>
      <c r="H264" s="807"/>
      <c r="I264" s="807"/>
      <c r="J264" s="807"/>
      <c r="K264" s="807"/>
      <c r="L264" s="807"/>
      <c r="M264" s="807"/>
      <c r="N264" s="807"/>
      <c r="O264" s="807"/>
      <c r="P264" s="807"/>
      <c r="Q264" s="807"/>
      <c r="R264" s="807"/>
      <c r="S264" s="807"/>
      <c r="T264" s="807"/>
      <c r="U264" s="807"/>
      <c r="V264" s="807"/>
      <c r="W264" s="807"/>
      <c r="X264" s="807"/>
      <c r="Y264" s="807"/>
      <c r="Z264" s="807"/>
      <c r="AA264" s="807"/>
      <c r="AB264" s="807"/>
      <c r="AC264" s="807"/>
      <c r="AD264" s="807"/>
      <c r="AE264" s="807"/>
      <c r="AF264" s="807"/>
      <c r="AG264" s="807"/>
      <c r="AH264" s="807"/>
      <c r="AI264" s="807"/>
      <c r="AJ264" s="807"/>
      <c r="AK264" s="807"/>
    </row>
    <row r="265" spans="6:37" x14ac:dyDescent="0.3"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</row>
    <row r="266" spans="6:37" x14ac:dyDescent="0.3"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</row>
    <row r="267" spans="6:37" x14ac:dyDescent="0.3"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</row>
    <row r="268" spans="6:37" x14ac:dyDescent="0.3"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</row>
    <row r="269" spans="6:37" x14ac:dyDescent="0.3"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</row>
    <row r="270" spans="6:37" x14ac:dyDescent="0.3"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</row>
    <row r="271" spans="6:37" x14ac:dyDescent="0.3"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</row>
    <row r="272" spans="6:37" x14ac:dyDescent="0.3"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</row>
    <row r="273" spans="7:37" x14ac:dyDescent="0.3"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</row>
    <row r="274" spans="7:37" x14ac:dyDescent="0.3"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</row>
    <row r="275" spans="7:37" x14ac:dyDescent="0.3"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</row>
    <row r="276" spans="7:37" x14ac:dyDescent="0.3"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</row>
    <row r="277" spans="7:37" x14ac:dyDescent="0.3"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</row>
    <row r="278" spans="7:37" x14ac:dyDescent="0.3"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</row>
    <row r="279" spans="7:37" x14ac:dyDescent="0.3"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</row>
    <row r="280" spans="7:37" x14ac:dyDescent="0.3"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</row>
    <row r="281" spans="7:37" x14ac:dyDescent="0.3"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</row>
    <row r="282" spans="7:37" x14ac:dyDescent="0.3"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</row>
    <row r="283" spans="7:37" x14ac:dyDescent="0.3"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</row>
    <row r="284" spans="7:37" x14ac:dyDescent="0.3"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</row>
    <row r="285" spans="7:37" x14ac:dyDescent="0.3"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</row>
    <row r="286" spans="7:37" x14ac:dyDescent="0.3"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</row>
    <row r="287" spans="7:37" x14ac:dyDescent="0.3"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</row>
    <row r="288" spans="7:37" x14ac:dyDescent="0.3"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</row>
    <row r="289" spans="7:37" x14ac:dyDescent="0.3"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</row>
    <row r="290" spans="7:37" x14ac:dyDescent="0.3"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</row>
    <row r="291" spans="7:37" x14ac:dyDescent="0.3"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</row>
    <row r="292" spans="7:37" x14ac:dyDescent="0.3"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</row>
    <row r="293" spans="7:37" x14ac:dyDescent="0.3"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</row>
    <row r="294" spans="7:37" x14ac:dyDescent="0.3"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</row>
    <row r="295" spans="7:37" x14ac:dyDescent="0.3"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</row>
    <row r="296" spans="7:37" x14ac:dyDescent="0.3"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</row>
    <row r="297" spans="7:37" x14ac:dyDescent="0.3"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</row>
    <row r="298" spans="7:37" x14ac:dyDescent="0.3"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</row>
    <row r="299" spans="7:37" x14ac:dyDescent="0.3"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</row>
    <row r="300" spans="7:37" x14ac:dyDescent="0.3"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</row>
    <row r="301" spans="7:37" x14ac:dyDescent="0.3"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</row>
    <row r="302" spans="7:37" x14ac:dyDescent="0.3"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</row>
    <row r="303" spans="7:37" x14ac:dyDescent="0.3"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</row>
    <row r="304" spans="7:37" x14ac:dyDescent="0.3"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</row>
    <row r="305" spans="7:37" x14ac:dyDescent="0.3"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</row>
    <row r="306" spans="7:37" x14ac:dyDescent="0.3"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</row>
    <row r="307" spans="7:37" x14ac:dyDescent="0.3"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</row>
    <row r="308" spans="7:37" x14ac:dyDescent="0.3"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colBreaks count="1" manualBreakCount="1">
    <brk id="3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0DF7-8DBE-486F-858E-4679EDA503F7}">
  <sheetPr>
    <pageSetUpPr fitToPage="1"/>
  </sheetPr>
  <dimension ref="A1:AL203"/>
  <sheetViews>
    <sheetView tabSelected="1" view="pageBreakPreview" topLeftCell="A6" zoomScale="108" zoomScaleNormal="100" zoomScaleSheetLayoutView="108" workbookViewId="0">
      <selection activeCell="S38" sqref="S38"/>
    </sheetView>
  </sheetViews>
  <sheetFormatPr defaultColWidth="8.81640625" defaultRowHeight="12.5" x14ac:dyDescent="0.25"/>
  <cols>
    <col min="1" max="2" width="0.81640625" style="778" customWidth="1"/>
    <col min="3" max="3" width="2.7265625" style="778" customWidth="1"/>
    <col min="4" max="4" width="35" style="778" customWidth="1"/>
    <col min="5" max="5" width="3" style="778" customWidth="1"/>
    <col min="6" max="6" width="16.54296875" style="778" customWidth="1"/>
    <col min="7" max="7" width="8.26953125" style="778" hidden="1" customWidth="1"/>
    <col min="8" max="8" width="15.7265625" style="778" hidden="1" customWidth="1"/>
    <col min="9" max="9" width="15" style="778" hidden="1" customWidth="1"/>
    <col min="10" max="10" width="15.7265625" style="778" hidden="1" customWidth="1"/>
    <col min="11" max="11" width="15.26953125" style="778" hidden="1" customWidth="1"/>
    <col min="12" max="12" width="15.7265625" style="778" hidden="1" customWidth="1"/>
    <col min="13" max="13" width="16.26953125" style="778" hidden="1" customWidth="1"/>
    <col min="14" max="14" width="15.7265625" style="778" hidden="1" customWidth="1"/>
    <col min="15" max="15" width="15.26953125" style="778" hidden="1" customWidth="1"/>
    <col min="16" max="16" width="15.453125" style="778" customWidth="1"/>
    <col min="17" max="17" width="15.7265625" style="778" hidden="1" customWidth="1"/>
    <col min="18" max="18" width="14.26953125" style="778" hidden="1" customWidth="1"/>
    <col min="19" max="20" width="15.7265625" style="778" customWidth="1"/>
    <col min="21" max="29" width="15.7265625" style="778" hidden="1" customWidth="1"/>
    <col min="30" max="30" width="15.7265625" style="778" customWidth="1"/>
    <col min="31" max="32" width="15.7265625" style="778" hidden="1" customWidth="1"/>
    <col min="33" max="33" width="15.7265625" style="778" customWidth="1"/>
    <col min="34" max="34" width="2" style="778" customWidth="1"/>
    <col min="35" max="35" width="1.7265625" style="778" customWidth="1"/>
    <col min="36" max="36" width="19.81640625" style="778" customWidth="1"/>
    <col min="37" max="37" width="11" style="778" customWidth="1"/>
    <col min="38" max="38" width="12.54296875" style="778" customWidth="1"/>
    <col min="39" max="16384" width="8.81640625" style="778"/>
  </cols>
  <sheetData>
    <row r="1" spans="3:37" ht="15.5" x14ac:dyDescent="0.35">
      <c r="C1" s="8" t="s">
        <v>531</v>
      </c>
      <c r="D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AG1" s="777"/>
    </row>
    <row r="2" spans="3:37" ht="13" x14ac:dyDescent="0.3">
      <c r="C2" s="289"/>
      <c r="D2" s="718"/>
      <c r="E2" s="719"/>
      <c r="F2" s="550" t="s">
        <v>1</v>
      </c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1"/>
      <c r="T2" s="550" t="s">
        <v>2</v>
      </c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1"/>
      <c r="AH2" s="779"/>
    </row>
    <row r="3" spans="3:37" ht="13" x14ac:dyDescent="0.3">
      <c r="C3" s="14"/>
      <c r="D3" s="6"/>
      <c r="E3" s="50"/>
      <c r="F3" s="780" t="s">
        <v>3</v>
      </c>
      <c r="G3" s="293" t="s">
        <v>4</v>
      </c>
      <c r="H3" s="303" t="s">
        <v>5</v>
      </c>
      <c r="I3" s="293" t="s">
        <v>6</v>
      </c>
      <c r="J3" s="303" t="s">
        <v>7</v>
      </c>
      <c r="K3" s="293" t="s">
        <v>8</v>
      </c>
      <c r="L3" s="303" t="s">
        <v>9</v>
      </c>
      <c r="M3" s="293" t="s">
        <v>10</v>
      </c>
      <c r="N3" s="303" t="s">
        <v>11</v>
      </c>
      <c r="O3" s="293" t="s">
        <v>12</v>
      </c>
      <c r="P3" s="303" t="s">
        <v>13</v>
      </c>
      <c r="Q3" s="293" t="s">
        <v>14</v>
      </c>
      <c r="R3" s="303" t="s">
        <v>15</v>
      </c>
      <c r="S3" s="303" t="s">
        <v>16</v>
      </c>
      <c r="T3" s="293" t="s">
        <v>17</v>
      </c>
      <c r="U3" s="293" t="s">
        <v>4</v>
      </c>
      <c r="V3" s="305" t="s">
        <v>5</v>
      </c>
      <c r="W3" s="293" t="s">
        <v>6</v>
      </c>
      <c r="X3" s="50" t="s">
        <v>7</v>
      </c>
      <c r="Y3" s="293" t="s">
        <v>8</v>
      </c>
      <c r="Z3" s="50" t="s">
        <v>9</v>
      </c>
      <c r="AA3" s="293" t="s">
        <v>10</v>
      </c>
      <c r="AB3" s="50" t="s">
        <v>11</v>
      </c>
      <c r="AC3" s="293" t="s">
        <v>12</v>
      </c>
      <c r="AD3" s="50" t="s">
        <v>13</v>
      </c>
      <c r="AE3" s="293" t="s">
        <v>14</v>
      </c>
      <c r="AF3" s="50" t="s">
        <v>15</v>
      </c>
      <c r="AG3" s="303" t="s">
        <v>16</v>
      </c>
      <c r="AH3" s="779"/>
    </row>
    <row r="4" spans="3:37" ht="13" x14ac:dyDescent="0.3">
      <c r="C4" s="25" t="s">
        <v>18</v>
      </c>
      <c r="D4" s="632"/>
      <c r="E4" s="30"/>
      <c r="F4" s="724" t="s">
        <v>20</v>
      </c>
      <c r="G4" s="31"/>
      <c r="H4" s="219"/>
      <c r="I4" s="31"/>
      <c r="J4" s="219"/>
      <c r="K4" s="31"/>
      <c r="L4" s="219"/>
      <c r="M4" s="31"/>
      <c r="N4" s="219"/>
      <c r="O4" s="31"/>
      <c r="P4" s="219"/>
      <c r="Q4" s="31"/>
      <c r="R4" s="219"/>
      <c r="S4" s="219"/>
      <c r="T4" s="31" t="s">
        <v>45</v>
      </c>
      <c r="U4" s="31"/>
      <c r="V4" s="297"/>
      <c r="W4" s="31"/>
      <c r="X4" s="30"/>
      <c r="Y4" s="31"/>
      <c r="Z4" s="30"/>
      <c r="AA4" s="31"/>
      <c r="AB4" s="30"/>
      <c r="AC4" s="31"/>
      <c r="AD4" s="30"/>
      <c r="AE4" s="31"/>
      <c r="AF4" s="30"/>
      <c r="AG4" s="219"/>
      <c r="AH4" s="779"/>
    </row>
    <row r="5" spans="3:37" ht="13" x14ac:dyDescent="0.3">
      <c r="C5" s="14"/>
      <c r="D5" s="43"/>
      <c r="E5" s="50"/>
      <c r="F5" s="306"/>
      <c r="G5" s="306"/>
      <c r="H5" s="291"/>
      <c r="I5" s="306"/>
      <c r="J5" s="50"/>
      <c r="K5" s="306"/>
      <c r="L5" s="50"/>
      <c r="M5" s="306"/>
      <c r="N5" s="50"/>
      <c r="O5" s="306"/>
      <c r="P5" s="50"/>
      <c r="Q5" s="306"/>
      <c r="R5" s="50"/>
      <c r="S5" s="236"/>
      <c r="T5" s="306"/>
      <c r="U5" s="306"/>
      <c r="V5" s="291"/>
      <c r="W5" s="306"/>
      <c r="X5" s="50"/>
      <c r="Y5" s="306"/>
      <c r="Z5" s="50"/>
      <c r="AA5" s="306"/>
      <c r="AB5" s="50"/>
      <c r="AC5" s="306"/>
      <c r="AD5" s="50"/>
      <c r="AE5" s="306"/>
      <c r="AF5" s="50"/>
      <c r="AG5" s="236"/>
      <c r="AH5" s="779"/>
    </row>
    <row r="6" spans="3:37" ht="13" x14ac:dyDescent="0.3">
      <c r="C6" s="302" t="s">
        <v>532</v>
      </c>
      <c r="D6" s="6"/>
      <c r="E6" s="76"/>
      <c r="F6" s="236">
        <f>SUM(F7:F38)</f>
        <v>3921105</v>
      </c>
      <c r="G6" s="236">
        <f>SUM(G7:G38)</f>
        <v>29806</v>
      </c>
      <c r="H6" s="236">
        <f t="shared" ref="H6:R6" si="0">SUM(H7:H38)</f>
        <v>601632</v>
      </c>
      <c r="I6" s="236">
        <f>SUM(I7:I38)</f>
        <v>97661</v>
      </c>
      <c r="J6" s="236">
        <f>SUM(J7:J38)</f>
        <v>217829</v>
      </c>
      <c r="K6" s="236">
        <f t="shared" si="0"/>
        <v>105991</v>
      </c>
      <c r="L6" s="236">
        <f>SUM(L7:L38)</f>
        <v>950856</v>
      </c>
      <c r="M6" s="236">
        <f t="shared" si="0"/>
        <v>824100</v>
      </c>
      <c r="N6" s="236">
        <f t="shared" si="0"/>
        <v>406599</v>
      </c>
      <c r="O6" s="236">
        <f>SUM(O7:O38)</f>
        <v>242053</v>
      </c>
      <c r="P6" s="236">
        <f>SUM(P7:P38)</f>
        <v>197456</v>
      </c>
      <c r="Q6" s="236">
        <f t="shared" si="0"/>
        <v>0</v>
      </c>
      <c r="R6" s="236">
        <f t="shared" si="0"/>
        <v>0</v>
      </c>
      <c r="S6" s="236">
        <f>SUM(S7:S38)</f>
        <v>3673983</v>
      </c>
      <c r="T6" s="236">
        <f t="shared" ref="T6:AE6" si="1">SUM(T7:T38)</f>
        <v>6068425</v>
      </c>
      <c r="U6" s="236">
        <f t="shared" si="1"/>
        <v>594230</v>
      </c>
      <c r="V6" s="236">
        <f t="shared" si="1"/>
        <v>356397</v>
      </c>
      <c r="W6" s="236">
        <f t="shared" si="1"/>
        <v>451680</v>
      </c>
      <c r="X6" s="236">
        <f t="shared" si="1"/>
        <v>581432</v>
      </c>
      <c r="Y6" s="236">
        <f t="shared" si="1"/>
        <v>418995</v>
      </c>
      <c r="Z6" s="236">
        <f t="shared" si="1"/>
        <v>1366350</v>
      </c>
      <c r="AA6" s="236">
        <f t="shared" si="1"/>
        <v>426850</v>
      </c>
      <c r="AB6" s="236">
        <f t="shared" si="1"/>
        <v>64028</v>
      </c>
      <c r="AC6" s="236">
        <f t="shared" si="1"/>
        <v>399294</v>
      </c>
      <c r="AD6" s="236">
        <f t="shared" si="1"/>
        <v>410251</v>
      </c>
      <c r="AE6" s="236">
        <f t="shared" si="1"/>
        <v>238940</v>
      </c>
      <c r="AF6" s="236">
        <f>SUM(AF7:AF38)</f>
        <v>759978</v>
      </c>
      <c r="AG6" s="236">
        <f>SUM(AG7:AG38)</f>
        <v>5069507</v>
      </c>
      <c r="AH6" s="781"/>
      <c r="AJ6" s="782"/>
      <c r="AK6" s="783"/>
    </row>
    <row r="7" spans="3:37" ht="15.75" hidden="1" customHeight="1" x14ac:dyDescent="0.3">
      <c r="C7" s="302"/>
      <c r="D7" s="17" t="s">
        <v>533</v>
      </c>
      <c r="E7" s="742"/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735">
        <f>SUM(G7:R7)</f>
        <v>0</v>
      </c>
      <c r="T7" s="172">
        <v>0</v>
      </c>
      <c r="U7" s="172">
        <v>0</v>
      </c>
      <c r="V7" s="172">
        <v>0</v>
      </c>
      <c r="W7" s="172">
        <v>0</v>
      </c>
      <c r="X7" s="172">
        <v>0</v>
      </c>
      <c r="Y7" s="172">
        <v>0</v>
      </c>
      <c r="Z7" s="172">
        <v>0</v>
      </c>
      <c r="AA7" s="172">
        <v>0</v>
      </c>
      <c r="AB7" s="172">
        <v>0</v>
      </c>
      <c r="AC7" s="172">
        <v>0</v>
      </c>
      <c r="AD7" s="172">
        <v>0</v>
      </c>
      <c r="AE7" s="172">
        <v>0</v>
      </c>
      <c r="AF7" s="172">
        <v>0</v>
      </c>
      <c r="AG7" s="735">
        <f t="shared" ref="AG7:AG20" si="2">SUM(U7:U7)</f>
        <v>0</v>
      </c>
      <c r="AH7" s="784"/>
      <c r="AJ7" s="783"/>
      <c r="AK7" s="783"/>
    </row>
    <row r="8" spans="3:37" ht="15.75" hidden="1" customHeight="1" x14ac:dyDescent="0.3">
      <c r="C8" s="302"/>
      <c r="D8" s="17" t="s">
        <v>534</v>
      </c>
      <c r="E8" s="742"/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735">
        <f t="shared" ref="S8:S34" si="3">SUM(G8:R8)</f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  <c r="AF8" s="172">
        <v>0</v>
      </c>
      <c r="AG8" s="735">
        <f t="shared" si="2"/>
        <v>0</v>
      </c>
      <c r="AH8" s="784"/>
      <c r="AJ8" s="783"/>
      <c r="AK8" s="783"/>
    </row>
    <row r="9" spans="3:37" ht="15.75" hidden="1" customHeight="1" x14ac:dyDescent="0.3">
      <c r="C9" s="302"/>
      <c r="D9" s="17" t="s">
        <v>535</v>
      </c>
      <c r="E9" s="742"/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735">
        <f t="shared" si="3"/>
        <v>0</v>
      </c>
      <c r="T9" s="172">
        <v>0</v>
      </c>
      <c r="U9" s="172">
        <v>0</v>
      </c>
      <c r="V9" s="172">
        <v>0</v>
      </c>
      <c r="W9" s="172">
        <v>0</v>
      </c>
      <c r="X9" s="172">
        <v>0</v>
      </c>
      <c r="Y9" s="172">
        <v>0</v>
      </c>
      <c r="Z9" s="172">
        <v>0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0</v>
      </c>
      <c r="AG9" s="735">
        <f t="shared" si="2"/>
        <v>0</v>
      </c>
      <c r="AH9" s="784"/>
      <c r="AJ9" s="783"/>
      <c r="AK9" s="783"/>
    </row>
    <row r="10" spans="3:37" ht="15.75" hidden="1" customHeight="1" x14ac:dyDescent="0.3">
      <c r="C10" s="302"/>
      <c r="D10" s="17" t="s">
        <v>536</v>
      </c>
      <c r="E10" s="58"/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735">
        <f>SUM(G10:R10)</f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735">
        <f t="shared" si="2"/>
        <v>0</v>
      </c>
      <c r="AH10" s="784"/>
      <c r="AJ10" s="783"/>
      <c r="AK10" s="783"/>
    </row>
    <row r="11" spans="3:37" ht="13" hidden="1" x14ac:dyDescent="0.3">
      <c r="C11" s="302"/>
      <c r="D11" s="17" t="s">
        <v>537</v>
      </c>
      <c r="E11" s="742"/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735">
        <f>SUM(G11:R11)</f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2">
        <v>0</v>
      </c>
      <c r="AD11" s="172">
        <v>0</v>
      </c>
      <c r="AE11" s="172">
        <v>0</v>
      </c>
      <c r="AF11" s="172">
        <v>0</v>
      </c>
      <c r="AG11" s="735">
        <f t="shared" si="2"/>
        <v>0</v>
      </c>
      <c r="AH11" s="784"/>
      <c r="AJ11" s="783"/>
      <c r="AK11" s="783"/>
    </row>
    <row r="12" spans="3:37" ht="15.75" hidden="1" customHeight="1" x14ac:dyDescent="0.3">
      <c r="C12" s="302"/>
      <c r="D12" s="17" t="s">
        <v>538</v>
      </c>
      <c r="E12" s="742"/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735">
        <f t="shared" si="3"/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v>0</v>
      </c>
      <c r="Y12" s="172">
        <v>0</v>
      </c>
      <c r="Z12" s="172">
        <v>0</v>
      </c>
      <c r="AA12" s="172">
        <v>0</v>
      </c>
      <c r="AB12" s="172">
        <v>0</v>
      </c>
      <c r="AC12" s="172">
        <v>0</v>
      </c>
      <c r="AD12" s="172">
        <v>0</v>
      </c>
      <c r="AE12" s="172">
        <v>0</v>
      </c>
      <c r="AF12" s="172">
        <v>0</v>
      </c>
      <c r="AG12" s="735">
        <f t="shared" si="2"/>
        <v>0</v>
      </c>
      <c r="AH12" s="784"/>
      <c r="AJ12" s="783"/>
      <c r="AK12" s="783"/>
    </row>
    <row r="13" spans="3:37" ht="15.75" hidden="1" customHeight="1" x14ac:dyDescent="0.3">
      <c r="C13" s="302"/>
      <c r="D13" s="17" t="s">
        <v>539</v>
      </c>
      <c r="E13" s="742"/>
      <c r="F13" s="172">
        <v>0</v>
      </c>
      <c r="G13" s="735">
        <v>0</v>
      </c>
      <c r="H13" s="735">
        <v>0</v>
      </c>
      <c r="I13" s="735">
        <v>0</v>
      </c>
      <c r="J13" s="735">
        <v>0</v>
      </c>
      <c r="K13" s="735">
        <v>0</v>
      </c>
      <c r="L13" s="735">
        <v>0</v>
      </c>
      <c r="M13" s="735">
        <v>0</v>
      </c>
      <c r="N13" s="735">
        <v>0</v>
      </c>
      <c r="O13" s="735">
        <v>0</v>
      </c>
      <c r="P13" s="735">
        <v>0</v>
      </c>
      <c r="Q13" s="735">
        <v>0</v>
      </c>
      <c r="R13" s="735">
        <v>0</v>
      </c>
      <c r="S13" s="735">
        <f t="shared" si="3"/>
        <v>0</v>
      </c>
      <c r="T13" s="172">
        <v>0</v>
      </c>
      <c r="U13" s="735">
        <v>0</v>
      </c>
      <c r="V13" s="735">
        <v>0</v>
      </c>
      <c r="W13" s="735">
        <v>0</v>
      </c>
      <c r="X13" s="735">
        <v>0</v>
      </c>
      <c r="Y13" s="735">
        <v>0</v>
      </c>
      <c r="Z13" s="735">
        <v>0</v>
      </c>
      <c r="AA13" s="735">
        <v>0</v>
      </c>
      <c r="AB13" s="735">
        <v>0</v>
      </c>
      <c r="AC13" s="735">
        <v>0</v>
      </c>
      <c r="AD13" s="735">
        <v>0</v>
      </c>
      <c r="AE13" s="735">
        <v>0</v>
      </c>
      <c r="AF13" s="735">
        <v>0</v>
      </c>
      <c r="AG13" s="735">
        <f t="shared" si="2"/>
        <v>0</v>
      </c>
      <c r="AH13" s="784"/>
      <c r="AJ13" s="783"/>
      <c r="AK13" s="783"/>
    </row>
    <row r="14" spans="3:37" ht="15.75" hidden="1" customHeight="1" x14ac:dyDescent="0.3">
      <c r="C14" s="302"/>
      <c r="D14" s="17" t="s">
        <v>540</v>
      </c>
      <c r="E14" s="742"/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735">
        <f t="shared" si="3"/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72">
        <v>0</v>
      </c>
      <c r="AC14" s="172">
        <v>0</v>
      </c>
      <c r="AD14" s="172">
        <v>0</v>
      </c>
      <c r="AE14" s="172">
        <v>0</v>
      </c>
      <c r="AF14" s="172">
        <v>0</v>
      </c>
      <c r="AG14" s="735">
        <f t="shared" si="2"/>
        <v>0</v>
      </c>
      <c r="AH14" s="784"/>
      <c r="AJ14" s="783"/>
      <c r="AK14" s="783"/>
    </row>
    <row r="15" spans="3:37" ht="15.75" hidden="1" customHeight="1" x14ac:dyDescent="0.3">
      <c r="C15" s="302"/>
      <c r="D15" s="17" t="s">
        <v>541</v>
      </c>
      <c r="E15" s="742"/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735">
        <f t="shared" si="3"/>
        <v>0</v>
      </c>
      <c r="T15" s="172">
        <v>0</v>
      </c>
      <c r="U15" s="172">
        <v>0</v>
      </c>
      <c r="V15" s="172">
        <v>0</v>
      </c>
      <c r="W15" s="172">
        <v>0</v>
      </c>
      <c r="X15" s="172">
        <v>0</v>
      </c>
      <c r="Y15" s="172">
        <v>0</v>
      </c>
      <c r="Z15" s="172">
        <v>0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735">
        <f t="shared" si="2"/>
        <v>0</v>
      </c>
      <c r="AH15" s="784"/>
      <c r="AJ15" s="783"/>
      <c r="AK15" s="783"/>
    </row>
    <row r="16" spans="3:37" ht="15.75" hidden="1" customHeight="1" x14ac:dyDescent="0.3">
      <c r="C16" s="302"/>
      <c r="D16" s="17" t="s">
        <v>542</v>
      </c>
      <c r="E16" s="742"/>
      <c r="F16" s="172">
        <v>0</v>
      </c>
      <c r="G16" s="735">
        <v>0</v>
      </c>
      <c r="H16" s="735">
        <v>0</v>
      </c>
      <c r="I16" s="735">
        <v>0</v>
      </c>
      <c r="J16" s="735">
        <v>0</v>
      </c>
      <c r="K16" s="735">
        <v>0</v>
      </c>
      <c r="L16" s="735">
        <v>0</v>
      </c>
      <c r="M16" s="735">
        <v>0</v>
      </c>
      <c r="N16" s="735">
        <v>0</v>
      </c>
      <c r="O16" s="735">
        <v>0</v>
      </c>
      <c r="P16" s="735">
        <v>0</v>
      </c>
      <c r="Q16" s="735">
        <v>0</v>
      </c>
      <c r="R16" s="735">
        <v>0</v>
      </c>
      <c r="S16" s="735">
        <f t="shared" si="3"/>
        <v>0</v>
      </c>
      <c r="T16" s="172">
        <v>0</v>
      </c>
      <c r="U16" s="735">
        <v>0</v>
      </c>
      <c r="V16" s="735">
        <v>0</v>
      </c>
      <c r="W16" s="735">
        <v>0</v>
      </c>
      <c r="X16" s="735">
        <v>0</v>
      </c>
      <c r="Y16" s="735">
        <v>0</v>
      </c>
      <c r="Z16" s="735">
        <v>0</v>
      </c>
      <c r="AA16" s="735">
        <v>0</v>
      </c>
      <c r="AB16" s="735">
        <v>0</v>
      </c>
      <c r="AC16" s="735">
        <v>0</v>
      </c>
      <c r="AD16" s="735">
        <v>0</v>
      </c>
      <c r="AE16" s="735">
        <v>0</v>
      </c>
      <c r="AF16" s="735">
        <v>0</v>
      </c>
      <c r="AG16" s="735">
        <f t="shared" si="2"/>
        <v>0</v>
      </c>
      <c r="AH16" s="784"/>
      <c r="AJ16" s="783"/>
      <c r="AK16" s="783"/>
    </row>
    <row r="17" spans="3:37" ht="15.75" hidden="1" customHeight="1" x14ac:dyDescent="0.3">
      <c r="C17" s="302"/>
      <c r="D17" s="17" t="s">
        <v>543</v>
      </c>
      <c r="E17" s="742"/>
      <c r="F17" s="172">
        <v>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735">
        <f t="shared" si="3"/>
        <v>0</v>
      </c>
      <c r="T17" s="172">
        <v>0</v>
      </c>
      <c r="U17" s="172">
        <v>0</v>
      </c>
      <c r="V17" s="172">
        <v>0</v>
      </c>
      <c r="W17" s="172">
        <v>0</v>
      </c>
      <c r="X17" s="172">
        <v>0</v>
      </c>
      <c r="Y17" s="172">
        <v>0</v>
      </c>
      <c r="Z17" s="172">
        <v>0</v>
      </c>
      <c r="AA17" s="172">
        <v>0</v>
      </c>
      <c r="AB17" s="172">
        <v>0</v>
      </c>
      <c r="AC17" s="172">
        <v>0</v>
      </c>
      <c r="AD17" s="172">
        <v>0</v>
      </c>
      <c r="AE17" s="172">
        <v>0</v>
      </c>
      <c r="AF17" s="172">
        <v>0</v>
      </c>
      <c r="AG17" s="735">
        <f t="shared" si="2"/>
        <v>0</v>
      </c>
      <c r="AH17" s="784"/>
      <c r="AJ17" s="783"/>
      <c r="AK17" s="783"/>
    </row>
    <row r="18" spans="3:37" ht="13" x14ac:dyDescent="0.3">
      <c r="C18" s="302"/>
      <c r="D18" s="17" t="s">
        <v>544</v>
      </c>
      <c r="E18" s="742"/>
      <c r="F18" s="785">
        <v>1326</v>
      </c>
      <c r="G18" s="785">
        <v>258</v>
      </c>
      <c r="H18" s="785">
        <v>169</v>
      </c>
      <c r="I18" s="785">
        <v>236</v>
      </c>
      <c r="J18" s="785">
        <v>164</v>
      </c>
      <c r="K18" s="785">
        <v>320</v>
      </c>
      <c r="L18" s="785">
        <v>179</v>
      </c>
      <c r="M18" s="785">
        <v>191</v>
      </c>
      <c r="N18" s="785">
        <v>519</v>
      </c>
      <c r="O18" s="785">
        <v>280</v>
      </c>
      <c r="P18" s="785">
        <v>285</v>
      </c>
      <c r="Q18" s="785">
        <v>0</v>
      </c>
      <c r="R18" s="785">
        <v>0</v>
      </c>
      <c r="S18" s="785">
        <f>SUM(G18:R18)</f>
        <v>2601</v>
      </c>
      <c r="T18" s="785">
        <v>3664</v>
      </c>
      <c r="U18" s="785">
        <v>93</v>
      </c>
      <c r="V18" s="785">
        <v>368</v>
      </c>
      <c r="W18" s="785">
        <v>435</v>
      </c>
      <c r="X18" s="785">
        <v>196</v>
      </c>
      <c r="Y18" s="785">
        <v>329</v>
      </c>
      <c r="Z18" s="785">
        <v>193</v>
      </c>
      <c r="AA18" s="785">
        <v>426</v>
      </c>
      <c r="AB18" s="785">
        <v>159</v>
      </c>
      <c r="AC18" s="785">
        <v>743</v>
      </c>
      <c r="AD18" s="785">
        <v>136</v>
      </c>
      <c r="AE18" s="785">
        <v>346</v>
      </c>
      <c r="AF18" s="785">
        <v>240</v>
      </c>
      <c r="AG18" s="735">
        <f>SUM(U18:AD18)</f>
        <v>3078</v>
      </c>
      <c r="AH18" s="784"/>
      <c r="AJ18" s="783"/>
      <c r="AK18" s="783"/>
    </row>
    <row r="19" spans="3:37" ht="12.75" hidden="1" customHeight="1" x14ac:dyDescent="0.3">
      <c r="C19" s="302"/>
      <c r="D19" s="17" t="s">
        <v>545</v>
      </c>
      <c r="E19" s="742"/>
      <c r="F19" s="785">
        <v>0</v>
      </c>
      <c r="G19" s="785">
        <v>0</v>
      </c>
      <c r="H19" s="785">
        <v>0</v>
      </c>
      <c r="I19" s="785">
        <v>0</v>
      </c>
      <c r="J19" s="785">
        <v>0</v>
      </c>
      <c r="K19" s="785">
        <v>0</v>
      </c>
      <c r="L19" s="785">
        <v>0</v>
      </c>
      <c r="M19" s="785">
        <v>0</v>
      </c>
      <c r="N19" s="785">
        <v>0</v>
      </c>
      <c r="O19" s="785">
        <v>0</v>
      </c>
      <c r="P19" s="785">
        <v>0</v>
      </c>
      <c r="Q19" s="785">
        <v>0</v>
      </c>
      <c r="R19" s="785">
        <v>0</v>
      </c>
      <c r="S19" s="785">
        <f t="shared" si="3"/>
        <v>0</v>
      </c>
      <c r="T19" s="785">
        <v>0</v>
      </c>
      <c r="U19" s="785">
        <v>0</v>
      </c>
      <c r="V19" s="785">
        <v>0</v>
      </c>
      <c r="W19" s="785">
        <v>0</v>
      </c>
      <c r="X19" s="785">
        <v>0</v>
      </c>
      <c r="Y19" s="785">
        <v>0</v>
      </c>
      <c r="Z19" s="785">
        <v>0</v>
      </c>
      <c r="AA19" s="785">
        <v>0</v>
      </c>
      <c r="AB19" s="785">
        <v>0</v>
      </c>
      <c r="AC19" s="785">
        <v>0</v>
      </c>
      <c r="AD19" s="785">
        <v>0</v>
      </c>
      <c r="AE19" s="785">
        <v>0</v>
      </c>
      <c r="AF19" s="785">
        <v>0</v>
      </c>
      <c r="AG19" s="735">
        <f t="shared" si="2"/>
        <v>0</v>
      </c>
      <c r="AH19" s="784"/>
      <c r="AJ19" s="783"/>
      <c r="AK19" s="783"/>
    </row>
    <row r="20" spans="3:37" ht="12.75" hidden="1" customHeight="1" x14ac:dyDescent="0.3">
      <c r="C20" s="302"/>
      <c r="D20" s="17" t="s">
        <v>546</v>
      </c>
      <c r="E20" s="742"/>
      <c r="F20" s="785">
        <v>0</v>
      </c>
      <c r="G20" s="785">
        <v>0</v>
      </c>
      <c r="H20" s="785">
        <v>0</v>
      </c>
      <c r="I20" s="785">
        <v>0</v>
      </c>
      <c r="J20" s="785">
        <v>0</v>
      </c>
      <c r="K20" s="785">
        <v>0</v>
      </c>
      <c r="L20" s="785">
        <v>0</v>
      </c>
      <c r="M20" s="785">
        <v>0</v>
      </c>
      <c r="N20" s="785">
        <v>0</v>
      </c>
      <c r="O20" s="785">
        <v>0</v>
      </c>
      <c r="P20" s="785">
        <v>0</v>
      </c>
      <c r="Q20" s="785">
        <v>0</v>
      </c>
      <c r="R20" s="785">
        <v>0</v>
      </c>
      <c r="S20" s="785">
        <f t="shared" si="3"/>
        <v>0</v>
      </c>
      <c r="T20" s="785">
        <v>0</v>
      </c>
      <c r="U20" s="785">
        <v>0</v>
      </c>
      <c r="V20" s="785">
        <v>0</v>
      </c>
      <c r="W20" s="785">
        <v>0</v>
      </c>
      <c r="X20" s="785">
        <v>0</v>
      </c>
      <c r="Y20" s="785">
        <v>0</v>
      </c>
      <c r="Z20" s="785">
        <v>0</v>
      </c>
      <c r="AA20" s="785">
        <v>0</v>
      </c>
      <c r="AB20" s="785">
        <v>0</v>
      </c>
      <c r="AC20" s="785">
        <v>0</v>
      </c>
      <c r="AD20" s="785">
        <v>0</v>
      </c>
      <c r="AE20" s="785">
        <v>0</v>
      </c>
      <c r="AF20" s="785">
        <v>0</v>
      </c>
      <c r="AG20" s="735">
        <f t="shared" si="2"/>
        <v>0</v>
      </c>
      <c r="AH20" s="784"/>
      <c r="AJ20" s="783"/>
      <c r="AK20" s="783"/>
    </row>
    <row r="21" spans="3:37" ht="12.75" customHeight="1" x14ac:dyDescent="0.3">
      <c r="C21" s="302"/>
      <c r="D21" s="17" t="s">
        <v>547</v>
      </c>
      <c r="E21" s="58"/>
      <c r="F21" s="785">
        <v>0</v>
      </c>
      <c r="G21" s="785">
        <v>0</v>
      </c>
      <c r="H21" s="785">
        <v>0</v>
      </c>
      <c r="I21" s="785">
        <v>0</v>
      </c>
      <c r="J21" s="785">
        <v>0</v>
      </c>
      <c r="K21" s="785">
        <v>0</v>
      </c>
      <c r="L21" s="785">
        <v>0</v>
      </c>
      <c r="M21" s="785">
        <v>0</v>
      </c>
      <c r="N21" s="785">
        <v>0</v>
      </c>
      <c r="O21" s="785">
        <v>0</v>
      </c>
      <c r="P21" s="785">
        <v>0</v>
      </c>
      <c r="Q21" s="785">
        <v>0</v>
      </c>
      <c r="R21" s="785">
        <v>0</v>
      </c>
      <c r="S21" s="785">
        <f t="shared" si="3"/>
        <v>0</v>
      </c>
      <c r="T21" s="785">
        <v>1313261</v>
      </c>
      <c r="U21" s="785">
        <v>290916</v>
      </c>
      <c r="V21" s="785">
        <v>68408</v>
      </c>
      <c r="W21" s="785">
        <v>213164</v>
      </c>
      <c r="X21" s="785">
        <v>115520</v>
      </c>
      <c r="Y21" s="785">
        <v>115691</v>
      </c>
      <c r="Z21" s="785">
        <v>210729</v>
      </c>
      <c r="AA21" s="785">
        <v>20827</v>
      </c>
      <c r="AB21" s="785">
        <v>21725</v>
      </c>
      <c r="AC21" s="785">
        <v>78516</v>
      </c>
      <c r="AD21" s="785">
        <v>30857</v>
      </c>
      <c r="AE21" s="785">
        <v>21860</v>
      </c>
      <c r="AF21" s="785">
        <v>125048</v>
      </c>
      <c r="AG21" s="735">
        <f t="shared" ref="AG21:AG38" si="4">SUM(U21:AD21)</f>
        <v>1166353</v>
      </c>
      <c r="AH21" s="784"/>
      <c r="AJ21" s="783"/>
      <c r="AK21" s="783"/>
    </row>
    <row r="22" spans="3:37" ht="13" x14ac:dyDescent="0.3">
      <c r="C22" s="302"/>
      <c r="D22" s="17" t="s">
        <v>548</v>
      </c>
      <c r="E22" s="76"/>
      <c r="F22" s="785">
        <v>27779</v>
      </c>
      <c r="G22" s="785">
        <v>0</v>
      </c>
      <c r="H22" s="785">
        <v>0</v>
      </c>
      <c r="I22" s="785">
        <v>0</v>
      </c>
      <c r="J22" s="785">
        <v>0</v>
      </c>
      <c r="K22" s="785">
        <v>27779</v>
      </c>
      <c r="L22" s="785">
        <v>116280</v>
      </c>
      <c r="M22" s="785">
        <v>158829</v>
      </c>
      <c r="N22" s="785">
        <v>139890</v>
      </c>
      <c r="O22" s="785">
        <v>0</v>
      </c>
      <c r="P22" s="785">
        <v>0</v>
      </c>
      <c r="Q22" s="785">
        <v>0</v>
      </c>
      <c r="R22" s="785">
        <v>0</v>
      </c>
      <c r="S22" s="785">
        <f>SUM(G22:R22)</f>
        <v>442778</v>
      </c>
      <c r="T22" s="785">
        <v>1380512</v>
      </c>
      <c r="U22" s="785">
        <v>493</v>
      </c>
      <c r="V22" s="785">
        <v>193807</v>
      </c>
      <c r="W22" s="785">
        <v>200</v>
      </c>
      <c r="X22" s="785">
        <v>182826</v>
      </c>
      <c r="Y22" s="785">
        <v>0</v>
      </c>
      <c r="Z22" s="785">
        <v>0</v>
      </c>
      <c r="AA22" s="785">
        <v>0</v>
      </c>
      <c r="AB22" s="785">
        <v>0</v>
      </c>
      <c r="AC22" s="785">
        <v>0</v>
      </c>
      <c r="AD22" s="785">
        <v>361232</v>
      </c>
      <c r="AE22" s="785">
        <v>209914</v>
      </c>
      <c r="AF22" s="785">
        <v>432040</v>
      </c>
      <c r="AG22" s="735">
        <f t="shared" si="4"/>
        <v>738558</v>
      </c>
      <c r="AH22" s="784"/>
      <c r="AJ22" s="783"/>
      <c r="AK22" s="783"/>
    </row>
    <row r="23" spans="3:37" ht="12.75" hidden="1" customHeight="1" x14ac:dyDescent="0.3">
      <c r="C23" s="302"/>
      <c r="D23" s="17" t="s">
        <v>549</v>
      </c>
      <c r="E23" s="742"/>
      <c r="F23" s="785">
        <v>0</v>
      </c>
      <c r="G23" s="785">
        <v>0</v>
      </c>
      <c r="H23" s="785">
        <v>0</v>
      </c>
      <c r="I23" s="785">
        <v>0</v>
      </c>
      <c r="J23" s="785">
        <v>0</v>
      </c>
      <c r="K23" s="785">
        <v>0</v>
      </c>
      <c r="L23" s="785">
        <v>0</v>
      </c>
      <c r="M23" s="785">
        <v>0</v>
      </c>
      <c r="N23" s="785">
        <v>0</v>
      </c>
      <c r="O23" s="785">
        <v>0</v>
      </c>
      <c r="P23" s="785">
        <v>0</v>
      </c>
      <c r="Q23" s="785">
        <v>0</v>
      </c>
      <c r="R23" s="785">
        <v>0</v>
      </c>
      <c r="S23" s="785">
        <f t="shared" si="3"/>
        <v>0</v>
      </c>
      <c r="T23" s="785">
        <v>0</v>
      </c>
      <c r="U23" s="785">
        <v>0</v>
      </c>
      <c r="V23" s="785">
        <v>0</v>
      </c>
      <c r="W23" s="785">
        <v>0</v>
      </c>
      <c r="X23" s="785">
        <v>0</v>
      </c>
      <c r="Y23" s="785">
        <v>0</v>
      </c>
      <c r="Z23" s="785">
        <v>0</v>
      </c>
      <c r="AA23" s="785">
        <v>0</v>
      </c>
      <c r="AB23" s="785">
        <v>0</v>
      </c>
      <c r="AC23" s="785">
        <v>0</v>
      </c>
      <c r="AD23" s="785">
        <v>0</v>
      </c>
      <c r="AE23" s="785">
        <v>0</v>
      </c>
      <c r="AF23" s="785">
        <v>0</v>
      </c>
      <c r="AG23" s="735">
        <f t="shared" si="4"/>
        <v>0</v>
      </c>
      <c r="AH23" s="784"/>
      <c r="AJ23" s="783"/>
      <c r="AK23" s="783"/>
    </row>
    <row r="24" spans="3:37" ht="12.75" hidden="1" customHeight="1" x14ac:dyDescent="0.3">
      <c r="C24" s="302"/>
      <c r="D24" s="17" t="s">
        <v>550</v>
      </c>
      <c r="E24" s="742"/>
      <c r="F24" s="785">
        <v>0</v>
      </c>
      <c r="G24" s="785">
        <v>0</v>
      </c>
      <c r="H24" s="785">
        <v>0</v>
      </c>
      <c r="I24" s="785">
        <v>0</v>
      </c>
      <c r="J24" s="785">
        <v>0</v>
      </c>
      <c r="K24" s="785">
        <v>0</v>
      </c>
      <c r="L24" s="785">
        <v>0</v>
      </c>
      <c r="M24" s="785">
        <v>0</v>
      </c>
      <c r="N24" s="785">
        <v>0</v>
      </c>
      <c r="O24" s="785">
        <v>0</v>
      </c>
      <c r="P24" s="785">
        <v>0</v>
      </c>
      <c r="Q24" s="785">
        <v>0</v>
      </c>
      <c r="R24" s="785">
        <v>0</v>
      </c>
      <c r="S24" s="785">
        <f t="shared" si="3"/>
        <v>0</v>
      </c>
      <c r="T24" s="785">
        <v>0</v>
      </c>
      <c r="U24" s="785">
        <v>0</v>
      </c>
      <c r="V24" s="785">
        <v>0</v>
      </c>
      <c r="W24" s="785">
        <v>0</v>
      </c>
      <c r="X24" s="785">
        <v>0</v>
      </c>
      <c r="Y24" s="785">
        <v>0</v>
      </c>
      <c r="Z24" s="785">
        <v>0</v>
      </c>
      <c r="AA24" s="785">
        <v>0</v>
      </c>
      <c r="AB24" s="785">
        <v>0</v>
      </c>
      <c r="AC24" s="785">
        <v>0</v>
      </c>
      <c r="AD24" s="785">
        <v>0</v>
      </c>
      <c r="AE24" s="785">
        <v>0</v>
      </c>
      <c r="AF24" s="785">
        <v>0</v>
      </c>
      <c r="AG24" s="735">
        <f t="shared" si="4"/>
        <v>0</v>
      </c>
      <c r="AH24" s="784"/>
      <c r="AJ24" s="783"/>
      <c r="AK24" s="783"/>
    </row>
    <row r="25" spans="3:37" ht="12.75" hidden="1" customHeight="1" x14ac:dyDescent="0.3">
      <c r="C25" s="302"/>
      <c r="D25" s="17" t="s">
        <v>551</v>
      </c>
      <c r="E25" s="742"/>
      <c r="F25" s="785">
        <v>0</v>
      </c>
      <c r="G25" s="785">
        <v>0</v>
      </c>
      <c r="H25" s="785">
        <v>0</v>
      </c>
      <c r="I25" s="785">
        <v>0</v>
      </c>
      <c r="J25" s="785">
        <v>0</v>
      </c>
      <c r="K25" s="785">
        <v>0</v>
      </c>
      <c r="L25" s="785">
        <v>0</v>
      </c>
      <c r="M25" s="785">
        <v>0</v>
      </c>
      <c r="N25" s="785">
        <v>0</v>
      </c>
      <c r="O25" s="785">
        <v>0</v>
      </c>
      <c r="P25" s="785">
        <v>0</v>
      </c>
      <c r="Q25" s="785">
        <v>0</v>
      </c>
      <c r="R25" s="785">
        <v>0</v>
      </c>
      <c r="S25" s="785">
        <f t="shared" si="3"/>
        <v>0</v>
      </c>
      <c r="T25" s="785">
        <v>0</v>
      </c>
      <c r="U25" s="785">
        <v>0</v>
      </c>
      <c r="V25" s="785">
        <v>0</v>
      </c>
      <c r="W25" s="785">
        <v>0</v>
      </c>
      <c r="X25" s="785">
        <v>0</v>
      </c>
      <c r="Y25" s="785">
        <v>0</v>
      </c>
      <c r="Z25" s="785">
        <v>0</v>
      </c>
      <c r="AA25" s="785">
        <v>0</v>
      </c>
      <c r="AB25" s="785">
        <v>0</v>
      </c>
      <c r="AC25" s="785">
        <v>0</v>
      </c>
      <c r="AD25" s="785">
        <v>0</v>
      </c>
      <c r="AE25" s="785">
        <v>0</v>
      </c>
      <c r="AF25" s="785">
        <v>0</v>
      </c>
      <c r="AG25" s="735">
        <f t="shared" si="4"/>
        <v>0</v>
      </c>
      <c r="AH25" s="784"/>
      <c r="AJ25" s="783"/>
      <c r="AK25" s="783"/>
    </row>
    <row r="26" spans="3:37" ht="13" x14ac:dyDescent="0.3">
      <c r="C26" s="302"/>
      <c r="D26" s="17" t="s">
        <v>552</v>
      </c>
      <c r="E26" s="742"/>
      <c r="F26" s="785">
        <v>3892000</v>
      </c>
      <c r="G26" s="785">
        <v>29548</v>
      </c>
      <c r="H26" s="785">
        <v>601463</v>
      </c>
      <c r="I26" s="785">
        <v>97425</v>
      </c>
      <c r="J26" s="785">
        <v>217665</v>
      </c>
      <c r="K26" s="785">
        <v>77892</v>
      </c>
      <c r="L26" s="785">
        <v>834397</v>
      </c>
      <c r="M26" s="785">
        <v>665080</v>
      </c>
      <c r="N26" s="785">
        <v>266190</v>
      </c>
      <c r="O26" s="785">
        <v>241773</v>
      </c>
      <c r="P26" s="785">
        <v>197171</v>
      </c>
      <c r="Q26" s="785">
        <v>0</v>
      </c>
      <c r="R26" s="785">
        <v>0</v>
      </c>
      <c r="S26" s="785">
        <f t="shared" si="3"/>
        <v>3228604</v>
      </c>
      <c r="T26" s="785">
        <v>3172356</v>
      </c>
      <c r="U26" s="785">
        <v>302728</v>
      </c>
      <c r="V26" s="785">
        <v>93814</v>
      </c>
      <c r="W26" s="785">
        <v>237881</v>
      </c>
      <c r="X26" s="785">
        <v>282890</v>
      </c>
      <c r="Y26" s="785">
        <v>302975</v>
      </c>
      <c r="Z26" s="785">
        <v>1154874</v>
      </c>
      <c r="AA26" s="785">
        <v>405597</v>
      </c>
      <c r="AB26" s="785">
        <v>42421</v>
      </c>
      <c r="AC26" s="785">
        <v>320035</v>
      </c>
      <c r="AD26" s="785">
        <v>18026</v>
      </c>
      <c r="AE26" s="785">
        <v>6820</v>
      </c>
      <c r="AF26" s="785">
        <v>4295</v>
      </c>
      <c r="AG26" s="735">
        <f t="shared" si="4"/>
        <v>3161241</v>
      </c>
      <c r="AH26" s="784"/>
      <c r="AJ26" s="783"/>
      <c r="AK26" s="783"/>
    </row>
    <row r="27" spans="3:37" ht="12.75" hidden="1" customHeight="1" x14ac:dyDescent="0.3">
      <c r="C27" s="302"/>
      <c r="D27" s="17" t="s">
        <v>553</v>
      </c>
      <c r="E27" s="742"/>
      <c r="F27" s="785">
        <v>0</v>
      </c>
      <c r="G27" s="785">
        <v>0</v>
      </c>
      <c r="H27" s="785">
        <v>0</v>
      </c>
      <c r="I27" s="785">
        <v>0</v>
      </c>
      <c r="J27" s="785">
        <v>0</v>
      </c>
      <c r="K27" s="785">
        <v>0</v>
      </c>
      <c r="L27" s="785">
        <v>0</v>
      </c>
      <c r="M27" s="785">
        <v>0</v>
      </c>
      <c r="N27" s="785">
        <v>0</v>
      </c>
      <c r="O27" s="785">
        <v>0</v>
      </c>
      <c r="P27" s="785">
        <v>0</v>
      </c>
      <c r="Q27" s="785">
        <v>0</v>
      </c>
      <c r="R27" s="785">
        <v>0</v>
      </c>
      <c r="S27" s="735">
        <f t="shared" si="3"/>
        <v>0</v>
      </c>
      <c r="T27" s="785">
        <v>0</v>
      </c>
      <c r="U27" s="172">
        <v>0</v>
      </c>
      <c r="V27" s="172">
        <v>0</v>
      </c>
      <c r="W27" s="172">
        <v>0</v>
      </c>
      <c r="X27" s="172">
        <v>0</v>
      </c>
      <c r="Y27" s="172">
        <v>0</v>
      </c>
      <c r="Z27" s="172">
        <v>0</v>
      </c>
      <c r="AA27" s="172">
        <v>0</v>
      </c>
      <c r="AB27" s="172">
        <v>0</v>
      </c>
      <c r="AC27" s="172">
        <v>0</v>
      </c>
      <c r="AD27" s="172">
        <v>0</v>
      </c>
      <c r="AE27" s="172">
        <v>0</v>
      </c>
      <c r="AF27" s="172">
        <v>0</v>
      </c>
      <c r="AG27" s="735">
        <f t="shared" si="4"/>
        <v>0</v>
      </c>
      <c r="AH27" s="784"/>
      <c r="AJ27" s="783"/>
      <c r="AK27" s="783"/>
    </row>
    <row r="28" spans="3:37" ht="12.75" hidden="1" customHeight="1" x14ac:dyDescent="0.3">
      <c r="C28" s="302"/>
      <c r="D28" s="17" t="s">
        <v>554</v>
      </c>
      <c r="E28" s="58" t="s">
        <v>70</v>
      </c>
      <c r="F28" s="785">
        <v>0</v>
      </c>
      <c r="G28" s="785">
        <v>0</v>
      </c>
      <c r="H28" s="785">
        <v>0</v>
      </c>
      <c r="I28" s="785">
        <v>0</v>
      </c>
      <c r="J28" s="785">
        <v>0</v>
      </c>
      <c r="K28" s="785">
        <v>0</v>
      </c>
      <c r="L28" s="785">
        <v>0</v>
      </c>
      <c r="M28" s="785">
        <v>0</v>
      </c>
      <c r="N28" s="785">
        <v>0</v>
      </c>
      <c r="O28" s="785">
        <v>0</v>
      </c>
      <c r="P28" s="785">
        <v>0</v>
      </c>
      <c r="Q28" s="785">
        <v>0</v>
      </c>
      <c r="R28" s="785">
        <v>0</v>
      </c>
      <c r="S28" s="735">
        <f t="shared" si="3"/>
        <v>0</v>
      </c>
      <c r="T28" s="785">
        <v>0</v>
      </c>
      <c r="U28" s="172">
        <v>0</v>
      </c>
      <c r="V28" s="172">
        <v>0</v>
      </c>
      <c r="W28" s="172">
        <v>0</v>
      </c>
      <c r="X28" s="172">
        <v>0</v>
      </c>
      <c r="Y28" s="172">
        <v>0</v>
      </c>
      <c r="Z28" s="172">
        <v>0</v>
      </c>
      <c r="AA28" s="172">
        <v>0</v>
      </c>
      <c r="AB28" s="172">
        <v>0</v>
      </c>
      <c r="AC28" s="172">
        <v>0</v>
      </c>
      <c r="AD28" s="172">
        <v>0</v>
      </c>
      <c r="AE28" s="172">
        <v>0</v>
      </c>
      <c r="AF28" s="172">
        <v>0</v>
      </c>
      <c r="AG28" s="735">
        <f t="shared" si="4"/>
        <v>0</v>
      </c>
      <c r="AH28" s="784"/>
      <c r="AJ28" s="783"/>
      <c r="AK28" s="783"/>
    </row>
    <row r="29" spans="3:37" ht="12.75" hidden="1" customHeight="1" x14ac:dyDescent="0.3">
      <c r="C29" s="302"/>
      <c r="D29" s="17" t="s">
        <v>555</v>
      </c>
      <c r="E29" s="742"/>
      <c r="F29" s="785">
        <v>0</v>
      </c>
      <c r="G29" s="785">
        <v>0</v>
      </c>
      <c r="H29" s="785">
        <v>0</v>
      </c>
      <c r="I29" s="785">
        <v>0</v>
      </c>
      <c r="J29" s="785">
        <v>0</v>
      </c>
      <c r="K29" s="785">
        <v>0</v>
      </c>
      <c r="L29" s="785">
        <v>0</v>
      </c>
      <c r="M29" s="785">
        <v>0</v>
      </c>
      <c r="N29" s="785">
        <v>0</v>
      </c>
      <c r="O29" s="785">
        <v>0</v>
      </c>
      <c r="P29" s="785">
        <v>0</v>
      </c>
      <c r="Q29" s="785">
        <v>0</v>
      </c>
      <c r="R29" s="785">
        <v>0</v>
      </c>
      <c r="S29" s="735">
        <f>SUM(G29:R29)</f>
        <v>0</v>
      </c>
      <c r="T29" s="785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2">
        <v>0</v>
      </c>
      <c r="AE29" s="172">
        <v>0</v>
      </c>
      <c r="AF29" s="172">
        <v>0</v>
      </c>
      <c r="AG29" s="735">
        <f t="shared" si="4"/>
        <v>0</v>
      </c>
      <c r="AH29" s="784"/>
      <c r="AJ29" s="783"/>
      <c r="AK29" s="783"/>
    </row>
    <row r="30" spans="3:37" ht="12.75" hidden="1" customHeight="1" x14ac:dyDescent="0.3">
      <c r="C30" s="302"/>
      <c r="D30" s="17" t="s">
        <v>556</v>
      </c>
      <c r="E30" s="742"/>
      <c r="F30" s="785">
        <v>0</v>
      </c>
      <c r="G30" s="785">
        <v>0</v>
      </c>
      <c r="H30" s="785">
        <v>0</v>
      </c>
      <c r="I30" s="785">
        <v>0</v>
      </c>
      <c r="J30" s="785">
        <v>0</v>
      </c>
      <c r="K30" s="785">
        <v>0</v>
      </c>
      <c r="L30" s="785">
        <v>0</v>
      </c>
      <c r="M30" s="785">
        <v>0</v>
      </c>
      <c r="N30" s="785">
        <v>0</v>
      </c>
      <c r="O30" s="785">
        <v>0</v>
      </c>
      <c r="P30" s="785">
        <v>0</v>
      </c>
      <c r="Q30" s="785">
        <v>0</v>
      </c>
      <c r="R30" s="785">
        <v>0</v>
      </c>
      <c r="S30" s="735">
        <f t="shared" si="3"/>
        <v>0</v>
      </c>
      <c r="T30" s="785">
        <v>0</v>
      </c>
      <c r="U30" s="172">
        <v>0</v>
      </c>
      <c r="V30" s="172">
        <v>0</v>
      </c>
      <c r="W30" s="172">
        <v>0</v>
      </c>
      <c r="X30" s="172">
        <v>0</v>
      </c>
      <c r="Y30" s="172">
        <v>0</v>
      </c>
      <c r="Z30" s="172">
        <v>0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735">
        <f t="shared" si="4"/>
        <v>0</v>
      </c>
      <c r="AH30" s="784"/>
      <c r="AJ30" s="783"/>
      <c r="AK30" s="783"/>
    </row>
    <row r="31" spans="3:37" ht="12.75" hidden="1" customHeight="1" x14ac:dyDescent="0.3">
      <c r="C31" s="302"/>
      <c r="D31" s="17" t="s">
        <v>557</v>
      </c>
      <c r="E31" s="742"/>
      <c r="F31" s="785">
        <v>0</v>
      </c>
      <c r="G31" s="785">
        <v>0</v>
      </c>
      <c r="H31" s="785">
        <v>0</v>
      </c>
      <c r="I31" s="785">
        <v>0</v>
      </c>
      <c r="J31" s="785">
        <v>0</v>
      </c>
      <c r="K31" s="785">
        <v>0</v>
      </c>
      <c r="L31" s="785">
        <v>0</v>
      </c>
      <c r="M31" s="785">
        <v>0</v>
      </c>
      <c r="N31" s="785">
        <v>0</v>
      </c>
      <c r="O31" s="785">
        <v>0</v>
      </c>
      <c r="P31" s="785">
        <v>0</v>
      </c>
      <c r="Q31" s="785">
        <v>0</v>
      </c>
      <c r="R31" s="785">
        <v>0</v>
      </c>
      <c r="S31" s="735">
        <f t="shared" si="3"/>
        <v>0</v>
      </c>
      <c r="T31" s="785">
        <v>0</v>
      </c>
      <c r="U31" s="172">
        <v>0</v>
      </c>
      <c r="V31" s="172">
        <v>0</v>
      </c>
      <c r="W31" s="172">
        <v>0</v>
      </c>
      <c r="X31" s="172">
        <v>0</v>
      </c>
      <c r="Y31" s="172">
        <v>0</v>
      </c>
      <c r="Z31" s="172">
        <v>0</v>
      </c>
      <c r="AA31" s="172">
        <v>0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735">
        <f t="shared" si="4"/>
        <v>0</v>
      </c>
      <c r="AH31" s="784"/>
      <c r="AJ31" s="783"/>
      <c r="AK31" s="783"/>
    </row>
    <row r="32" spans="3:37" ht="12.75" hidden="1" customHeight="1" x14ac:dyDescent="0.3">
      <c r="C32" s="302"/>
      <c r="D32" s="17" t="s">
        <v>558</v>
      </c>
      <c r="E32" s="742"/>
      <c r="F32" s="785">
        <v>0</v>
      </c>
      <c r="G32" s="785">
        <v>0</v>
      </c>
      <c r="H32" s="785">
        <v>0</v>
      </c>
      <c r="I32" s="785">
        <v>0</v>
      </c>
      <c r="J32" s="785">
        <v>0</v>
      </c>
      <c r="K32" s="785">
        <v>0</v>
      </c>
      <c r="L32" s="785">
        <v>0</v>
      </c>
      <c r="M32" s="785">
        <v>0</v>
      </c>
      <c r="N32" s="785">
        <v>0</v>
      </c>
      <c r="O32" s="785">
        <v>0</v>
      </c>
      <c r="P32" s="785">
        <v>0</v>
      </c>
      <c r="Q32" s="785">
        <v>0</v>
      </c>
      <c r="R32" s="785">
        <v>0</v>
      </c>
      <c r="S32" s="735">
        <f t="shared" si="3"/>
        <v>0</v>
      </c>
      <c r="T32" s="785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735">
        <f t="shared" si="4"/>
        <v>0</v>
      </c>
      <c r="AH32" s="784"/>
      <c r="AJ32" s="783"/>
      <c r="AK32" s="783"/>
    </row>
    <row r="33" spans="3:37" ht="12.75" hidden="1" customHeight="1" x14ac:dyDescent="0.3">
      <c r="C33" s="302"/>
      <c r="D33" s="17" t="s">
        <v>558</v>
      </c>
      <c r="E33" s="742"/>
      <c r="F33" s="785">
        <v>0</v>
      </c>
      <c r="G33" s="785">
        <v>0</v>
      </c>
      <c r="H33" s="785">
        <v>0</v>
      </c>
      <c r="I33" s="785">
        <v>0</v>
      </c>
      <c r="J33" s="785">
        <v>0</v>
      </c>
      <c r="K33" s="785">
        <v>0</v>
      </c>
      <c r="L33" s="785">
        <v>0</v>
      </c>
      <c r="M33" s="785">
        <v>0</v>
      </c>
      <c r="N33" s="785">
        <v>0</v>
      </c>
      <c r="O33" s="785">
        <v>0</v>
      </c>
      <c r="P33" s="785">
        <v>0</v>
      </c>
      <c r="Q33" s="785">
        <v>0</v>
      </c>
      <c r="R33" s="785">
        <v>0</v>
      </c>
      <c r="S33" s="735">
        <f t="shared" si="3"/>
        <v>0</v>
      </c>
      <c r="T33" s="785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735">
        <f t="shared" si="4"/>
        <v>0</v>
      </c>
      <c r="AH33" s="784"/>
      <c r="AJ33" s="783"/>
      <c r="AK33" s="783"/>
    </row>
    <row r="34" spans="3:37" ht="15" hidden="1" customHeight="1" x14ac:dyDescent="0.3">
      <c r="C34" s="302"/>
      <c r="D34" s="17" t="s">
        <v>559</v>
      </c>
      <c r="E34" s="742"/>
      <c r="F34" s="785">
        <v>0</v>
      </c>
      <c r="G34" s="785">
        <v>0</v>
      </c>
      <c r="H34" s="785">
        <v>0</v>
      </c>
      <c r="I34" s="785">
        <v>0</v>
      </c>
      <c r="J34" s="785">
        <v>0</v>
      </c>
      <c r="K34" s="785">
        <v>0</v>
      </c>
      <c r="L34" s="785">
        <v>0</v>
      </c>
      <c r="M34" s="785">
        <v>0</v>
      </c>
      <c r="N34" s="785">
        <v>0</v>
      </c>
      <c r="O34" s="785">
        <v>0</v>
      </c>
      <c r="P34" s="785">
        <v>0</v>
      </c>
      <c r="Q34" s="785">
        <v>0</v>
      </c>
      <c r="R34" s="785">
        <v>0</v>
      </c>
      <c r="S34" s="735">
        <f t="shared" si="3"/>
        <v>0</v>
      </c>
      <c r="T34" s="785">
        <v>0</v>
      </c>
      <c r="U34" s="172">
        <v>0</v>
      </c>
      <c r="V34" s="172">
        <v>0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735">
        <f t="shared" si="4"/>
        <v>0</v>
      </c>
      <c r="AH34" s="784"/>
      <c r="AJ34" s="783"/>
      <c r="AK34" s="783"/>
    </row>
    <row r="35" spans="3:37" ht="12.75" customHeight="1" x14ac:dyDescent="0.3">
      <c r="C35" s="302"/>
      <c r="D35" s="17" t="s">
        <v>560</v>
      </c>
      <c r="E35" s="742"/>
      <c r="F35" s="785">
        <v>0</v>
      </c>
      <c r="G35" s="785">
        <v>0</v>
      </c>
      <c r="H35" s="785">
        <v>0</v>
      </c>
      <c r="I35" s="785">
        <v>0</v>
      </c>
      <c r="J35" s="785">
        <v>0</v>
      </c>
      <c r="K35" s="785">
        <v>0</v>
      </c>
      <c r="L35" s="785">
        <v>0</v>
      </c>
      <c r="M35" s="785">
        <v>0</v>
      </c>
      <c r="N35" s="785">
        <v>0</v>
      </c>
      <c r="O35" s="785">
        <v>0</v>
      </c>
      <c r="P35" s="785">
        <v>0</v>
      </c>
      <c r="Q35" s="785">
        <v>0</v>
      </c>
      <c r="R35" s="785">
        <v>0</v>
      </c>
      <c r="S35" s="735">
        <f>SUM(G35:R35)</f>
        <v>0</v>
      </c>
      <c r="T35" s="785">
        <v>1155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554</v>
      </c>
      <c r="AA35" s="172">
        <v>0</v>
      </c>
      <c r="AB35" s="172">
        <v>-277</v>
      </c>
      <c r="AC35" s="172">
        <v>0</v>
      </c>
      <c r="AD35" s="172">
        <v>0</v>
      </c>
      <c r="AE35" s="172">
        <v>0</v>
      </c>
      <c r="AF35" s="172">
        <v>878</v>
      </c>
      <c r="AG35" s="735">
        <f t="shared" si="4"/>
        <v>277</v>
      </c>
      <c r="AH35" s="784"/>
      <c r="AJ35" s="783"/>
      <c r="AK35" s="783"/>
    </row>
    <row r="36" spans="3:37" ht="13" hidden="1" x14ac:dyDescent="0.3">
      <c r="C36" s="302"/>
      <c r="D36" s="17" t="s">
        <v>561</v>
      </c>
      <c r="E36" s="742"/>
      <c r="F36" s="785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2">
        <v>0</v>
      </c>
      <c r="O36" s="172">
        <v>0</v>
      </c>
      <c r="P36" s="172">
        <v>0</v>
      </c>
      <c r="Q36" s="172">
        <v>0</v>
      </c>
      <c r="R36" s="172">
        <v>0</v>
      </c>
      <c r="S36" s="735">
        <f>SUM(G36:R36)</f>
        <v>0</v>
      </c>
      <c r="T36" s="785">
        <v>0</v>
      </c>
      <c r="U36" s="172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  <c r="AC36" s="172">
        <v>0</v>
      </c>
      <c r="AD36" s="172">
        <v>0</v>
      </c>
      <c r="AE36" s="172">
        <v>0</v>
      </c>
      <c r="AF36" s="172">
        <v>0</v>
      </c>
      <c r="AG36" s="735">
        <f t="shared" si="4"/>
        <v>0</v>
      </c>
      <c r="AH36" s="784"/>
      <c r="AJ36" s="783"/>
      <c r="AK36" s="783">
        <v>1316271</v>
      </c>
    </row>
    <row r="37" spans="3:37" ht="13" hidden="1" x14ac:dyDescent="0.3">
      <c r="C37" s="302"/>
      <c r="D37" s="17" t="s">
        <v>562</v>
      </c>
      <c r="E37" s="742"/>
      <c r="F37" s="785">
        <v>0</v>
      </c>
      <c r="G37" s="172">
        <v>0</v>
      </c>
      <c r="H37" s="172">
        <v>0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735">
        <f>SUM(G37:R37)</f>
        <v>0</v>
      </c>
      <c r="T37" s="785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735">
        <f t="shared" si="4"/>
        <v>0</v>
      </c>
      <c r="AH37" s="784"/>
      <c r="AJ37" s="783"/>
      <c r="AK37" s="783"/>
    </row>
    <row r="38" spans="3:37" ht="13" x14ac:dyDescent="0.3">
      <c r="C38" s="302"/>
      <c r="D38" s="17" t="s">
        <v>563</v>
      </c>
      <c r="E38" s="742"/>
      <c r="F38" s="172">
        <v>0</v>
      </c>
      <c r="G38" s="172">
        <v>0</v>
      </c>
      <c r="H38" s="172">
        <v>0</v>
      </c>
      <c r="I38" s="172">
        <v>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72">
        <v>0</v>
      </c>
      <c r="P38" s="172">
        <v>0</v>
      </c>
      <c r="Q38" s="172">
        <v>0</v>
      </c>
      <c r="R38" s="172">
        <v>0</v>
      </c>
      <c r="S38" s="735">
        <f>SUM(G38:R38)</f>
        <v>0</v>
      </c>
      <c r="T38" s="172">
        <v>197477</v>
      </c>
      <c r="U38" s="172">
        <v>0</v>
      </c>
      <c r="V38" s="172">
        <v>0</v>
      </c>
      <c r="W38" s="172">
        <v>0</v>
      </c>
      <c r="X38" s="172">
        <v>0</v>
      </c>
      <c r="Y38" s="172">
        <v>0</v>
      </c>
      <c r="Z38" s="172">
        <v>0</v>
      </c>
      <c r="AA38" s="172">
        <v>0</v>
      </c>
      <c r="AB38" s="172">
        <v>0</v>
      </c>
      <c r="AC38" s="172">
        <v>0</v>
      </c>
      <c r="AD38" s="172">
        <v>0</v>
      </c>
      <c r="AE38" s="172">
        <v>0</v>
      </c>
      <c r="AF38" s="172">
        <v>197477</v>
      </c>
      <c r="AG38" s="735">
        <f t="shared" si="4"/>
        <v>0</v>
      </c>
      <c r="AH38" s="784"/>
      <c r="AJ38" s="783"/>
      <c r="AK38" s="783"/>
    </row>
    <row r="39" spans="3:37" ht="12.75" customHeight="1" x14ac:dyDescent="0.3">
      <c r="C39" s="302"/>
      <c r="D39" s="17"/>
      <c r="E39" s="58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735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735"/>
      <c r="AH39" s="784"/>
      <c r="AJ39" s="783"/>
      <c r="AK39" s="783"/>
    </row>
    <row r="40" spans="3:37" ht="13" x14ac:dyDescent="0.3">
      <c r="C40" s="302" t="s">
        <v>564</v>
      </c>
      <c r="D40" s="6"/>
      <c r="E40" s="76"/>
      <c r="F40" s="236">
        <f t="shared" ref="F40:AG40" si="5">SUM(F41:F49)</f>
        <v>-263112</v>
      </c>
      <c r="G40" s="236">
        <f t="shared" si="5"/>
        <v>-183362</v>
      </c>
      <c r="H40" s="236">
        <f t="shared" si="5"/>
        <v>-60398</v>
      </c>
      <c r="I40" s="236">
        <f t="shared" si="5"/>
        <v>-19201</v>
      </c>
      <c r="J40" s="236">
        <f t="shared" si="5"/>
        <v>-9</v>
      </c>
      <c r="K40" s="236">
        <f t="shared" si="5"/>
        <v>-118</v>
      </c>
      <c r="L40" s="236">
        <f t="shared" si="5"/>
        <v>-24</v>
      </c>
      <c r="M40" s="236">
        <f t="shared" si="5"/>
        <v>-19</v>
      </c>
      <c r="N40" s="236">
        <f t="shared" si="5"/>
        <v>-25</v>
      </c>
      <c r="O40" s="236">
        <f>SUM(O41:O49)</f>
        <v>-47</v>
      </c>
      <c r="P40" s="236">
        <f t="shared" si="5"/>
        <v>-1</v>
      </c>
      <c r="Q40" s="236">
        <f t="shared" si="5"/>
        <v>0</v>
      </c>
      <c r="R40" s="236">
        <f t="shared" si="5"/>
        <v>0</v>
      </c>
      <c r="S40" s="236">
        <f t="shared" si="5"/>
        <v>-263204</v>
      </c>
      <c r="T40" s="236">
        <f t="shared" si="5"/>
        <v>-2173438</v>
      </c>
      <c r="U40" s="236">
        <f t="shared" si="5"/>
        <v>-568183</v>
      </c>
      <c r="V40" s="236">
        <f t="shared" si="5"/>
        <v>-167688</v>
      </c>
      <c r="W40" s="236">
        <f t="shared" si="5"/>
        <v>-321726</v>
      </c>
      <c r="X40" s="236">
        <f t="shared" si="5"/>
        <v>-123151</v>
      </c>
      <c r="Y40" s="236">
        <f t="shared" si="5"/>
        <v>-177148</v>
      </c>
      <c r="Z40" s="236">
        <f t="shared" si="5"/>
        <v>-92657</v>
      </c>
      <c r="AA40" s="236">
        <f t="shared" si="5"/>
        <v>-146127</v>
      </c>
      <c r="AB40" s="236">
        <f t="shared" si="5"/>
        <v>-103506</v>
      </c>
      <c r="AC40" s="236">
        <f t="shared" si="5"/>
        <v>-110277</v>
      </c>
      <c r="AD40" s="236">
        <f t="shared" si="5"/>
        <v>-66014</v>
      </c>
      <c r="AE40" s="236">
        <f t="shared" si="5"/>
        <v>-66119</v>
      </c>
      <c r="AF40" s="236">
        <f>SUM(AF41:AF49)</f>
        <v>-230842</v>
      </c>
      <c r="AG40" s="236">
        <f t="shared" si="5"/>
        <v>-1876477</v>
      </c>
      <c r="AH40" s="784"/>
      <c r="AJ40" s="782"/>
      <c r="AK40" s="783"/>
    </row>
    <row r="41" spans="3:37" ht="13" hidden="1" x14ac:dyDescent="0.3">
      <c r="C41" s="786"/>
      <c r="D41" s="17" t="s">
        <v>565</v>
      </c>
      <c r="E41" s="742"/>
      <c r="F41" s="172">
        <v>0</v>
      </c>
      <c r="G41" s="735">
        <v>0</v>
      </c>
      <c r="H41" s="735">
        <v>0</v>
      </c>
      <c r="I41" s="735">
        <v>0</v>
      </c>
      <c r="J41" s="735">
        <v>0</v>
      </c>
      <c r="K41" s="735">
        <v>0</v>
      </c>
      <c r="L41" s="735">
        <v>0</v>
      </c>
      <c r="M41" s="735">
        <v>0</v>
      </c>
      <c r="N41" s="735">
        <v>0</v>
      </c>
      <c r="O41" s="735">
        <v>0</v>
      </c>
      <c r="P41" s="735">
        <v>0</v>
      </c>
      <c r="Q41" s="735">
        <v>0</v>
      </c>
      <c r="R41" s="735">
        <v>0</v>
      </c>
      <c r="S41" s="735">
        <f t="shared" ref="S41:S49" si="6">SUM(G41:R41)</f>
        <v>0</v>
      </c>
      <c r="T41" s="172">
        <v>0</v>
      </c>
      <c r="U41" s="735">
        <v>0</v>
      </c>
      <c r="V41" s="735">
        <v>0</v>
      </c>
      <c r="W41" s="735">
        <v>0</v>
      </c>
      <c r="X41" s="735">
        <v>0</v>
      </c>
      <c r="Y41" s="735">
        <v>0</v>
      </c>
      <c r="Z41" s="735">
        <v>0</v>
      </c>
      <c r="AA41" s="735">
        <v>0</v>
      </c>
      <c r="AB41" s="735">
        <v>0</v>
      </c>
      <c r="AC41" s="735">
        <v>0</v>
      </c>
      <c r="AD41" s="735">
        <v>0</v>
      </c>
      <c r="AE41" s="735">
        <v>0</v>
      </c>
      <c r="AF41" s="735">
        <v>0</v>
      </c>
      <c r="AG41" s="735">
        <f>SUM(U41:AF41)</f>
        <v>0</v>
      </c>
      <c r="AH41" s="781"/>
      <c r="AJ41" s="783"/>
      <c r="AK41" s="783"/>
    </row>
    <row r="42" spans="3:37" ht="13" hidden="1" x14ac:dyDescent="0.3">
      <c r="C42" s="786"/>
      <c r="D42" s="17" t="s">
        <v>566</v>
      </c>
      <c r="E42" s="742"/>
      <c r="F42" s="785">
        <v>0</v>
      </c>
      <c r="G42" s="735">
        <v>0</v>
      </c>
      <c r="H42" s="735">
        <v>0</v>
      </c>
      <c r="I42" s="735">
        <v>0</v>
      </c>
      <c r="J42" s="735">
        <v>0</v>
      </c>
      <c r="K42" s="735">
        <v>0</v>
      </c>
      <c r="L42" s="735">
        <v>0</v>
      </c>
      <c r="M42" s="735">
        <v>0</v>
      </c>
      <c r="N42" s="735">
        <v>0</v>
      </c>
      <c r="O42" s="735">
        <v>0</v>
      </c>
      <c r="P42" s="735">
        <v>0</v>
      </c>
      <c r="Q42" s="735">
        <v>0</v>
      </c>
      <c r="R42" s="735">
        <v>0</v>
      </c>
      <c r="S42" s="735">
        <f t="shared" si="6"/>
        <v>0</v>
      </c>
      <c r="T42" s="785">
        <v>0</v>
      </c>
      <c r="U42" s="735">
        <v>0</v>
      </c>
      <c r="V42" s="735">
        <v>0</v>
      </c>
      <c r="W42" s="735">
        <v>0</v>
      </c>
      <c r="X42" s="735">
        <v>0</v>
      </c>
      <c r="Y42" s="735">
        <v>0</v>
      </c>
      <c r="Z42" s="735">
        <v>0</v>
      </c>
      <c r="AA42" s="735">
        <v>0</v>
      </c>
      <c r="AB42" s="735">
        <v>0</v>
      </c>
      <c r="AC42" s="735">
        <v>0</v>
      </c>
      <c r="AD42" s="735">
        <v>0</v>
      </c>
      <c r="AE42" s="735">
        <v>0</v>
      </c>
      <c r="AF42" s="735">
        <v>0</v>
      </c>
      <c r="AG42" s="735">
        <f>SUM(U42:AF42)</f>
        <v>0</v>
      </c>
      <c r="AH42" s="781"/>
      <c r="AJ42" s="783"/>
      <c r="AK42" s="783"/>
    </row>
    <row r="43" spans="3:37" ht="13" x14ac:dyDescent="0.3">
      <c r="C43" s="786"/>
      <c r="D43" s="17" t="s">
        <v>567</v>
      </c>
      <c r="E43" s="76" t="s">
        <v>87</v>
      </c>
      <c r="F43" s="785">
        <v>-53695</v>
      </c>
      <c r="G43" s="735">
        <v>-53695</v>
      </c>
      <c r="H43" s="735">
        <v>0</v>
      </c>
      <c r="I43" s="735">
        <v>0</v>
      </c>
      <c r="J43" s="735">
        <v>0</v>
      </c>
      <c r="K43" s="735">
        <v>0</v>
      </c>
      <c r="L43" s="735">
        <v>0</v>
      </c>
      <c r="M43" s="735">
        <v>0</v>
      </c>
      <c r="N43" s="735">
        <v>0</v>
      </c>
      <c r="O43" s="735">
        <v>0</v>
      </c>
      <c r="P43" s="735">
        <v>0</v>
      </c>
      <c r="Q43" s="735">
        <v>0</v>
      </c>
      <c r="R43" s="735">
        <v>0</v>
      </c>
      <c r="S43" s="735">
        <f t="shared" si="6"/>
        <v>-53695</v>
      </c>
      <c r="T43" s="785">
        <v>-74826</v>
      </c>
      <c r="U43" s="735">
        <v>-74826</v>
      </c>
      <c r="V43" s="735">
        <v>0</v>
      </c>
      <c r="W43" s="735">
        <v>0</v>
      </c>
      <c r="X43" s="735">
        <v>0</v>
      </c>
      <c r="Y43" s="735">
        <v>0</v>
      </c>
      <c r="Z43" s="735">
        <v>0</v>
      </c>
      <c r="AA43" s="735">
        <v>0</v>
      </c>
      <c r="AB43" s="735">
        <v>0</v>
      </c>
      <c r="AC43" s="735">
        <v>0</v>
      </c>
      <c r="AD43" s="735">
        <v>0</v>
      </c>
      <c r="AE43" s="735">
        <v>0</v>
      </c>
      <c r="AF43" s="735">
        <v>0</v>
      </c>
      <c r="AG43" s="735">
        <f t="shared" ref="AG43:AG49" si="7">SUM(U43:AD43)</f>
        <v>-74826</v>
      </c>
      <c r="AH43" s="781"/>
      <c r="AJ43" s="783"/>
      <c r="AK43" s="783"/>
    </row>
    <row r="44" spans="3:37" ht="12.75" customHeight="1" x14ac:dyDescent="0.3">
      <c r="C44" s="786"/>
      <c r="D44" s="17" t="s">
        <v>568</v>
      </c>
      <c r="E44" s="742"/>
      <c r="F44" s="785">
        <v>-70724</v>
      </c>
      <c r="G44" s="735">
        <v>-70706</v>
      </c>
      <c r="H44" s="735">
        <v>0</v>
      </c>
      <c r="I44" s="735">
        <f>-17-1</f>
        <v>-18</v>
      </c>
      <c r="J44" s="735">
        <v>0</v>
      </c>
      <c r="K44" s="735">
        <v>0</v>
      </c>
      <c r="L44" s="735">
        <v>0</v>
      </c>
      <c r="M44" s="735">
        <v>0</v>
      </c>
      <c r="N44" s="735">
        <v>0</v>
      </c>
      <c r="O44" s="735">
        <v>0</v>
      </c>
      <c r="P44" s="735">
        <v>0</v>
      </c>
      <c r="Q44" s="735">
        <v>0</v>
      </c>
      <c r="R44" s="735">
        <v>0</v>
      </c>
      <c r="S44" s="735">
        <f t="shared" si="6"/>
        <v>-70724</v>
      </c>
      <c r="T44" s="785">
        <v>-194650</v>
      </c>
      <c r="U44" s="735">
        <v>0</v>
      </c>
      <c r="V44" s="735">
        <v>0</v>
      </c>
      <c r="W44" s="735">
        <v>0</v>
      </c>
      <c r="X44" s="735">
        <v>0</v>
      </c>
      <c r="Y44" s="735">
        <v>0</v>
      </c>
      <c r="Z44" s="735">
        <v>-26</v>
      </c>
      <c r="AA44" s="735">
        <v>-28</v>
      </c>
      <c r="AB44" s="735">
        <v>-4390</v>
      </c>
      <c r="AC44" s="735">
        <v>-130</v>
      </c>
      <c r="AD44" s="735">
        <v>-27</v>
      </c>
      <c r="AE44" s="735">
        <v>-1646</v>
      </c>
      <c r="AF44" s="735">
        <v>-188403</v>
      </c>
      <c r="AG44" s="735">
        <f t="shared" si="7"/>
        <v>-4601</v>
      </c>
      <c r="AH44" s="781"/>
      <c r="AJ44" s="783"/>
      <c r="AK44" s="783"/>
    </row>
    <row r="45" spans="3:37" ht="13" x14ac:dyDescent="0.3">
      <c r="C45" s="786"/>
      <c r="D45" s="17" t="s">
        <v>569</v>
      </c>
      <c r="E45" s="742"/>
      <c r="F45" s="785">
        <v>-138317</v>
      </c>
      <c r="G45" s="735">
        <v>-58894</v>
      </c>
      <c r="H45" s="735">
        <v>-60276</v>
      </c>
      <c r="I45" s="735">
        <v>-19147</v>
      </c>
      <c r="J45" s="735">
        <v>0</v>
      </c>
      <c r="K45" s="735">
        <v>0</v>
      </c>
      <c r="L45" s="735">
        <v>0</v>
      </c>
      <c r="M45" s="735">
        <v>0</v>
      </c>
      <c r="N45" s="735">
        <v>0</v>
      </c>
      <c r="O45" s="735">
        <v>0</v>
      </c>
      <c r="P45" s="735">
        <v>0</v>
      </c>
      <c r="Q45" s="735">
        <v>0</v>
      </c>
      <c r="R45" s="735">
        <v>0</v>
      </c>
      <c r="S45" s="735">
        <f t="shared" si="6"/>
        <v>-138317</v>
      </c>
      <c r="T45" s="785">
        <v>-1903687</v>
      </c>
      <c r="U45" s="735">
        <v>-493352</v>
      </c>
      <c r="V45" s="735">
        <v>-167688</v>
      </c>
      <c r="W45" s="735">
        <v>-321689</v>
      </c>
      <c r="X45" s="735">
        <v>-123142</v>
      </c>
      <c r="Y45" s="735">
        <v>-177146</v>
      </c>
      <c r="Z45" s="735">
        <v>-92631</v>
      </c>
      <c r="AA45" s="735">
        <v>-146088</v>
      </c>
      <c r="AB45" s="735">
        <v>-99056</v>
      </c>
      <c r="AC45" s="735">
        <v>-110140</v>
      </c>
      <c r="AD45" s="735">
        <v>-65987</v>
      </c>
      <c r="AE45" s="735">
        <v>-64449</v>
      </c>
      <c r="AF45" s="735">
        <v>-42319</v>
      </c>
      <c r="AG45" s="735">
        <f t="shared" si="7"/>
        <v>-1796919</v>
      </c>
      <c r="AH45" s="781"/>
      <c r="AJ45" s="783"/>
      <c r="AK45" s="783"/>
    </row>
    <row r="46" spans="3:37" ht="13" hidden="1" x14ac:dyDescent="0.3">
      <c r="C46" s="786"/>
      <c r="D46" s="17" t="s">
        <v>570</v>
      </c>
      <c r="E46" s="742"/>
      <c r="F46" s="785">
        <v>0</v>
      </c>
      <c r="G46" s="735">
        <v>0</v>
      </c>
      <c r="H46" s="735">
        <v>0</v>
      </c>
      <c r="I46" s="735">
        <v>0</v>
      </c>
      <c r="J46" s="735">
        <v>0</v>
      </c>
      <c r="K46" s="735">
        <v>0</v>
      </c>
      <c r="L46" s="735">
        <v>0</v>
      </c>
      <c r="M46" s="735">
        <v>0</v>
      </c>
      <c r="N46" s="735">
        <v>0</v>
      </c>
      <c r="O46" s="735">
        <v>0</v>
      </c>
      <c r="P46" s="735">
        <v>0</v>
      </c>
      <c r="Q46" s="735">
        <v>0</v>
      </c>
      <c r="R46" s="735">
        <v>0</v>
      </c>
      <c r="S46" s="735">
        <f t="shared" si="6"/>
        <v>0</v>
      </c>
      <c r="T46" s="785">
        <v>0</v>
      </c>
      <c r="U46" s="735">
        <v>0</v>
      </c>
      <c r="V46" s="735">
        <v>0</v>
      </c>
      <c r="W46" s="735">
        <v>0</v>
      </c>
      <c r="X46" s="735">
        <v>0</v>
      </c>
      <c r="Y46" s="735">
        <v>0</v>
      </c>
      <c r="Z46" s="735">
        <v>0</v>
      </c>
      <c r="AA46" s="735">
        <v>0</v>
      </c>
      <c r="AB46" s="735">
        <v>0</v>
      </c>
      <c r="AC46" s="735">
        <v>0</v>
      </c>
      <c r="AD46" s="735">
        <v>0</v>
      </c>
      <c r="AE46" s="735">
        <v>0</v>
      </c>
      <c r="AF46" s="735">
        <v>0</v>
      </c>
      <c r="AG46" s="735">
        <f t="shared" si="7"/>
        <v>0</v>
      </c>
      <c r="AH46" s="781"/>
      <c r="AJ46" s="783"/>
      <c r="AK46" s="783"/>
    </row>
    <row r="47" spans="3:37" ht="13" hidden="1" x14ac:dyDescent="0.3">
      <c r="C47" s="786"/>
      <c r="D47" s="17" t="s">
        <v>571</v>
      </c>
      <c r="E47" s="742"/>
      <c r="F47" s="785">
        <v>0</v>
      </c>
      <c r="G47" s="735">
        <v>0</v>
      </c>
      <c r="H47" s="735">
        <v>0</v>
      </c>
      <c r="I47" s="735">
        <v>0</v>
      </c>
      <c r="J47" s="735">
        <v>0</v>
      </c>
      <c r="K47" s="735">
        <v>0</v>
      </c>
      <c r="L47" s="735">
        <v>0</v>
      </c>
      <c r="M47" s="735">
        <v>0</v>
      </c>
      <c r="N47" s="735">
        <v>0</v>
      </c>
      <c r="O47" s="735">
        <v>0</v>
      </c>
      <c r="P47" s="735">
        <v>0</v>
      </c>
      <c r="Q47" s="735">
        <v>0</v>
      </c>
      <c r="R47" s="735">
        <v>0</v>
      </c>
      <c r="S47" s="735">
        <f t="shared" si="6"/>
        <v>0</v>
      </c>
      <c r="T47" s="785">
        <v>0</v>
      </c>
      <c r="U47" s="735">
        <v>0</v>
      </c>
      <c r="V47" s="735">
        <v>0</v>
      </c>
      <c r="W47" s="735">
        <v>0</v>
      </c>
      <c r="X47" s="735">
        <v>0</v>
      </c>
      <c r="Y47" s="735">
        <v>0</v>
      </c>
      <c r="Z47" s="735">
        <v>0</v>
      </c>
      <c r="AA47" s="735">
        <v>0</v>
      </c>
      <c r="AB47" s="735">
        <v>0</v>
      </c>
      <c r="AC47" s="735">
        <v>0</v>
      </c>
      <c r="AD47" s="735">
        <v>0</v>
      </c>
      <c r="AE47" s="735">
        <v>0</v>
      </c>
      <c r="AF47" s="735">
        <v>0</v>
      </c>
      <c r="AG47" s="735">
        <f t="shared" si="7"/>
        <v>0</v>
      </c>
      <c r="AH47" s="781"/>
      <c r="AJ47" s="783"/>
      <c r="AK47" s="783"/>
    </row>
    <row r="48" spans="3:37" ht="12.75" hidden="1" customHeight="1" x14ac:dyDescent="0.3">
      <c r="C48" s="786"/>
      <c r="D48" s="17" t="s">
        <v>572</v>
      </c>
      <c r="E48" s="58"/>
      <c r="F48" s="172">
        <v>0</v>
      </c>
      <c r="G48" s="735">
        <v>0</v>
      </c>
      <c r="H48" s="735">
        <v>0</v>
      </c>
      <c r="I48" s="735">
        <v>0</v>
      </c>
      <c r="J48" s="735">
        <v>0</v>
      </c>
      <c r="K48" s="735">
        <v>0</v>
      </c>
      <c r="L48" s="735">
        <v>0</v>
      </c>
      <c r="M48" s="735">
        <v>0</v>
      </c>
      <c r="N48" s="735">
        <v>0</v>
      </c>
      <c r="O48" s="735">
        <v>0</v>
      </c>
      <c r="P48" s="735">
        <v>0</v>
      </c>
      <c r="Q48" s="735">
        <v>0</v>
      </c>
      <c r="R48" s="735">
        <v>0</v>
      </c>
      <c r="S48" s="735">
        <f t="shared" si="6"/>
        <v>0</v>
      </c>
      <c r="T48" s="172">
        <v>0</v>
      </c>
      <c r="U48" s="735">
        <v>0</v>
      </c>
      <c r="V48" s="735">
        <v>0</v>
      </c>
      <c r="W48" s="735">
        <v>0</v>
      </c>
      <c r="X48" s="735">
        <v>0</v>
      </c>
      <c r="Y48" s="735">
        <v>0</v>
      </c>
      <c r="Z48" s="735">
        <v>0</v>
      </c>
      <c r="AA48" s="735">
        <v>0</v>
      </c>
      <c r="AB48" s="735">
        <v>0</v>
      </c>
      <c r="AC48" s="735">
        <v>0</v>
      </c>
      <c r="AD48" s="735">
        <v>0</v>
      </c>
      <c r="AE48" s="735">
        <v>0</v>
      </c>
      <c r="AF48" s="735">
        <v>0</v>
      </c>
      <c r="AG48" s="735">
        <f t="shared" si="7"/>
        <v>0</v>
      </c>
      <c r="AH48" s="781"/>
      <c r="AJ48" s="783"/>
      <c r="AK48" s="783"/>
    </row>
    <row r="49" spans="1:38" ht="12.75" customHeight="1" x14ac:dyDescent="0.3">
      <c r="C49" s="786"/>
      <c r="D49" s="17" t="s">
        <v>573</v>
      </c>
      <c r="E49" s="58"/>
      <c r="F49" s="172">
        <v>-376</v>
      </c>
      <c r="G49" s="735">
        <v>-67</v>
      </c>
      <c r="H49" s="735">
        <v>-122</v>
      </c>
      <c r="I49" s="735">
        <f>17-53</f>
        <v>-36</v>
      </c>
      <c r="J49" s="735">
        <v>-9</v>
      </c>
      <c r="K49" s="735">
        <v>-118</v>
      </c>
      <c r="L49" s="735">
        <v>-24</v>
      </c>
      <c r="M49" s="735">
        <v>-19</v>
      </c>
      <c r="N49" s="735">
        <v>-25</v>
      </c>
      <c r="O49" s="735">
        <v>-47</v>
      </c>
      <c r="P49" s="735">
        <v>-1</v>
      </c>
      <c r="Q49" s="735">
        <v>0</v>
      </c>
      <c r="R49" s="735">
        <v>0</v>
      </c>
      <c r="S49" s="735">
        <f t="shared" si="6"/>
        <v>-468</v>
      </c>
      <c r="T49" s="172">
        <v>-275</v>
      </c>
      <c r="U49" s="735">
        <v>-5</v>
      </c>
      <c r="V49" s="735">
        <v>0</v>
      </c>
      <c r="W49" s="735">
        <v>-37</v>
      </c>
      <c r="X49" s="735">
        <v>-9</v>
      </c>
      <c r="Y49" s="735">
        <v>-2</v>
      </c>
      <c r="Z49" s="735">
        <v>0</v>
      </c>
      <c r="AA49" s="735">
        <v>-11</v>
      </c>
      <c r="AB49" s="735">
        <v>-60</v>
      </c>
      <c r="AC49" s="735">
        <v>-7</v>
      </c>
      <c r="AD49" s="735">
        <v>0</v>
      </c>
      <c r="AE49" s="735">
        <v>-24</v>
      </c>
      <c r="AF49" s="735">
        <v>-120</v>
      </c>
      <c r="AG49" s="735">
        <f t="shared" si="7"/>
        <v>-131</v>
      </c>
      <c r="AH49" s="781"/>
      <c r="AJ49" s="783"/>
      <c r="AK49" s="783"/>
    </row>
    <row r="50" spans="1:38" ht="12.75" customHeight="1" x14ac:dyDescent="0.3">
      <c r="C50" s="787"/>
      <c r="D50" s="788"/>
      <c r="E50" s="789"/>
      <c r="F50" s="790"/>
      <c r="G50" s="758"/>
      <c r="H50" s="758"/>
      <c r="I50" s="758"/>
      <c r="J50" s="758"/>
      <c r="K50" s="758"/>
      <c r="L50" s="758"/>
      <c r="M50" s="758"/>
      <c r="N50" s="758"/>
      <c r="O50" s="758"/>
      <c r="P50" s="758"/>
      <c r="Q50" s="758"/>
      <c r="R50" s="758"/>
      <c r="S50" s="758"/>
      <c r="T50" s="790"/>
      <c r="U50" s="758"/>
      <c r="V50" s="758"/>
      <c r="W50" s="758"/>
      <c r="X50" s="758"/>
      <c r="Y50" s="758"/>
      <c r="Z50" s="758"/>
      <c r="AA50" s="758"/>
      <c r="AB50" s="758"/>
      <c r="AC50" s="758"/>
      <c r="AD50" s="758"/>
      <c r="AE50" s="758"/>
      <c r="AF50" s="758"/>
      <c r="AG50" s="759"/>
      <c r="AH50" s="781"/>
      <c r="AJ50" s="783"/>
      <c r="AK50" s="783"/>
    </row>
    <row r="51" spans="1:38" ht="12.75" hidden="1" customHeight="1" x14ac:dyDescent="0.3">
      <c r="C51" s="791" t="s">
        <v>574</v>
      </c>
      <c r="D51" s="788"/>
      <c r="E51" s="756"/>
      <c r="F51" s="792">
        <v>0</v>
      </c>
      <c r="G51" s="758">
        <v>0</v>
      </c>
      <c r="H51" s="758">
        <v>0</v>
      </c>
      <c r="I51" s="758">
        <v>0</v>
      </c>
      <c r="J51" s="758">
        <v>0</v>
      </c>
      <c r="K51" s="758">
        <v>0</v>
      </c>
      <c r="L51" s="758">
        <v>0</v>
      </c>
      <c r="M51" s="758">
        <v>0</v>
      </c>
      <c r="N51" s="758">
        <v>0</v>
      </c>
      <c r="O51" s="758">
        <v>0</v>
      </c>
      <c r="P51" s="758">
        <v>0</v>
      </c>
      <c r="Q51" s="758">
        <v>0</v>
      </c>
      <c r="R51" s="758">
        <v>0</v>
      </c>
      <c r="S51" s="758">
        <f>SUM(G51:R51)</f>
        <v>0</v>
      </c>
      <c r="T51" s="790">
        <v>0</v>
      </c>
      <c r="U51" s="758">
        <v>0</v>
      </c>
      <c r="V51" s="758">
        <v>0</v>
      </c>
      <c r="W51" s="758">
        <v>0</v>
      </c>
      <c r="X51" s="758">
        <v>0</v>
      </c>
      <c r="Y51" s="758">
        <v>0</v>
      </c>
      <c r="Z51" s="758">
        <v>0</v>
      </c>
      <c r="AA51" s="758">
        <v>0</v>
      </c>
      <c r="AB51" s="758">
        <v>0</v>
      </c>
      <c r="AC51" s="758">
        <v>0</v>
      </c>
      <c r="AD51" s="758">
        <v>0</v>
      </c>
      <c r="AE51" s="758">
        <v>0</v>
      </c>
      <c r="AF51" s="758">
        <v>0</v>
      </c>
      <c r="AG51" s="759">
        <f>SUM(U51:V51)</f>
        <v>0</v>
      </c>
      <c r="AH51" s="781"/>
      <c r="AJ51" s="783"/>
      <c r="AK51" s="783"/>
    </row>
    <row r="52" spans="1:38" s="795" customFormat="1" ht="15" customHeight="1" x14ac:dyDescent="0.3">
      <c r="A52" s="778"/>
      <c r="B52" s="778"/>
      <c r="C52" s="68" t="s">
        <v>575</v>
      </c>
      <c r="D52" s="68"/>
      <c r="E52" s="50"/>
      <c r="F52" s="47"/>
      <c r="G52" s="47"/>
      <c r="H52" s="47"/>
      <c r="I52" s="47"/>
      <c r="J52" s="47"/>
      <c r="K52" s="47"/>
      <c r="L52" s="47"/>
      <c r="M52" s="793"/>
      <c r="N52" s="793"/>
      <c r="O52" s="793"/>
      <c r="P52" s="793"/>
      <c r="Q52" s="793"/>
      <c r="R52" s="793"/>
      <c r="S52" s="793"/>
      <c r="T52" s="47"/>
      <c r="U52" s="47"/>
      <c r="V52" s="47"/>
      <c r="W52" s="47"/>
      <c r="X52" s="47"/>
      <c r="Y52" s="47"/>
      <c r="Z52" s="47"/>
      <c r="AA52" s="793"/>
      <c r="AB52" s="793"/>
      <c r="AC52" s="793"/>
      <c r="AD52" s="793"/>
      <c r="AE52" s="793"/>
      <c r="AF52" s="793"/>
      <c r="AG52" s="793"/>
      <c r="AH52" s="794"/>
    </row>
    <row r="53" spans="1:38" ht="13" x14ac:dyDescent="0.3">
      <c r="C53" s="68" t="s">
        <v>576</v>
      </c>
      <c r="D53" s="68"/>
      <c r="E53" s="58"/>
      <c r="F53" s="17"/>
      <c r="G53" s="17"/>
      <c r="H53" s="13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36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794"/>
      <c r="AJ53" s="783"/>
      <c r="AL53" s="783"/>
    </row>
    <row r="54" spans="1:38" ht="13" x14ac:dyDescent="0.3">
      <c r="C54" s="68"/>
      <c r="D54" s="17"/>
      <c r="E54" s="58"/>
      <c r="F54" s="17"/>
      <c r="G54" s="17"/>
      <c r="H54" s="13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713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794"/>
      <c r="AJ54" s="783"/>
      <c r="AL54" s="783"/>
    </row>
    <row r="55" spans="1:38" ht="13" x14ac:dyDescent="0.3">
      <c r="C55" s="17"/>
      <c r="E55" s="17"/>
      <c r="F55" s="17"/>
      <c r="G55" s="17"/>
      <c r="H55" s="13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L55" s="782"/>
    </row>
    <row r="56" spans="1:38" ht="12.75" hidden="1" customHeight="1" x14ac:dyDescent="0.25">
      <c r="C56" s="778" t="s">
        <v>577</v>
      </c>
      <c r="H56" s="783"/>
    </row>
    <row r="57" spans="1:38" ht="12.75" hidden="1" customHeight="1" x14ac:dyDescent="0.25">
      <c r="C57" s="778" t="s">
        <v>578</v>
      </c>
      <c r="H57" s="783"/>
    </row>
    <row r="58" spans="1:38" ht="12.75" hidden="1" customHeight="1" x14ac:dyDescent="0.25">
      <c r="C58" s="778" t="s">
        <v>579</v>
      </c>
      <c r="H58" s="783"/>
    </row>
    <row r="59" spans="1:38" ht="12.75" hidden="1" customHeight="1" x14ac:dyDescent="0.25">
      <c r="C59" s="778" t="s">
        <v>580</v>
      </c>
      <c r="H59" s="783"/>
    </row>
    <row r="60" spans="1:38" ht="12.75" hidden="1" customHeight="1" x14ac:dyDescent="0.25">
      <c r="C60" s="778" t="s">
        <v>581</v>
      </c>
    </row>
    <row r="61" spans="1:38" ht="12.75" hidden="1" customHeight="1" x14ac:dyDescent="0.25">
      <c r="C61" s="778" t="s">
        <v>582</v>
      </c>
    </row>
    <row r="62" spans="1:38" ht="12.75" hidden="1" customHeight="1" x14ac:dyDescent="0.25">
      <c r="C62" s="778" t="s">
        <v>583</v>
      </c>
    </row>
    <row r="63" spans="1:38" ht="13" hidden="1" x14ac:dyDescent="0.3">
      <c r="D63" s="796"/>
      <c r="M63" s="783"/>
      <c r="AH63" s="794"/>
    </row>
    <row r="64" spans="1:38" ht="13" hidden="1" x14ac:dyDescent="0.3">
      <c r="T64" s="783"/>
      <c r="AH64" s="794"/>
    </row>
    <row r="65" spans="3:33" hidden="1" x14ac:dyDescent="0.25">
      <c r="C65" s="797"/>
      <c r="D65" s="797"/>
      <c r="E65" s="798"/>
      <c r="F65" s="798"/>
    </row>
    <row r="66" spans="3:33" hidden="1" x14ac:dyDescent="0.25">
      <c r="F66" s="783"/>
    </row>
    <row r="67" spans="3:33" hidden="1" x14ac:dyDescent="0.25">
      <c r="T67" s="799">
        <v>9603525</v>
      </c>
    </row>
    <row r="68" spans="3:33" hidden="1" x14ac:dyDescent="0.25">
      <c r="T68" s="799">
        <f>T67-S6</f>
        <v>5929542</v>
      </c>
    </row>
    <row r="69" spans="3:33" hidden="1" x14ac:dyDescent="0.25">
      <c r="T69" s="799"/>
    </row>
    <row r="70" spans="3:33" hidden="1" x14ac:dyDescent="0.25">
      <c r="T70" s="799">
        <v>3335838</v>
      </c>
    </row>
    <row r="71" spans="3:33" hidden="1" x14ac:dyDescent="0.25">
      <c r="T71" s="799">
        <f>T70-S22</f>
        <v>2893060</v>
      </c>
    </row>
    <row r="72" spans="3:33" hidden="1" x14ac:dyDescent="0.25">
      <c r="T72" s="799"/>
    </row>
    <row r="73" spans="3:33" s="800" customFormat="1" ht="13" x14ac:dyDescent="0.3">
      <c r="E73" s="799"/>
      <c r="F73" s="799"/>
      <c r="G73" s="801"/>
      <c r="H73" s="801"/>
      <c r="I73" s="801"/>
      <c r="J73" s="801"/>
      <c r="K73" s="801"/>
      <c r="L73" s="801"/>
      <c r="M73" s="802"/>
      <c r="N73" s="803"/>
      <c r="O73" s="801"/>
      <c r="P73" s="801"/>
      <c r="Q73" s="801"/>
      <c r="R73" s="801"/>
      <c r="S73" s="804"/>
      <c r="T73" s="799"/>
      <c r="U73" s="799"/>
      <c r="V73" s="799"/>
      <c r="W73" s="799"/>
      <c r="X73" s="799"/>
      <c r="Y73" s="799"/>
      <c r="Z73" s="799"/>
      <c r="AA73" s="799"/>
      <c r="AB73" s="799"/>
      <c r="AC73" s="799"/>
      <c r="AD73" s="799"/>
      <c r="AE73" s="799"/>
      <c r="AF73" s="799"/>
      <c r="AG73" s="799"/>
    </row>
    <row r="74" spans="3:33" s="800" customFormat="1" ht="13" x14ac:dyDescent="0.3">
      <c r="E74" s="799"/>
      <c r="F74" s="799"/>
      <c r="G74" s="801"/>
      <c r="H74" s="801"/>
      <c r="I74" s="801"/>
      <c r="J74" s="801"/>
      <c r="K74" s="801"/>
      <c r="L74" s="801"/>
      <c r="M74" s="801"/>
      <c r="N74" s="801"/>
      <c r="O74" s="801"/>
      <c r="P74" s="801"/>
      <c r="Q74" s="801"/>
      <c r="R74" s="801"/>
      <c r="S74" s="804"/>
      <c r="T74" s="799"/>
      <c r="U74" s="799"/>
      <c r="V74" s="799"/>
      <c r="W74" s="799"/>
      <c r="X74" s="799"/>
      <c r="Y74" s="799"/>
      <c r="Z74" s="799"/>
      <c r="AA74" s="799"/>
      <c r="AB74" s="799"/>
      <c r="AC74" s="799"/>
      <c r="AD74" s="799"/>
      <c r="AE74" s="799"/>
      <c r="AF74" s="799"/>
      <c r="AG74" s="799"/>
    </row>
    <row r="75" spans="3:33" s="800" customFormat="1" ht="13" x14ac:dyDescent="0.3"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804"/>
      <c r="T75" s="799"/>
      <c r="U75" s="799"/>
      <c r="V75" s="799"/>
      <c r="W75" s="799"/>
      <c r="X75" s="799"/>
      <c r="Y75" s="799"/>
      <c r="Z75" s="799"/>
      <c r="AA75" s="799"/>
      <c r="AB75" s="799"/>
      <c r="AC75" s="799"/>
      <c r="AD75" s="799"/>
      <c r="AE75" s="799"/>
      <c r="AF75" s="799"/>
      <c r="AG75" s="799"/>
    </row>
    <row r="76" spans="3:33" s="800" customFormat="1" ht="13" x14ac:dyDescent="0.3">
      <c r="E76" s="799"/>
      <c r="F76" s="778"/>
      <c r="G76" s="802"/>
      <c r="H76" s="802"/>
      <c r="I76" s="802"/>
      <c r="J76" s="802"/>
      <c r="K76" s="802"/>
      <c r="L76" s="802"/>
      <c r="M76" s="802"/>
      <c r="N76" s="802"/>
      <c r="O76" s="802"/>
      <c r="P76" s="799"/>
      <c r="Q76" s="799"/>
      <c r="R76" s="799"/>
      <c r="S76" s="805"/>
      <c r="T76" s="799"/>
      <c r="U76" s="799"/>
      <c r="V76" s="799"/>
      <c r="W76" s="799"/>
      <c r="X76" s="799"/>
      <c r="Y76" s="799"/>
      <c r="Z76" s="799"/>
      <c r="AA76" s="799"/>
      <c r="AB76" s="799"/>
      <c r="AC76" s="799"/>
      <c r="AD76" s="799"/>
      <c r="AE76" s="799"/>
      <c r="AF76" s="799"/>
      <c r="AG76" s="799"/>
    </row>
    <row r="77" spans="3:33" ht="15.75" customHeight="1" x14ac:dyDescent="0.3">
      <c r="G77" s="801"/>
      <c r="H77" s="801"/>
      <c r="I77" s="801"/>
      <c r="J77" s="801"/>
      <c r="K77" s="801"/>
      <c r="L77" s="801"/>
      <c r="M77" s="801"/>
      <c r="N77" s="801"/>
      <c r="O77" s="801"/>
      <c r="S77" s="804"/>
      <c r="T77" s="799"/>
    </row>
    <row r="78" spans="3:33" ht="13" x14ac:dyDescent="0.3">
      <c r="S78" s="804"/>
      <c r="T78" s="799"/>
    </row>
    <row r="79" spans="3:33" ht="13" x14ac:dyDescent="0.3">
      <c r="G79" s="783"/>
      <c r="H79" s="783"/>
      <c r="I79" s="783"/>
      <c r="J79" s="783"/>
      <c r="K79" s="783"/>
      <c r="L79" s="783"/>
      <c r="M79" s="783"/>
      <c r="N79" s="783"/>
      <c r="O79" s="783"/>
      <c r="S79" s="804"/>
      <c r="T79" s="799"/>
    </row>
    <row r="80" spans="3:33" ht="13" x14ac:dyDescent="0.3">
      <c r="G80" s="783"/>
      <c r="H80" s="783"/>
      <c r="I80" s="783"/>
      <c r="J80" s="783"/>
      <c r="K80" s="783"/>
      <c r="L80" s="783"/>
      <c r="M80" s="783"/>
      <c r="N80" s="783"/>
      <c r="O80" s="783"/>
      <c r="P80" s="783"/>
      <c r="Q80" s="783"/>
      <c r="R80" s="783"/>
      <c r="S80" s="804"/>
      <c r="T80" s="799"/>
    </row>
    <row r="81" spans="7:20" x14ac:dyDescent="0.25">
      <c r="G81" s="783"/>
      <c r="H81" s="783"/>
      <c r="I81" s="783"/>
      <c r="J81" s="783"/>
      <c r="K81" s="783"/>
      <c r="L81" s="783"/>
      <c r="M81" s="783"/>
      <c r="N81" s="783"/>
      <c r="O81" s="783"/>
      <c r="P81" s="783"/>
      <c r="Q81" s="783"/>
      <c r="R81" s="783"/>
      <c r="S81" s="783"/>
      <c r="T81" s="799"/>
    </row>
    <row r="82" spans="7:20" x14ac:dyDescent="0.25">
      <c r="G82" s="783"/>
      <c r="H82" s="783"/>
      <c r="I82" s="783"/>
      <c r="J82" s="783"/>
      <c r="K82" s="783"/>
      <c r="L82" s="783"/>
      <c r="M82" s="783"/>
      <c r="N82" s="783"/>
      <c r="O82" s="783"/>
      <c r="P82" s="783"/>
      <c r="Q82" s="783"/>
      <c r="R82" s="783"/>
      <c r="S82" s="783"/>
      <c r="T82" s="799"/>
    </row>
    <row r="83" spans="7:20" x14ac:dyDescent="0.25">
      <c r="G83" s="783"/>
      <c r="H83" s="783"/>
      <c r="I83" s="783"/>
      <c r="J83" s="783"/>
      <c r="K83" s="783"/>
      <c r="L83" s="783"/>
      <c r="M83" s="783"/>
      <c r="N83" s="783"/>
      <c r="O83" s="783"/>
      <c r="P83" s="783"/>
      <c r="Q83" s="783"/>
      <c r="R83" s="783"/>
      <c r="S83" s="783"/>
      <c r="T83" s="799"/>
    </row>
    <row r="84" spans="7:20" x14ac:dyDescent="0.25">
      <c r="G84" s="783"/>
      <c r="H84" s="783"/>
      <c r="I84" s="783"/>
      <c r="J84" s="783"/>
      <c r="K84" s="783"/>
      <c r="L84" s="783"/>
      <c r="M84" s="783"/>
      <c r="N84" s="783"/>
      <c r="O84" s="783"/>
      <c r="P84" s="783"/>
      <c r="Q84" s="783"/>
      <c r="R84" s="783"/>
      <c r="S84" s="783"/>
      <c r="T84" s="799"/>
    </row>
    <row r="85" spans="7:20" x14ac:dyDescent="0.25">
      <c r="G85" s="783"/>
      <c r="H85" s="783"/>
      <c r="I85" s="783"/>
      <c r="J85" s="783"/>
      <c r="K85" s="783"/>
      <c r="L85" s="783"/>
      <c r="M85" s="783"/>
      <c r="N85" s="783"/>
      <c r="O85" s="783"/>
      <c r="P85" s="783"/>
      <c r="Q85" s="783"/>
      <c r="R85" s="783"/>
      <c r="S85" s="783"/>
      <c r="T85" s="799"/>
    </row>
    <row r="86" spans="7:20" x14ac:dyDescent="0.25">
      <c r="G86" s="783"/>
      <c r="H86" s="783"/>
      <c r="I86" s="783"/>
      <c r="J86" s="783"/>
      <c r="K86" s="783"/>
      <c r="L86" s="783"/>
      <c r="M86" s="783"/>
      <c r="N86" s="783"/>
      <c r="O86" s="783"/>
      <c r="P86" s="783"/>
      <c r="Q86" s="783"/>
      <c r="R86" s="783"/>
      <c r="S86" s="783"/>
      <c r="T86" s="799"/>
    </row>
    <row r="87" spans="7:20" x14ac:dyDescent="0.25">
      <c r="G87" s="783"/>
      <c r="H87" s="783"/>
      <c r="I87" s="783"/>
      <c r="J87" s="783"/>
      <c r="K87" s="783"/>
      <c r="L87" s="783"/>
      <c r="M87" s="783"/>
      <c r="N87" s="783"/>
      <c r="O87" s="783"/>
      <c r="P87" s="783"/>
      <c r="Q87" s="783"/>
      <c r="R87" s="783"/>
      <c r="S87" s="783"/>
      <c r="T87" s="799"/>
    </row>
    <row r="88" spans="7:20" x14ac:dyDescent="0.25">
      <c r="G88" s="783"/>
      <c r="H88" s="783"/>
      <c r="I88" s="783"/>
      <c r="J88" s="783"/>
      <c r="K88" s="783"/>
      <c r="L88" s="783"/>
      <c r="M88" s="783"/>
      <c r="N88" s="783"/>
      <c r="O88" s="783"/>
      <c r="P88" s="783"/>
      <c r="Q88" s="783"/>
      <c r="R88" s="783"/>
      <c r="S88" s="783"/>
      <c r="T88" s="799"/>
    </row>
    <row r="89" spans="7:20" x14ac:dyDescent="0.25">
      <c r="G89" s="783"/>
      <c r="H89" s="783"/>
      <c r="I89" s="783"/>
      <c r="J89" s="783"/>
      <c r="K89" s="783"/>
      <c r="L89" s="783"/>
      <c r="M89" s="783"/>
      <c r="N89" s="783"/>
      <c r="O89" s="783"/>
      <c r="P89" s="783"/>
      <c r="Q89" s="783"/>
      <c r="R89" s="783"/>
      <c r="S89" s="783"/>
      <c r="T89" s="799"/>
    </row>
    <row r="90" spans="7:20" x14ac:dyDescent="0.25">
      <c r="G90" s="783"/>
      <c r="H90" s="783"/>
      <c r="I90" s="783"/>
      <c r="J90" s="783"/>
      <c r="K90" s="783"/>
      <c r="L90" s="783"/>
      <c r="M90" s="783"/>
      <c r="N90" s="783"/>
      <c r="O90" s="783"/>
      <c r="P90" s="783"/>
      <c r="Q90" s="783"/>
      <c r="R90" s="783"/>
      <c r="S90" s="783"/>
      <c r="T90" s="799"/>
    </row>
    <row r="91" spans="7:20" x14ac:dyDescent="0.25">
      <c r="G91" s="783"/>
      <c r="H91" s="783"/>
      <c r="I91" s="783"/>
      <c r="J91" s="783"/>
      <c r="K91" s="783"/>
      <c r="L91" s="783"/>
      <c r="M91" s="783"/>
      <c r="N91" s="783"/>
      <c r="O91" s="783"/>
      <c r="P91" s="783"/>
      <c r="Q91" s="783"/>
      <c r="R91" s="783"/>
      <c r="S91" s="783"/>
      <c r="T91" s="799"/>
    </row>
    <row r="92" spans="7:20" x14ac:dyDescent="0.25">
      <c r="G92" s="783"/>
      <c r="H92" s="783"/>
      <c r="I92" s="783"/>
      <c r="J92" s="783"/>
      <c r="K92" s="783"/>
      <c r="L92" s="783"/>
      <c r="M92" s="783"/>
      <c r="N92" s="783"/>
      <c r="O92" s="783"/>
      <c r="P92" s="783"/>
      <c r="Q92" s="783"/>
      <c r="R92" s="783"/>
      <c r="S92" s="783"/>
    </row>
    <row r="93" spans="7:20" x14ac:dyDescent="0.25">
      <c r="G93" s="783"/>
      <c r="H93" s="783"/>
      <c r="I93" s="783"/>
      <c r="J93" s="783"/>
      <c r="K93" s="783"/>
      <c r="L93" s="783"/>
      <c r="M93" s="783"/>
      <c r="N93" s="783"/>
      <c r="O93" s="783"/>
      <c r="P93" s="783"/>
      <c r="Q93" s="783"/>
      <c r="R93" s="783"/>
      <c r="S93" s="783"/>
    </row>
    <row r="94" spans="7:20" x14ac:dyDescent="0.25">
      <c r="G94" s="783"/>
      <c r="H94" s="783"/>
      <c r="I94" s="783"/>
      <c r="J94" s="783"/>
      <c r="K94" s="783"/>
      <c r="L94" s="783"/>
      <c r="M94" s="783"/>
      <c r="N94" s="783"/>
      <c r="O94" s="783"/>
      <c r="P94" s="783"/>
      <c r="Q94" s="783"/>
      <c r="R94" s="783"/>
      <c r="S94" s="783"/>
    </row>
    <row r="95" spans="7:20" x14ac:dyDescent="0.25">
      <c r="G95" s="783"/>
      <c r="H95" s="783"/>
      <c r="I95" s="783"/>
      <c r="J95" s="783"/>
      <c r="K95" s="783"/>
      <c r="L95" s="783"/>
      <c r="M95" s="783"/>
      <c r="N95" s="783"/>
      <c r="O95" s="783"/>
      <c r="P95" s="783"/>
      <c r="Q95" s="783"/>
      <c r="R95" s="783"/>
      <c r="S95" s="783"/>
    </row>
    <row r="96" spans="7:20" x14ac:dyDescent="0.25">
      <c r="G96" s="783"/>
      <c r="H96" s="783"/>
      <c r="I96" s="783"/>
      <c r="J96" s="783"/>
      <c r="K96" s="783"/>
      <c r="L96" s="783"/>
      <c r="M96" s="783"/>
      <c r="N96" s="783"/>
      <c r="O96" s="783"/>
      <c r="P96" s="783"/>
      <c r="Q96" s="783"/>
      <c r="R96" s="783"/>
      <c r="S96" s="783"/>
    </row>
    <row r="97" spans="7:19" x14ac:dyDescent="0.25">
      <c r="G97" s="783"/>
      <c r="H97" s="783"/>
      <c r="I97" s="783"/>
      <c r="J97" s="783"/>
      <c r="K97" s="783"/>
      <c r="L97" s="783"/>
      <c r="M97" s="783"/>
      <c r="N97" s="783"/>
      <c r="O97" s="783"/>
      <c r="P97" s="783"/>
      <c r="Q97" s="783"/>
      <c r="R97" s="783"/>
      <c r="S97" s="783"/>
    </row>
    <row r="98" spans="7:19" x14ac:dyDescent="0.25">
      <c r="G98" s="783"/>
      <c r="H98" s="783"/>
      <c r="I98" s="783"/>
      <c r="J98" s="783"/>
      <c r="K98" s="783"/>
      <c r="L98" s="783"/>
      <c r="M98" s="783"/>
      <c r="N98" s="783"/>
      <c r="O98" s="783"/>
      <c r="P98" s="783"/>
      <c r="Q98" s="783"/>
      <c r="R98" s="783"/>
      <c r="S98" s="783"/>
    </row>
    <row r="99" spans="7:19" x14ac:dyDescent="0.25">
      <c r="G99" s="783"/>
      <c r="H99" s="783"/>
      <c r="I99" s="783"/>
      <c r="J99" s="783"/>
      <c r="K99" s="783"/>
      <c r="L99" s="783"/>
      <c r="M99" s="783"/>
      <c r="N99" s="783"/>
      <c r="O99" s="783"/>
      <c r="P99" s="783"/>
      <c r="Q99" s="783"/>
      <c r="R99" s="783"/>
      <c r="S99" s="783"/>
    </row>
    <row r="100" spans="7:19" x14ac:dyDescent="0.25">
      <c r="G100" s="783"/>
      <c r="H100" s="783"/>
      <c r="I100" s="783"/>
      <c r="J100" s="783"/>
      <c r="K100" s="783"/>
      <c r="L100" s="783"/>
      <c r="M100" s="783"/>
      <c r="N100" s="783"/>
      <c r="O100" s="783"/>
      <c r="P100" s="783"/>
      <c r="Q100" s="783"/>
      <c r="R100" s="783"/>
      <c r="S100" s="783"/>
    </row>
    <row r="101" spans="7:19" x14ac:dyDescent="0.25">
      <c r="G101" s="783"/>
      <c r="H101" s="783"/>
      <c r="I101" s="783"/>
      <c r="J101" s="783"/>
      <c r="K101" s="783"/>
      <c r="L101" s="783"/>
      <c r="M101" s="783"/>
      <c r="N101" s="783"/>
      <c r="O101" s="783"/>
      <c r="P101" s="783"/>
      <c r="Q101" s="783"/>
      <c r="R101" s="783"/>
      <c r="S101" s="783"/>
    </row>
    <row r="102" spans="7:19" x14ac:dyDescent="0.25">
      <c r="G102" s="783"/>
      <c r="H102" s="783"/>
      <c r="I102" s="783"/>
      <c r="J102" s="783"/>
      <c r="K102" s="783"/>
      <c r="L102" s="783"/>
      <c r="M102" s="783"/>
      <c r="N102" s="783"/>
      <c r="O102" s="783"/>
      <c r="P102" s="783"/>
      <c r="Q102" s="783"/>
      <c r="R102" s="783"/>
      <c r="S102" s="783"/>
    </row>
    <row r="103" spans="7:19" x14ac:dyDescent="0.25">
      <c r="G103" s="783"/>
      <c r="H103" s="783"/>
      <c r="I103" s="783"/>
      <c r="J103" s="783"/>
      <c r="K103" s="783"/>
      <c r="L103" s="783"/>
      <c r="M103" s="783"/>
      <c r="N103" s="783"/>
      <c r="O103" s="783"/>
      <c r="P103" s="783"/>
      <c r="Q103" s="783"/>
      <c r="R103" s="783"/>
      <c r="S103" s="783"/>
    </row>
    <row r="104" spans="7:19" x14ac:dyDescent="0.25">
      <c r="G104" s="783"/>
      <c r="H104" s="783"/>
      <c r="I104" s="783"/>
      <c r="J104" s="783"/>
      <c r="K104" s="783"/>
      <c r="L104" s="783"/>
      <c r="M104" s="783"/>
      <c r="N104" s="783"/>
      <c r="O104" s="783"/>
      <c r="P104" s="783"/>
      <c r="Q104" s="783"/>
      <c r="R104" s="783"/>
      <c r="S104" s="783"/>
    </row>
    <row r="105" spans="7:19" x14ac:dyDescent="0.25">
      <c r="G105" s="783"/>
      <c r="H105" s="783"/>
      <c r="I105" s="783"/>
      <c r="J105" s="783"/>
      <c r="K105" s="783"/>
      <c r="L105" s="783"/>
      <c r="M105" s="783"/>
      <c r="N105" s="783"/>
      <c r="O105" s="783"/>
      <c r="P105" s="783"/>
      <c r="Q105" s="783"/>
      <c r="R105" s="783"/>
      <c r="S105" s="783"/>
    </row>
    <row r="106" spans="7:19" x14ac:dyDescent="0.25">
      <c r="G106" s="783"/>
      <c r="H106" s="783"/>
      <c r="I106" s="783"/>
      <c r="J106" s="783"/>
      <c r="K106" s="783"/>
      <c r="L106" s="783"/>
      <c r="M106" s="783"/>
      <c r="N106" s="783"/>
      <c r="O106" s="783"/>
      <c r="P106" s="783"/>
      <c r="Q106" s="783"/>
      <c r="R106" s="783"/>
      <c r="S106" s="783"/>
    </row>
    <row r="107" spans="7:19" x14ac:dyDescent="0.25">
      <c r="G107" s="783"/>
      <c r="H107" s="783"/>
      <c r="I107" s="783"/>
      <c r="J107" s="783"/>
      <c r="K107" s="783"/>
      <c r="L107" s="783"/>
      <c r="M107" s="783"/>
      <c r="N107" s="783"/>
      <c r="O107" s="783"/>
      <c r="P107" s="783"/>
      <c r="Q107" s="783"/>
      <c r="R107" s="783"/>
      <c r="S107" s="783"/>
    </row>
    <row r="108" spans="7:19" x14ac:dyDescent="0.25">
      <c r="G108" s="783"/>
      <c r="H108" s="783"/>
      <c r="I108" s="783"/>
      <c r="J108" s="783"/>
      <c r="K108" s="783"/>
      <c r="L108" s="783"/>
      <c r="M108" s="783"/>
      <c r="N108" s="783"/>
      <c r="O108" s="783"/>
      <c r="P108" s="783"/>
      <c r="Q108" s="783"/>
      <c r="R108" s="783"/>
      <c r="S108" s="783"/>
    </row>
    <row r="109" spans="7:19" x14ac:dyDescent="0.25">
      <c r="G109" s="783"/>
      <c r="H109" s="783"/>
      <c r="I109" s="783"/>
      <c r="J109" s="783"/>
      <c r="K109" s="783"/>
      <c r="L109" s="783"/>
      <c r="M109" s="783"/>
      <c r="N109" s="783"/>
      <c r="O109" s="783"/>
      <c r="P109" s="783"/>
      <c r="Q109" s="783"/>
      <c r="R109" s="783"/>
      <c r="S109" s="783"/>
    </row>
    <row r="110" spans="7:19" x14ac:dyDescent="0.25">
      <c r="G110" s="783"/>
      <c r="H110" s="783"/>
      <c r="I110" s="783"/>
      <c r="J110" s="783"/>
      <c r="K110" s="783"/>
      <c r="L110" s="783"/>
      <c r="M110" s="783"/>
      <c r="N110" s="783"/>
      <c r="O110" s="783"/>
      <c r="P110" s="783"/>
      <c r="Q110" s="783"/>
      <c r="R110" s="783"/>
      <c r="S110" s="783"/>
    </row>
    <row r="111" spans="7:19" x14ac:dyDescent="0.25">
      <c r="G111" s="783"/>
      <c r="H111" s="783"/>
      <c r="I111" s="783"/>
      <c r="J111" s="783"/>
      <c r="K111" s="783"/>
      <c r="L111" s="783"/>
      <c r="M111" s="783"/>
      <c r="N111" s="783"/>
      <c r="O111" s="783"/>
      <c r="P111" s="783"/>
      <c r="Q111" s="783"/>
      <c r="R111" s="783"/>
      <c r="S111" s="783"/>
    </row>
    <row r="112" spans="7:19" x14ac:dyDescent="0.25">
      <c r="G112" s="783"/>
      <c r="H112" s="783"/>
      <c r="I112" s="783"/>
      <c r="J112" s="783"/>
      <c r="K112" s="783"/>
      <c r="L112" s="783"/>
      <c r="M112" s="783"/>
      <c r="N112" s="783"/>
      <c r="O112" s="783"/>
      <c r="P112" s="783"/>
      <c r="Q112" s="783"/>
      <c r="R112" s="783"/>
      <c r="S112" s="783"/>
    </row>
    <row r="113" spans="7:19" x14ac:dyDescent="0.25">
      <c r="G113" s="783"/>
      <c r="H113" s="783"/>
      <c r="I113" s="783"/>
      <c r="J113" s="783"/>
      <c r="K113" s="783"/>
      <c r="L113" s="783"/>
      <c r="M113" s="783"/>
      <c r="N113" s="783"/>
      <c r="O113" s="783"/>
      <c r="P113" s="783"/>
      <c r="Q113" s="783"/>
      <c r="R113" s="783"/>
      <c r="S113" s="783"/>
    </row>
    <row r="114" spans="7:19" x14ac:dyDescent="0.25">
      <c r="G114" s="783"/>
      <c r="H114" s="783"/>
      <c r="I114" s="783"/>
      <c r="J114" s="783"/>
      <c r="K114" s="783"/>
      <c r="L114" s="783"/>
      <c r="M114" s="783"/>
      <c r="N114" s="783"/>
      <c r="O114" s="783"/>
      <c r="P114" s="783"/>
      <c r="Q114" s="783"/>
      <c r="R114" s="783"/>
      <c r="S114" s="783"/>
    </row>
    <row r="115" spans="7:19" x14ac:dyDescent="0.25">
      <c r="G115" s="783"/>
      <c r="H115" s="783"/>
      <c r="I115" s="783"/>
      <c r="J115" s="783"/>
      <c r="K115" s="783"/>
      <c r="L115" s="783"/>
      <c r="M115" s="783"/>
      <c r="N115" s="783"/>
      <c r="O115" s="783"/>
      <c r="P115" s="783"/>
      <c r="Q115" s="783"/>
      <c r="R115" s="783"/>
      <c r="S115" s="783"/>
    </row>
    <row r="116" spans="7:19" x14ac:dyDescent="0.25">
      <c r="G116" s="783"/>
      <c r="H116" s="783"/>
      <c r="I116" s="783"/>
      <c r="J116" s="783"/>
      <c r="K116" s="783"/>
      <c r="L116" s="783"/>
      <c r="M116" s="783"/>
      <c r="N116" s="783"/>
      <c r="O116" s="783"/>
      <c r="P116" s="783"/>
      <c r="Q116" s="783"/>
      <c r="R116" s="783"/>
      <c r="S116" s="783"/>
    </row>
    <row r="117" spans="7:19" x14ac:dyDescent="0.25">
      <c r="G117" s="783"/>
      <c r="H117" s="783"/>
      <c r="I117" s="783"/>
      <c r="J117" s="783"/>
      <c r="K117" s="783"/>
      <c r="L117" s="783"/>
      <c r="M117" s="783"/>
      <c r="N117" s="783"/>
      <c r="O117" s="783"/>
      <c r="P117" s="783"/>
      <c r="Q117" s="783"/>
      <c r="R117" s="783"/>
      <c r="S117" s="783"/>
    </row>
    <row r="118" spans="7:19" x14ac:dyDescent="0.25">
      <c r="G118" s="783"/>
      <c r="H118" s="783"/>
      <c r="I118" s="783"/>
      <c r="J118" s="783"/>
      <c r="K118" s="783"/>
      <c r="L118" s="783"/>
      <c r="M118" s="783"/>
      <c r="N118" s="783"/>
      <c r="O118" s="783"/>
      <c r="P118" s="783"/>
      <c r="Q118" s="783"/>
      <c r="R118" s="783"/>
      <c r="S118" s="783"/>
    </row>
    <row r="119" spans="7:19" x14ac:dyDescent="0.25">
      <c r="G119" s="783"/>
      <c r="H119" s="783"/>
      <c r="I119" s="783"/>
      <c r="J119" s="783"/>
      <c r="K119" s="783"/>
      <c r="L119" s="783"/>
      <c r="M119" s="783"/>
      <c r="N119" s="783"/>
      <c r="O119" s="783"/>
      <c r="P119" s="783"/>
      <c r="Q119" s="783"/>
      <c r="R119" s="783"/>
      <c r="S119" s="783"/>
    </row>
    <row r="120" spans="7:19" x14ac:dyDescent="0.25">
      <c r="G120" s="783"/>
      <c r="H120" s="783"/>
      <c r="I120" s="783"/>
      <c r="J120" s="783"/>
      <c r="K120" s="783"/>
      <c r="L120" s="783"/>
      <c r="M120" s="783"/>
      <c r="N120" s="783"/>
      <c r="O120" s="783"/>
      <c r="P120" s="783"/>
      <c r="Q120" s="783"/>
      <c r="R120" s="783"/>
      <c r="S120" s="783"/>
    </row>
    <row r="121" spans="7:19" x14ac:dyDescent="0.25">
      <c r="G121" s="783"/>
      <c r="H121" s="783"/>
      <c r="I121" s="783"/>
      <c r="J121" s="783"/>
      <c r="K121" s="783"/>
      <c r="L121" s="783"/>
      <c r="M121" s="783"/>
      <c r="N121" s="783"/>
      <c r="O121" s="783"/>
      <c r="P121" s="783"/>
      <c r="Q121" s="783"/>
      <c r="R121" s="783"/>
      <c r="S121" s="783"/>
    </row>
    <row r="122" spans="7:19" x14ac:dyDescent="0.25">
      <c r="G122" s="783"/>
      <c r="H122" s="783"/>
      <c r="I122" s="783"/>
      <c r="J122" s="783"/>
      <c r="K122" s="783"/>
      <c r="L122" s="783"/>
      <c r="M122" s="783"/>
      <c r="N122" s="783"/>
      <c r="O122" s="783"/>
      <c r="P122" s="783"/>
      <c r="Q122" s="783"/>
      <c r="R122" s="783"/>
      <c r="S122" s="783"/>
    </row>
    <row r="123" spans="7:19" x14ac:dyDescent="0.25">
      <c r="G123" s="783"/>
      <c r="H123" s="783"/>
      <c r="I123" s="783"/>
      <c r="J123" s="783"/>
      <c r="K123" s="783"/>
      <c r="L123" s="783"/>
      <c r="M123" s="783"/>
      <c r="N123" s="783"/>
      <c r="O123" s="783"/>
      <c r="P123" s="783"/>
      <c r="Q123" s="783"/>
      <c r="R123" s="783"/>
      <c r="S123" s="783"/>
    </row>
    <row r="124" spans="7:19" x14ac:dyDescent="0.25">
      <c r="G124" s="783"/>
      <c r="H124" s="783"/>
      <c r="I124" s="783"/>
      <c r="J124" s="783"/>
      <c r="K124" s="783"/>
      <c r="L124" s="783"/>
      <c r="M124" s="783"/>
      <c r="N124" s="783"/>
      <c r="O124" s="783"/>
      <c r="P124" s="783"/>
      <c r="Q124" s="783"/>
      <c r="R124" s="783"/>
      <c r="S124" s="783"/>
    </row>
    <row r="125" spans="7:19" x14ac:dyDescent="0.25">
      <c r="G125" s="783"/>
      <c r="H125" s="783"/>
      <c r="I125" s="783"/>
      <c r="J125" s="783"/>
      <c r="K125" s="783"/>
      <c r="L125" s="783"/>
      <c r="M125" s="783"/>
      <c r="N125" s="783"/>
      <c r="O125" s="783"/>
      <c r="P125" s="783"/>
      <c r="Q125" s="783"/>
      <c r="R125" s="783"/>
      <c r="S125" s="783"/>
    </row>
    <row r="126" spans="7:19" x14ac:dyDescent="0.25">
      <c r="G126" s="783"/>
      <c r="H126" s="783"/>
      <c r="I126" s="783"/>
      <c r="J126" s="783"/>
      <c r="K126" s="783"/>
      <c r="L126" s="783"/>
      <c r="M126" s="783"/>
      <c r="N126" s="783"/>
      <c r="O126" s="783"/>
      <c r="P126" s="783"/>
      <c r="Q126" s="783"/>
      <c r="R126" s="783"/>
      <c r="S126" s="783"/>
    </row>
    <row r="127" spans="7:19" x14ac:dyDescent="0.25">
      <c r="S127" s="783"/>
    </row>
    <row r="128" spans="7:19" x14ac:dyDescent="0.25">
      <c r="S128" s="783"/>
    </row>
    <row r="129" spans="19:19" x14ac:dyDescent="0.25">
      <c r="S129" s="783"/>
    </row>
    <row r="130" spans="19:19" x14ac:dyDescent="0.25">
      <c r="S130" s="783"/>
    </row>
    <row r="131" spans="19:19" x14ac:dyDescent="0.25">
      <c r="S131" s="783"/>
    </row>
    <row r="132" spans="19:19" x14ac:dyDescent="0.25">
      <c r="S132" s="783"/>
    </row>
    <row r="133" spans="19:19" x14ac:dyDescent="0.25">
      <c r="S133" s="783"/>
    </row>
    <row r="134" spans="19:19" x14ac:dyDescent="0.25">
      <c r="S134" s="783"/>
    </row>
    <row r="135" spans="19:19" x14ac:dyDescent="0.25">
      <c r="S135" s="783"/>
    </row>
    <row r="136" spans="19:19" x14ac:dyDescent="0.25">
      <c r="S136" s="783"/>
    </row>
    <row r="137" spans="19:19" x14ac:dyDescent="0.25">
      <c r="S137" s="783"/>
    </row>
    <row r="138" spans="19:19" x14ac:dyDescent="0.25">
      <c r="S138" s="783"/>
    </row>
    <row r="139" spans="19:19" x14ac:dyDescent="0.25">
      <c r="S139" s="783"/>
    </row>
    <row r="140" spans="19:19" x14ac:dyDescent="0.25">
      <c r="S140" s="783"/>
    </row>
    <row r="141" spans="19:19" x14ac:dyDescent="0.25">
      <c r="S141" s="783"/>
    </row>
    <row r="142" spans="19:19" x14ac:dyDescent="0.25">
      <c r="S142" s="783"/>
    </row>
    <row r="143" spans="19:19" x14ac:dyDescent="0.25">
      <c r="S143" s="783"/>
    </row>
    <row r="144" spans="19:19" x14ac:dyDescent="0.25">
      <c r="S144" s="783"/>
    </row>
    <row r="145" spans="19:19" x14ac:dyDescent="0.25">
      <c r="S145" s="783"/>
    </row>
    <row r="146" spans="19:19" x14ac:dyDescent="0.25">
      <c r="S146" s="783"/>
    </row>
    <row r="147" spans="19:19" x14ac:dyDescent="0.25">
      <c r="S147" s="783"/>
    </row>
    <row r="148" spans="19:19" x14ac:dyDescent="0.25">
      <c r="S148" s="783"/>
    </row>
    <row r="149" spans="19:19" x14ac:dyDescent="0.25">
      <c r="S149" s="783"/>
    </row>
    <row r="150" spans="19:19" x14ac:dyDescent="0.25">
      <c r="S150" s="783"/>
    </row>
    <row r="151" spans="19:19" x14ac:dyDescent="0.25">
      <c r="S151" s="783"/>
    </row>
    <row r="152" spans="19:19" x14ac:dyDescent="0.25">
      <c r="S152" s="783"/>
    </row>
    <row r="153" spans="19:19" x14ac:dyDescent="0.25">
      <c r="S153" s="783"/>
    </row>
    <row r="154" spans="19:19" x14ac:dyDescent="0.25">
      <c r="S154" s="783"/>
    </row>
    <row r="155" spans="19:19" x14ac:dyDescent="0.25">
      <c r="S155" s="783"/>
    </row>
    <row r="156" spans="19:19" x14ac:dyDescent="0.25">
      <c r="S156" s="783"/>
    </row>
    <row r="157" spans="19:19" x14ac:dyDescent="0.25">
      <c r="S157" s="783"/>
    </row>
    <row r="158" spans="19:19" x14ac:dyDescent="0.25">
      <c r="S158" s="783"/>
    </row>
    <row r="159" spans="19:19" x14ac:dyDescent="0.25">
      <c r="S159" s="783"/>
    </row>
    <row r="160" spans="19:19" x14ac:dyDescent="0.25">
      <c r="S160" s="783"/>
    </row>
    <row r="161" spans="19:19" x14ac:dyDescent="0.25">
      <c r="S161" s="783"/>
    </row>
    <row r="162" spans="19:19" x14ac:dyDescent="0.25">
      <c r="S162" s="783"/>
    </row>
    <row r="163" spans="19:19" x14ac:dyDescent="0.25">
      <c r="S163" s="783"/>
    </row>
    <row r="164" spans="19:19" x14ac:dyDescent="0.25">
      <c r="S164" s="783"/>
    </row>
    <row r="165" spans="19:19" x14ac:dyDescent="0.25">
      <c r="S165" s="783"/>
    </row>
    <row r="166" spans="19:19" x14ac:dyDescent="0.25">
      <c r="S166" s="783"/>
    </row>
    <row r="167" spans="19:19" x14ac:dyDescent="0.25">
      <c r="S167" s="783"/>
    </row>
    <row r="168" spans="19:19" x14ac:dyDescent="0.25">
      <c r="S168" s="783"/>
    </row>
    <row r="169" spans="19:19" x14ac:dyDescent="0.25">
      <c r="S169" s="783"/>
    </row>
    <row r="170" spans="19:19" x14ac:dyDescent="0.25">
      <c r="S170" s="783"/>
    </row>
    <row r="171" spans="19:19" x14ac:dyDescent="0.25">
      <c r="S171" s="783"/>
    </row>
    <row r="172" spans="19:19" x14ac:dyDescent="0.25">
      <c r="S172" s="783"/>
    </row>
    <row r="173" spans="19:19" x14ac:dyDescent="0.25">
      <c r="S173" s="783"/>
    </row>
    <row r="174" spans="19:19" x14ac:dyDescent="0.25">
      <c r="S174" s="783"/>
    </row>
    <row r="175" spans="19:19" x14ac:dyDescent="0.25">
      <c r="S175" s="783"/>
    </row>
    <row r="176" spans="19:19" x14ac:dyDescent="0.25">
      <c r="S176" s="783"/>
    </row>
    <row r="177" spans="19:19" x14ac:dyDescent="0.25">
      <c r="S177" s="783"/>
    </row>
    <row r="178" spans="19:19" x14ac:dyDescent="0.25">
      <c r="S178" s="783"/>
    </row>
    <row r="179" spans="19:19" x14ac:dyDescent="0.25">
      <c r="S179" s="783"/>
    </row>
    <row r="180" spans="19:19" x14ac:dyDescent="0.25">
      <c r="S180" s="783"/>
    </row>
    <row r="181" spans="19:19" x14ac:dyDescent="0.25">
      <c r="S181" s="783"/>
    </row>
    <row r="182" spans="19:19" x14ac:dyDescent="0.25">
      <c r="S182" s="783"/>
    </row>
    <row r="183" spans="19:19" x14ac:dyDescent="0.25">
      <c r="S183" s="783"/>
    </row>
    <row r="184" spans="19:19" x14ac:dyDescent="0.25">
      <c r="S184" s="783"/>
    </row>
    <row r="185" spans="19:19" x14ac:dyDescent="0.25">
      <c r="S185" s="783"/>
    </row>
    <row r="186" spans="19:19" x14ac:dyDescent="0.25">
      <c r="S186" s="783"/>
    </row>
    <row r="187" spans="19:19" x14ac:dyDescent="0.25">
      <c r="S187" s="783"/>
    </row>
    <row r="188" spans="19:19" x14ac:dyDescent="0.25">
      <c r="S188" s="783"/>
    </row>
    <row r="189" spans="19:19" x14ac:dyDescent="0.25">
      <c r="S189" s="783"/>
    </row>
    <row r="190" spans="19:19" x14ac:dyDescent="0.25">
      <c r="S190" s="783"/>
    </row>
    <row r="191" spans="19:19" x14ac:dyDescent="0.25">
      <c r="S191" s="783"/>
    </row>
    <row r="192" spans="19:19" x14ac:dyDescent="0.25">
      <c r="S192" s="783"/>
    </row>
    <row r="193" spans="19:19" x14ac:dyDescent="0.25">
      <c r="S193" s="783"/>
    </row>
    <row r="194" spans="19:19" x14ac:dyDescent="0.25">
      <c r="S194" s="783"/>
    </row>
    <row r="195" spans="19:19" x14ac:dyDescent="0.25">
      <c r="S195" s="783"/>
    </row>
    <row r="196" spans="19:19" x14ac:dyDescent="0.25">
      <c r="S196" s="783"/>
    </row>
    <row r="197" spans="19:19" x14ac:dyDescent="0.25">
      <c r="S197" s="783"/>
    </row>
    <row r="198" spans="19:19" x14ac:dyDescent="0.25">
      <c r="S198" s="783"/>
    </row>
    <row r="199" spans="19:19" x14ac:dyDescent="0.25">
      <c r="S199" s="783"/>
    </row>
    <row r="200" spans="19:19" x14ac:dyDescent="0.25">
      <c r="S200" s="783"/>
    </row>
    <row r="201" spans="19:19" x14ac:dyDescent="0.25">
      <c r="S201" s="783"/>
    </row>
    <row r="202" spans="19:19" x14ac:dyDescent="0.25">
      <c r="S202" s="783"/>
    </row>
    <row r="203" spans="19:19" x14ac:dyDescent="0.25">
      <c r="S203" s="783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83da49-451a-4629-8875-846b923e2c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FFC00AA84044D9133115AB46DEBFA" ma:contentTypeVersion="11" ma:contentTypeDescription="Create a new document." ma:contentTypeScope="" ma:versionID="622038a5a040ac4d6254a269335c008d">
  <xsd:schema xmlns:xsd="http://www.w3.org/2001/XMLSchema" xmlns:xs="http://www.w3.org/2001/XMLSchema" xmlns:p="http://schemas.microsoft.com/office/2006/metadata/properties" xmlns:ns3="45987a19-0b2c-4d42-ad64-d9749832b1e7" xmlns:ns4="f083da49-451a-4629-8875-846b923e2ce9" targetNamespace="http://schemas.microsoft.com/office/2006/metadata/properties" ma:root="true" ma:fieldsID="59117e28b65653ee29374c3527184606" ns3:_="" ns4:_="">
    <xsd:import namespace="45987a19-0b2c-4d42-ad64-d9749832b1e7"/>
    <xsd:import namespace="f083da49-451a-4629-8875-846b923e2c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87a19-0b2c-4d42-ad64-d9749832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3da49-451a-4629-8875-846b923e2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D09A8-3090-4478-9288-184AEA28A46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f083da49-451a-4629-8875-846b923e2ce9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5987a19-0b2c-4d42-ad64-d9749832b1e7"/>
  </ds:schemaRefs>
</ds:datastoreItem>
</file>

<file path=customXml/itemProps2.xml><?xml version="1.0" encoding="utf-8"?>
<ds:datastoreItem xmlns:ds="http://schemas.openxmlformats.org/officeDocument/2006/customXml" ds:itemID="{009A0494-0C82-4014-A68C-7DF625715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87a19-0b2c-4d42-ad64-d9749832b1e7"/>
    <ds:schemaRef ds:uri="f083da49-451a-4629-8875-846b923e2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EF9FBD-4459-445A-919D-E36848C5B0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Table1</vt:lpstr>
      <vt:lpstr>Table2 Pg1</vt:lpstr>
      <vt:lpstr>Table2 Pg2</vt:lpstr>
      <vt:lpstr>Table3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3.1'!Print_Area</vt:lpstr>
      <vt:lpstr>'Table 3.4'!Print_Area</vt:lpstr>
      <vt:lpstr>'Table 4'!Print_Area</vt:lpstr>
      <vt:lpstr>Table1!Print_Area</vt:lpstr>
      <vt:lpstr>'Table2 Pg1'!Print_Area</vt:lpstr>
      <vt:lpstr>'Table3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2023-02-27T18:53:43Z</cp:lastPrinted>
  <dcterms:created xsi:type="dcterms:W3CDTF">2023-02-23T11:28:34Z</dcterms:created>
  <dcterms:modified xsi:type="dcterms:W3CDTF">2023-02-27T18:54:21Z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2023-02-23T11:30:10Z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96aa5e77-8ba2-41cf-9b4c-ad8853f14e64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0x010100C08FFC00AA84044D9133115AB46DEBFA</vt:lpwstr>
  </property>
</Properties>
</file>